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9.xml" ContentType="application/vnd.openxmlformats-officedocument.drawing+xml"/>
  <Override PartName="/xl/ctrlProps/ctrlProp23.xml" ContentType="application/vnd.ms-excel.controlproperties+xml"/>
  <Override PartName="/xl/tables/table3.xml" ContentType="application/vnd.openxmlformats-officedocument.spreadsheetml.table+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tables/table4.xml" ContentType="application/vnd.openxmlformats-officedocument.spreadsheetml.table+xml"/>
  <Override PartName="/xl/drawings/drawing11.xml" ContentType="application/vnd.openxmlformats-officedocument.drawing+xml"/>
  <Override PartName="/xl/ctrlProps/ctrlProp26.xml" ContentType="application/vnd.ms-excel.controlproperties+xml"/>
  <Override PartName="/xl/tables/table5.xml" ContentType="application/vnd.openxmlformats-officedocument.spreadsheetml.table+xml"/>
  <Override PartName="/xl/drawings/drawing12.xml" ContentType="application/vnd.openxmlformats-officedocument.drawing+xml"/>
  <Override PartName="/xl/ctrlProps/ctrlProp27.xml" ContentType="application/vnd.ms-excel.controlproperties+xml"/>
  <Override PartName="/xl/tables/table6.xml" ContentType="application/vnd.openxmlformats-officedocument.spreadsheetml.table+xml"/>
  <Override PartName="/xl/drawings/drawing13.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media/image16.jpg" ContentType="image/png"/>
  <Override PartName="/xl/drawings/drawing14.xml" ContentType="application/vnd.openxmlformats-officedocument.drawing+xml"/>
  <Override PartName="/xl/ctrlProps/ctrlProp32.xml" ContentType="application/vnd.ms-excel.controlproperties+xml"/>
  <Override PartName="/xl/tables/table7.xml" ContentType="application/vnd.openxmlformats-officedocument.spreadsheetml.table+xml"/>
  <Override PartName="/xl/drawings/drawing15.xml" ContentType="application/vnd.openxmlformats-officedocument.drawing+xml"/>
  <Override PartName="/xl/ctrlProps/ctrlProp33.xml" ContentType="application/vnd.ms-excel.controlproperties+xml"/>
  <Override PartName="/xl/ctrlProps/ctrlProp34.xml" ContentType="application/vnd.ms-excel.controlproperties+xml"/>
  <Override PartName="/xl/tables/table8.xml" ContentType="application/vnd.openxmlformats-officedocument.spreadsheetml.table+xml"/>
  <Override PartName="/xl/drawings/drawing16.xml" ContentType="application/vnd.openxmlformats-officedocument.drawing+xml"/>
  <Override PartName="/xl/ctrlProps/ctrlProp35.xml" ContentType="application/vnd.ms-excel.controlproperties+xml"/>
  <Override PartName="/xl/tables/table9.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4.xml" ContentType="application/vnd.openxmlformats-officedocument.spreadsheetml.comments+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showInkAnnotation="0" codeName="ThisWorkbook"/>
  <mc:AlternateContent xmlns:mc="http://schemas.openxmlformats.org/markup-compatibility/2006">
    <mc:Choice Requires="x15">
      <x15ac:absPath xmlns:x15ac="http://schemas.microsoft.com/office/spreadsheetml/2010/11/ac" url="C:\Users\RAUL\Documents\rmab\JAVA\app.modconta.egener\docum\"/>
    </mc:Choice>
  </mc:AlternateContent>
  <xr:revisionPtr revIDLastSave="0" documentId="13_ncr:1_{83C802AD-6487-44BE-B10C-154A573D98A7}" xr6:coauthVersionLast="46" xr6:coauthVersionMax="46" xr10:uidLastSave="{00000000-0000-0000-0000-000000000000}"/>
  <bookViews>
    <workbookView xWindow="-108" yWindow="-108" windowWidth="23256" windowHeight="12576" tabRatio="826" firstSheet="4" activeTab="7" xr2:uid="{00000000-000D-0000-FFFF-FFFF00000000}"/>
  </bookViews>
  <sheets>
    <sheet name="MENU PRINCIPAL" sheetId="4" r:id="rId1"/>
    <sheet name="A.C. SAN FERNANDO" sheetId="12" r:id="rId2"/>
    <sheet name="A.C. REDONDOS" sheetId="14" r:id="rId3"/>
    <sheet name="A.C EGENER" sheetId="15" r:id="rId4"/>
    <sheet name="A.C. SCOTIABANK" sheetId="22" r:id="rId5"/>
    <sheet name="PROCEDIMIENTOS" sheetId="13" state="hidden" r:id="rId6"/>
    <sheet name="Protoc-Taller" sheetId="11" r:id="rId7"/>
    <sheet name="Protoc-Campo" sheetId="17" r:id="rId8"/>
    <sheet name="PERSONAL" sheetId="6" state="hidden" r:id="rId9"/>
    <sheet name="EQUIPOS EN SEGUIMIENTO" sheetId="7" r:id="rId10"/>
    <sheet name="INDICADORES DE EQUIPOS" sheetId="25" r:id="rId11"/>
    <sheet name="CONSULTA DE ACTAS" sheetId="10" r:id="rId12"/>
    <sheet name="EQUIPO PARA ALQUILER" sheetId="23" r:id="rId13"/>
    <sheet name="CONSULTA ACTAS POR FECHA" sheetId="20" r:id="rId14"/>
    <sheet name="REGISTRO" sheetId="1" r:id="rId15"/>
    <sheet name="BD_ACTAS" sheetId="2" r:id="rId16"/>
    <sheet name="Hoja5" sheetId="5" state="hidden" r:id="rId17"/>
    <sheet name="BD_EQUIPOS" sheetId="18" r:id="rId18"/>
    <sheet name="REGISTRO REPARACION DE FALLAS" sheetId="19" r:id="rId19"/>
    <sheet name="HISTORIAL DE GRUPOS ELECTROGENO" sheetId="21" r:id="rId20"/>
    <sheet name="Filtros de grupos" sheetId="24" state="hidden" r:id="rId21"/>
  </sheets>
  <definedNames>
    <definedName name="_1250Horas" localSheetId="6">#REF!</definedName>
    <definedName name="_1250Horas">#REF!</definedName>
    <definedName name="_1550Horas" localSheetId="6">#REF!</definedName>
    <definedName name="_1550Horas">#REF!</definedName>
    <definedName name="_1850Horas" localSheetId="6">#REF!</definedName>
    <definedName name="_1850Horas">#REF!</definedName>
    <definedName name="_2150Horas" localSheetId="6">#REF!</definedName>
    <definedName name="_2150Horas">#REF!</definedName>
    <definedName name="_2450Horas" localSheetId="6">#REF!</definedName>
    <definedName name="_2450Horas">#REF!</definedName>
    <definedName name="_2750Horas" localSheetId="6">#REF!</definedName>
    <definedName name="_2750Horas">#REF!</definedName>
    <definedName name="_3050Horas" localSheetId="6">#REF!</definedName>
    <definedName name="_3050Horas">#REF!</definedName>
    <definedName name="_3350Horas" localSheetId="6">#REF!</definedName>
    <definedName name="_3350Horas">#REF!</definedName>
    <definedName name="_350Horas" localSheetId="6">#REF!</definedName>
    <definedName name="_350Horas">#REF!</definedName>
    <definedName name="_3650Horas" localSheetId="6">#REF!</definedName>
    <definedName name="_3650Horas">#REF!</definedName>
    <definedName name="_3950Horas" localSheetId="6">#REF!</definedName>
    <definedName name="_3950Horas">#REF!</definedName>
    <definedName name="_4250Horas" localSheetId="6">#REF!</definedName>
    <definedName name="_4250Horas">#REF!</definedName>
    <definedName name="_4550Horas" localSheetId="6">#REF!</definedName>
    <definedName name="_4550Horas">#REF!</definedName>
    <definedName name="_4850Horas" localSheetId="6">#REF!</definedName>
    <definedName name="_4850Horas">#REF!</definedName>
    <definedName name="_50Horas" localSheetId="3">#REF!</definedName>
    <definedName name="_50Horas" localSheetId="1">#REF!</definedName>
    <definedName name="_50Horas" localSheetId="6">#REF!</definedName>
    <definedName name="_50Horas">#REF!</definedName>
    <definedName name="_5150Horas" localSheetId="6">#REF!</definedName>
    <definedName name="_5150Horas">#REF!</definedName>
    <definedName name="_650Horas" localSheetId="6">#REF!</definedName>
    <definedName name="_650Horas">#REF!</definedName>
    <definedName name="_950Horas" localSheetId="6">#REF!</definedName>
    <definedName name="_950Horas">#REF!</definedName>
    <definedName name="_xlnm._FilterDatabase" localSheetId="3" hidden="1">'A.C EGENER'!$C$14:$J$32</definedName>
    <definedName name="_xlnm._FilterDatabase" localSheetId="1" hidden="1">'A.C. SAN FERNANDO'!$C$26:$C$47</definedName>
    <definedName name="_xlnm._FilterDatabase" localSheetId="15" hidden="1">BD_ACTAS!$Y$6:$Y$1153</definedName>
    <definedName name="_xlnm._FilterDatabase" localSheetId="17" hidden="1">BD_EQUIPOS!#REF!</definedName>
    <definedName name="_xlnm._FilterDatabase" localSheetId="9" hidden="1">'EQUIPOS EN SEGUIMIENTO'!#REF!</definedName>
    <definedName name="ACTIVIDADES" localSheetId="6">#REF!</definedName>
    <definedName name="ACTIVIDADES">#REF!</definedName>
    <definedName name="_xlnm.Extract" localSheetId="15">BD_ACTAS!#REF!</definedName>
    <definedName name="_xlnm.Extract" localSheetId="17">BD_EQUIPOS!#REF!</definedName>
    <definedName name="_xlnm.Extract" localSheetId="9">'EQUIPOS EN SEGUIMIENTO'!#REF!</definedName>
    <definedName name="_xlnm.Print_Area" localSheetId="3">'A.C EGENER'!$B$2:$K$51</definedName>
    <definedName name="_xlnm.Print_Area" localSheetId="2">'A.C. REDONDOS'!$B$2:$P$58</definedName>
    <definedName name="_xlnm.Print_Area" localSheetId="1">'A.C. SAN FERNANDO'!$B$2:$L$64</definedName>
    <definedName name="_xlnm.Print_Area" localSheetId="7">'Protoc-Campo'!$B$6:$L$47</definedName>
    <definedName name="_xlnm.Print_Area" localSheetId="6">'Protoc-Taller'!$B$5:$L$47</definedName>
    <definedName name="Cambio_de_aceite" localSheetId="6">#REF!</definedName>
    <definedName name="Cambio_de_aceite">#REF!</definedName>
    <definedName name="Cambio_de_bujias" localSheetId="6">#REF!</definedName>
    <definedName name="Cambio_de_bujias">#REF!</definedName>
    <definedName name="Cambio_de_faja" localSheetId="6">#REF!</definedName>
    <definedName name="Cambio_de_faja">#REF!</definedName>
    <definedName name="Cambio_de_Filtro_de_aceite" localSheetId="6">#REF!</definedName>
    <definedName name="Cambio_de_Filtro_de_aceite">#REF!</definedName>
    <definedName name="Cambio_de_Filtro_de_aire" localSheetId="6">#REF!</definedName>
    <definedName name="Cambio_de_Filtro_de_aire">#REF!</definedName>
    <definedName name="Cambio_de_polea" localSheetId="6">#REF!</definedName>
    <definedName name="Cambio_de_polea">#REF!</definedName>
    <definedName name="Cambio_de_tapa_y_rotor_del_distribuidor" localSheetId="6">#REF!</definedName>
    <definedName name="Cambio_de_tapa_y_rotor_del_distribuidor">#REF!</definedName>
    <definedName name="Chequear_fajas_y_filtro_de_aire" localSheetId="6">#REF!</definedName>
    <definedName name="Chequear_fajas_y_filtro_de_aire">#REF!</definedName>
    <definedName name="chequear_ingresos_y_salidas_de_aire" localSheetId="6">#REF!</definedName>
    <definedName name="chequear_ingresos_y_salidas_de_aire">#REF!</definedName>
    <definedName name="Chequeo_de_mangueras_del_sistema_de_refrigeracion" localSheetId="6">#REF!</definedName>
    <definedName name="Chequeo_de_mangueras_del_sistema_de_refrigeracion">#REF!</definedName>
    <definedName name="Chequeo_del_nivel_de_refrigerante" localSheetId="6">#REF!</definedName>
    <definedName name="Chequeo_del_nivel_de_refrigerante">#REF!</definedName>
    <definedName name="Chequeo_del_sistema_de_combustible" localSheetId="6">#REF!</definedName>
    <definedName name="Chequeo_del_sistema_de_combustible">#REF!</definedName>
    <definedName name="ESTA.GRAN">#REF!</definedName>
    <definedName name="Limpieza_con_solvente_dielectrico_de_las_cabezas_visibles_del_generador" localSheetId="6">#REF!</definedName>
    <definedName name="Limpieza_con_solvente_dielectrico_de_las_cabezas_visibles_del_generador">#REF!</definedName>
    <definedName name="Limpieza_del_obturador_de_admision" localSheetId="6">#REF!</definedName>
    <definedName name="Limpieza_del_obturador_de_admision">#REF!</definedName>
    <definedName name="Limpieza_del_radiador" localSheetId="6">#REF!</definedName>
    <definedName name="Limpieza_del_radiador">#REF!</definedName>
    <definedName name="Mantenimiento_de_generador" localSheetId="6">#REF!</definedName>
    <definedName name="Mantenimiento_de_generador">#REF!</definedName>
    <definedName name="Mantenimiento_del_alternador" localSheetId="6">#REF!</definedName>
    <definedName name="Mantenimiento_del_alternador">#REF!</definedName>
    <definedName name="Mantenimiento_del_arrancador" localSheetId="6">#REF!</definedName>
    <definedName name="Mantenimiento_del_arrancador">#REF!</definedName>
    <definedName name="Pulverizado_y_limpieza_externa_del_generador_y_conectores_con_solvente_dielectrico" localSheetId="6">#REF!</definedName>
    <definedName name="Pulverizado_y_limpieza_externa_del_generador_y_conectores_con_solvente_dielectrico">#REF!</definedName>
    <definedName name="Revision_completa_del_G.E_y_limpieza_general" localSheetId="6">#REF!</definedName>
    <definedName name="Revision_completa_del_G.E_y_limpieza_general">#REF!</definedName>
    <definedName name="revision_de_bateria" localSheetId="6">#REF!</definedName>
    <definedName name="revision_de_bateria">#REF!</definedName>
    <definedName name="SERIEGRUPO">EQUIPOS[SERIE]</definedName>
    <definedName name="SerieNuevo">EQUIPOS[SERIE]</definedName>
    <definedName name="Tabla">PROCEDIMIENTOS!$E$2:$Z$32</definedName>
    <definedName name="TECNICO">TECNICOS[Responsable]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2" i="17" l="1"/>
  <c r="E32" i="1"/>
  <c r="E31" i="1"/>
  <c r="E29" i="1"/>
  <c r="E28" i="1"/>
  <c r="C39" i="1"/>
  <c r="C37" i="1"/>
  <c r="C36" i="1"/>
  <c r="C33" i="1"/>
  <c r="C32" i="1"/>
  <c r="C31" i="1"/>
  <c r="C30" i="1"/>
  <c r="C29" i="1"/>
  <c r="C28" i="1"/>
  <c r="C14" i="1"/>
  <c r="D9" i="1"/>
  <c r="AQ12" i="2"/>
  <c r="BG10" i="2"/>
  <c r="BG11" i="2"/>
  <c r="BG12" i="2"/>
  <c r="BG13" i="2"/>
  <c r="BG14" i="2"/>
  <c r="BG15" i="2"/>
  <c r="BG16" i="2"/>
  <c r="BG17" i="2"/>
  <c r="BG18" i="2"/>
  <c r="BG19" i="2"/>
  <c r="BG20" i="2"/>
  <c r="BG21" i="2"/>
  <c r="BG22" i="2"/>
  <c r="BG23" i="2"/>
  <c r="BG24" i="2"/>
  <c r="BG25" i="2"/>
  <c r="BG26" i="2"/>
  <c r="BG27" i="2"/>
  <c r="BG28" i="2"/>
  <c r="BG29" i="2"/>
  <c r="BG30" i="2"/>
  <c r="BG31" i="2"/>
  <c r="BG32" i="2"/>
  <c r="BG33" i="2"/>
  <c r="BG34" i="2"/>
  <c r="BG35" i="2"/>
  <c r="BG36" i="2"/>
  <c r="BG37" i="2"/>
  <c r="BG38" i="2"/>
  <c r="BG39" i="2"/>
  <c r="BG40" i="2"/>
  <c r="BG41" i="2"/>
  <c r="BG42" i="2"/>
  <c r="BG43" i="2"/>
  <c r="BG44" i="2"/>
  <c r="BG45" i="2"/>
  <c r="BG46" i="2"/>
  <c r="BG47" i="2"/>
  <c r="BG48" i="2"/>
  <c r="BG49" i="2"/>
  <c r="BG50" i="2"/>
  <c r="BG51" i="2"/>
  <c r="BG52" i="2"/>
  <c r="BG53" i="2"/>
  <c r="BG54" i="2"/>
  <c r="BG55" i="2"/>
  <c r="BG56" i="2"/>
  <c r="BG57" i="2"/>
  <c r="BG58" i="2"/>
  <c r="BG59" i="2"/>
  <c r="BG60" i="2"/>
  <c r="BG61" i="2"/>
  <c r="BG62" i="2"/>
  <c r="BG63" i="2"/>
  <c r="BG64" i="2"/>
  <c r="BG65" i="2"/>
  <c r="BG66" i="2"/>
  <c r="BG67" i="2"/>
  <c r="BG68" i="2"/>
  <c r="BG69" i="2"/>
  <c r="BG70" i="2"/>
  <c r="BG71" i="2"/>
  <c r="BG72" i="2"/>
  <c r="BG73" i="2"/>
  <c r="BG74" i="2"/>
  <c r="BG75" i="2"/>
  <c r="BG76" i="2"/>
  <c r="BG77" i="2"/>
  <c r="BG78" i="2"/>
  <c r="BG79" i="2"/>
  <c r="BG80" i="2"/>
  <c r="BG81" i="2"/>
  <c r="BG82" i="2"/>
  <c r="BG83" i="2"/>
  <c r="BG84" i="2"/>
  <c r="BG85" i="2"/>
  <c r="BG86" i="2"/>
  <c r="BG87" i="2"/>
  <c r="BG88" i="2"/>
  <c r="BG89" i="2"/>
  <c r="BG90" i="2"/>
  <c r="BG91" i="2"/>
  <c r="BG92" i="2"/>
  <c r="BG93" i="2"/>
  <c r="BG94" i="2"/>
  <c r="BG95" i="2"/>
  <c r="BG96" i="2"/>
  <c r="BG97" i="2"/>
  <c r="BG98" i="2"/>
  <c r="BG99" i="2"/>
  <c r="BG100" i="2"/>
  <c r="BG101" i="2"/>
  <c r="BG102" i="2"/>
  <c r="BG103" i="2"/>
  <c r="BG104" i="2"/>
  <c r="BG105" i="2"/>
  <c r="BG106" i="2"/>
  <c r="BG107" i="2"/>
  <c r="BG108" i="2"/>
  <c r="BG109" i="2"/>
  <c r="BG110" i="2"/>
  <c r="BG111" i="2"/>
  <c r="BG112" i="2"/>
  <c r="BG113" i="2"/>
  <c r="BG114" i="2"/>
  <c r="BG115" i="2"/>
  <c r="BG116" i="2"/>
  <c r="BG117" i="2"/>
  <c r="BG118" i="2"/>
  <c r="BG119" i="2"/>
  <c r="BG120" i="2"/>
  <c r="BG121" i="2"/>
  <c r="BG122" i="2"/>
  <c r="BG123" i="2"/>
  <c r="BG124" i="2"/>
  <c r="BG125" i="2"/>
  <c r="BG126" i="2"/>
  <c r="BG127" i="2"/>
  <c r="BG128" i="2"/>
  <c r="BG129" i="2"/>
  <c r="BG130" i="2"/>
  <c r="BG131" i="2"/>
  <c r="BG132" i="2"/>
  <c r="BG133" i="2"/>
  <c r="BG134" i="2"/>
  <c r="BG135" i="2"/>
  <c r="BG136" i="2"/>
  <c r="BG137" i="2"/>
  <c r="BG138" i="2"/>
  <c r="BG139" i="2"/>
  <c r="BG140" i="2"/>
  <c r="BG141" i="2"/>
  <c r="BG142" i="2"/>
  <c r="BG143" i="2"/>
  <c r="BG144" i="2"/>
  <c r="BG145" i="2"/>
  <c r="BG146" i="2"/>
  <c r="BG147" i="2"/>
  <c r="BG148" i="2"/>
  <c r="BG149" i="2"/>
  <c r="BG150" i="2"/>
  <c r="BG151" i="2"/>
  <c r="BG152" i="2"/>
  <c r="BG153" i="2"/>
  <c r="BG154" i="2"/>
  <c r="BG155" i="2"/>
  <c r="BG156" i="2"/>
  <c r="BG157" i="2"/>
  <c r="BG158" i="2"/>
  <c r="BG159" i="2"/>
  <c r="BG160" i="2"/>
  <c r="BG161" i="2"/>
  <c r="BG162" i="2"/>
  <c r="BG163" i="2"/>
  <c r="BG164" i="2"/>
  <c r="BG165" i="2"/>
  <c r="BG166" i="2"/>
  <c r="BG167" i="2"/>
  <c r="BG168" i="2"/>
  <c r="BG169" i="2"/>
  <c r="BG170" i="2"/>
  <c r="BG171" i="2"/>
  <c r="BG172" i="2"/>
  <c r="BG173" i="2"/>
  <c r="BG174" i="2"/>
  <c r="BG175" i="2"/>
  <c r="BG176" i="2"/>
  <c r="BG177" i="2"/>
  <c r="BG178" i="2"/>
  <c r="BG179" i="2"/>
  <c r="BG180" i="2"/>
  <c r="BG181" i="2"/>
  <c r="BG182" i="2"/>
  <c r="BG183" i="2"/>
  <c r="BG184" i="2"/>
  <c r="BG185" i="2"/>
  <c r="BG186" i="2"/>
  <c r="BG187" i="2"/>
  <c r="BG188" i="2"/>
  <c r="BG189" i="2"/>
  <c r="BG190" i="2"/>
  <c r="BG191" i="2"/>
  <c r="BG192" i="2"/>
  <c r="BG193" i="2"/>
  <c r="BG194" i="2"/>
  <c r="BG195" i="2"/>
  <c r="BG196" i="2"/>
  <c r="BG197" i="2"/>
  <c r="BG198" i="2"/>
  <c r="BG199" i="2"/>
  <c r="BG200" i="2"/>
  <c r="BG201" i="2"/>
  <c r="BG202" i="2"/>
  <c r="BG203" i="2"/>
  <c r="BG204" i="2"/>
  <c r="BG205" i="2"/>
  <c r="BG206" i="2"/>
  <c r="BG207" i="2"/>
  <c r="BG208" i="2"/>
  <c r="BG209" i="2"/>
  <c r="BG210" i="2"/>
  <c r="BG211" i="2"/>
  <c r="BG212" i="2"/>
  <c r="BG213" i="2"/>
  <c r="BG214" i="2"/>
  <c r="BG215" i="2"/>
  <c r="BG216" i="2"/>
  <c r="BG217" i="2"/>
  <c r="BG218" i="2"/>
  <c r="BG219" i="2"/>
  <c r="BG220" i="2"/>
  <c r="BG221" i="2"/>
  <c r="BG222" i="2"/>
  <c r="BG223" i="2"/>
  <c r="BG224" i="2"/>
  <c r="BG225" i="2"/>
  <c r="BG226" i="2"/>
  <c r="BG227" i="2"/>
  <c r="BG228" i="2"/>
  <c r="BG229" i="2"/>
  <c r="BG230" i="2"/>
  <c r="BG231" i="2"/>
  <c r="BG232" i="2"/>
  <c r="BG233" i="2"/>
  <c r="BG234" i="2"/>
  <c r="BG235" i="2"/>
  <c r="BG236" i="2"/>
  <c r="BG237" i="2"/>
  <c r="BG238" i="2"/>
  <c r="BG239" i="2"/>
  <c r="BG240" i="2"/>
  <c r="BG241" i="2"/>
  <c r="BG242" i="2"/>
  <c r="BG243" i="2"/>
  <c r="BG244" i="2"/>
  <c r="BG245" i="2"/>
  <c r="BG246" i="2"/>
  <c r="BG247" i="2"/>
  <c r="BG248" i="2"/>
  <c r="BG249" i="2"/>
  <c r="BG250" i="2"/>
  <c r="BG251" i="2"/>
  <c r="BG252" i="2"/>
  <c r="BG253" i="2"/>
  <c r="BG254" i="2"/>
  <c r="BG255" i="2"/>
  <c r="BG256" i="2"/>
  <c r="BG257" i="2"/>
  <c r="BG258" i="2"/>
  <c r="BG259" i="2"/>
  <c r="BG260" i="2"/>
  <c r="BG261" i="2"/>
  <c r="BG262" i="2"/>
  <c r="BG263" i="2"/>
  <c r="BG264" i="2"/>
  <c r="BG265" i="2"/>
  <c r="BG266" i="2"/>
  <c r="BG267" i="2"/>
  <c r="BG268" i="2"/>
  <c r="BG269" i="2"/>
  <c r="BG270" i="2"/>
  <c r="BG271" i="2"/>
  <c r="BG272" i="2"/>
  <c r="BG273" i="2"/>
  <c r="BG274" i="2"/>
  <c r="BG275" i="2"/>
  <c r="BG276" i="2"/>
  <c r="BG277" i="2"/>
  <c r="BG278" i="2"/>
  <c r="BG279" i="2"/>
  <c r="BG280" i="2"/>
  <c r="BG281" i="2"/>
  <c r="BG282" i="2"/>
  <c r="BG283" i="2"/>
  <c r="BG284" i="2"/>
  <c r="BG285" i="2"/>
  <c r="BG286" i="2"/>
  <c r="BG287" i="2"/>
  <c r="BG288" i="2"/>
  <c r="BG289" i="2"/>
  <c r="BG290" i="2"/>
  <c r="BG291" i="2"/>
  <c r="BG292" i="2"/>
  <c r="BG293" i="2"/>
  <c r="BG294" i="2"/>
  <c r="BG295" i="2"/>
  <c r="BG296" i="2"/>
  <c r="BG297" i="2"/>
  <c r="BG298" i="2"/>
  <c r="BG299" i="2"/>
  <c r="BG300" i="2"/>
  <c r="BG301" i="2"/>
  <c r="BG302" i="2"/>
  <c r="BG303" i="2"/>
  <c r="BG304" i="2"/>
  <c r="BG305" i="2"/>
  <c r="BG306" i="2"/>
  <c r="BG307" i="2"/>
  <c r="BG308" i="2"/>
  <c r="BG309" i="2"/>
  <c r="BG310" i="2"/>
  <c r="BG311" i="2"/>
  <c r="BG312" i="2"/>
  <c r="BG313" i="2"/>
  <c r="BG314" i="2"/>
  <c r="BG315" i="2"/>
  <c r="BG316" i="2"/>
  <c r="BG317" i="2"/>
  <c r="BG318" i="2"/>
  <c r="BG319" i="2"/>
  <c r="BG320" i="2"/>
  <c r="BG321" i="2"/>
  <c r="BG322" i="2"/>
  <c r="BG323" i="2"/>
  <c r="BG324" i="2"/>
  <c r="BG325" i="2"/>
  <c r="BG326" i="2"/>
  <c r="BG327" i="2"/>
  <c r="BG328" i="2"/>
  <c r="BG329" i="2"/>
  <c r="BG330" i="2"/>
  <c r="BG331" i="2"/>
  <c r="BG332" i="2"/>
  <c r="BG333" i="2"/>
  <c r="BG334" i="2"/>
  <c r="BG335" i="2"/>
  <c r="BG336" i="2"/>
  <c r="BG337" i="2"/>
  <c r="BG338" i="2"/>
  <c r="BG339" i="2"/>
  <c r="BG340" i="2"/>
  <c r="BG341" i="2"/>
  <c r="BG342" i="2"/>
  <c r="BG343" i="2"/>
  <c r="BG344" i="2"/>
  <c r="BG345" i="2"/>
  <c r="BG346" i="2"/>
  <c r="BG347" i="2"/>
  <c r="BG348" i="2"/>
  <c r="BG349" i="2"/>
  <c r="BG350" i="2"/>
  <c r="BG351" i="2"/>
  <c r="BG352" i="2"/>
  <c r="BG353" i="2"/>
  <c r="BG354" i="2"/>
  <c r="BG355" i="2"/>
  <c r="BG356" i="2"/>
  <c r="BG357" i="2"/>
  <c r="BG358" i="2"/>
  <c r="BG359" i="2"/>
  <c r="BG360" i="2"/>
  <c r="BG361" i="2"/>
  <c r="BG362" i="2"/>
  <c r="BG363" i="2"/>
  <c r="BG364" i="2"/>
  <c r="BG365" i="2"/>
  <c r="BG366" i="2"/>
  <c r="BG367" i="2"/>
  <c r="BG368" i="2"/>
  <c r="BG369" i="2"/>
  <c r="BG370" i="2"/>
  <c r="BG371" i="2"/>
  <c r="BG372" i="2"/>
  <c r="BG373" i="2"/>
  <c r="BG374" i="2"/>
  <c r="BG375" i="2"/>
  <c r="BG376" i="2"/>
  <c r="BG377" i="2"/>
  <c r="BG378" i="2"/>
  <c r="BG379" i="2"/>
  <c r="BG380" i="2"/>
  <c r="BG381" i="2"/>
  <c r="BG382" i="2"/>
  <c r="BG383" i="2"/>
  <c r="BG384" i="2"/>
  <c r="BG385" i="2"/>
  <c r="BG386" i="2"/>
  <c r="BG387" i="2"/>
  <c r="BG388" i="2"/>
  <c r="BG389" i="2"/>
  <c r="BG390" i="2"/>
  <c r="BG391" i="2"/>
  <c r="BG392" i="2"/>
  <c r="BG393" i="2"/>
  <c r="BG394" i="2"/>
  <c r="BG395" i="2"/>
  <c r="BG396" i="2"/>
  <c r="BG397" i="2"/>
  <c r="BG398" i="2"/>
  <c r="BG399" i="2"/>
  <c r="BG400" i="2"/>
  <c r="BG401" i="2"/>
  <c r="BG402" i="2"/>
  <c r="BG403" i="2"/>
  <c r="BG404" i="2"/>
  <c r="BG405" i="2"/>
  <c r="BG406" i="2"/>
  <c r="BG407" i="2"/>
  <c r="BG408" i="2"/>
  <c r="BG409" i="2"/>
  <c r="BG410" i="2"/>
  <c r="BG411" i="2"/>
  <c r="BG412" i="2"/>
  <c r="BG413" i="2"/>
  <c r="BG414" i="2"/>
  <c r="BG415" i="2"/>
  <c r="BG416" i="2"/>
  <c r="BG417" i="2"/>
  <c r="BG418" i="2"/>
  <c r="BG419" i="2"/>
  <c r="BG420" i="2"/>
  <c r="BG421" i="2"/>
  <c r="BG422" i="2"/>
  <c r="BG423" i="2"/>
  <c r="BG424" i="2"/>
  <c r="BG425" i="2"/>
  <c r="BG426" i="2"/>
  <c r="BG427" i="2"/>
  <c r="BG428" i="2"/>
  <c r="BG429" i="2"/>
  <c r="BG430" i="2"/>
  <c r="BG431" i="2"/>
  <c r="BG432" i="2"/>
  <c r="BG433" i="2"/>
  <c r="BG434" i="2"/>
  <c r="BG435" i="2"/>
  <c r="BG436" i="2"/>
  <c r="BG437" i="2"/>
  <c r="BG438" i="2"/>
  <c r="BG439" i="2"/>
  <c r="BG440" i="2"/>
  <c r="BG441" i="2"/>
  <c r="BG442" i="2"/>
  <c r="BG443" i="2"/>
  <c r="BG444" i="2"/>
  <c r="BG445" i="2"/>
  <c r="BG446" i="2"/>
  <c r="BG447" i="2"/>
  <c r="BG448" i="2"/>
  <c r="BG449" i="2"/>
  <c r="BG450" i="2"/>
  <c r="BG451" i="2"/>
  <c r="BG452" i="2"/>
  <c r="BG453" i="2"/>
  <c r="BG454" i="2"/>
  <c r="BG455" i="2"/>
  <c r="BG456" i="2"/>
  <c r="BG457" i="2"/>
  <c r="BG458" i="2"/>
  <c r="BG459" i="2"/>
  <c r="BG460" i="2"/>
  <c r="BG461" i="2"/>
  <c r="BG462" i="2"/>
  <c r="BG463" i="2"/>
  <c r="BG464" i="2"/>
  <c r="BG465" i="2"/>
  <c r="BG466" i="2"/>
  <c r="BG467" i="2"/>
  <c r="BG468" i="2"/>
  <c r="BG469" i="2"/>
  <c r="BG470" i="2"/>
  <c r="BG471" i="2"/>
  <c r="BG472" i="2"/>
  <c r="BG473" i="2"/>
  <c r="BG474" i="2"/>
  <c r="BG475" i="2"/>
  <c r="BG476" i="2"/>
  <c r="BG477" i="2"/>
  <c r="BG478" i="2"/>
  <c r="BG479" i="2"/>
  <c r="BG480" i="2"/>
  <c r="BG481" i="2"/>
  <c r="BG482" i="2"/>
  <c r="BG483" i="2"/>
  <c r="BG484" i="2"/>
  <c r="BG485" i="2"/>
  <c r="BG486" i="2"/>
  <c r="BG487" i="2"/>
  <c r="BG488" i="2"/>
  <c r="BG489" i="2"/>
  <c r="BG490" i="2"/>
  <c r="BG491" i="2"/>
  <c r="BG492" i="2"/>
  <c r="BG493" i="2"/>
  <c r="BG494" i="2"/>
  <c r="BG495" i="2"/>
  <c r="BG496" i="2"/>
  <c r="BG497" i="2"/>
  <c r="BG498" i="2"/>
  <c r="BG499" i="2"/>
  <c r="BG500" i="2"/>
  <c r="BG501" i="2"/>
  <c r="BG502" i="2"/>
  <c r="BG503" i="2"/>
  <c r="BG504" i="2"/>
  <c r="BG505" i="2"/>
  <c r="BG506" i="2"/>
  <c r="BG507" i="2"/>
  <c r="BG508" i="2"/>
  <c r="BG509" i="2"/>
  <c r="BG510" i="2"/>
  <c r="BG511" i="2"/>
  <c r="BG512" i="2"/>
  <c r="BG513" i="2"/>
  <c r="BG514" i="2"/>
  <c r="BG515" i="2"/>
  <c r="BG516" i="2"/>
  <c r="BG517" i="2"/>
  <c r="BG518" i="2"/>
  <c r="BG519" i="2"/>
  <c r="BG520" i="2"/>
  <c r="BG521" i="2"/>
  <c r="BG522" i="2"/>
  <c r="BG523" i="2"/>
  <c r="BG524" i="2"/>
  <c r="BG525" i="2"/>
  <c r="BG526" i="2"/>
  <c r="BG527" i="2"/>
  <c r="BG528" i="2"/>
  <c r="BG529" i="2"/>
  <c r="BG530" i="2"/>
  <c r="BG531" i="2"/>
  <c r="BG532" i="2"/>
  <c r="BG533" i="2"/>
  <c r="BG534" i="2"/>
  <c r="BG535" i="2"/>
  <c r="BG536" i="2"/>
  <c r="BG537" i="2"/>
  <c r="BG538" i="2"/>
  <c r="BG539" i="2"/>
  <c r="BG540" i="2"/>
  <c r="BG541" i="2"/>
  <c r="BG542" i="2"/>
  <c r="BG543" i="2"/>
  <c r="BG544" i="2"/>
  <c r="BG545" i="2"/>
  <c r="BG546" i="2"/>
  <c r="BG547" i="2"/>
  <c r="BG548" i="2"/>
  <c r="BG549" i="2"/>
  <c r="BG550" i="2"/>
  <c r="BG551" i="2"/>
  <c r="BG552" i="2"/>
  <c r="BG553" i="2"/>
  <c r="BG554" i="2"/>
  <c r="BG555" i="2"/>
  <c r="BG556" i="2"/>
  <c r="BG557" i="2"/>
  <c r="BG558" i="2"/>
  <c r="BG559" i="2"/>
  <c r="BG560" i="2"/>
  <c r="BG561" i="2"/>
  <c r="BG562" i="2"/>
  <c r="BG563" i="2"/>
  <c r="BG564" i="2"/>
  <c r="BG565" i="2"/>
  <c r="BG566" i="2"/>
  <c r="BG567" i="2"/>
  <c r="BG568" i="2"/>
  <c r="BG569" i="2"/>
  <c r="BG570" i="2"/>
  <c r="BG571" i="2"/>
  <c r="BG572" i="2"/>
  <c r="BG573" i="2"/>
  <c r="BG574" i="2"/>
  <c r="BG575" i="2"/>
  <c r="BG576" i="2"/>
  <c r="BG577" i="2"/>
  <c r="BG578" i="2"/>
  <c r="BG579" i="2"/>
  <c r="BG580" i="2"/>
  <c r="BG581" i="2"/>
  <c r="BG582" i="2"/>
  <c r="BG583" i="2"/>
  <c r="BG584" i="2"/>
  <c r="BG585" i="2"/>
  <c r="BG586" i="2"/>
  <c r="BG587" i="2"/>
  <c r="BG588" i="2"/>
  <c r="BG589" i="2"/>
  <c r="BG590" i="2"/>
  <c r="BG591" i="2"/>
  <c r="BG592" i="2"/>
  <c r="BG593" i="2"/>
  <c r="BG594" i="2"/>
  <c r="BG595" i="2"/>
  <c r="BG596" i="2"/>
  <c r="BG597" i="2"/>
  <c r="BG598" i="2"/>
  <c r="BG599" i="2"/>
  <c r="BG600" i="2"/>
  <c r="BG601" i="2"/>
  <c r="BG602" i="2"/>
  <c r="BG603" i="2"/>
  <c r="BG604" i="2"/>
  <c r="BG605" i="2"/>
  <c r="BG606" i="2"/>
  <c r="BG607" i="2"/>
  <c r="BG608" i="2"/>
  <c r="BG609" i="2"/>
  <c r="BG610" i="2"/>
  <c r="BG611" i="2"/>
  <c r="BG612" i="2"/>
  <c r="BG613" i="2"/>
  <c r="BG614" i="2"/>
  <c r="BG615" i="2"/>
  <c r="BG616" i="2"/>
  <c r="BG617" i="2"/>
  <c r="BG618" i="2"/>
  <c r="BG619" i="2"/>
  <c r="BG620" i="2"/>
  <c r="BG621" i="2"/>
  <c r="BG622" i="2"/>
  <c r="BG623" i="2"/>
  <c r="BG624" i="2"/>
  <c r="BG625" i="2"/>
  <c r="BG626" i="2"/>
  <c r="BG627" i="2"/>
  <c r="BG628" i="2"/>
  <c r="BG629" i="2"/>
  <c r="BG630" i="2"/>
  <c r="BG631" i="2"/>
  <c r="BG632" i="2"/>
  <c r="BG633" i="2"/>
  <c r="BG634" i="2"/>
  <c r="BG635" i="2"/>
  <c r="BG636" i="2"/>
  <c r="BG637" i="2"/>
  <c r="BG638" i="2"/>
  <c r="BG639" i="2"/>
  <c r="BG640" i="2"/>
  <c r="BG641" i="2"/>
  <c r="BG642" i="2"/>
  <c r="BG643" i="2"/>
  <c r="BG644" i="2"/>
  <c r="BG645" i="2"/>
  <c r="BG646" i="2"/>
  <c r="BG647" i="2"/>
  <c r="BG648" i="2"/>
  <c r="BG649" i="2"/>
  <c r="BG650" i="2"/>
  <c r="BG651" i="2"/>
  <c r="BG652" i="2"/>
  <c r="BG653" i="2"/>
  <c r="BG654" i="2"/>
  <c r="BG655" i="2"/>
  <c r="BG656" i="2"/>
  <c r="BG657" i="2"/>
  <c r="BG658" i="2"/>
  <c r="BG659" i="2"/>
  <c r="BG660" i="2"/>
  <c r="BG661" i="2"/>
  <c r="BG662" i="2"/>
  <c r="BG663" i="2"/>
  <c r="BG664" i="2"/>
  <c r="BG665" i="2"/>
  <c r="BG666" i="2"/>
  <c r="BG667" i="2"/>
  <c r="BG668" i="2"/>
  <c r="BG669" i="2"/>
  <c r="BG670" i="2"/>
  <c r="BG671" i="2"/>
  <c r="BG672" i="2"/>
  <c r="BG673" i="2"/>
  <c r="BG674" i="2"/>
  <c r="BG675" i="2"/>
  <c r="BG676" i="2"/>
  <c r="BG677" i="2"/>
  <c r="BG678" i="2"/>
  <c r="BG679" i="2"/>
  <c r="BG680" i="2"/>
  <c r="BG681" i="2"/>
  <c r="BG682" i="2"/>
  <c r="BG683" i="2"/>
  <c r="BG684" i="2"/>
  <c r="BG685" i="2"/>
  <c r="BG686" i="2"/>
  <c r="BG687" i="2"/>
  <c r="BG688" i="2"/>
  <c r="BG689" i="2"/>
  <c r="BG690" i="2"/>
  <c r="BG691" i="2"/>
  <c r="BG692" i="2"/>
  <c r="BG693" i="2"/>
  <c r="BG694" i="2"/>
  <c r="BG695" i="2"/>
  <c r="BG696" i="2"/>
  <c r="BG697" i="2"/>
  <c r="BG698" i="2"/>
  <c r="BG699" i="2"/>
  <c r="BG700" i="2"/>
  <c r="BG701" i="2"/>
  <c r="BG702" i="2"/>
  <c r="BG703" i="2"/>
  <c r="BG704" i="2"/>
  <c r="BG705" i="2"/>
  <c r="BG706" i="2"/>
  <c r="BG707" i="2"/>
  <c r="BG708" i="2"/>
  <c r="BG709" i="2"/>
  <c r="BG710" i="2"/>
  <c r="BG711" i="2"/>
  <c r="BG712" i="2"/>
  <c r="BG713" i="2"/>
  <c r="BG714" i="2"/>
  <c r="BG715" i="2"/>
  <c r="BG716" i="2"/>
  <c r="BG717" i="2"/>
  <c r="BG718" i="2"/>
  <c r="BG719" i="2"/>
  <c r="BG720" i="2"/>
  <c r="BG721" i="2"/>
  <c r="BG722" i="2"/>
  <c r="BG723" i="2"/>
  <c r="BG724" i="2"/>
  <c r="BG725" i="2"/>
  <c r="BG726" i="2"/>
  <c r="BG727" i="2"/>
  <c r="BG728" i="2"/>
  <c r="BG729" i="2"/>
  <c r="BG730" i="2"/>
  <c r="BG731" i="2"/>
  <c r="BG732" i="2"/>
  <c r="BG733" i="2"/>
  <c r="BG734" i="2"/>
  <c r="BG735" i="2"/>
  <c r="BG736" i="2"/>
  <c r="BG737" i="2"/>
  <c r="BG738" i="2"/>
  <c r="BG739" i="2"/>
  <c r="BG740" i="2"/>
  <c r="BG741" i="2"/>
  <c r="BG742" i="2"/>
  <c r="BG743" i="2"/>
  <c r="BG744" i="2"/>
  <c r="BG745" i="2"/>
  <c r="BG746" i="2"/>
  <c r="BG747" i="2"/>
  <c r="BG748" i="2"/>
  <c r="BG749" i="2"/>
  <c r="BG750" i="2"/>
  <c r="BG751" i="2"/>
  <c r="BG752" i="2"/>
  <c r="BG753" i="2"/>
  <c r="BG754" i="2"/>
  <c r="BG755" i="2"/>
  <c r="BG756" i="2"/>
  <c r="BG757" i="2"/>
  <c r="BG758" i="2"/>
  <c r="BG759" i="2"/>
  <c r="BG760" i="2"/>
  <c r="BG761" i="2"/>
  <c r="BG762" i="2"/>
  <c r="BG763" i="2"/>
  <c r="BG764" i="2"/>
  <c r="BG765" i="2"/>
  <c r="BG766" i="2"/>
  <c r="BG767" i="2"/>
  <c r="BG768" i="2"/>
  <c r="BG769" i="2"/>
  <c r="BG770" i="2"/>
  <c r="BG771" i="2"/>
  <c r="BG772" i="2"/>
  <c r="BG773" i="2"/>
  <c r="BG774" i="2"/>
  <c r="BG775" i="2"/>
  <c r="BG776" i="2"/>
  <c r="BG777" i="2"/>
  <c r="BG778" i="2"/>
  <c r="BG779" i="2"/>
  <c r="BG780" i="2"/>
  <c r="BG781" i="2"/>
  <c r="BG782" i="2"/>
  <c r="BG783" i="2"/>
  <c r="BG784" i="2"/>
  <c r="BG785" i="2"/>
  <c r="BG786" i="2"/>
  <c r="BG787" i="2"/>
  <c r="BG788" i="2"/>
  <c r="BG789" i="2"/>
  <c r="BG790" i="2"/>
  <c r="BG791" i="2"/>
  <c r="BG792" i="2"/>
  <c r="BG793" i="2"/>
  <c r="BG794" i="2"/>
  <c r="BG795" i="2"/>
  <c r="BG796" i="2"/>
  <c r="BG797" i="2"/>
  <c r="BG798" i="2"/>
  <c r="BG799" i="2"/>
  <c r="BG800" i="2"/>
  <c r="BG801" i="2"/>
  <c r="BG802" i="2"/>
  <c r="BG803" i="2"/>
  <c r="BG804" i="2"/>
  <c r="BG805" i="2"/>
  <c r="BG806" i="2"/>
  <c r="BG807" i="2"/>
  <c r="BG808" i="2"/>
  <c r="BG809" i="2"/>
  <c r="BG810" i="2"/>
  <c r="BG811" i="2"/>
  <c r="BG812" i="2"/>
  <c r="BG813" i="2"/>
  <c r="BG814" i="2"/>
  <c r="BG815" i="2"/>
  <c r="BG816" i="2"/>
  <c r="BG817" i="2"/>
  <c r="BG818" i="2"/>
  <c r="BG819" i="2"/>
  <c r="BG820" i="2"/>
  <c r="BG821" i="2"/>
  <c r="BG822" i="2"/>
  <c r="BG823" i="2"/>
  <c r="BG824" i="2"/>
  <c r="BG825" i="2"/>
  <c r="BG826" i="2"/>
  <c r="BG827" i="2"/>
  <c r="BG828" i="2"/>
  <c r="BG829" i="2"/>
  <c r="BG830" i="2"/>
  <c r="BG831" i="2"/>
  <c r="BG832" i="2"/>
  <c r="BG833" i="2"/>
  <c r="BG834" i="2"/>
  <c r="BG835" i="2"/>
  <c r="BG836" i="2"/>
  <c r="BG837" i="2"/>
  <c r="BG838" i="2"/>
  <c r="BG839" i="2"/>
  <c r="BG840" i="2"/>
  <c r="BG841" i="2"/>
  <c r="BG842" i="2"/>
  <c r="BG843" i="2"/>
  <c r="BG844" i="2"/>
  <c r="BG845" i="2"/>
  <c r="BG846" i="2"/>
  <c r="BG847" i="2"/>
  <c r="BG848" i="2"/>
  <c r="BG849" i="2"/>
  <c r="BG850" i="2"/>
  <c r="BG851" i="2"/>
  <c r="BG852" i="2"/>
  <c r="BG853" i="2"/>
  <c r="BG854" i="2"/>
  <c r="BG855" i="2"/>
  <c r="BG856" i="2"/>
  <c r="BG857" i="2"/>
  <c r="BG858" i="2"/>
  <c r="BG859" i="2"/>
  <c r="BG860" i="2"/>
  <c r="BG861" i="2"/>
  <c r="BG862" i="2"/>
  <c r="BG863" i="2"/>
  <c r="BG864" i="2"/>
  <c r="BG865" i="2"/>
  <c r="BG866" i="2"/>
  <c r="BG867" i="2"/>
  <c r="BG868" i="2"/>
  <c r="BG869" i="2"/>
  <c r="BG870" i="2"/>
  <c r="BG871" i="2"/>
  <c r="BG872" i="2"/>
  <c r="BG873" i="2"/>
  <c r="BG874" i="2"/>
  <c r="BG875" i="2"/>
  <c r="BG876" i="2"/>
  <c r="BG877" i="2"/>
  <c r="BG878" i="2"/>
  <c r="BG879" i="2"/>
  <c r="BG880" i="2"/>
  <c r="BG881" i="2"/>
  <c r="BG882" i="2"/>
  <c r="BG883" i="2"/>
  <c r="BG884" i="2"/>
  <c r="BG885" i="2"/>
  <c r="BG886" i="2"/>
  <c r="BG887" i="2"/>
  <c r="BG888" i="2"/>
  <c r="BG889" i="2"/>
  <c r="BG890" i="2"/>
  <c r="BG891" i="2"/>
  <c r="BG892" i="2"/>
  <c r="BG893" i="2"/>
  <c r="BG894" i="2"/>
  <c r="BG895" i="2"/>
  <c r="BG896" i="2"/>
  <c r="BG897" i="2"/>
  <c r="BG898" i="2"/>
  <c r="BG899" i="2"/>
  <c r="BG900" i="2"/>
  <c r="BG901" i="2"/>
  <c r="BG902" i="2"/>
  <c r="BG903" i="2"/>
  <c r="BG904" i="2"/>
  <c r="BG905" i="2"/>
  <c r="BG906" i="2"/>
  <c r="BG907" i="2"/>
  <c r="BG908" i="2"/>
  <c r="BG909" i="2"/>
  <c r="BG910" i="2"/>
  <c r="BG911" i="2"/>
  <c r="BG912" i="2"/>
  <c r="BG913" i="2"/>
  <c r="BG914" i="2"/>
  <c r="BG915" i="2"/>
  <c r="BG916" i="2"/>
  <c r="BG917" i="2"/>
  <c r="BG918" i="2"/>
  <c r="BG919" i="2"/>
  <c r="BG920" i="2"/>
  <c r="BG921" i="2"/>
  <c r="BG922" i="2"/>
  <c r="BG923" i="2"/>
  <c r="BG924" i="2"/>
  <c r="BG925" i="2"/>
  <c r="BG926" i="2"/>
  <c r="BG927" i="2"/>
  <c r="BG928" i="2"/>
  <c r="BG929" i="2"/>
  <c r="BG930" i="2"/>
  <c r="BG931" i="2"/>
  <c r="BG932" i="2"/>
  <c r="BG933" i="2"/>
  <c r="BG934" i="2"/>
  <c r="BG935" i="2"/>
  <c r="BG936" i="2"/>
  <c r="BG937" i="2"/>
  <c r="BG938" i="2"/>
  <c r="BG939" i="2"/>
  <c r="BG940" i="2"/>
  <c r="BG941" i="2"/>
  <c r="BG942" i="2"/>
  <c r="BG943" i="2"/>
  <c r="BG944" i="2"/>
  <c r="BG945" i="2"/>
  <c r="BG946" i="2"/>
  <c r="BG947" i="2"/>
  <c r="BG948" i="2"/>
  <c r="BG949" i="2"/>
  <c r="BG950" i="2"/>
  <c r="BG951" i="2"/>
  <c r="BG952" i="2"/>
  <c r="BG953" i="2"/>
  <c r="BG954" i="2"/>
  <c r="BG955" i="2"/>
  <c r="BG956" i="2"/>
  <c r="BG957" i="2"/>
  <c r="BG958" i="2"/>
  <c r="BG959" i="2"/>
  <c r="BG960" i="2"/>
  <c r="BG961" i="2"/>
  <c r="BG962" i="2"/>
  <c r="BG963" i="2"/>
  <c r="BG964" i="2"/>
  <c r="BG965" i="2"/>
  <c r="BG966" i="2"/>
  <c r="BG967" i="2"/>
  <c r="BG968" i="2"/>
  <c r="BG969" i="2"/>
  <c r="BG970" i="2"/>
  <c r="BG971" i="2"/>
  <c r="BG972" i="2"/>
  <c r="BG973" i="2"/>
  <c r="BG974" i="2"/>
  <c r="BG975" i="2"/>
  <c r="BG976" i="2"/>
  <c r="BG977" i="2"/>
  <c r="BG978" i="2"/>
  <c r="BG979" i="2"/>
  <c r="BG980" i="2"/>
  <c r="BG981" i="2"/>
  <c r="BG982" i="2"/>
  <c r="BG983" i="2"/>
  <c r="BG984" i="2"/>
  <c r="BG985" i="2"/>
  <c r="BG986" i="2"/>
  <c r="BG987" i="2"/>
  <c r="BG988" i="2"/>
  <c r="BG989" i="2"/>
  <c r="BG990" i="2"/>
  <c r="BG991" i="2"/>
  <c r="BG992" i="2"/>
  <c r="BG993" i="2"/>
  <c r="BG994" i="2"/>
  <c r="BG995" i="2"/>
  <c r="BG996" i="2"/>
  <c r="BG997" i="2"/>
  <c r="BG998" i="2"/>
  <c r="BG999" i="2"/>
  <c r="BG1000" i="2"/>
  <c r="BG1001" i="2"/>
  <c r="BG1002" i="2"/>
  <c r="BG1003" i="2"/>
  <c r="BG1004" i="2"/>
  <c r="BG1005" i="2"/>
  <c r="BG1006" i="2"/>
  <c r="BG1007" i="2"/>
  <c r="BG1008" i="2"/>
  <c r="BG1009" i="2"/>
  <c r="BG1010" i="2"/>
  <c r="BG1011" i="2"/>
  <c r="BG1012" i="2"/>
  <c r="BG1013" i="2"/>
  <c r="BG1014" i="2"/>
  <c r="BG1015" i="2"/>
  <c r="BG1016" i="2"/>
  <c r="BG1017" i="2"/>
  <c r="BG1018" i="2"/>
  <c r="BG1019" i="2"/>
  <c r="BG1020" i="2"/>
  <c r="BG1021" i="2"/>
  <c r="BG1022" i="2"/>
  <c r="BG1023" i="2"/>
  <c r="BG1024" i="2"/>
  <c r="BG1025" i="2"/>
  <c r="BG1026" i="2"/>
  <c r="BG1027" i="2"/>
  <c r="BG1028" i="2"/>
  <c r="BG1029" i="2"/>
  <c r="BG1030" i="2"/>
  <c r="BG1031" i="2"/>
  <c r="BG1032" i="2"/>
  <c r="BG1033" i="2"/>
  <c r="BG1034" i="2"/>
  <c r="BG1035" i="2"/>
  <c r="BG1036" i="2"/>
  <c r="BG1037" i="2"/>
  <c r="BG1038" i="2"/>
  <c r="BG1039" i="2"/>
  <c r="BG1040" i="2"/>
  <c r="BG1041" i="2"/>
  <c r="BG1042" i="2"/>
  <c r="BG1043" i="2"/>
  <c r="BG1044" i="2"/>
  <c r="BG1045" i="2"/>
  <c r="BG1046" i="2"/>
  <c r="BG1047" i="2"/>
  <c r="BG1048" i="2"/>
  <c r="BG1049" i="2"/>
  <c r="BG1050" i="2"/>
  <c r="BG1051" i="2"/>
  <c r="BG1052" i="2"/>
  <c r="BG1053" i="2"/>
  <c r="BG1054" i="2"/>
  <c r="BG1055" i="2"/>
  <c r="BG1056" i="2"/>
  <c r="BG1057" i="2"/>
  <c r="BG1058" i="2"/>
  <c r="BG1059" i="2"/>
  <c r="BG1060" i="2"/>
  <c r="BG1061" i="2"/>
  <c r="BG1062" i="2"/>
  <c r="BG1063" i="2"/>
  <c r="BG1064" i="2"/>
  <c r="BG1065" i="2"/>
  <c r="BG1066" i="2"/>
  <c r="BG1067" i="2"/>
  <c r="BG1068" i="2"/>
  <c r="BG1069" i="2"/>
  <c r="BG1070" i="2"/>
  <c r="BG1071" i="2"/>
  <c r="BG1072" i="2"/>
  <c r="BG1073" i="2"/>
  <c r="BG1074" i="2"/>
  <c r="BG1075" i="2"/>
  <c r="BG1076" i="2"/>
  <c r="BG1077" i="2"/>
  <c r="BG1078" i="2"/>
  <c r="BG1079" i="2"/>
  <c r="BG1080" i="2"/>
  <c r="BG1081" i="2"/>
  <c r="BG1082" i="2"/>
  <c r="BG1083" i="2"/>
  <c r="BG1084" i="2"/>
  <c r="BG1085" i="2"/>
  <c r="BG1086" i="2"/>
  <c r="BG1087" i="2"/>
  <c r="BG1088" i="2"/>
  <c r="BG1089" i="2"/>
  <c r="BG1090" i="2"/>
  <c r="BG1091" i="2"/>
  <c r="BG1092" i="2"/>
  <c r="BG1093" i="2"/>
  <c r="BG1094" i="2"/>
  <c r="BG1095" i="2"/>
  <c r="BG1096" i="2"/>
  <c r="BG1097" i="2"/>
  <c r="BG1098" i="2"/>
  <c r="BG1099" i="2"/>
  <c r="BG1100" i="2"/>
  <c r="BG1101" i="2"/>
  <c r="BG1102" i="2"/>
  <c r="BG1103" i="2"/>
  <c r="BG1104" i="2"/>
  <c r="BG1105" i="2"/>
  <c r="BG1106" i="2"/>
  <c r="BG1107" i="2"/>
  <c r="BG1108" i="2"/>
  <c r="BG1109" i="2"/>
  <c r="BG1110" i="2"/>
  <c r="BG1111" i="2"/>
  <c r="BG1112" i="2"/>
  <c r="BG1113" i="2"/>
  <c r="BG1114" i="2"/>
  <c r="BG1115" i="2"/>
  <c r="BG1116" i="2"/>
  <c r="BG1117" i="2"/>
  <c r="BG1118" i="2"/>
  <c r="BG1119" i="2"/>
  <c r="BG1120" i="2"/>
  <c r="BG1121" i="2"/>
  <c r="BG1122" i="2"/>
  <c r="BG1123" i="2"/>
  <c r="BG1124" i="2"/>
  <c r="BG1125" i="2"/>
  <c r="BG1126" i="2"/>
  <c r="BG1127" i="2"/>
  <c r="BG1128" i="2"/>
  <c r="BG1129" i="2"/>
  <c r="BG1130" i="2"/>
  <c r="BG1131" i="2"/>
  <c r="BG1132" i="2"/>
  <c r="BG1133" i="2"/>
  <c r="BG1134" i="2"/>
  <c r="BG1135" i="2"/>
  <c r="BG1136" i="2"/>
  <c r="BG1137" i="2"/>
  <c r="BG1138" i="2"/>
  <c r="BG1139" i="2"/>
  <c r="BG1140" i="2"/>
  <c r="BG1141" i="2"/>
  <c r="BG1142" i="2"/>
  <c r="BG1143" i="2"/>
  <c r="BG1144" i="2"/>
  <c r="BG1145" i="2"/>
  <c r="BG1146" i="2"/>
  <c r="BG1147" i="2"/>
  <c r="BG1148" i="2"/>
  <c r="BG1149" i="2"/>
  <c r="BG1150" i="2"/>
  <c r="BG1151" i="2"/>
  <c r="BG1152" i="2"/>
  <c r="BG1153" i="2"/>
  <c r="BG9" i="2"/>
  <c r="BG7"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BC37" i="2"/>
  <c r="BC38" i="2"/>
  <c r="BC39" i="2"/>
  <c r="BC40" i="2"/>
  <c r="BC41" i="2"/>
  <c r="BC42" i="2"/>
  <c r="BC43" i="2"/>
  <c r="BC44" i="2"/>
  <c r="BC45" i="2"/>
  <c r="BC46" i="2"/>
  <c r="BC47" i="2"/>
  <c r="BC48" i="2"/>
  <c r="BC49" i="2"/>
  <c r="BC50"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C83" i="2"/>
  <c r="BC84" i="2"/>
  <c r="BC85" i="2"/>
  <c r="BC86" i="2"/>
  <c r="BC87" i="2"/>
  <c r="BC88" i="2"/>
  <c r="BC89" i="2"/>
  <c r="BC90" i="2"/>
  <c r="BC91" i="2"/>
  <c r="BC92" i="2"/>
  <c r="BC93" i="2"/>
  <c r="BC94" i="2"/>
  <c r="BC95" i="2"/>
  <c r="BC96" i="2"/>
  <c r="BC97" i="2"/>
  <c r="BC98" i="2"/>
  <c r="BC99" i="2"/>
  <c r="BC100" i="2"/>
  <c r="BC101" i="2"/>
  <c r="BC102" i="2"/>
  <c r="BC103" i="2"/>
  <c r="BC104" i="2"/>
  <c r="BC105" i="2"/>
  <c r="BC106" i="2"/>
  <c r="BC107" i="2"/>
  <c r="BC108" i="2"/>
  <c r="BC109" i="2"/>
  <c r="BC110" i="2"/>
  <c r="BC111" i="2"/>
  <c r="BC112" i="2"/>
  <c r="BC113" i="2"/>
  <c r="BC114" i="2"/>
  <c r="BC115" i="2"/>
  <c r="BC116" i="2"/>
  <c r="BC117" i="2"/>
  <c r="BC118" i="2"/>
  <c r="BC119" i="2"/>
  <c r="BC120" i="2"/>
  <c r="BC121" i="2"/>
  <c r="BC122" i="2"/>
  <c r="BC123" i="2"/>
  <c r="BC124" i="2"/>
  <c r="BC125" i="2"/>
  <c r="BC126" i="2"/>
  <c r="BC127" i="2"/>
  <c r="BC128" i="2"/>
  <c r="BC129" i="2"/>
  <c r="BC130" i="2"/>
  <c r="BC131" i="2"/>
  <c r="BC132" i="2"/>
  <c r="BC133" i="2"/>
  <c r="BC134" i="2"/>
  <c r="BC135" i="2"/>
  <c r="BC136" i="2"/>
  <c r="BC137" i="2"/>
  <c r="BC138" i="2"/>
  <c r="BC139" i="2"/>
  <c r="BC140" i="2"/>
  <c r="BC141" i="2"/>
  <c r="BC142" i="2"/>
  <c r="BC143" i="2"/>
  <c r="BC144" i="2"/>
  <c r="BC145" i="2"/>
  <c r="BC146" i="2"/>
  <c r="BC147" i="2"/>
  <c r="BC148" i="2"/>
  <c r="BC149" i="2"/>
  <c r="BC150" i="2"/>
  <c r="BC151" i="2"/>
  <c r="BC152" i="2"/>
  <c r="BC153" i="2"/>
  <c r="BC154" i="2"/>
  <c r="BC155" i="2"/>
  <c r="BC156" i="2"/>
  <c r="BC157" i="2"/>
  <c r="BC158" i="2"/>
  <c r="BC159" i="2"/>
  <c r="BC160" i="2"/>
  <c r="BC161" i="2"/>
  <c r="BC162" i="2"/>
  <c r="BC163" i="2"/>
  <c r="BC164" i="2"/>
  <c r="BC165" i="2"/>
  <c r="BC166" i="2"/>
  <c r="BC167" i="2"/>
  <c r="BC168" i="2"/>
  <c r="BC169" i="2"/>
  <c r="BC170" i="2"/>
  <c r="BC171" i="2"/>
  <c r="BC172" i="2"/>
  <c r="BC173" i="2"/>
  <c r="BC174" i="2"/>
  <c r="BC175" i="2"/>
  <c r="BC176" i="2"/>
  <c r="BC177" i="2"/>
  <c r="BC178" i="2"/>
  <c r="BC179" i="2"/>
  <c r="BC180" i="2"/>
  <c r="BC181" i="2"/>
  <c r="BC182" i="2"/>
  <c r="BC183" i="2"/>
  <c r="BC184" i="2"/>
  <c r="BC185" i="2"/>
  <c r="BC186" i="2"/>
  <c r="BC187" i="2"/>
  <c r="BC188" i="2"/>
  <c r="BC189" i="2"/>
  <c r="BC190" i="2"/>
  <c r="BC191" i="2"/>
  <c r="BC192" i="2"/>
  <c r="BC193" i="2"/>
  <c r="BC194" i="2"/>
  <c r="BC195" i="2"/>
  <c r="BC196" i="2"/>
  <c r="BC197" i="2"/>
  <c r="BC198" i="2"/>
  <c r="BC199" i="2"/>
  <c r="BC200" i="2"/>
  <c r="BC201" i="2"/>
  <c r="BC202" i="2"/>
  <c r="BC203" i="2"/>
  <c r="BC204" i="2"/>
  <c r="BC205" i="2"/>
  <c r="BC206" i="2"/>
  <c r="BC207" i="2"/>
  <c r="BC208" i="2"/>
  <c r="BC209" i="2"/>
  <c r="BC210" i="2"/>
  <c r="BC211" i="2"/>
  <c r="BC212" i="2"/>
  <c r="BC213" i="2"/>
  <c r="BC214" i="2"/>
  <c r="BC215" i="2"/>
  <c r="BC216" i="2"/>
  <c r="BC217" i="2"/>
  <c r="BC218" i="2"/>
  <c r="BC219" i="2"/>
  <c r="BC220" i="2"/>
  <c r="BC221" i="2"/>
  <c r="BC222" i="2"/>
  <c r="BC223" i="2"/>
  <c r="BC224" i="2"/>
  <c r="BC225" i="2"/>
  <c r="BC226" i="2"/>
  <c r="BC227" i="2"/>
  <c r="BC228" i="2"/>
  <c r="BC229" i="2"/>
  <c r="BC230" i="2"/>
  <c r="BC231" i="2"/>
  <c r="BC232" i="2"/>
  <c r="BC233" i="2"/>
  <c r="BC234" i="2"/>
  <c r="BC235" i="2"/>
  <c r="BC236" i="2"/>
  <c r="BC237" i="2"/>
  <c r="BC238" i="2"/>
  <c r="BC239" i="2"/>
  <c r="BC240" i="2"/>
  <c r="BC241" i="2"/>
  <c r="BC242" i="2"/>
  <c r="BC243" i="2"/>
  <c r="BC244" i="2"/>
  <c r="BC245" i="2"/>
  <c r="BC246" i="2"/>
  <c r="BC247" i="2"/>
  <c r="BC248" i="2"/>
  <c r="BC249" i="2"/>
  <c r="BC250" i="2"/>
  <c r="BC251" i="2"/>
  <c r="BC252" i="2"/>
  <c r="BC253" i="2"/>
  <c r="BC254" i="2"/>
  <c r="BC255" i="2"/>
  <c r="BC256" i="2"/>
  <c r="BC257" i="2"/>
  <c r="BC258" i="2"/>
  <c r="BC259" i="2"/>
  <c r="BC260" i="2"/>
  <c r="BC261" i="2"/>
  <c r="BC262" i="2"/>
  <c r="BC263" i="2"/>
  <c r="BC264" i="2"/>
  <c r="BC265" i="2"/>
  <c r="BC266" i="2"/>
  <c r="BC267" i="2"/>
  <c r="BC268" i="2"/>
  <c r="BC269" i="2"/>
  <c r="BC270" i="2"/>
  <c r="BC271" i="2"/>
  <c r="BC272" i="2"/>
  <c r="BC273" i="2"/>
  <c r="BC274" i="2"/>
  <c r="BC275" i="2"/>
  <c r="BC276" i="2"/>
  <c r="BC277" i="2"/>
  <c r="BC278" i="2"/>
  <c r="BC279" i="2"/>
  <c r="BC280" i="2"/>
  <c r="BC281" i="2"/>
  <c r="BC282" i="2"/>
  <c r="BC283" i="2"/>
  <c r="BC284" i="2"/>
  <c r="BC285" i="2"/>
  <c r="BC286" i="2"/>
  <c r="BC287" i="2"/>
  <c r="BC288" i="2"/>
  <c r="BC289" i="2"/>
  <c r="BC290" i="2"/>
  <c r="BC291" i="2"/>
  <c r="BC292" i="2"/>
  <c r="BC293" i="2"/>
  <c r="BC294" i="2"/>
  <c r="BC295" i="2"/>
  <c r="BC296" i="2"/>
  <c r="BC297" i="2"/>
  <c r="BC298" i="2"/>
  <c r="BC299" i="2"/>
  <c r="BC300" i="2"/>
  <c r="BC301" i="2"/>
  <c r="BC302" i="2"/>
  <c r="BC303" i="2"/>
  <c r="BC304" i="2"/>
  <c r="BC305" i="2"/>
  <c r="BC306" i="2"/>
  <c r="BC307" i="2"/>
  <c r="BC308" i="2"/>
  <c r="BC309" i="2"/>
  <c r="BC310" i="2"/>
  <c r="BC311" i="2"/>
  <c r="BC312" i="2"/>
  <c r="BC313" i="2"/>
  <c r="BC314" i="2"/>
  <c r="BC315" i="2"/>
  <c r="BC316" i="2"/>
  <c r="BC317" i="2"/>
  <c r="BC318" i="2"/>
  <c r="BC319" i="2"/>
  <c r="BC320" i="2"/>
  <c r="BC321" i="2"/>
  <c r="BC322" i="2"/>
  <c r="BC323" i="2"/>
  <c r="BC324" i="2"/>
  <c r="BC325" i="2"/>
  <c r="BC326" i="2"/>
  <c r="BC327" i="2"/>
  <c r="BC328" i="2"/>
  <c r="BC329" i="2"/>
  <c r="BC330" i="2"/>
  <c r="BC331" i="2"/>
  <c r="BC332" i="2"/>
  <c r="BC333" i="2"/>
  <c r="BC334" i="2"/>
  <c r="BC335" i="2"/>
  <c r="BC336" i="2"/>
  <c r="BC337" i="2"/>
  <c r="BC338" i="2"/>
  <c r="BC339" i="2"/>
  <c r="BC340" i="2"/>
  <c r="BC341" i="2"/>
  <c r="BC342" i="2"/>
  <c r="BC343" i="2"/>
  <c r="BC344" i="2"/>
  <c r="BC345" i="2"/>
  <c r="BC346" i="2"/>
  <c r="BC347" i="2"/>
  <c r="BC348" i="2"/>
  <c r="BC349" i="2"/>
  <c r="BC350" i="2"/>
  <c r="BC351" i="2"/>
  <c r="BC352" i="2"/>
  <c r="BC353" i="2"/>
  <c r="BC354" i="2"/>
  <c r="BC355" i="2"/>
  <c r="BC356" i="2"/>
  <c r="BC357" i="2"/>
  <c r="BC358" i="2"/>
  <c r="BC359" i="2"/>
  <c r="BC360" i="2"/>
  <c r="BC361" i="2"/>
  <c r="BC362" i="2"/>
  <c r="BC363" i="2"/>
  <c r="BC364" i="2"/>
  <c r="BC365" i="2"/>
  <c r="BC366" i="2"/>
  <c r="BC367" i="2"/>
  <c r="BC368" i="2"/>
  <c r="BC369" i="2"/>
  <c r="BC370" i="2"/>
  <c r="BC371" i="2"/>
  <c r="BC372" i="2"/>
  <c r="BC373" i="2"/>
  <c r="BC374" i="2"/>
  <c r="BC375" i="2"/>
  <c r="BC376" i="2"/>
  <c r="BC377" i="2"/>
  <c r="BC378" i="2"/>
  <c r="BC379" i="2"/>
  <c r="BC380" i="2"/>
  <c r="BC381" i="2"/>
  <c r="BC382" i="2"/>
  <c r="BC383" i="2"/>
  <c r="BC384" i="2"/>
  <c r="BC385" i="2"/>
  <c r="BC386" i="2"/>
  <c r="BC387" i="2"/>
  <c r="BC388" i="2"/>
  <c r="BC389" i="2"/>
  <c r="BC390" i="2"/>
  <c r="BC391" i="2"/>
  <c r="BC392" i="2"/>
  <c r="BC393" i="2"/>
  <c r="BC394" i="2"/>
  <c r="BC395" i="2"/>
  <c r="BC396" i="2"/>
  <c r="BC397" i="2"/>
  <c r="BC398" i="2"/>
  <c r="BC399" i="2"/>
  <c r="BC400" i="2"/>
  <c r="BC401" i="2"/>
  <c r="BC402" i="2"/>
  <c r="BC403" i="2"/>
  <c r="BC404" i="2"/>
  <c r="BC405" i="2"/>
  <c r="BC406" i="2"/>
  <c r="BC407" i="2"/>
  <c r="BC408" i="2"/>
  <c r="BC409" i="2"/>
  <c r="BC410" i="2"/>
  <c r="BC411" i="2"/>
  <c r="BC412" i="2"/>
  <c r="BC413" i="2"/>
  <c r="BC414" i="2"/>
  <c r="BC415" i="2"/>
  <c r="BC416" i="2"/>
  <c r="BC417" i="2"/>
  <c r="BC418" i="2"/>
  <c r="BC419" i="2"/>
  <c r="BC420" i="2"/>
  <c r="BC421" i="2"/>
  <c r="BC422" i="2"/>
  <c r="BC423" i="2"/>
  <c r="BC424" i="2"/>
  <c r="BC425" i="2"/>
  <c r="BC426" i="2"/>
  <c r="BC427" i="2"/>
  <c r="BC428" i="2"/>
  <c r="BC429" i="2"/>
  <c r="BC430" i="2"/>
  <c r="BC431" i="2"/>
  <c r="BC432" i="2"/>
  <c r="BC433" i="2"/>
  <c r="BC434" i="2"/>
  <c r="BC435" i="2"/>
  <c r="BC436" i="2"/>
  <c r="BC437" i="2"/>
  <c r="BC438" i="2"/>
  <c r="BC439" i="2"/>
  <c r="BC440" i="2"/>
  <c r="BC441" i="2"/>
  <c r="BC442" i="2"/>
  <c r="BC443" i="2"/>
  <c r="BC444" i="2"/>
  <c r="BC445" i="2"/>
  <c r="BC446" i="2"/>
  <c r="BC447" i="2"/>
  <c r="BC448" i="2"/>
  <c r="BC449" i="2"/>
  <c r="BC450" i="2"/>
  <c r="BC451" i="2"/>
  <c r="BC452" i="2"/>
  <c r="BC453" i="2"/>
  <c r="BC454" i="2"/>
  <c r="BC455" i="2"/>
  <c r="BC456" i="2"/>
  <c r="BC457" i="2"/>
  <c r="BC458" i="2"/>
  <c r="BC459" i="2"/>
  <c r="BC460" i="2"/>
  <c r="BC461" i="2"/>
  <c r="BC462" i="2"/>
  <c r="BC463" i="2"/>
  <c r="BC464" i="2"/>
  <c r="BC465" i="2"/>
  <c r="BC466" i="2"/>
  <c r="BC467" i="2"/>
  <c r="BC468" i="2"/>
  <c r="BC469" i="2"/>
  <c r="BC470" i="2"/>
  <c r="BC471" i="2"/>
  <c r="BC472" i="2"/>
  <c r="BC473" i="2"/>
  <c r="BC474" i="2"/>
  <c r="BC475" i="2"/>
  <c r="BC476" i="2"/>
  <c r="BC477" i="2"/>
  <c r="BC478" i="2"/>
  <c r="BC479" i="2"/>
  <c r="BC480" i="2"/>
  <c r="BC481" i="2"/>
  <c r="BC482" i="2"/>
  <c r="BC483" i="2"/>
  <c r="BC484" i="2"/>
  <c r="BC485" i="2"/>
  <c r="BC486" i="2"/>
  <c r="BC487" i="2"/>
  <c r="BC488" i="2"/>
  <c r="BC489" i="2"/>
  <c r="BC490" i="2"/>
  <c r="BC491" i="2"/>
  <c r="BC492" i="2"/>
  <c r="BC493" i="2"/>
  <c r="BC494" i="2"/>
  <c r="BC495" i="2"/>
  <c r="BC496" i="2"/>
  <c r="BC497" i="2"/>
  <c r="BC498" i="2"/>
  <c r="BC499" i="2"/>
  <c r="BC500" i="2"/>
  <c r="BC501" i="2"/>
  <c r="BC502" i="2"/>
  <c r="BC503" i="2"/>
  <c r="BC504" i="2"/>
  <c r="BC505" i="2"/>
  <c r="BC506" i="2"/>
  <c r="BC507" i="2"/>
  <c r="BC508" i="2"/>
  <c r="BC509" i="2"/>
  <c r="BC510" i="2"/>
  <c r="BC511" i="2"/>
  <c r="BC512" i="2"/>
  <c r="BC513" i="2"/>
  <c r="BC514" i="2"/>
  <c r="BC515" i="2"/>
  <c r="BC516" i="2"/>
  <c r="BC517" i="2"/>
  <c r="BC518" i="2"/>
  <c r="BC519" i="2"/>
  <c r="BC520" i="2"/>
  <c r="BC521" i="2"/>
  <c r="BC522" i="2"/>
  <c r="BC523" i="2"/>
  <c r="BC524" i="2"/>
  <c r="BC525" i="2"/>
  <c r="BC526" i="2"/>
  <c r="BC527" i="2"/>
  <c r="BC528" i="2"/>
  <c r="BC529" i="2"/>
  <c r="BC530" i="2"/>
  <c r="BC531" i="2"/>
  <c r="BC532" i="2"/>
  <c r="BC533" i="2"/>
  <c r="BC534" i="2"/>
  <c r="BC535" i="2"/>
  <c r="BC536" i="2"/>
  <c r="BC537" i="2"/>
  <c r="BC538" i="2"/>
  <c r="BC539" i="2"/>
  <c r="BC540" i="2"/>
  <c r="BC541" i="2"/>
  <c r="BC542" i="2"/>
  <c r="BC543" i="2"/>
  <c r="BC544" i="2"/>
  <c r="BC545" i="2"/>
  <c r="BC546" i="2"/>
  <c r="BC547" i="2"/>
  <c r="BC548" i="2"/>
  <c r="BC549" i="2"/>
  <c r="BC550" i="2"/>
  <c r="BC551" i="2"/>
  <c r="BC552" i="2"/>
  <c r="BC553" i="2"/>
  <c r="BC554" i="2"/>
  <c r="BC555" i="2"/>
  <c r="BC556" i="2"/>
  <c r="BC557" i="2"/>
  <c r="BC558" i="2"/>
  <c r="BC559" i="2"/>
  <c r="BC560" i="2"/>
  <c r="BC561" i="2"/>
  <c r="BC562" i="2"/>
  <c r="BC563" i="2"/>
  <c r="BC564" i="2"/>
  <c r="BC565" i="2"/>
  <c r="BC566" i="2"/>
  <c r="BC567" i="2"/>
  <c r="BC568" i="2"/>
  <c r="BC569" i="2"/>
  <c r="BC570" i="2"/>
  <c r="BC571" i="2"/>
  <c r="BC572" i="2"/>
  <c r="BC573" i="2"/>
  <c r="BC574" i="2"/>
  <c r="BC575" i="2"/>
  <c r="BC576" i="2"/>
  <c r="BC577" i="2"/>
  <c r="BC578" i="2"/>
  <c r="BC579" i="2"/>
  <c r="BC580" i="2"/>
  <c r="BC581" i="2"/>
  <c r="BC582" i="2"/>
  <c r="BC583" i="2"/>
  <c r="BC584" i="2"/>
  <c r="BC585" i="2"/>
  <c r="BC586" i="2"/>
  <c r="BC587" i="2"/>
  <c r="BC588" i="2"/>
  <c r="BC589" i="2"/>
  <c r="BC590" i="2"/>
  <c r="BC591" i="2"/>
  <c r="BC592" i="2"/>
  <c r="BC593" i="2"/>
  <c r="BC594" i="2"/>
  <c r="BC595" i="2"/>
  <c r="BC596" i="2"/>
  <c r="BC597" i="2"/>
  <c r="BC598" i="2"/>
  <c r="BC599" i="2"/>
  <c r="BC600" i="2"/>
  <c r="BC601" i="2"/>
  <c r="BC602" i="2"/>
  <c r="BC603" i="2"/>
  <c r="BC604" i="2"/>
  <c r="BC605" i="2"/>
  <c r="BC606" i="2"/>
  <c r="BC607" i="2"/>
  <c r="BC608" i="2"/>
  <c r="BC609" i="2"/>
  <c r="BC610" i="2"/>
  <c r="BC611" i="2"/>
  <c r="BC612" i="2"/>
  <c r="BC613" i="2"/>
  <c r="BC614" i="2"/>
  <c r="BC615" i="2"/>
  <c r="BC616" i="2"/>
  <c r="BC617" i="2"/>
  <c r="BC618" i="2"/>
  <c r="BC619" i="2"/>
  <c r="BC620" i="2"/>
  <c r="BC621" i="2"/>
  <c r="BC622" i="2"/>
  <c r="BC623" i="2"/>
  <c r="BC624" i="2"/>
  <c r="BC625" i="2"/>
  <c r="BC626" i="2"/>
  <c r="BC627" i="2"/>
  <c r="BC628" i="2"/>
  <c r="BC629" i="2"/>
  <c r="BC630" i="2"/>
  <c r="BC631" i="2"/>
  <c r="BC632" i="2"/>
  <c r="BC633" i="2"/>
  <c r="BC634" i="2"/>
  <c r="BC635" i="2"/>
  <c r="BC636" i="2"/>
  <c r="BC637" i="2"/>
  <c r="BC638" i="2"/>
  <c r="BC639" i="2"/>
  <c r="BC640" i="2"/>
  <c r="BC641" i="2"/>
  <c r="BC642" i="2"/>
  <c r="BC643" i="2"/>
  <c r="BC644" i="2"/>
  <c r="BC645" i="2"/>
  <c r="BC646" i="2"/>
  <c r="BC647" i="2"/>
  <c r="BC648" i="2"/>
  <c r="BC649" i="2"/>
  <c r="BC650" i="2"/>
  <c r="BC651" i="2"/>
  <c r="BC652" i="2"/>
  <c r="BC653" i="2"/>
  <c r="BC654" i="2"/>
  <c r="BC655" i="2"/>
  <c r="BC656" i="2"/>
  <c r="BC657" i="2"/>
  <c r="BC658" i="2"/>
  <c r="BC659" i="2"/>
  <c r="BC660" i="2"/>
  <c r="BC661" i="2"/>
  <c r="BC662" i="2"/>
  <c r="BC663" i="2"/>
  <c r="BC664" i="2"/>
  <c r="BC665" i="2"/>
  <c r="BC666" i="2"/>
  <c r="BC667" i="2"/>
  <c r="BC668" i="2"/>
  <c r="BC669" i="2"/>
  <c r="BC670" i="2"/>
  <c r="BC671" i="2"/>
  <c r="BC672" i="2"/>
  <c r="BC673" i="2"/>
  <c r="BC674" i="2"/>
  <c r="BC675" i="2"/>
  <c r="BC676" i="2"/>
  <c r="BC677" i="2"/>
  <c r="BC678" i="2"/>
  <c r="BC679" i="2"/>
  <c r="BC680" i="2"/>
  <c r="BC681" i="2"/>
  <c r="BC682" i="2"/>
  <c r="BC683" i="2"/>
  <c r="BC684" i="2"/>
  <c r="BC685" i="2"/>
  <c r="BC686" i="2"/>
  <c r="BC687" i="2"/>
  <c r="BC688" i="2"/>
  <c r="BC689" i="2"/>
  <c r="BC690" i="2"/>
  <c r="BC691" i="2"/>
  <c r="BC692" i="2"/>
  <c r="BC693" i="2"/>
  <c r="BC694" i="2"/>
  <c r="BC695" i="2"/>
  <c r="BC696" i="2"/>
  <c r="BC697" i="2"/>
  <c r="BC698" i="2"/>
  <c r="BC699" i="2"/>
  <c r="BC700" i="2"/>
  <c r="BC701" i="2"/>
  <c r="BC702" i="2"/>
  <c r="BC703" i="2"/>
  <c r="BC704" i="2"/>
  <c r="BC705" i="2"/>
  <c r="BC706" i="2"/>
  <c r="BC707" i="2"/>
  <c r="BC708" i="2"/>
  <c r="BC709" i="2"/>
  <c r="BC710" i="2"/>
  <c r="BC711" i="2"/>
  <c r="BC712" i="2"/>
  <c r="BC713" i="2"/>
  <c r="BC714" i="2"/>
  <c r="BC715" i="2"/>
  <c r="BC716" i="2"/>
  <c r="BC717" i="2"/>
  <c r="BC718" i="2"/>
  <c r="BC719" i="2"/>
  <c r="BC720" i="2"/>
  <c r="BC721" i="2"/>
  <c r="BC722" i="2"/>
  <c r="BC723" i="2"/>
  <c r="BC724" i="2"/>
  <c r="BC725" i="2"/>
  <c r="BC726" i="2"/>
  <c r="BC727" i="2"/>
  <c r="BC728" i="2"/>
  <c r="BC729" i="2"/>
  <c r="BC730" i="2"/>
  <c r="BC731" i="2"/>
  <c r="BC732" i="2"/>
  <c r="BC733" i="2"/>
  <c r="BC734" i="2"/>
  <c r="BC735" i="2"/>
  <c r="BC736" i="2"/>
  <c r="BC737" i="2"/>
  <c r="BC738" i="2"/>
  <c r="BC739" i="2"/>
  <c r="BC740" i="2"/>
  <c r="BC741" i="2"/>
  <c r="BC742" i="2"/>
  <c r="BC743" i="2"/>
  <c r="BC744" i="2"/>
  <c r="BC745" i="2"/>
  <c r="BC746" i="2"/>
  <c r="BC747" i="2"/>
  <c r="BC748" i="2"/>
  <c r="BC749" i="2"/>
  <c r="BC750" i="2"/>
  <c r="BC751" i="2"/>
  <c r="BC752" i="2"/>
  <c r="BC753" i="2"/>
  <c r="BC754" i="2"/>
  <c r="BC755" i="2"/>
  <c r="BC756" i="2"/>
  <c r="BC757" i="2"/>
  <c r="BC758" i="2"/>
  <c r="BC759" i="2"/>
  <c r="BC760" i="2"/>
  <c r="BC761" i="2"/>
  <c r="BC762" i="2"/>
  <c r="BC763" i="2"/>
  <c r="BC764" i="2"/>
  <c r="BC765" i="2"/>
  <c r="BC766" i="2"/>
  <c r="BC767" i="2"/>
  <c r="BC768" i="2"/>
  <c r="BC769" i="2"/>
  <c r="BC770" i="2"/>
  <c r="BC771" i="2"/>
  <c r="BC772" i="2"/>
  <c r="BC773" i="2"/>
  <c r="BC774" i="2"/>
  <c r="BC775" i="2"/>
  <c r="BC776" i="2"/>
  <c r="BC777" i="2"/>
  <c r="BC778" i="2"/>
  <c r="BC779" i="2"/>
  <c r="BC780" i="2"/>
  <c r="BC781" i="2"/>
  <c r="BC782" i="2"/>
  <c r="BC783" i="2"/>
  <c r="BC784" i="2"/>
  <c r="BC785" i="2"/>
  <c r="BC786" i="2"/>
  <c r="BC787" i="2"/>
  <c r="BC788" i="2"/>
  <c r="BC789" i="2"/>
  <c r="BC790" i="2"/>
  <c r="BC791" i="2"/>
  <c r="BC792" i="2"/>
  <c r="BC793" i="2"/>
  <c r="BC794" i="2"/>
  <c r="BC795" i="2"/>
  <c r="BC796" i="2"/>
  <c r="BC797" i="2"/>
  <c r="BC798" i="2"/>
  <c r="BC799" i="2"/>
  <c r="BC800" i="2"/>
  <c r="BC801" i="2"/>
  <c r="BC802" i="2"/>
  <c r="BC803" i="2"/>
  <c r="BC804" i="2"/>
  <c r="BC805" i="2"/>
  <c r="BC806" i="2"/>
  <c r="BC807" i="2"/>
  <c r="BC808" i="2"/>
  <c r="BC809" i="2"/>
  <c r="BC810" i="2"/>
  <c r="BC811" i="2"/>
  <c r="BC812" i="2"/>
  <c r="BC813" i="2"/>
  <c r="BC814" i="2"/>
  <c r="BC815" i="2"/>
  <c r="BC816" i="2"/>
  <c r="BC817" i="2"/>
  <c r="BC818" i="2"/>
  <c r="BC819" i="2"/>
  <c r="BC820" i="2"/>
  <c r="BC821" i="2"/>
  <c r="BC822" i="2"/>
  <c r="BC823" i="2"/>
  <c r="BC824" i="2"/>
  <c r="BC825" i="2"/>
  <c r="BC826" i="2"/>
  <c r="BC827" i="2"/>
  <c r="BC828" i="2"/>
  <c r="BC829" i="2"/>
  <c r="BC830" i="2"/>
  <c r="BC831" i="2"/>
  <c r="BC832" i="2"/>
  <c r="BC833" i="2"/>
  <c r="BC834" i="2"/>
  <c r="BC835" i="2"/>
  <c r="BC836" i="2"/>
  <c r="BC837" i="2"/>
  <c r="BC838" i="2"/>
  <c r="BC839" i="2"/>
  <c r="BC840" i="2"/>
  <c r="BC841" i="2"/>
  <c r="BC842" i="2"/>
  <c r="BC843" i="2"/>
  <c r="BC844" i="2"/>
  <c r="BC845" i="2"/>
  <c r="BC846" i="2"/>
  <c r="BC847" i="2"/>
  <c r="BC848" i="2"/>
  <c r="BC849" i="2"/>
  <c r="BC850" i="2"/>
  <c r="BC851" i="2"/>
  <c r="BC852" i="2"/>
  <c r="BC853" i="2"/>
  <c r="BC854" i="2"/>
  <c r="BC855" i="2"/>
  <c r="BC856" i="2"/>
  <c r="BC857" i="2"/>
  <c r="BC858" i="2"/>
  <c r="BC859" i="2"/>
  <c r="BC860" i="2"/>
  <c r="BC861" i="2"/>
  <c r="BC862" i="2"/>
  <c r="BC863" i="2"/>
  <c r="BC864" i="2"/>
  <c r="BC865" i="2"/>
  <c r="BC866" i="2"/>
  <c r="BC867" i="2"/>
  <c r="BC868" i="2"/>
  <c r="BC869" i="2"/>
  <c r="BC870" i="2"/>
  <c r="BC871" i="2"/>
  <c r="BC872" i="2"/>
  <c r="BC873" i="2"/>
  <c r="BC874" i="2"/>
  <c r="BC875" i="2"/>
  <c r="BC876" i="2"/>
  <c r="BC877" i="2"/>
  <c r="BC878" i="2"/>
  <c r="BC879" i="2"/>
  <c r="BC880" i="2"/>
  <c r="BC881" i="2"/>
  <c r="BC882" i="2"/>
  <c r="BC883" i="2"/>
  <c r="BC884" i="2"/>
  <c r="BC885" i="2"/>
  <c r="BC886" i="2"/>
  <c r="BC887" i="2"/>
  <c r="BC888" i="2"/>
  <c r="BC889" i="2"/>
  <c r="BC890" i="2"/>
  <c r="BC891" i="2"/>
  <c r="BC892" i="2"/>
  <c r="BC893" i="2"/>
  <c r="BC894" i="2"/>
  <c r="BC895" i="2"/>
  <c r="BC896" i="2"/>
  <c r="BC897" i="2"/>
  <c r="BC898" i="2"/>
  <c r="BC899" i="2"/>
  <c r="BC900" i="2"/>
  <c r="BC901" i="2"/>
  <c r="BC902" i="2"/>
  <c r="BC903" i="2"/>
  <c r="BC904" i="2"/>
  <c r="BC905" i="2"/>
  <c r="BC906" i="2"/>
  <c r="BC907" i="2"/>
  <c r="BC908" i="2"/>
  <c r="BC909" i="2"/>
  <c r="BC910" i="2"/>
  <c r="BC911" i="2"/>
  <c r="BC912" i="2"/>
  <c r="BC913" i="2"/>
  <c r="BC914" i="2"/>
  <c r="BC915" i="2"/>
  <c r="BC916" i="2"/>
  <c r="BC917" i="2"/>
  <c r="BC918" i="2"/>
  <c r="BC919" i="2"/>
  <c r="BC920" i="2"/>
  <c r="BC921" i="2"/>
  <c r="BC922" i="2"/>
  <c r="BC923" i="2"/>
  <c r="BC924" i="2"/>
  <c r="BC925" i="2"/>
  <c r="BC926" i="2"/>
  <c r="BC927" i="2"/>
  <c r="BC928" i="2"/>
  <c r="BC929" i="2"/>
  <c r="BC930" i="2"/>
  <c r="BC931" i="2"/>
  <c r="BC932" i="2"/>
  <c r="BC933" i="2"/>
  <c r="BC934" i="2"/>
  <c r="BC935" i="2"/>
  <c r="BC936" i="2"/>
  <c r="BC937" i="2"/>
  <c r="BC938" i="2"/>
  <c r="BC939" i="2"/>
  <c r="BC940" i="2"/>
  <c r="BC941" i="2"/>
  <c r="BC942" i="2"/>
  <c r="BC943" i="2"/>
  <c r="BC944" i="2"/>
  <c r="BC945" i="2"/>
  <c r="BC946" i="2"/>
  <c r="BC947" i="2"/>
  <c r="BC948" i="2"/>
  <c r="BC949" i="2"/>
  <c r="BC950" i="2"/>
  <c r="BC951" i="2"/>
  <c r="BC952" i="2"/>
  <c r="BC953" i="2"/>
  <c r="BC954" i="2"/>
  <c r="BC955" i="2"/>
  <c r="BC956" i="2"/>
  <c r="BC957" i="2"/>
  <c r="BC958" i="2"/>
  <c r="BC959" i="2"/>
  <c r="BC960" i="2"/>
  <c r="BC961" i="2"/>
  <c r="BC962" i="2"/>
  <c r="BC963" i="2"/>
  <c r="BC964" i="2"/>
  <c r="BC965" i="2"/>
  <c r="BC966" i="2"/>
  <c r="BC967" i="2"/>
  <c r="BC968" i="2"/>
  <c r="BC969" i="2"/>
  <c r="BC970" i="2"/>
  <c r="BC971" i="2"/>
  <c r="BC972" i="2"/>
  <c r="BC973" i="2"/>
  <c r="BC974" i="2"/>
  <c r="BC975" i="2"/>
  <c r="BC976" i="2"/>
  <c r="BC977" i="2"/>
  <c r="BC978" i="2"/>
  <c r="BC979" i="2"/>
  <c r="BC980" i="2"/>
  <c r="BC981" i="2"/>
  <c r="BC982" i="2"/>
  <c r="BC983" i="2"/>
  <c r="BC984" i="2"/>
  <c r="BC985" i="2"/>
  <c r="BC986" i="2"/>
  <c r="BC987" i="2"/>
  <c r="BC988" i="2"/>
  <c r="BC989" i="2"/>
  <c r="BC990" i="2"/>
  <c r="BC991" i="2"/>
  <c r="BC992" i="2"/>
  <c r="BC993" i="2"/>
  <c r="BC994" i="2"/>
  <c r="BC995" i="2"/>
  <c r="BC996" i="2"/>
  <c r="BC997" i="2"/>
  <c r="BC998" i="2"/>
  <c r="BC999" i="2"/>
  <c r="BC1000" i="2"/>
  <c r="BC1001" i="2"/>
  <c r="BC1002" i="2"/>
  <c r="BC1003" i="2"/>
  <c r="BC1004" i="2"/>
  <c r="BC1005" i="2"/>
  <c r="BC1006" i="2"/>
  <c r="BC1007" i="2"/>
  <c r="BC1008" i="2"/>
  <c r="BC1009" i="2"/>
  <c r="BC1010" i="2"/>
  <c r="BC1011" i="2"/>
  <c r="BC1012" i="2"/>
  <c r="BC1013" i="2"/>
  <c r="BC1014" i="2"/>
  <c r="BC1015" i="2"/>
  <c r="BC1016" i="2"/>
  <c r="BC1017" i="2"/>
  <c r="BC1018" i="2"/>
  <c r="BC1019" i="2"/>
  <c r="BC1020" i="2"/>
  <c r="BC1021" i="2"/>
  <c r="BC1022" i="2"/>
  <c r="BC1023" i="2"/>
  <c r="BC1024" i="2"/>
  <c r="BC1025" i="2"/>
  <c r="BC1026" i="2"/>
  <c r="BC1027" i="2"/>
  <c r="BC1028" i="2"/>
  <c r="BC1029" i="2"/>
  <c r="BC1030" i="2"/>
  <c r="BC1031" i="2"/>
  <c r="BC1032" i="2"/>
  <c r="BC1033" i="2"/>
  <c r="BC1034" i="2"/>
  <c r="BC1035" i="2"/>
  <c r="BC1036" i="2"/>
  <c r="BC1037" i="2"/>
  <c r="BC1038" i="2"/>
  <c r="BC1039" i="2"/>
  <c r="BC1040" i="2"/>
  <c r="BC1041" i="2"/>
  <c r="BC1042" i="2"/>
  <c r="BC1043" i="2"/>
  <c r="BC1044" i="2"/>
  <c r="BC1045" i="2"/>
  <c r="BC1046" i="2"/>
  <c r="BC1047" i="2"/>
  <c r="BC1048" i="2"/>
  <c r="BC1049" i="2"/>
  <c r="BC1050" i="2"/>
  <c r="BC1051" i="2"/>
  <c r="BC1052" i="2"/>
  <c r="BC1053" i="2"/>
  <c r="BC1054" i="2"/>
  <c r="BC1055" i="2"/>
  <c r="BC1056" i="2"/>
  <c r="BC1057" i="2"/>
  <c r="BC1058" i="2"/>
  <c r="BC1059" i="2"/>
  <c r="BC1060" i="2"/>
  <c r="BC1061" i="2"/>
  <c r="BC1062" i="2"/>
  <c r="BC1063" i="2"/>
  <c r="BC1064" i="2"/>
  <c r="BC1065" i="2"/>
  <c r="BC1066" i="2"/>
  <c r="BC1067" i="2"/>
  <c r="BC1068" i="2"/>
  <c r="BC1069" i="2"/>
  <c r="BC1070" i="2"/>
  <c r="BC1071" i="2"/>
  <c r="BC1072" i="2"/>
  <c r="BC1073" i="2"/>
  <c r="BC1074" i="2"/>
  <c r="BC1075" i="2"/>
  <c r="BC1076" i="2"/>
  <c r="BC1077" i="2"/>
  <c r="BC1078" i="2"/>
  <c r="BC1079" i="2"/>
  <c r="BC1080" i="2"/>
  <c r="BC1081" i="2"/>
  <c r="BC1082" i="2"/>
  <c r="BC1083" i="2"/>
  <c r="BC1084" i="2"/>
  <c r="BC1085" i="2"/>
  <c r="BC1086" i="2"/>
  <c r="BC1087" i="2"/>
  <c r="BC1088" i="2"/>
  <c r="BC1089" i="2"/>
  <c r="BC1090" i="2"/>
  <c r="BC1091" i="2"/>
  <c r="BC1092" i="2"/>
  <c r="BC1093" i="2"/>
  <c r="BC1094" i="2"/>
  <c r="BC1095" i="2"/>
  <c r="BC1096" i="2"/>
  <c r="BC1097" i="2"/>
  <c r="BC1098" i="2"/>
  <c r="BC1099" i="2"/>
  <c r="BC1100" i="2"/>
  <c r="BC1101" i="2"/>
  <c r="BC1102" i="2"/>
  <c r="BC1103" i="2"/>
  <c r="BC1104" i="2"/>
  <c r="BC1105" i="2"/>
  <c r="BC1106" i="2"/>
  <c r="BC1107" i="2"/>
  <c r="BC1108" i="2"/>
  <c r="BC1109" i="2"/>
  <c r="BC1110" i="2"/>
  <c r="BC1111" i="2"/>
  <c r="BC1112" i="2"/>
  <c r="BC1113" i="2"/>
  <c r="BC1114" i="2"/>
  <c r="BC1115" i="2"/>
  <c r="BC1116" i="2"/>
  <c r="BC1117" i="2"/>
  <c r="BC1118" i="2"/>
  <c r="BC1119" i="2"/>
  <c r="BC1120" i="2"/>
  <c r="BC1121" i="2"/>
  <c r="BC1122" i="2"/>
  <c r="BC1123" i="2"/>
  <c r="BC1124" i="2"/>
  <c r="BC1125" i="2"/>
  <c r="BC1126" i="2"/>
  <c r="BC1127" i="2"/>
  <c r="BC1128" i="2"/>
  <c r="BC1129" i="2"/>
  <c r="BC1130" i="2"/>
  <c r="BC1131" i="2"/>
  <c r="BC1132" i="2"/>
  <c r="BC1133" i="2"/>
  <c r="BC1134" i="2"/>
  <c r="BC1135" i="2"/>
  <c r="BC1136" i="2"/>
  <c r="BC1137" i="2"/>
  <c r="BC1138" i="2"/>
  <c r="BC1139" i="2"/>
  <c r="BC1140" i="2"/>
  <c r="BC1141" i="2"/>
  <c r="BC1142" i="2"/>
  <c r="BC1143" i="2"/>
  <c r="BC1144" i="2"/>
  <c r="BC1145" i="2"/>
  <c r="BC1146" i="2"/>
  <c r="BC1147" i="2"/>
  <c r="BC1148" i="2"/>
  <c r="BC1149" i="2"/>
  <c r="BC1150" i="2"/>
  <c r="BC1151" i="2"/>
  <c r="BC1152" i="2"/>
  <c r="BC1153" i="2"/>
  <c r="BC9" i="2"/>
  <c r="BC7" i="2"/>
  <c r="P28" i="12"/>
  <c r="P27" i="12"/>
  <c r="P18" i="12"/>
  <c r="P16" i="12"/>
  <c r="P14" i="12"/>
  <c r="H46" i="12"/>
  <c r="H45" i="12"/>
  <c r="D45" i="12"/>
  <c r="BG8" i="2" l="1"/>
  <c r="BH8" i="2" s="1"/>
  <c r="BH13" i="2"/>
  <c r="BC8" i="2"/>
  <c r="BE8" i="2" s="1"/>
  <c r="BD13" i="2"/>
  <c r="AR12" i="2"/>
  <c r="AS12" i="2"/>
  <c r="AT12" i="2"/>
  <c r="AU12" i="2"/>
  <c r="AV12" i="2"/>
  <c r="AW12" i="2"/>
  <c r="AX12" i="2" s="1"/>
  <c r="AY12" i="2"/>
  <c r="AZ12" i="2" s="1"/>
  <c r="BD12" i="2"/>
  <c r="BF12" i="2"/>
  <c r="BH12" i="2"/>
  <c r="BH9" i="2"/>
  <c r="BD9" i="2"/>
  <c r="AQ13" i="2"/>
  <c r="AR13" i="2"/>
  <c r="AS13" i="2"/>
  <c r="AT13" i="2"/>
  <c r="AU13" i="2"/>
  <c r="AV13" i="2"/>
  <c r="AW13" i="2"/>
  <c r="AX13" i="2" s="1"/>
  <c r="AY13" i="2"/>
  <c r="AZ13" i="2" s="1"/>
  <c r="BF13" i="2"/>
  <c r="BH10" i="2"/>
  <c r="BD10" i="2"/>
  <c r="AQ8" i="2"/>
  <c r="AR8" i="2"/>
  <c r="AS8" i="2"/>
  <c r="AT8" i="2"/>
  <c r="AU8" i="2"/>
  <c r="AV8" i="2"/>
  <c r="AW8" i="2"/>
  <c r="AX8" i="2" s="1"/>
  <c r="AY8" i="2"/>
  <c r="AZ8" i="2" s="1"/>
  <c r="BF8" i="2"/>
  <c r="BH11" i="2"/>
  <c r="BD11" i="2"/>
  <c r="AQ9" i="2"/>
  <c r="AR9" i="2"/>
  <c r="AS9" i="2"/>
  <c r="AT9" i="2"/>
  <c r="AU9" i="2"/>
  <c r="AV9" i="2"/>
  <c r="AW9" i="2"/>
  <c r="AX9" i="2" s="1"/>
  <c r="AY9" i="2"/>
  <c r="AZ9" i="2" s="1"/>
  <c r="BF9" i="2"/>
  <c r="BH7" i="2"/>
  <c r="BD7" i="2"/>
  <c r="AQ10" i="2"/>
  <c r="AR10" i="2"/>
  <c r="AS10" i="2"/>
  <c r="AT10" i="2"/>
  <c r="AU10" i="2"/>
  <c r="AV10" i="2"/>
  <c r="AW10" i="2"/>
  <c r="AX10" i="2" s="1"/>
  <c r="AY10" i="2"/>
  <c r="AZ10" i="2" s="1"/>
  <c r="BF10" i="2"/>
  <c r="BH14" i="2"/>
  <c r="BD14" i="2"/>
  <c r="AQ11" i="2"/>
  <c r="AR11" i="2"/>
  <c r="AS11" i="2"/>
  <c r="AT11" i="2"/>
  <c r="AU11" i="2"/>
  <c r="AV11" i="2"/>
  <c r="AW11" i="2"/>
  <c r="AX11" i="2" s="1"/>
  <c r="AY11" i="2"/>
  <c r="AZ11" i="2" s="1"/>
  <c r="BF11" i="2"/>
  <c r="BH15" i="2"/>
  <c r="BD15" i="2"/>
  <c r="AQ7" i="2"/>
  <c r="AR7" i="2"/>
  <c r="AS7" i="2"/>
  <c r="AT7" i="2"/>
  <c r="AU7" i="2"/>
  <c r="AV7" i="2"/>
  <c r="AW7" i="2"/>
  <c r="AX7" i="2" s="1"/>
  <c r="AY7" i="2"/>
  <c r="AZ7" i="2" s="1"/>
  <c r="BF7" i="2"/>
  <c r="I19" i="17"/>
  <c r="I18" i="17"/>
  <c r="C19" i="17"/>
  <c r="C18" i="17"/>
  <c r="K15" i="17"/>
  <c r="I15" i="17"/>
  <c r="B15" i="17"/>
  <c r="I12" i="17"/>
  <c r="D12" i="17"/>
  <c r="E11" i="17"/>
  <c r="D9" i="17"/>
  <c r="BH16" i="2"/>
  <c r="BD16" i="2"/>
  <c r="AQ14" i="2"/>
  <c r="AR14" i="2"/>
  <c r="AS14" i="2"/>
  <c r="AT14" i="2"/>
  <c r="AU14" i="2"/>
  <c r="AV14" i="2"/>
  <c r="AW14" i="2"/>
  <c r="AX14" i="2" s="1"/>
  <c r="AY14" i="2"/>
  <c r="AZ14" i="2" s="1"/>
  <c r="BF14" i="2"/>
  <c r="BH17" i="2"/>
  <c r="BD17" i="2"/>
  <c r="AQ15" i="2"/>
  <c r="AR15" i="2"/>
  <c r="AS15" i="2"/>
  <c r="AT15" i="2"/>
  <c r="AU15" i="2"/>
  <c r="AV15" i="2"/>
  <c r="AW15" i="2"/>
  <c r="AX15" i="2" s="1"/>
  <c r="AY15" i="2"/>
  <c r="AZ15" i="2" s="1"/>
  <c r="BF15" i="2"/>
  <c r="AQ16" i="2"/>
  <c r="AR16" i="2"/>
  <c r="AS16" i="2"/>
  <c r="AT16" i="2"/>
  <c r="AU16" i="2"/>
  <c r="AV16" i="2"/>
  <c r="AW16" i="2"/>
  <c r="AX16" i="2" s="1"/>
  <c r="AY16" i="2"/>
  <c r="AZ16" i="2" s="1"/>
  <c r="BF16" i="2"/>
  <c r="AQ17" i="2"/>
  <c r="AR17" i="2"/>
  <c r="AS17" i="2"/>
  <c r="AT17" i="2"/>
  <c r="AU17" i="2"/>
  <c r="AV17" i="2"/>
  <c r="AX17" i="2" s="1"/>
  <c r="AW17" i="2"/>
  <c r="AY17" i="2"/>
  <c r="AZ17" i="2" s="1"/>
  <c r="BF17" i="2"/>
  <c r="BE12" i="2" l="1"/>
  <c r="BA12" i="2"/>
  <c r="BE13" i="2"/>
  <c r="BA13" i="2"/>
  <c r="BA8" i="2"/>
  <c r="BD8" i="2"/>
  <c r="BE9" i="2"/>
  <c r="BA9" i="2"/>
  <c r="BE10" i="2"/>
  <c r="BA10" i="2"/>
  <c r="BE11" i="2"/>
  <c r="BA11" i="2"/>
  <c r="BE7" i="2"/>
  <c r="BA7" i="2"/>
  <c r="BE14" i="2"/>
  <c r="BA14" i="2"/>
  <c r="BE15" i="2"/>
  <c r="BA15" i="2"/>
  <c r="BE16" i="2"/>
  <c r="BA16" i="2"/>
  <c r="BA17" i="2"/>
  <c r="BE17" i="2"/>
  <c r="BD291" i="2" l="1"/>
  <c r="AQ19" i="2"/>
  <c r="AR19" i="2"/>
  <c r="AS19" i="2"/>
  <c r="AT19" i="2"/>
  <c r="AU19" i="2"/>
  <c r="AV19" i="2"/>
  <c r="AW19" i="2"/>
  <c r="AX19" i="2"/>
  <c r="AY19" i="2"/>
  <c r="AZ19" i="2" s="1"/>
  <c r="BD19" i="2"/>
  <c r="BE19" i="2"/>
  <c r="BF19" i="2"/>
  <c r="BH19" i="2"/>
  <c r="AQ291" i="2"/>
  <c r="AR291" i="2"/>
  <c r="AS291" i="2"/>
  <c r="AT291" i="2"/>
  <c r="AU291" i="2"/>
  <c r="AV291" i="2"/>
  <c r="AW291" i="2"/>
  <c r="AX291" i="2"/>
  <c r="AY291" i="2"/>
  <c r="AZ291" i="2" s="1"/>
  <c r="BF291" i="2"/>
  <c r="BH291" i="2"/>
  <c r="BA19" i="2" l="1"/>
  <c r="BE291" i="2"/>
  <c r="BA291" i="2"/>
  <c r="AQ18" i="2" l="1"/>
  <c r="AR18" i="2"/>
  <c r="AS18" i="2"/>
  <c r="AT18" i="2"/>
  <c r="AU18" i="2"/>
  <c r="AV18" i="2"/>
  <c r="AW18" i="2"/>
  <c r="AX18" i="2" s="1"/>
  <c r="AY18" i="2"/>
  <c r="AZ18" i="2" s="1"/>
  <c r="BD18" i="2"/>
  <c r="BF18" i="2"/>
  <c r="BH18" i="2"/>
  <c r="BE18" i="2" l="1"/>
  <c r="BA18" i="2"/>
  <c r="BD307" i="2"/>
  <c r="AQ670" i="2"/>
  <c r="AR670" i="2"/>
  <c r="AS670" i="2"/>
  <c r="AT670" i="2"/>
  <c r="AU670" i="2"/>
  <c r="AV670" i="2"/>
  <c r="AX670" i="2" s="1"/>
  <c r="AW670" i="2"/>
  <c r="AY670" i="2"/>
  <c r="AZ670" i="2" s="1"/>
  <c r="BD670" i="2"/>
  <c r="BF670" i="2"/>
  <c r="BH670" i="2"/>
  <c r="AQ800" i="2"/>
  <c r="AR800" i="2"/>
  <c r="AS800" i="2"/>
  <c r="AT800" i="2"/>
  <c r="AU800" i="2"/>
  <c r="AV800" i="2"/>
  <c r="AX800" i="2" s="1"/>
  <c r="AW800" i="2"/>
  <c r="AY800" i="2"/>
  <c r="AZ800" i="2" s="1"/>
  <c r="BE800" i="2"/>
  <c r="BF800" i="2"/>
  <c r="BH800" i="2"/>
  <c r="AQ307" i="2"/>
  <c r="AR307" i="2"/>
  <c r="AS307" i="2"/>
  <c r="AT307" i="2"/>
  <c r="AU307" i="2"/>
  <c r="AV307" i="2"/>
  <c r="AX307" i="2" s="1"/>
  <c r="AW307" i="2"/>
  <c r="AY307" i="2"/>
  <c r="AZ307" i="2" s="1"/>
  <c r="BF307" i="2"/>
  <c r="BH307" i="2"/>
  <c r="BE307" i="2" l="1"/>
  <c r="BD800" i="2"/>
  <c r="BA670" i="2"/>
  <c r="BE670" i="2"/>
  <c r="BA800" i="2"/>
  <c r="BA307" i="2"/>
  <c r="AQ122" i="2"/>
  <c r="AR122" i="2"/>
  <c r="AS122" i="2"/>
  <c r="AT122" i="2"/>
  <c r="AU122" i="2"/>
  <c r="AV122" i="2"/>
  <c r="AW122" i="2"/>
  <c r="AX122" i="2"/>
  <c r="AY122" i="2"/>
  <c r="AZ122" i="2" s="1"/>
  <c r="BD122" i="2"/>
  <c r="BF122" i="2"/>
  <c r="BH122" i="2"/>
  <c r="AQ123" i="2"/>
  <c r="AR123" i="2"/>
  <c r="AS123" i="2"/>
  <c r="AT123" i="2"/>
  <c r="AU123" i="2"/>
  <c r="AV123" i="2"/>
  <c r="AW123" i="2"/>
  <c r="AX123" i="2"/>
  <c r="AY123" i="2"/>
  <c r="AZ123" i="2" s="1"/>
  <c r="BD123" i="2"/>
  <c r="BF123" i="2"/>
  <c r="BH123" i="2"/>
  <c r="BA123" i="2" l="1"/>
  <c r="BA122" i="2"/>
  <c r="BE122" i="2"/>
  <c r="BE123" i="2"/>
  <c r="AQ70" i="2"/>
  <c r="AR70" i="2"/>
  <c r="AS70" i="2"/>
  <c r="AT70" i="2"/>
  <c r="AU70" i="2"/>
  <c r="AV70" i="2"/>
  <c r="AW70" i="2"/>
  <c r="AX70" i="2" s="1"/>
  <c r="AY70" i="2"/>
  <c r="AZ70" i="2" s="1"/>
  <c r="BD70" i="2"/>
  <c r="BF70" i="2"/>
  <c r="BH70" i="2"/>
  <c r="AQ67" i="2"/>
  <c r="AR67" i="2"/>
  <c r="AS67" i="2"/>
  <c r="AT67" i="2"/>
  <c r="AU67" i="2"/>
  <c r="AV67" i="2"/>
  <c r="AW67" i="2"/>
  <c r="AX67" i="2" s="1"/>
  <c r="AY67" i="2"/>
  <c r="AZ67" i="2" s="1"/>
  <c r="BD67" i="2"/>
  <c r="BF67" i="2"/>
  <c r="BH67" i="2"/>
  <c r="AQ78" i="2"/>
  <c r="AR78" i="2"/>
  <c r="AS78" i="2"/>
  <c r="AT78" i="2"/>
  <c r="AU78" i="2"/>
  <c r="AV78" i="2"/>
  <c r="AW78" i="2"/>
  <c r="AX78" i="2" s="1"/>
  <c r="AY78" i="2"/>
  <c r="AZ78" i="2" s="1"/>
  <c r="BD78" i="2"/>
  <c r="BF78" i="2"/>
  <c r="BH78" i="2"/>
  <c r="AQ69" i="2"/>
  <c r="AR69" i="2"/>
  <c r="AS69" i="2"/>
  <c r="AT69" i="2"/>
  <c r="AU69" i="2"/>
  <c r="AV69" i="2"/>
  <c r="AW69" i="2"/>
  <c r="AX69" i="2" s="1"/>
  <c r="AY69" i="2"/>
  <c r="AZ69" i="2" s="1"/>
  <c r="BD69" i="2"/>
  <c r="BF69" i="2"/>
  <c r="BH69" i="2"/>
  <c r="BE20" i="2"/>
  <c r="AQ42" i="2"/>
  <c r="AR42" i="2"/>
  <c r="AS42" i="2"/>
  <c r="AT42" i="2"/>
  <c r="AU42" i="2"/>
  <c r="AV42" i="2"/>
  <c r="AW42" i="2"/>
  <c r="AX42" i="2"/>
  <c r="AY42" i="2"/>
  <c r="AZ42" i="2" s="1"/>
  <c r="BD42" i="2"/>
  <c r="BF42" i="2"/>
  <c r="BH42" i="2"/>
  <c r="AQ43" i="2"/>
  <c r="AR43" i="2"/>
  <c r="AS43" i="2"/>
  <c r="AT43" i="2"/>
  <c r="AU43" i="2"/>
  <c r="AV43" i="2"/>
  <c r="AW43" i="2"/>
  <c r="AX43" i="2"/>
  <c r="AY43" i="2"/>
  <c r="AZ43" i="2" s="1"/>
  <c r="BD43" i="2"/>
  <c r="BF43" i="2"/>
  <c r="BH43" i="2"/>
  <c r="AQ44" i="2"/>
  <c r="AR44" i="2"/>
  <c r="AS44" i="2"/>
  <c r="AT44" i="2"/>
  <c r="AU44" i="2"/>
  <c r="AV44" i="2"/>
  <c r="AW44" i="2"/>
  <c r="AX44" i="2"/>
  <c r="AY44" i="2"/>
  <c r="AZ44" i="2" s="1"/>
  <c r="BD44" i="2"/>
  <c r="BF44" i="2"/>
  <c r="BH44" i="2"/>
  <c r="AQ154" i="2"/>
  <c r="AR154" i="2"/>
  <c r="AS154" i="2"/>
  <c r="AT154" i="2"/>
  <c r="AU154" i="2"/>
  <c r="AV154" i="2"/>
  <c r="AW154" i="2"/>
  <c r="AX154" i="2"/>
  <c r="AY154" i="2"/>
  <c r="AZ154" i="2" s="1"/>
  <c r="BE154" i="2"/>
  <c r="BF154" i="2"/>
  <c r="BH154" i="2"/>
  <c r="AQ68" i="2"/>
  <c r="AR68" i="2"/>
  <c r="AS68" i="2"/>
  <c r="AT68" i="2"/>
  <c r="AU68" i="2"/>
  <c r="AV68" i="2"/>
  <c r="AW68" i="2"/>
  <c r="AX68" i="2" s="1"/>
  <c r="AY68" i="2"/>
  <c r="AZ68" i="2" s="1"/>
  <c r="BD68" i="2"/>
  <c r="BF68" i="2"/>
  <c r="BH68" i="2"/>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D5" i="18"/>
  <c r="D6" i="18"/>
  <c r="D7" i="18"/>
  <c r="D8" i="18"/>
  <c r="D9" i="18"/>
  <c r="D10" i="18"/>
  <c r="D11" i="18"/>
  <c r="D12" i="18"/>
  <c r="D13" i="18"/>
  <c r="D14" i="18"/>
  <c r="D15" i="18"/>
  <c r="D16" i="18"/>
  <c r="D17" i="18"/>
  <c r="D18" i="18"/>
  <c r="D19" i="18"/>
  <c r="D20" i="18"/>
  <c r="D21" i="18"/>
  <c r="D22" i="18"/>
  <c r="D23" i="18"/>
  <c r="D24" i="18"/>
  <c r="D25" i="18"/>
  <c r="D26" i="18"/>
  <c r="D27" i="18"/>
  <c r="D28" i="18"/>
  <c r="D29" i="18"/>
  <c r="D30" i="18"/>
  <c r="D31" i="18"/>
  <c r="D32" i="18"/>
  <c r="D33" i="18"/>
  <c r="D34" i="18"/>
  <c r="D35" i="18"/>
  <c r="D36" i="18"/>
  <c r="D37" i="18"/>
  <c r="D38" i="18"/>
  <c r="D39" i="18"/>
  <c r="D40" i="18"/>
  <c r="D41" i="18"/>
  <c r="D42" i="18"/>
  <c r="D43" i="18"/>
  <c r="D44" i="18"/>
  <c r="D45" i="18"/>
  <c r="D46" i="18"/>
  <c r="D47" i="18"/>
  <c r="D48" i="18"/>
  <c r="D49" i="18"/>
  <c r="D50" i="18"/>
  <c r="D51" i="18"/>
  <c r="D52" i="18"/>
  <c r="D53" i="18"/>
  <c r="D54" i="18"/>
  <c r="D55" i="18"/>
  <c r="D56" i="18"/>
  <c r="D57" i="18"/>
  <c r="D58" i="18"/>
  <c r="D59" i="18"/>
  <c r="D60" i="18"/>
  <c r="D61" i="18"/>
  <c r="D62" i="18"/>
  <c r="D63" i="18"/>
  <c r="D64" i="18"/>
  <c r="D65" i="18"/>
  <c r="D66" i="18"/>
  <c r="D67" i="18"/>
  <c r="D68" i="18"/>
  <c r="D69" i="18"/>
  <c r="D70" i="18"/>
  <c r="D71" i="18"/>
  <c r="D72" i="18"/>
  <c r="D73" i="18"/>
  <c r="D74" i="18"/>
  <c r="D75" i="18"/>
  <c r="D76" i="18"/>
  <c r="D77" i="18"/>
  <c r="D78" i="18"/>
  <c r="D79" i="18"/>
  <c r="D80" i="18"/>
  <c r="D81" i="18"/>
  <c r="D82" i="18"/>
  <c r="D83" i="18"/>
  <c r="D84" i="18"/>
  <c r="D85" i="18"/>
  <c r="D86" i="18"/>
  <c r="D87" i="18"/>
  <c r="D88" i="18"/>
  <c r="D89" i="18"/>
  <c r="D90" i="18"/>
  <c r="D91" i="18"/>
  <c r="D92" i="18"/>
  <c r="D93" i="18"/>
  <c r="D94" i="18"/>
  <c r="D95" i="18"/>
  <c r="D96" i="18"/>
  <c r="D97" i="18"/>
  <c r="D98" i="18"/>
  <c r="D99" i="18"/>
  <c r="D100" i="18"/>
  <c r="D101" i="18"/>
  <c r="D102" i="18"/>
  <c r="D103" i="18"/>
  <c r="D104" i="18"/>
  <c r="D105" i="18"/>
  <c r="D106" i="18"/>
  <c r="D107" i="18"/>
  <c r="D108" i="18"/>
  <c r="D109" i="18"/>
  <c r="D110" i="18"/>
  <c r="D111" i="18"/>
  <c r="D112" i="18"/>
  <c r="D113" i="18"/>
  <c r="D114" i="18"/>
  <c r="D115" i="18"/>
  <c r="D116" i="18"/>
  <c r="D117" i="18"/>
  <c r="D118" i="18"/>
  <c r="D119" i="18"/>
  <c r="D120" i="18"/>
  <c r="D121" i="18"/>
  <c r="D122" i="18"/>
  <c r="D123" i="18"/>
  <c r="D124" i="18"/>
  <c r="D125" i="18"/>
  <c r="D126" i="18"/>
  <c r="D127" i="18"/>
  <c r="D128" i="18"/>
  <c r="D129" i="18"/>
  <c r="D130" i="18"/>
  <c r="D131" i="18"/>
  <c r="D132" i="18"/>
  <c r="D133" i="18"/>
  <c r="D134" i="18"/>
  <c r="D135" i="18"/>
  <c r="D136" i="18"/>
  <c r="D137" i="18"/>
  <c r="D138" i="18"/>
  <c r="D139" i="18"/>
  <c r="D140" i="18"/>
  <c r="D141" i="18"/>
  <c r="D142" i="18"/>
  <c r="D143" i="18"/>
  <c r="D144" i="18"/>
  <c r="D145" i="18"/>
  <c r="D146" i="18"/>
  <c r="D147" i="18"/>
  <c r="D148" i="18"/>
  <c r="D149" i="18"/>
  <c r="D150" i="18"/>
  <c r="D151" i="18"/>
  <c r="D152" i="18"/>
  <c r="D153" i="18"/>
  <c r="D154" i="18"/>
  <c r="D155" i="18"/>
  <c r="D156" i="18"/>
  <c r="D157" i="18"/>
  <c r="D158" i="18"/>
  <c r="D159" i="18"/>
  <c r="D160" i="18"/>
  <c r="D161" i="18"/>
  <c r="D162" i="18"/>
  <c r="D163" i="18"/>
  <c r="D164" i="18"/>
  <c r="D165" i="18"/>
  <c r="D166" i="18"/>
  <c r="D167" i="18"/>
  <c r="D168" i="18"/>
  <c r="D169" i="18"/>
  <c r="D170" i="18"/>
  <c r="D171" i="18"/>
  <c r="D172" i="18"/>
  <c r="D173" i="18"/>
  <c r="D174" i="18"/>
  <c r="E5" i="18"/>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35" i="18"/>
  <c r="E36" i="18"/>
  <c r="E37" i="18"/>
  <c r="E38" i="18"/>
  <c r="E39" i="18"/>
  <c r="E40" i="18"/>
  <c r="E41" i="18"/>
  <c r="E42" i="18"/>
  <c r="E43" i="18"/>
  <c r="E44" i="18"/>
  <c r="E45" i="18"/>
  <c r="E46" i="18"/>
  <c r="E47" i="18"/>
  <c r="E48" i="18"/>
  <c r="E49" i="18"/>
  <c r="E50" i="18"/>
  <c r="E51" i="18"/>
  <c r="E52" i="18"/>
  <c r="E53" i="18"/>
  <c r="E54" i="18"/>
  <c r="E55" i="18"/>
  <c r="E56" i="18"/>
  <c r="E57" i="18"/>
  <c r="E58" i="18"/>
  <c r="E59" i="18"/>
  <c r="E60" i="18"/>
  <c r="E61" i="18"/>
  <c r="E62" i="18"/>
  <c r="E63" i="18"/>
  <c r="E64" i="18"/>
  <c r="E65" i="18"/>
  <c r="E66" i="18"/>
  <c r="E67" i="18"/>
  <c r="E68" i="18"/>
  <c r="E69" i="18"/>
  <c r="E70" i="18"/>
  <c r="E71" i="18"/>
  <c r="E72" i="18"/>
  <c r="E73" i="18"/>
  <c r="E74" i="18"/>
  <c r="E75" i="18"/>
  <c r="E76" i="18"/>
  <c r="E77" i="18"/>
  <c r="E78"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F5" i="18"/>
  <c r="F6" i="18"/>
  <c r="F7" i="18"/>
  <c r="F8" i="18"/>
  <c r="F9" i="18"/>
  <c r="F10" i="18"/>
  <c r="F11" i="18"/>
  <c r="F12" i="18"/>
  <c r="F13" i="18"/>
  <c r="F14" i="18"/>
  <c r="F15" i="18"/>
  <c r="F16" i="18"/>
  <c r="F17" i="18"/>
  <c r="F18" i="18"/>
  <c r="F19" i="18"/>
  <c r="F20" i="18"/>
  <c r="F21" i="18"/>
  <c r="F22" i="18"/>
  <c r="F23" i="18"/>
  <c r="F24" i="18"/>
  <c r="F25" i="18"/>
  <c r="F26" i="18"/>
  <c r="F27" i="18"/>
  <c r="F28" i="18"/>
  <c r="F29" i="18"/>
  <c r="F30" i="18"/>
  <c r="F31" i="18"/>
  <c r="F32" i="18"/>
  <c r="F33" i="18"/>
  <c r="F34" i="18"/>
  <c r="F35" i="18"/>
  <c r="F36" i="18"/>
  <c r="F37" i="18"/>
  <c r="F38" i="18"/>
  <c r="F39" i="18"/>
  <c r="F40" i="18"/>
  <c r="F41" i="18"/>
  <c r="F42" i="18"/>
  <c r="F43" i="18"/>
  <c r="F44" i="18"/>
  <c r="F45" i="18"/>
  <c r="F46" i="18"/>
  <c r="F47" i="18"/>
  <c r="F48" i="18"/>
  <c r="F49" i="18"/>
  <c r="F50" i="18"/>
  <c r="F51" i="18"/>
  <c r="F52" i="18"/>
  <c r="F53" i="18"/>
  <c r="F54" i="18"/>
  <c r="F55" i="18"/>
  <c r="F56" i="18"/>
  <c r="F57" i="18"/>
  <c r="F58" i="18"/>
  <c r="F59" i="18"/>
  <c r="F60" i="18"/>
  <c r="F61" i="18"/>
  <c r="F62" i="18"/>
  <c r="F63" i="18"/>
  <c r="F64" i="18"/>
  <c r="F65" i="18"/>
  <c r="F66" i="18"/>
  <c r="F67" i="18"/>
  <c r="F68" i="18"/>
  <c r="F69" i="18"/>
  <c r="F70" i="18"/>
  <c r="F71" i="18"/>
  <c r="F72" i="18"/>
  <c r="F73" i="18"/>
  <c r="F74" i="18"/>
  <c r="F75" i="18"/>
  <c r="F76" i="18"/>
  <c r="F77" i="18"/>
  <c r="F78" i="18"/>
  <c r="F79" i="18"/>
  <c r="F80" i="18"/>
  <c r="F81" i="18"/>
  <c r="F82" i="18"/>
  <c r="F83" i="18"/>
  <c r="F84" i="18"/>
  <c r="F85" i="18"/>
  <c r="F86" i="18"/>
  <c r="F87" i="18"/>
  <c r="F88" i="18"/>
  <c r="F89" i="18"/>
  <c r="F90" i="18"/>
  <c r="F91" i="18"/>
  <c r="F92" i="18"/>
  <c r="F93" i="18"/>
  <c r="F94" i="18"/>
  <c r="F95" i="18"/>
  <c r="F96" i="18"/>
  <c r="F97" i="18"/>
  <c r="F98" i="18"/>
  <c r="F99" i="18"/>
  <c r="F100" i="18"/>
  <c r="F101" i="18"/>
  <c r="F102" i="18"/>
  <c r="F103" i="18"/>
  <c r="F104" i="18"/>
  <c r="F105" i="18"/>
  <c r="F106" i="18"/>
  <c r="F107" i="18"/>
  <c r="F108" i="18"/>
  <c r="F109" i="18"/>
  <c r="F110" i="18"/>
  <c r="F111" i="18"/>
  <c r="F112" i="18"/>
  <c r="F113" i="18"/>
  <c r="F114" i="18"/>
  <c r="F115" i="18"/>
  <c r="F116" i="18"/>
  <c r="F117" i="18"/>
  <c r="F118" i="18"/>
  <c r="F119" i="18"/>
  <c r="F120" i="18"/>
  <c r="F121" i="18"/>
  <c r="F122" i="18"/>
  <c r="F123" i="18"/>
  <c r="F124" i="18"/>
  <c r="F125" i="18"/>
  <c r="F126" i="18"/>
  <c r="F127" i="18"/>
  <c r="F128" i="18"/>
  <c r="F129" i="18"/>
  <c r="F130" i="18"/>
  <c r="F131" i="18"/>
  <c r="F132" i="18"/>
  <c r="F133" i="18"/>
  <c r="F134" i="18"/>
  <c r="F135" i="18"/>
  <c r="F136" i="18"/>
  <c r="F137" i="18"/>
  <c r="F138" i="18"/>
  <c r="F139" i="18"/>
  <c r="F140" i="18"/>
  <c r="F141" i="18"/>
  <c r="F142" i="18"/>
  <c r="F143" i="18"/>
  <c r="F144" i="18"/>
  <c r="F145" i="18"/>
  <c r="F146" i="18"/>
  <c r="F147" i="18"/>
  <c r="F148" i="18"/>
  <c r="F149" i="18"/>
  <c r="F150" i="18"/>
  <c r="F151" i="18"/>
  <c r="F152" i="18"/>
  <c r="F153" i="18"/>
  <c r="F154" i="18"/>
  <c r="F155" i="18"/>
  <c r="F156" i="18"/>
  <c r="F157" i="18"/>
  <c r="F158" i="18"/>
  <c r="F159" i="18"/>
  <c r="F160" i="18"/>
  <c r="F161" i="18"/>
  <c r="F162" i="18"/>
  <c r="F163" i="18"/>
  <c r="F164" i="18"/>
  <c r="F165" i="18"/>
  <c r="F166" i="18"/>
  <c r="F167" i="18"/>
  <c r="F168" i="18"/>
  <c r="F169" i="18"/>
  <c r="F170" i="18"/>
  <c r="F171" i="18"/>
  <c r="F172" i="18"/>
  <c r="F173" i="18"/>
  <c r="F174" i="18"/>
  <c r="G5" i="18"/>
  <c r="G6" i="18"/>
  <c r="G7" i="18"/>
  <c r="G8" i="18"/>
  <c r="G9" i="18"/>
  <c r="G10" i="18"/>
  <c r="G11" i="18"/>
  <c r="G12" i="18"/>
  <c r="G13" i="18"/>
  <c r="G14" i="18"/>
  <c r="G15" i="18"/>
  <c r="G16" i="18"/>
  <c r="G17" i="18"/>
  <c r="G18" i="18"/>
  <c r="G19" i="18"/>
  <c r="G20" i="18"/>
  <c r="G21" i="18"/>
  <c r="G22" i="18"/>
  <c r="G23" i="18"/>
  <c r="G24" i="18"/>
  <c r="G25" i="18"/>
  <c r="G26" i="18"/>
  <c r="G27" i="18"/>
  <c r="G28" i="18"/>
  <c r="G29" i="18"/>
  <c r="G30" i="18"/>
  <c r="G31" i="18"/>
  <c r="G32" i="18"/>
  <c r="G33" i="18"/>
  <c r="G34" i="18"/>
  <c r="G35" i="18"/>
  <c r="G36" i="18"/>
  <c r="G37" i="18"/>
  <c r="G38" i="18"/>
  <c r="G39" i="18"/>
  <c r="G40" i="18"/>
  <c r="G41" i="18"/>
  <c r="G42" i="18"/>
  <c r="G43" i="18"/>
  <c r="G44" i="18"/>
  <c r="G45" i="18"/>
  <c r="G46" i="18"/>
  <c r="G47" i="18"/>
  <c r="G48" i="18"/>
  <c r="G49" i="18"/>
  <c r="G50" i="18"/>
  <c r="G51" i="18"/>
  <c r="G52" i="18"/>
  <c r="G53" i="18"/>
  <c r="G54" i="18"/>
  <c r="G55" i="18"/>
  <c r="G56" i="18"/>
  <c r="G57" i="18"/>
  <c r="G58" i="18"/>
  <c r="G59" i="18"/>
  <c r="G60" i="18"/>
  <c r="G61" i="18"/>
  <c r="G62" i="18"/>
  <c r="G63" i="18"/>
  <c r="G64" i="18"/>
  <c r="G65" i="18"/>
  <c r="G66" i="18"/>
  <c r="G67" i="18"/>
  <c r="G68" i="18"/>
  <c r="G69" i="18"/>
  <c r="G70" i="18"/>
  <c r="G71" i="18"/>
  <c r="G72" i="18"/>
  <c r="G73" i="18"/>
  <c r="G74" i="18"/>
  <c r="G75" i="18"/>
  <c r="G76" i="18"/>
  <c r="G77" i="18"/>
  <c r="G78" i="18"/>
  <c r="G79" i="18"/>
  <c r="G80" i="18"/>
  <c r="G81" i="18"/>
  <c r="G82" i="18"/>
  <c r="G83" i="18"/>
  <c r="G84" i="18"/>
  <c r="G85" i="18"/>
  <c r="G86" i="18"/>
  <c r="G87" i="18"/>
  <c r="G88" i="18"/>
  <c r="G89" i="18"/>
  <c r="G90" i="18"/>
  <c r="G91" i="18"/>
  <c r="G92" i="18"/>
  <c r="G93" i="18"/>
  <c r="G94" i="18"/>
  <c r="G95" i="18"/>
  <c r="G96" i="18"/>
  <c r="G97" i="18"/>
  <c r="G98" i="18"/>
  <c r="G99" i="18"/>
  <c r="G100" i="18"/>
  <c r="G101" i="18"/>
  <c r="G102" i="18"/>
  <c r="G103" i="18"/>
  <c r="G104" i="18"/>
  <c r="G105" i="18"/>
  <c r="G106" i="18"/>
  <c r="G107" i="18"/>
  <c r="G108" i="18"/>
  <c r="G109" i="18"/>
  <c r="G110" i="18"/>
  <c r="G111" i="18"/>
  <c r="G112" i="18"/>
  <c r="G113" i="18"/>
  <c r="G114" i="18"/>
  <c r="G115" i="18"/>
  <c r="G116" i="18"/>
  <c r="G117" i="18"/>
  <c r="G118" i="18"/>
  <c r="G119" i="18"/>
  <c r="G120" i="18"/>
  <c r="G121" i="18"/>
  <c r="G122" i="18"/>
  <c r="G123" i="18"/>
  <c r="G124" i="18"/>
  <c r="G125" i="18"/>
  <c r="G126" i="18"/>
  <c r="G127" i="18"/>
  <c r="G128" i="18"/>
  <c r="G129" i="18"/>
  <c r="G130" i="18"/>
  <c r="G131" i="18"/>
  <c r="G132" i="18"/>
  <c r="G133" i="18"/>
  <c r="G134" i="18"/>
  <c r="G135" i="18"/>
  <c r="G136" i="18"/>
  <c r="G137" i="18"/>
  <c r="G138" i="18"/>
  <c r="G139" i="18"/>
  <c r="G140" i="18"/>
  <c r="G141" i="18"/>
  <c r="G142" i="18"/>
  <c r="G143" i="18"/>
  <c r="G144" i="18"/>
  <c r="G145" i="18"/>
  <c r="G146" i="18"/>
  <c r="G147" i="18"/>
  <c r="G148" i="18"/>
  <c r="G149" i="18"/>
  <c r="G150" i="18"/>
  <c r="G151" i="18"/>
  <c r="G152" i="18"/>
  <c r="G153" i="18"/>
  <c r="G154" i="18"/>
  <c r="G155" i="18"/>
  <c r="G156" i="18"/>
  <c r="G157" i="18"/>
  <c r="G158" i="18"/>
  <c r="G159" i="18"/>
  <c r="G160" i="18"/>
  <c r="G161" i="18"/>
  <c r="G162" i="18"/>
  <c r="G163" i="18"/>
  <c r="G164" i="18"/>
  <c r="G165" i="18"/>
  <c r="G166" i="18"/>
  <c r="G167" i="18"/>
  <c r="G168" i="18"/>
  <c r="G169" i="18"/>
  <c r="G170" i="18"/>
  <c r="G171" i="18"/>
  <c r="G172" i="18"/>
  <c r="G173" i="18"/>
  <c r="G17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M5" i="18"/>
  <c r="L5" i="18" s="1"/>
  <c r="M6" i="18"/>
  <c r="L6" i="18" s="1"/>
  <c r="M7" i="18"/>
  <c r="L7" i="18" s="1"/>
  <c r="M8" i="18"/>
  <c r="L8" i="18" s="1"/>
  <c r="M9" i="18"/>
  <c r="L9" i="18" s="1"/>
  <c r="M10" i="18"/>
  <c r="L10" i="18" s="1"/>
  <c r="M11" i="18"/>
  <c r="L11" i="18" s="1"/>
  <c r="M12" i="18"/>
  <c r="L12" i="18" s="1"/>
  <c r="M13" i="18"/>
  <c r="L13" i="18" s="1"/>
  <c r="M14" i="18"/>
  <c r="L14" i="18" s="1"/>
  <c r="M15" i="18"/>
  <c r="L15" i="18" s="1"/>
  <c r="M16" i="18"/>
  <c r="L16" i="18" s="1"/>
  <c r="M17" i="18"/>
  <c r="L17" i="18" s="1"/>
  <c r="M18" i="18"/>
  <c r="L18" i="18" s="1"/>
  <c r="M19" i="18"/>
  <c r="L19" i="18" s="1"/>
  <c r="M20" i="18"/>
  <c r="L20" i="18" s="1"/>
  <c r="M21" i="18"/>
  <c r="L21" i="18" s="1"/>
  <c r="M22" i="18"/>
  <c r="L22" i="18" s="1"/>
  <c r="M23" i="18"/>
  <c r="L23" i="18" s="1"/>
  <c r="M24" i="18"/>
  <c r="L24" i="18" s="1"/>
  <c r="M25" i="18"/>
  <c r="L25" i="18" s="1"/>
  <c r="M26" i="18"/>
  <c r="L26" i="18" s="1"/>
  <c r="M27" i="18"/>
  <c r="L27" i="18" s="1"/>
  <c r="M28" i="18"/>
  <c r="L28" i="18" s="1"/>
  <c r="M29" i="18"/>
  <c r="L29" i="18" s="1"/>
  <c r="M30" i="18"/>
  <c r="L30" i="18" s="1"/>
  <c r="M31" i="18"/>
  <c r="L31" i="18" s="1"/>
  <c r="M32" i="18"/>
  <c r="L32" i="18" s="1"/>
  <c r="M33" i="18"/>
  <c r="L33" i="18" s="1"/>
  <c r="M34" i="18"/>
  <c r="L34" i="18" s="1"/>
  <c r="M35" i="18"/>
  <c r="L35" i="18" s="1"/>
  <c r="M36" i="18"/>
  <c r="L36" i="18" s="1"/>
  <c r="M37" i="18"/>
  <c r="L37" i="18" s="1"/>
  <c r="M38" i="18"/>
  <c r="L38" i="18" s="1"/>
  <c r="M39" i="18"/>
  <c r="L39" i="18" s="1"/>
  <c r="M40" i="18"/>
  <c r="L40" i="18" s="1"/>
  <c r="M41" i="18"/>
  <c r="L41" i="18" s="1"/>
  <c r="M42" i="18"/>
  <c r="L42" i="18" s="1"/>
  <c r="M43" i="18"/>
  <c r="L43" i="18" s="1"/>
  <c r="M44" i="18"/>
  <c r="L44" i="18" s="1"/>
  <c r="M45" i="18"/>
  <c r="L45" i="18" s="1"/>
  <c r="M46" i="18"/>
  <c r="L46" i="18" s="1"/>
  <c r="M47" i="18"/>
  <c r="L47" i="18" s="1"/>
  <c r="M48" i="18"/>
  <c r="L48" i="18" s="1"/>
  <c r="M49" i="18"/>
  <c r="L49" i="18" s="1"/>
  <c r="M50" i="18"/>
  <c r="L50" i="18" s="1"/>
  <c r="M51" i="18"/>
  <c r="L51" i="18" s="1"/>
  <c r="M52" i="18"/>
  <c r="L52" i="18" s="1"/>
  <c r="M53" i="18"/>
  <c r="L53" i="18" s="1"/>
  <c r="M54" i="18"/>
  <c r="L54" i="18" s="1"/>
  <c r="M55" i="18"/>
  <c r="L55" i="18" s="1"/>
  <c r="M56" i="18"/>
  <c r="L56" i="18" s="1"/>
  <c r="M57" i="18"/>
  <c r="L57" i="18" s="1"/>
  <c r="M58" i="18"/>
  <c r="L58" i="18" s="1"/>
  <c r="M59" i="18"/>
  <c r="L59" i="18" s="1"/>
  <c r="M60" i="18"/>
  <c r="L60" i="18" s="1"/>
  <c r="M61" i="18"/>
  <c r="L61" i="18" s="1"/>
  <c r="M62" i="18"/>
  <c r="L62" i="18" s="1"/>
  <c r="M63" i="18"/>
  <c r="L63" i="18" s="1"/>
  <c r="M64" i="18"/>
  <c r="L64" i="18" s="1"/>
  <c r="M65" i="18"/>
  <c r="L65" i="18" s="1"/>
  <c r="M66" i="18"/>
  <c r="L66" i="18" s="1"/>
  <c r="M67" i="18"/>
  <c r="L67" i="18" s="1"/>
  <c r="M68" i="18"/>
  <c r="L68" i="18" s="1"/>
  <c r="M69" i="18"/>
  <c r="L69" i="18" s="1"/>
  <c r="M70" i="18"/>
  <c r="L70" i="18" s="1"/>
  <c r="M71" i="18"/>
  <c r="L71" i="18" s="1"/>
  <c r="M72" i="18"/>
  <c r="L72" i="18" s="1"/>
  <c r="M73" i="18"/>
  <c r="L73" i="18" s="1"/>
  <c r="M74" i="18"/>
  <c r="L74" i="18" s="1"/>
  <c r="M75" i="18"/>
  <c r="L75" i="18" s="1"/>
  <c r="M76" i="18"/>
  <c r="L76" i="18" s="1"/>
  <c r="M77" i="18"/>
  <c r="L77" i="18" s="1"/>
  <c r="M78" i="18"/>
  <c r="L78" i="18" s="1"/>
  <c r="M79" i="18"/>
  <c r="L79" i="18" s="1"/>
  <c r="M80" i="18"/>
  <c r="L80" i="18" s="1"/>
  <c r="M81" i="18"/>
  <c r="L81" i="18" s="1"/>
  <c r="M82" i="18"/>
  <c r="L82" i="18" s="1"/>
  <c r="M83" i="18"/>
  <c r="L83" i="18" s="1"/>
  <c r="M84" i="18"/>
  <c r="L84" i="18" s="1"/>
  <c r="M85" i="18"/>
  <c r="L85" i="18" s="1"/>
  <c r="M86" i="18"/>
  <c r="L86" i="18" s="1"/>
  <c r="M87" i="18"/>
  <c r="L87" i="18" s="1"/>
  <c r="M88" i="18"/>
  <c r="L88" i="18" s="1"/>
  <c r="M89" i="18"/>
  <c r="L89" i="18" s="1"/>
  <c r="M90" i="18"/>
  <c r="L90" i="18" s="1"/>
  <c r="M91" i="18"/>
  <c r="L91" i="18" s="1"/>
  <c r="M92" i="18"/>
  <c r="L92" i="18" s="1"/>
  <c r="M93" i="18"/>
  <c r="L93" i="18" s="1"/>
  <c r="M94" i="18"/>
  <c r="L94" i="18" s="1"/>
  <c r="M95" i="18"/>
  <c r="L95" i="18" s="1"/>
  <c r="M96" i="18"/>
  <c r="L96" i="18" s="1"/>
  <c r="M97" i="18"/>
  <c r="L97" i="18" s="1"/>
  <c r="M98" i="18"/>
  <c r="L98" i="18" s="1"/>
  <c r="M99" i="18"/>
  <c r="L99" i="18" s="1"/>
  <c r="M100" i="18"/>
  <c r="L100" i="18" s="1"/>
  <c r="M101" i="18"/>
  <c r="L101" i="18" s="1"/>
  <c r="M102" i="18"/>
  <c r="L102" i="18" s="1"/>
  <c r="M103" i="18"/>
  <c r="L103" i="18" s="1"/>
  <c r="M104" i="18"/>
  <c r="L104" i="18" s="1"/>
  <c r="M105" i="18"/>
  <c r="L105" i="18" s="1"/>
  <c r="M106" i="18"/>
  <c r="L106" i="18" s="1"/>
  <c r="M107" i="18"/>
  <c r="L107" i="18" s="1"/>
  <c r="M108" i="18"/>
  <c r="L108" i="18" s="1"/>
  <c r="M109" i="18"/>
  <c r="L109" i="18" s="1"/>
  <c r="M110" i="18"/>
  <c r="L110" i="18" s="1"/>
  <c r="M111" i="18"/>
  <c r="L111" i="18" s="1"/>
  <c r="M112" i="18"/>
  <c r="L112" i="18" s="1"/>
  <c r="M113" i="18"/>
  <c r="L113" i="18" s="1"/>
  <c r="M114" i="18"/>
  <c r="L114" i="18" s="1"/>
  <c r="M115" i="18"/>
  <c r="L115" i="18" s="1"/>
  <c r="M116" i="18"/>
  <c r="L116" i="18" s="1"/>
  <c r="M117" i="18"/>
  <c r="L117" i="18" s="1"/>
  <c r="M118" i="18"/>
  <c r="L118" i="18" s="1"/>
  <c r="M119" i="18"/>
  <c r="L119" i="18" s="1"/>
  <c r="M120" i="18"/>
  <c r="L120" i="18" s="1"/>
  <c r="M121" i="18"/>
  <c r="L121" i="18" s="1"/>
  <c r="M122" i="18"/>
  <c r="L122" i="18" s="1"/>
  <c r="M123" i="18"/>
  <c r="L123" i="18" s="1"/>
  <c r="M124" i="18"/>
  <c r="L124" i="18" s="1"/>
  <c r="M125" i="18"/>
  <c r="L125" i="18" s="1"/>
  <c r="M126" i="18"/>
  <c r="L126" i="18" s="1"/>
  <c r="M127" i="18"/>
  <c r="L127" i="18" s="1"/>
  <c r="M128" i="18"/>
  <c r="L128" i="18" s="1"/>
  <c r="M129" i="18"/>
  <c r="L129" i="18" s="1"/>
  <c r="M130" i="18"/>
  <c r="L130" i="18" s="1"/>
  <c r="M131" i="18"/>
  <c r="L131" i="18" s="1"/>
  <c r="M132" i="18"/>
  <c r="L132" i="18" s="1"/>
  <c r="M133" i="18"/>
  <c r="L133" i="18" s="1"/>
  <c r="M134" i="18"/>
  <c r="L134" i="18" s="1"/>
  <c r="M135" i="18"/>
  <c r="L135" i="18" s="1"/>
  <c r="M136" i="18"/>
  <c r="L136" i="18" s="1"/>
  <c r="M137" i="18"/>
  <c r="L137" i="18" s="1"/>
  <c r="M138" i="18"/>
  <c r="L138" i="18" s="1"/>
  <c r="M139" i="18"/>
  <c r="L139" i="18" s="1"/>
  <c r="M140" i="18"/>
  <c r="L140" i="18" s="1"/>
  <c r="M141" i="18"/>
  <c r="L141" i="18" s="1"/>
  <c r="M142" i="18"/>
  <c r="L142" i="18" s="1"/>
  <c r="M143" i="18"/>
  <c r="L143" i="18" s="1"/>
  <c r="M144" i="18"/>
  <c r="L144" i="18" s="1"/>
  <c r="M145" i="18"/>
  <c r="L145" i="18" s="1"/>
  <c r="M146" i="18"/>
  <c r="L146" i="18" s="1"/>
  <c r="M147" i="18"/>
  <c r="L147" i="18" s="1"/>
  <c r="M148" i="18"/>
  <c r="L148" i="18" s="1"/>
  <c r="M149" i="18"/>
  <c r="L149" i="18" s="1"/>
  <c r="M150" i="18"/>
  <c r="L150" i="18" s="1"/>
  <c r="M151" i="18"/>
  <c r="L151" i="18" s="1"/>
  <c r="M152" i="18"/>
  <c r="L152" i="18" s="1"/>
  <c r="M153" i="18"/>
  <c r="L153" i="18" s="1"/>
  <c r="M154" i="18"/>
  <c r="L154" i="18" s="1"/>
  <c r="M155" i="18"/>
  <c r="L155" i="18" s="1"/>
  <c r="M156" i="18"/>
  <c r="L156" i="18" s="1"/>
  <c r="M157" i="18"/>
  <c r="L157" i="18" s="1"/>
  <c r="M158" i="18"/>
  <c r="L158" i="18" s="1"/>
  <c r="M159" i="18"/>
  <c r="L159" i="18" s="1"/>
  <c r="M160" i="18"/>
  <c r="L160" i="18" s="1"/>
  <c r="M161" i="18"/>
  <c r="L161" i="18" s="1"/>
  <c r="M162" i="18"/>
  <c r="L162" i="18" s="1"/>
  <c r="M163" i="18"/>
  <c r="L163" i="18" s="1"/>
  <c r="M164" i="18"/>
  <c r="L164" i="18" s="1"/>
  <c r="M165" i="18"/>
  <c r="L165" i="18" s="1"/>
  <c r="M166" i="18"/>
  <c r="L166" i="18" s="1"/>
  <c r="M167" i="18"/>
  <c r="L167" i="18" s="1"/>
  <c r="M168" i="18"/>
  <c r="L168" i="18" s="1"/>
  <c r="M169" i="18"/>
  <c r="L169" i="18" s="1"/>
  <c r="M170" i="18"/>
  <c r="L170" i="18" s="1"/>
  <c r="M171" i="18"/>
  <c r="L171" i="18" s="1"/>
  <c r="M172" i="18"/>
  <c r="L172" i="18" s="1"/>
  <c r="M173" i="18"/>
  <c r="L173" i="18" s="1"/>
  <c r="M174" i="18"/>
  <c r="L174" i="18" s="1"/>
  <c r="I4" i="10"/>
  <c r="I3" i="10"/>
  <c r="I2" i="10"/>
  <c r="AQ20" i="2"/>
  <c r="AR20" i="2"/>
  <c r="AS20" i="2"/>
  <c r="AT20" i="2"/>
  <c r="AU20" i="2"/>
  <c r="AV20" i="2"/>
  <c r="I5" i="18" s="1"/>
  <c r="AW20" i="2"/>
  <c r="AY20" i="2"/>
  <c r="AZ20" i="2" s="1"/>
  <c r="BF20" i="2"/>
  <c r="K5" i="18" s="1"/>
  <c r="BH20" i="2"/>
  <c r="BD20" i="2" l="1"/>
  <c r="BA154" i="2"/>
  <c r="BA43" i="2"/>
  <c r="BA42" i="2"/>
  <c r="BE70" i="2"/>
  <c r="BA70" i="2"/>
  <c r="BE67" i="2"/>
  <c r="BA67" i="2"/>
  <c r="BE78" i="2"/>
  <c r="BA78" i="2"/>
  <c r="BE69" i="2"/>
  <c r="BA69" i="2"/>
  <c r="BE42" i="2"/>
  <c r="BA44" i="2"/>
  <c r="BE43" i="2"/>
  <c r="BE44" i="2"/>
  <c r="BD154" i="2"/>
  <c r="BE68" i="2"/>
  <c r="BA68" i="2"/>
  <c r="AX20" i="2"/>
  <c r="BA20" i="2" s="1"/>
  <c r="J5" i="18"/>
  <c r="AQ48" i="2"/>
  <c r="AR48" i="2"/>
  <c r="AS48" i="2"/>
  <c r="AT48" i="2"/>
  <c r="AU48" i="2"/>
  <c r="AV48" i="2"/>
  <c r="I28" i="18" s="1"/>
  <c r="AW48" i="2"/>
  <c r="AY48" i="2"/>
  <c r="AZ48" i="2" s="1"/>
  <c r="BD48" i="2"/>
  <c r="BF48" i="2"/>
  <c r="K28" i="18" s="1"/>
  <c r="BH48" i="2"/>
  <c r="AQ64" i="2"/>
  <c r="AR64" i="2"/>
  <c r="AS64" i="2"/>
  <c r="AT64" i="2"/>
  <c r="AU64" i="2"/>
  <c r="AV64" i="2"/>
  <c r="I39" i="18" s="1"/>
  <c r="AW64" i="2"/>
  <c r="J39" i="18" s="1"/>
  <c r="AX64" i="2"/>
  <c r="AY64" i="2"/>
  <c r="AZ64" i="2" s="1"/>
  <c r="BD64" i="2"/>
  <c r="BF64" i="2"/>
  <c r="K39" i="18" s="1"/>
  <c r="BH64" i="2"/>
  <c r="AQ49" i="2"/>
  <c r="AR49" i="2"/>
  <c r="AS49" i="2"/>
  <c r="AT49" i="2"/>
  <c r="AU49" i="2"/>
  <c r="AV49" i="2"/>
  <c r="I29" i="18" s="1"/>
  <c r="AW49" i="2"/>
  <c r="AY49" i="2"/>
  <c r="AZ49" i="2" s="1"/>
  <c r="BE49" i="2"/>
  <c r="BD49" i="2"/>
  <c r="BF49" i="2"/>
  <c r="K29" i="18" s="1"/>
  <c r="BH49" i="2"/>
  <c r="AQ57" i="2"/>
  <c r="AR57" i="2"/>
  <c r="AS57" i="2"/>
  <c r="AT57" i="2"/>
  <c r="AU57" i="2"/>
  <c r="AV57" i="2"/>
  <c r="I37" i="18" s="1"/>
  <c r="AW57" i="2"/>
  <c r="AY57" i="2"/>
  <c r="AZ57" i="2" s="1"/>
  <c r="BE57" i="2"/>
  <c r="BF57" i="2"/>
  <c r="K37" i="18" s="1"/>
  <c r="BH57" i="2"/>
  <c r="AQ39" i="2"/>
  <c r="AR39" i="2"/>
  <c r="AS39" i="2"/>
  <c r="AT39" i="2"/>
  <c r="AU39" i="2"/>
  <c r="AV39" i="2"/>
  <c r="I22" i="18" s="1"/>
  <c r="AW39" i="2"/>
  <c r="AY39" i="2"/>
  <c r="AZ39" i="2" s="1"/>
  <c r="BE39" i="2"/>
  <c r="BF39" i="2"/>
  <c r="K22" i="18" s="1"/>
  <c r="BH39" i="2"/>
  <c r="AX57" i="2" l="1"/>
  <c r="BA57" i="2" s="1"/>
  <c r="J37" i="18"/>
  <c r="AX39" i="2"/>
  <c r="BA39" i="2" s="1"/>
  <c r="BB39" i="2" s="1"/>
  <c r="J22" i="18"/>
  <c r="AX48" i="2"/>
  <c r="BA48" i="2" s="1"/>
  <c r="J28" i="18"/>
  <c r="AX49" i="2"/>
  <c r="BA49" i="2" s="1"/>
  <c r="J29" i="18"/>
  <c r="BA64" i="2"/>
  <c r="BE64" i="2"/>
  <c r="BE48" i="2"/>
  <c r="BD57" i="2"/>
  <c r="BD39" i="2"/>
  <c r="AQ26" i="2"/>
  <c r="AR26" i="2"/>
  <c r="AS26" i="2"/>
  <c r="AT26" i="2"/>
  <c r="AU26" i="2"/>
  <c r="AV26" i="2"/>
  <c r="I11" i="18" s="1"/>
  <c r="AW26" i="2"/>
  <c r="J11" i="18" s="1"/>
  <c r="AX26" i="2"/>
  <c r="AY26" i="2"/>
  <c r="AZ26" i="2" s="1"/>
  <c r="BD26" i="2"/>
  <c r="BF26" i="2"/>
  <c r="K11" i="18" s="1"/>
  <c r="BH26" i="2"/>
  <c r="BE26" i="2" l="1"/>
  <c r="BA26" i="2"/>
  <c r="AQ47" i="2"/>
  <c r="AR47" i="2"/>
  <c r="AS47" i="2"/>
  <c r="AT47" i="2"/>
  <c r="AU47" i="2"/>
  <c r="AV47" i="2"/>
  <c r="AW47" i="2"/>
  <c r="J27" i="18" s="1"/>
  <c r="AY47" i="2"/>
  <c r="AZ47" i="2" s="1"/>
  <c r="BE47" i="2"/>
  <c r="BD47" i="2"/>
  <c r="BF47" i="2"/>
  <c r="K27" i="18" s="1"/>
  <c r="BH47" i="2"/>
  <c r="AX47" i="2" l="1"/>
  <c r="BA47" i="2" s="1"/>
  <c r="I27" i="18"/>
  <c r="BD21" i="2"/>
  <c r="BH23" i="2"/>
  <c r="BH22" i="2"/>
  <c r="BD22" i="2"/>
  <c r="AQ27" i="2"/>
  <c r="AR27" i="2"/>
  <c r="AS27" i="2"/>
  <c r="AT27" i="2"/>
  <c r="AU27" i="2"/>
  <c r="AV27" i="2"/>
  <c r="AW27" i="2"/>
  <c r="J12" i="18" s="1"/>
  <c r="AY27" i="2"/>
  <c r="AZ27" i="2" s="1"/>
  <c r="BD27" i="2"/>
  <c r="BF27" i="2"/>
  <c r="K12" i="18" s="1"/>
  <c r="BH27" i="2"/>
  <c r="AQ111" i="2"/>
  <c r="AR111" i="2"/>
  <c r="AS111" i="2"/>
  <c r="AT111" i="2"/>
  <c r="AU111" i="2"/>
  <c r="AV111" i="2"/>
  <c r="AX111" i="2" s="1"/>
  <c r="AW111" i="2"/>
  <c r="AY111" i="2"/>
  <c r="AZ111" i="2" s="1"/>
  <c r="BD111" i="2"/>
  <c r="BE111" i="2"/>
  <c r="BF111" i="2"/>
  <c r="BH111" i="2"/>
  <c r="AQ29" i="2"/>
  <c r="AR29" i="2"/>
  <c r="AS29" i="2"/>
  <c r="AT29" i="2"/>
  <c r="AU29" i="2"/>
  <c r="AV29" i="2"/>
  <c r="I14" i="18" s="1"/>
  <c r="AW29" i="2"/>
  <c r="AY29" i="2"/>
  <c r="AZ29" i="2" s="1"/>
  <c r="BD29" i="2"/>
  <c r="BF29" i="2"/>
  <c r="K14" i="18" s="1"/>
  <c r="BH29" i="2"/>
  <c r="AQ30" i="2"/>
  <c r="AR30" i="2"/>
  <c r="AS30" i="2"/>
  <c r="AT30" i="2"/>
  <c r="AU30" i="2"/>
  <c r="AV30" i="2"/>
  <c r="AX30" i="2" s="1"/>
  <c r="AW30" i="2"/>
  <c r="AY30" i="2"/>
  <c r="AZ30" i="2" s="1"/>
  <c r="BD30" i="2"/>
  <c r="BF30" i="2"/>
  <c r="BH30" i="2"/>
  <c r="AQ28" i="2"/>
  <c r="AR28" i="2"/>
  <c r="AS28" i="2"/>
  <c r="AT28" i="2"/>
  <c r="AU28" i="2"/>
  <c r="AV28" i="2"/>
  <c r="I13" i="18" s="1"/>
  <c r="AW28" i="2"/>
  <c r="AY28" i="2"/>
  <c r="AZ28" i="2" s="1"/>
  <c r="BD28" i="2"/>
  <c r="BF28" i="2"/>
  <c r="K13" i="18" s="1"/>
  <c r="BH28" i="2"/>
  <c r="AQ31" i="2"/>
  <c r="AR31" i="2"/>
  <c r="AS31" i="2"/>
  <c r="AT31" i="2"/>
  <c r="AU31" i="2"/>
  <c r="AV31" i="2"/>
  <c r="AX31" i="2" s="1"/>
  <c r="AW31" i="2"/>
  <c r="AY31" i="2"/>
  <c r="AZ31" i="2" s="1"/>
  <c r="BD31" i="2"/>
  <c r="BF31" i="2"/>
  <c r="BH31" i="2"/>
  <c r="AQ79" i="2"/>
  <c r="AR79" i="2"/>
  <c r="AS79" i="2"/>
  <c r="AT79" i="2"/>
  <c r="AU79" i="2"/>
  <c r="AV79" i="2"/>
  <c r="I43" i="18" s="1"/>
  <c r="AW79" i="2"/>
  <c r="AY79" i="2"/>
  <c r="AZ79" i="2" s="1"/>
  <c r="BD79" i="2"/>
  <c r="BF79" i="2"/>
  <c r="K43" i="18" s="1"/>
  <c r="BH79" i="2"/>
  <c r="AQ21" i="2"/>
  <c r="AR21" i="2"/>
  <c r="AS21" i="2"/>
  <c r="AT21" i="2"/>
  <c r="AU21" i="2"/>
  <c r="AV21" i="2"/>
  <c r="I6" i="18" s="1"/>
  <c r="AW21" i="2"/>
  <c r="AY21" i="2"/>
  <c r="AZ21" i="2" s="1"/>
  <c r="BF21" i="2"/>
  <c r="K6" i="18" s="1"/>
  <c r="BH21" i="2"/>
  <c r="AQ22" i="2"/>
  <c r="AR22" i="2"/>
  <c r="AS22" i="2"/>
  <c r="AT22" i="2"/>
  <c r="AU22" i="2"/>
  <c r="AV22" i="2"/>
  <c r="I7" i="18" s="1"/>
  <c r="AW22" i="2"/>
  <c r="AY22" i="2"/>
  <c r="AZ22" i="2" s="1"/>
  <c r="BF22" i="2"/>
  <c r="K7" i="18" s="1"/>
  <c r="AQ23" i="2"/>
  <c r="AR23" i="2"/>
  <c r="AS23" i="2"/>
  <c r="AT23" i="2"/>
  <c r="AU23" i="2"/>
  <c r="AV23" i="2"/>
  <c r="I8" i="18" s="1"/>
  <c r="AW23" i="2"/>
  <c r="AY23" i="2"/>
  <c r="AZ23" i="2" s="1"/>
  <c r="BE23" i="2"/>
  <c r="BD23" i="2"/>
  <c r="BF23" i="2"/>
  <c r="K8" i="18" s="1"/>
  <c r="BH32" i="2"/>
  <c r="BE32" i="2"/>
  <c r="AQ32" i="2"/>
  <c r="AR32" i="2"/>
  <c r="AS32" i="2"/>
  <c r="AT32" i="2"/>
  <c r="AU32" i="2"/>
  <c r="AV32" i="2"/>
  <c r="AW32" i="2"/>
  <c r="J15" i="18" s="1"/>
  <c r="AY32" i="2"/>
  <c r="AZ32" i="2" s="1"/>
  <c r="BF32" i="2"/>
  <c r="K15" i="18" s="1"/>
  <c r="AX79" i="2" l="1"/>
  <c r="BA79" i="2" s="1"/>
  <c r="J43" i="18"/>
  <c r="AX29" i="2"/>
  <c r="BA29" i="2" s="1"/>
  <c r="J14" i="18"/>
  <c r="AX27" i="2"/>
  <c r="BA27" i="2" s="1"/>
  <c r="I12" i="18"/>
  <c r="AX21" i="2"/>
  <c r="BA21" i="2" s="1"/>
  <c r="J6" i="18"/>
  <c r="AX23" i="2"/>
  <c r="BA23" i="2" s="1"/>
  <c r="J8" i="18"/>
  <c r="AX28" i="2"/>
  <c r="BA28" i="2" s="1"/>
  <c r="J13" i="18"/>
  <c r="AX32" i="2"/>
  <c r="BA32" i="2" s="1"/>
  <c r="I15" i="18"/>
  <c r="AX22" i="2"/>
  <c r="BA22" i="2" s="1"/>
  <c r="J7" i="18"/>
  <c r="BE27" i="2"/>
  <c r="BA111" i="2"/>
  <c r="BE29" i="2"/>
  <c r="BA30" i="2"/>
  <c r="BE30" i="2"/>
  <c r="BE28" i="2"/>
  <c r="BA31" i="2"/>
  <c r="BE31" i="2"/>
  <c r="BE79" i="2"/>
  <c r="BE21" i="2"/>
  <c r="BE22" i="2"/>
  <c r="BD32" i="2"/>
  <c r="AQ24" i="2"/>
  <c r="AR24" i="2"/>
  <c r="AS24" i="2"/>
  <c r="AT24" i="2"/>
  <c r="AU24" i="2"/>
  <c r="AV24" i="2"/>
  <c r="I9" i="18" s="1"/>
  <c r="AW24" i="2"/>
  <c r="AY24" i="2"/>
  <c r="AZ24" i="2" s="1"/>
  <c r="BD24" i="2"/>
  <c r="BF24" i="2"/>
  <c r="K9" i="18" s="1"/>
  <c r="BH24" i="2"/>
  <c r="BH35" i="2"/>
  <c r="AQ25" i="2"/>
  <c r="AR25" i="2"/>
  <c r="AS25" i="2"/>
  <c r="AT25" i="2"/>
  <c r="AU25" i="2"/>
  <c r="AV25" i="2"/>
  <c r="I10" i="18" s="1"/>
  <c r="AW25" i="2"/>
  <c r="AY25" i="2"/>
  <c r="AZ25" i="2" s="1"/>
  <c r="BD25" i="2"/>
  <c r="BF25" i="2"/>
  <c r="K10" i="18" s="1"/>
  <c r="BH25" i="2"/>
  <c r="BD35" i="2"/>
  <c r="AQ34" i="2"/>
  <c r="AR34" i="2"/>
  <c r="AS34" i="2"/>
  <c r="AT34" i="2"/>
  <c r="AU34" i="2"/>
  <c r="AV34" i="2"/>
  <c r="I16" i="18" s="1"/>
  <c r="AW34" i="2"/>
  <c r="J16" i="18" s="1"/>
  <c r="AX34" i="2"/>
  <c r="AY34" i="2"/>
  <c r="AZ34" i="2" s="1"/>
  <c r="BD34" i="2"/>
  <c r="BF34" i="2"/>
  <c r="K16" i="18" s="1"/>
  <c r="BH34" i="2"/>
  <c r="AQ35" i="2"/>
  <c r="AR35" i="2"/>
  <c r="AS35" i="2"/>
  <c r="AT35" i="2"/>
  <c r="AU35" i="2"/>
  <c r="AV35" i="2"/>
  <c r="I17" i="18" s="1"/>
  <c r="AW35" i="2"/>
  <c r="J17" i="18" s="1"/>
  <c r="AX35" i="2"/>
  <c r="AY35" i="2"/>
  <c r="AZ35" i="2" s="1"/>
  <c r="BF35" i="2"/>
  <c r="K17" i="18" s="1"/>
  <c r="AX25" i="2" l="1"/>
  <c r="BA25" i="2" s="1"/>
  <c r="J10" i="18"/>
  <c r="AX24" i="2"/>
  <c r="BA24" i="2" s="1"/>
  <c r="J9" i="18"/>
  <c r="BE24" i="2"/>
  <c r="BA34" i="2"/>
  <c r="BE25" i="2"/>
  <c r="BE34" i="2"/>
  <c r="BE35" i="2"/>
  <c r="BA35" i="2"/>
  <c r="AQ36" i="2"/>
  <c r="AR36" i="2"/>
  <c r="AS36" i="2"/>
  <c r="AT36" i="2"/>
  <c r="AU36" i="2"/>
  <c r="AV36" i="2"/>
  <c r="AW36" i="2"/>
  <c r="J18" i="18" s="1"/>
  <c r="AY36" i="2"/>
  <c r="AZ36" i="2" s="1"/>
  <c r="BE36" i="2"/>
  <c r="BD36" i="2"/>
  <c r="BF36" i="2"/>
  <c r="K18" i="18" s="1"/>
  <c r="BH36" i="2"/>
  <c r="AX36" i="2" l="1"/>
  <c r="BA36" i="2" s="1"/>
  <c r="I18" i="18"/>
  <c r="BH33" i="2"/>
  <c r="BE33" i="2"/>
  <c r="AQ37" i="2"/>
  <c r="AR37" i="2"/>
  <c r="AS37" i="2"/>
  <c r="AT37" i="2"/>
  <c r="AU37" i="2"/>
  <c r="AV37" i="2"/>
  <c r="I19" i="18" s="1"/>
  <c r="AW37" i="2"/>
  <c r="AY37" i="2"/>
  <c r="AZ37" i="2" s="1"/>
  <c r="BE37" i="2"/>
  <c r="BD37" i="2"/>
  <c r="BF37" i="2"/>
  <c r="K19" i="18" s="1"/>
  <c r="BH37" i="2"/>
  <c r="AQ33" i="2"/>
  <c r="AR33" i="2"/>
  <c r="AS33" i="2"/>
  <c r="AT33" i="2"/>
  <c r="AU33" i="2"/>
  <c r="AV33" i="2"/>
  <c r="I20" i="18" s="1"/>
  <c r="AW33" i="2"/>
  <c r="AY33" i="2"/>
  <c r="AZ33" i="2" s="1"/>
  <c r="BF33" i="2"/>
  <c r="K20" i="18" s="1"/>
  <c r="AX33" i="2" l="1"/>
  <c r="BA33" i="2" s="1"/>
  <c r="J20" i="18"/>
  <c r="AX37" i="2"/>
  <c r="BA37" i="2" s="1"/>
  <c r="J19" i="18"/>
  <c r="BD33" i="2"/>
  <c r="BH40" i="2" l="1"/>
  <c r="BD40" i="2"/>
  <c r="AQ40" i="2"/>
  <c r="AR40" i="2"/>
  <c r="AS40" i="2"/>
  <c r="AT40" i="2"/>
  <c r="AU40" i="2"/>
  <c r="AV40" i="2"/>
  <c r="I23" i="18" s="1"/>
  <c r="AW40" i="2"/>
  <c r="AY40" i="2"/>
  <c r="AZ40" i="2" s="1"/>
  <c r="BF40" i="2"/>
  <c r="K23" i="18" s="1"/>
  <c r="BD41" i="2"/>
  <c r="AQ41" i="2"/>
  <c r="AR41" i="2"/>
  <c r="AS41" i="2"/>
  <c r="AT41" i="2"/>
  <c r="AU41" i="2"/>
  <c r="AV41" i="2"/>
  <c r="I24" i="18" s="1"/>
  <c r="AW41" i="2"/>
  <c r="J24" i="18" s="1"/>
  <c r="AX41" i="2"/>
  <c r="AY41" i="2"/>
  <c r="AZ41" i="2" s="1"/>
  <c r="BF41" i="2"/>
  <c r="K24" i="18" s="1"/>
  <c r="BH41" i="2"/>
  <c r="AQ50" i="2"/>
  <c r="AR50" i="2"/>
  <c r="AS50" i="2"/>
  <c r="AT50" i="2"/>
  <c r="AU50" i="2"/>
  <c r="AV50" i="2"/>
  <c r="I30" i="18" s="1"/>
  <c r="AW50" i="2"/>
  <c r="AY50" i="2"/>
  <c r="AZ50" i="2" s="1"/>
  <c r="BE50" i="2"/>
  <c r="BD50" i="2"/>
  <c r="BF50" i="2"/>
  <c r="K30" i="18" s="1"/>
  <c r="BH50" i="2"/>
  <c r="AQ58" i="2"/>
  <c r="AR58" i="2"/>
  <c r="AS58" i="2"/>
  <c r="AT58" i="2"/>
  <c r="AU58" i="2"/>
  <c r="AV58" i="2"/>
  <c r="AW58" i="2"/>
  <c r="AX58" i="2" s="1"/>
  <c r="AY58" i="2"/>
  <c r="AZ58" i="2" s="1"/>
  <c r="BE58" i="2"/>
  <c r="BD58" i="2"/>
  <c r="BF58" i="2"/>
  <c r="BH58" i="2"/>
  <c r="AX50" i="2" l="1"/>
  <c r="BA50" i="2" s="1"/>
  <c r="J30" i="18"/>
  <c r="AX40" i="2"/>
  <c r="BA40" i="2" s="1"/>
  <c r="J23" i="18"/>
  <c r="BA41" i="2"/>
  <c r="BE40" i="2"/>
  <c r="BE41" i="2"/>
  <c r="BA58" i="2"/>
  <c r="AQ59" i="2"/>
  <c r="AR59" i="2"/>
  <c r="AS59" i="2"/>
  <c r="AT59" i="2"/>
  <c r="AU59" i="2"/>
  <c r="AV59" i="2"/>
  <c r="AX59" i="2" s="1"/>
  <c r="AW59" i="2"/>
  <c r="AY59" i="2"/>
  <c r="AZ59" i="2" s="1"/>
  <c r="BE59" i="2"/>
  <c r="BD59" i="2"/>
  <c r="BF59" i="2"/>
  <c r="BH59" i="2"/>
  <c r="AQ60" i="2"/>
  <c r="AR60" i="2"/>
  <c r="AS60" i="2"/>
  <c r="AT60" i="2"/>
  <c r="AU60" i="2"/>
  <c r="AV60" i="2"/>
  <c r="AX60" i="2" s="1"/>
  <c r="AW60" i="2"/>
  <c r="AY60" i="2"/>
  <c r="AZ60" i="2" s="1"/>
  <c r="BE60" i="2"/>
  <c r="BF60" i="2"/>
  <c r="BH60" i="2"/>
  <c r="BD60" i="2" l="1"/>
  <c r="BA59" i="2"/>
  <c r="BA60" i="2"/>
  <c r="BH45" i="2"/>
  <c r="BD45" i="2"/>
  <c r="AQ45" i="2"/>
  <c r="AR45" i="2"/>
  <c r="AS45" i="2"/>
  <c r="AT45" i="2"/>
  <c r="AU45" i="2"/>
  <c r="AV45" i="2"/>
  <c r="AW45" i="2"/>
  <c r="J25" i="18" s="1"/>
  <c r="AY45" i="2"/>
  <c r="AZ45" i="2" s="1"/>
  <c r="BF45" i="2"/>
  <c r="K25" i="18" s="1"/>
  <c r="BH46" i="2"/>
  <c r="BE46" i="2"/>
  <c r="AQ46" i="2"/>
  <c r="AR46" i="2"/>
  <c r="AS46" i="2"/>
  <c r="AT46" i="2"/>
  <c r="AU46" i="2"/>
  <c r="AV46" i="2"/>
  <c r="AW46" i="2"/>
  <c r="J26" i="18" s="1"/>
  <c r="AY46" i="2"/>
  <c r="AZ46" i="2" s="1"/>
  <c r="BF46" i="2"/>
  <c r="K26" i="18" s="1"/>
  <c r="AQ38" i="2"/>
  <c r="AR38" i="2"/>
  <c r="AS38" i="2"/>
  <c r="AT38" i="2"/>
  <c r="AU38" i="2"/>
  <c r="AV38" i="2"/>
  <c r="I21" i="18" s="1"/>
  <c r="AW38" i="2"/>
  <c r="J21" i="18" s="1"/>
  <c r="AX38" i="2"/>
  <c r="AY38" i="2"/>
  <c r="AZ38" i="2" s="1"/>
  <c r="BD38" i="2"/>
  <c r="BE38" i="2"/>
  <c r="BF38" i="2"/>
  <c r="K21" i="18" s="1"/>
  <c r="BH38" i="2"/>
  <c r="AQ51" i="2"/>
  <c r="AR51" i="2"/>
  <c r="AS51" i="2"/>
  <c r="AT51" i="2"/>
  <c r="AU51" i="2"/>
  <c r="AV51" i="2"/>
  <c r="I31" i="18" s="1"/>
  <c r="AW51" i="2"/>
  <c r="AY51" i="2"/>
  <c r="AZ51" i="2" s="1"/>
  <c r="BE51" i="2"/>
  <c r="BF51" i="2"/>
  <c r="K31" i="18" s="1"/>
  <c r="BH51" i="2"/>
  <c r="AX51" i="2" l="1"/>
  <c r="BA51" i="2" s="1"/>
  <c r="J31" i="18"/>
  <c r="AX46" i="2"/>
  <c r="BA46" i="2" s="1"/>
  <c r="I26" i="18"/>
  <c r="AX45" i="2"/>
  <c r="BA45" i="2" s="1"/>
  <c r="I25" i="18"/>
  <c r="BD46" i="2"/>
  <c r="BE45" i="2"/>
  <c r="BA38" i="2"/>
  <c r="BD51" i="2"/>
  <c r="AQ71" i="2"/>
  <c r="AR71" i="2"/>
  <c r="AS71" i="2"/>
  <c r="AT71" i="2"/>
  <c r="AU71" i="2"/>
  <c r="AV71" i="2"/>
  <c r="AW71" i="2"/>
  <c r="AX71" i="2"/>
  <c r="AY71" i="2"/>
  <c r="AZ71" i="2" s="1"/>
  <c r="BD71" i="2"/>
  <c r="BE71" i="2"/>
  <c r="BF71" i="2"/>
  <c r="BH71" i="2"/>
  <c r="AQ80" i="2"/>
  <c r="AR80" i="2"/>
  <c r="AS80" i="2"/>
  <c r="AT80" i="2"/>
  <c r="AU80" i="2"/>
  <c r="AV80" i="2"/>
  <c r="AW80" i="2"/>
  <c r="AX80" i="2" s="1"/>
  <c r="AY80" i="2"/>
  <c r="AZ80" i="2" s="1"/>
  <c r="BD80" i="2"/>
  <c r="BE80" i="2"/>
  <c r="BF80" i="2"/>
  <c r="BH80" i="2"/>
  <c r="BA71" i="2" l="1"/>
  <c r="BA80" i="2"/>
  <c r="AQ65" i="2"/>
  <c r="AR65" i="2"/>
  <c r="AS65" i="2"/>
  <c r="AT65" i="2"/>
  <c r="AU65" i="2"/>
  <c r="AV65" i="2"/>
  <c r="AX65" i="2" s="1"/>
  <c r="AW65" i="2"/>
  <c r="AY65" i="2"/>
  <c r="AZ65" i="2" s="1"/>
  <c r="BE65" i="2"/>
  <c r="BD65" i="2"/>
  <c r="BF65" i="2"/>
  <c r="BH65" i="2"/>
  <c r="AQ66" i="2"/>
  <c r="AR66" i="2"/>
  <c r="AS66" i="2"/>
  <c r="AT66" i="2"/>
  <c r="AU66" i="2"/>
  <c r="AV66" i="2"/>
  <c r="AW66" i="2"/>
  <c r="AX66" i="2"/>
  <c r="AY66" i="2"/>
  <c r="AZ66" i="2" s="1"/>
  <c r="BD66" i="2"/>
  <c r="BF66" i="2"/>
  <c r="BH66" i="2"/>
  <c r="BA65" i="2" l="1"/>
  <c r="BE66" i="2"/>
  <c r="BA66" i="2"/>
  <c r="AQ98" i="2"/>
  <c r="AR98" i="2"/>
  <c r="AS98" i="2"/>
  <c r="AT98" i="2"/>
  <c r="AU98" i="2"/>
  <c r="AV98" i="2"/>
  <c r="I54" i="18" s="1"/>
  <c r="AW98" i="2"/>
  <c r="J54" i="18" s="1"/>
  <c r="AX98" i="2"/>
  <c r="AY98" i="2"/>
  <c r="AZ98" i="2" s="1"/>
  <c r="BD98" i="2"/>
  <c r="BF98" i="2"/>
  <c r="K54" i="18" s="1"/>
  <c r="BH98" i="2"/>
  <c r="AQ81" i="2"/>
  <c r="AR81" i="2"/>
  <c r="AS81" i="2"/>
  <c r="AT81" i="2"/>
  <c r="AU81" i="2"/>
  <c r="AV81" i="2"/>
  <c r="I44" i="18" s="1"/>
  <c r="AW81" i="2"/>
  <c r="AY81" i="2"/>
  <c r="AZ81" i="2" s="1"/>
  <c r="BD81" i="2"/>
  <c r="BF81" i="2"/>
  <c r="K44" i="18" s="1"/>
  <c r="BH81" i="2"/>
  <c r="AQ75" i="2"/>
  <c r="AR75" i="2"/>
  <c r="AS75" i="2"/>
  <c r="AT75" i="2"/>
  <c r="AU75" i="2"/>
  <c r="AV75" i="2"/>
  <c r="I42" i="18" s="1"/>
  <c r="AW75" i="2"/>
  <c r="AY75" i="2"/>
  <c r="AZ75" i="2" s="1"/>
  <c r="BD75" i="2"/>
  <c r="BF75" i="2"/>
  <c r="K42" i="18" s="1"/>
  <c r="BH75" i="2"/>
  <c r="AQ76" i="2"/>
  <c r="AR76" i="2"/>
  <c r="AS76" i="2"/>
  <c r="AT76" i="2"/>
  <c r="AU76" i="2"/>
  <c r="AV76" i="2"/>
  <c r="AX76" i="2" s="1"/>
  <c r="AW76" i="2"/>
  <c r="AY76" i="2"/>
  <c r="AZ76" i="2" s="1"/>
  <c r="BD76" i="2"/>
  <c r="BF76" i="2"/>
  <c r="BH76" i="2"/>
  <c r="AQ73" i="2"/>
  <c r="AR73" i="2"/>
  <c r="AS73" i="2"/>
  <c r="AT73" i="2"/>
  <c r="AU73" i="2"/>
  <c r="AV73" i="2"/>
  <c r="I41" i="18" s="1"/>
  <c r="AW73" i="2"/>
  <c r="J41" i="18" s="1"/>
  <c r="AX73" i="2"/>
  <c r="AY73" i="2"/>
  <c r="AZ73" i="2" s="1"/>
  <c r="BD73" i="2"/>
  <c r="BF73" i="2"/>
  <c r="K41" i="18" s="1"/>
  <c r="BH73" i="2"/>
  <c r="AQ77" i="2"/>
  <c r="AR77" i="2"/>
  <c r="AS77" i="2"/>
  <c r="AT77" i="2"/>
  <c r="AU77" i="2"/>
  <c r="AV77" i="2"/>
  <c r="AW77" i="2"/>
  <c r="AX77" i="2" s="1"/>
  <c r="AY77" i="2"/>
  <c r="AZ77" i="2" s="1"/>
  <c r="BD77" i="2"/>
  <c r="BF77" i="2"/>
  <c r="BH77" i="2"/>
  <c r="AQ90" i="2"/>
  <c r="AR90" i="2"/>
  <c r="AS90" i="2"/>
  <c r="AT90" i="2"/>
  <c r="AU90" i="2"/>
  <c r="AV90" i="2"/>
  <c r="I48" i="18" s="1"/>
  <c r="AW90" i="2"/>
  <c r="AY90" i="2"/>
  <c r="AZ90" i="2" s="1"/>
  <c r="BD90" i="2"/>
  <c r="BF90" i="2"/>
  <c r="K48" i="18" s="1"/>
  <c r="BH90" i="2"/>
  <c r="AQ140" i="2"/>
  <c r="AR140" i="2"/>
  <c r="AS140" i="2"/>
  <c r="AT140" i="2"/>
  <c r="AU140" i="2"/>
  <c r="AV140" i="2"/>
  <c r="AW140" i="2"/>
  <c r="AY140" i="2"/>
  <c r="AZ140" i="2" s="1"/>
  <c r="BD140" i="2"/>
  <c r="BF140" i="2"/>
  <c r="K67" i="18" s="1"/>
  <c r="BH140" i="2"/>
  <c r="AQ139" i="2"/>
  <c r="AR139" i="2"/>
  <c r="AS139" i="2"/>
  <c r="AT139" i="2"/>
  <c r="AU139" i="2"/>
  <c r="AV139" i="2"/>
  <c r="AX139" i="2" s="1"/>
  <c r="AW139" i="2"/>
  <c r="AY139" i="2"/>
  <c r="AZ139" i="2" s="1"/>
  <c r="BD139" i="2"/>
  <c r="BF139" i="2"/>
  <c r="BH139" i="2"/>
  <c r="AQ126" i="2"/>
  <c r="AR126" i="2"/>
  <c r="AS126" i="2"/>
  <c r="AT126" i="2"/>
  <c r="AU126" i="2"/>
  <c r="AV126" i="2"/>
  <c r="AX126" i="2" s="1"/>
  <c r="AW126" i="2"/>
  <c r="AY126" i="2"/>
  <c r="AZ126" i="2" s="1"/>
  <c r="BE126" i="2"/>
  <c r="BF126" i="2"/>
  <c r="BH126" i="2"/>
  <c r="AQ72" i="2"/>
  <c r="AR72" i="2"/>
  <c r="AS72" i="2"/>
  <c r="AT72" i="2"/>
  <c r="AU72" i="2"/>
  <c r="AV72" i="2"/>
  <c r="I40" i="18" s="1"/>
  <c r="AW72" i="2"/>
  <c r="J40" i="18" s="1"/>
  <c r="AX72" i="2"/>
  <c r="AY72" i="2"/>
  <c r="AZ72" i="2" s="1"/>
  <c r="BD72" i="2"/>
  <c r="BF72" i="2"/>
  <c r="K40" i="18" s="1"/>
  <c r="BH72" i="2"/>
  <c r="J67" i="18" l="1"/>
  <c r="AX140" i="2"/>
  <c r="BA140" i="2" s="1"/>
  <c r="I67" i="18"/>
  <c r="AX90" i="2"/>
  <c r="BA90" i="2" s="1"/>
  <c r="J48" i="18"/>
  <c r="AX75" i="2"/>
  <c r="BA75" i="2" s="1"/>
  <c r="J42" i="18"/>
  <c r="AX81" i="2"/>
  <c r="BA81" i="2" s="1"/>
  <c r="J44" i="18"/>
  <c r="BA98" i="2"/>
  <c r="BB98" i="2" s="1"/>
  <c r="BE98" i="2"/>
  <c r="BE81" i="2"/>
  <c r="BA73" i="2"/>
  <c r="BE75" i="2"/>
  <c r="BE73" i="2"/>
  <c r="BA76" i="2"/>
  <c r="BE76" i="2"/>
  <c r="BE77" i="2"/>
  <c r="BA77" i="2"/>
  <c r="BE90" i="2"/>
  <c r="BD126" i="2"/>
  <c r="BE140" i="2"/>
  <c r="BA139" i="2"/>
  <c r="BE139" i="2"/>
  <c r="BA126" i="2"/>
  <c r="BE72" i="2"/>
  <c r="BA72" i="2"/>
  <c r="AQ101" i="2" l="1"/>
  <c r="AR101" i="2"/>
  <c r="AS101" i="2"/>
  <c r="AT101" i="2"/>
  <c r="AU101" i="2"/>
  <c r="AV101" i="2"/>
  <c r="I55" i="18" s="1"/>
  <c r="AW101" i="2"/>
  <c r="J55" i="18" s="1"/>
  <c r="AX101" i="2"/>
  <c r="AY101" i="2"/>
  <c r="AZ101" i="2" s="1"/>
  <c r="BD101" i="2"/>
  <c r="BF101" i="2"/>
  <c r="K55" i="18" s="1"/>
  <c r="BH101" i="2"/>
  <c r="AQ102" i="2"/>
  <c r="AR102" i="2"/>
  <c r="AS102" i="2"/>
  <c r="AT102" i="2"/>
  <c r="AU102" i="2"/>
  <c r="AV102" i="2"/>
  <c r="AW102" i="2"/>
  <c r="AX102" i="2"/>
  <c r="AY102" i="2"/>
  <c r="AZ102" i="2" s="1"/>
  <c r="BD102" i="2"/>
  <c r="BF102" i="2"/>
  <c r="BH102" i="2"/>
  <c r="AQ61" i="2"/>
  <c r="AR61" i="2"/>
  <c r="AS61" i="2"/>
  <c r="AT61" i="2"/>
  <c r="AU61" i="2"/>
  <c r="AV61" i="2"/>
  <c r="I38" i="18" s="1"/>
  <c r="AW61" i="2"/>
  <c r="AY61" i="2"/>
  <c r="AZ61" i="2" s="1"/>
  <c r="BD61" i="2"/>
  <c r="BF61" i="2"/>
  <c r="K38" i="18" s="1"/>
  <c r="BH61" i="2"/>
  <c r="AX61" i="2" l="1"/>
  <c r="BA61" i="2" s="1"/>
  <c r="BB61" i="2" s="1"/>
  <c r="J38" i="18"/>
  <c r="BA102" i="2"/>
  <c r="BE102" i="2"/>
  <c r="BE101" i="2"/>
  <c r="BA101" i="2"/>
  <c r="BE61" i="2"/>
  <c r="BH54" i="2" l="1"/>
  <c r="BH53" i="2"/>
  <c r="BD54" i="2"/>
  <c r="BE53" i="2"/>
  <c r="AQ52" i="2"/>
  <c r="AR52" i="2"/>
  <c r="AS52" i="2"/>
  <c r="AT52" i="2"/>
  <c r="AU52" i="2"/>
  <c r="AV52" i="2"/>
  <c r="I32" i="18" s="1"/>
  <c r="AW52" i="2"/>
  <c r="AY52" i="2"/>
  <c r="AZ52" i="2" s="1"/>
  <c r="BD52" i="2"/>
  <c r="BF52" i="2"/>
  <c r="K32" i="18" s="1"/>
  <c r="BH52" i="2"/>
  <c r="BH55" i="2"/>
  <c r="BD55" i="2"/>
  <c r="AQ53" i="2"/>
  <c r="AR53" i="2"/>
  <c r="AS53" i="2"/>
  <c r="AT53" i="2"/>
  <c r="AU53" i="2"/>
  <c r="AV53" i="2"/>
  <c r="I33" i="18" s="1"/>
  <c r="AW53" i="2"/>
  <c r="AY53" i="2"/>
  <c r="AZ53" i="2" s="1"/>
  <c r="BF53" i="2"/>
  <c r="K33" i="18" s="1"/>
  <c r="BH56" i="2"/>
  <c r="BD56" i="2"/>
  <c r="AQ54" i="2"/>
  <c r="AR54" i="2"/>
  <c r="AS54" i="2"/>
  <c r="AT54" i="2"/>
  <c r="AU54" i="2"/>
  <c r="AV54" i="2"/>
  <c r="I34" i="18" s="1"/>
  <c r="AW54" i="2"/>
  <c r="AY54" i="2"/>
  <c r="AZ54" i="2" s="1"/>
  <c r="BF54" i="2"/>
  <c r="K34" i="18" s="1"/>
  <c r="AQ55" i="2"/>
  <c r="AR55" i="2"/>
  <c r="AS55" i="2"/>
  <c r="AT55" i="2"/>
  <c r="AU55" i="2"/>
  <c r="AV55" i="2"/>
  <c r="I35" i="18" s="1"/>
  <c r="AW55" i="2"/>
  <c r="AY55" i="2"/>
  <c r="AZ55" i="2" s="1"/>
  <c r="BF55" i="2"/>
  <c r="K35" i="18" s="1"/>
  <c r="AQ56" i="2"/>
  <c r="AR56" i="2"/>
  <c r="AS56" i="2"/>
  <c r="AT56" i="2"/>
  <c r="AU56" i="2"/>
  <c r="AV56" i="2"/>
  <c r="I36" i="18" s="1"/>
  <c r="AW56" i="2"/>
  <c r="AY56" i="2"/>
  <c r="AZ56" i="2" s="1"/>
  <c r="BF56" i="2"/>
  <c r="K36" i="18" s="1"/>
  <c r="AX56" i="2" l="1"/>
  <c r="BA56" i="2" s="1"/>
  <c r="J36" i="18"/>
  <c r="AX55" i="2"/>
  <c r="BA55" i="2" s="1"/>
  <c r="J35" i="18"/>
  <c r="AX54" i="2"/>
  <c r="BA54" i="2" s="1"/>
  <c r="J34" i="18"/>
  <c r="AX53" i="2"/>
  <c r="BA53" i="2" s="1"/>
  <c r="J33" i="18"/>
  <c r="AX52" i="2"/>
  <c r="BA52" i="2" s="1"/>
  <c r="J32" i="18"/>
  <c r="BD53" i="2"/>
  <c r="BE52" i="2"/>
  <c r="BE55" i="2"/>
  <c r="BE54" i="2"/>
  <c r="BE56" i="2"/>
  <c r="AQ103" i="2"/>
  <c r="AR103" i="2"/>
  <c r="AS103" i="2"/>
  <c r="AT103" i="2"/>
  <c r="AU103" i="2"/>
  <c r="AV103" i="2"/>
  <c r="AW103" i="2"/>
  <c r="AX103" i="2" s="1"/>
  <c r="AY103" i="2"/>
  <c r="AZ103" i="2" s="1"/>
  <c r="BE103" i="2"/>
  <c r="BD103" i="2"/>
  <c r="BF103" i="2"/>
  <c r="BH103" i="2"/>
  <c r="BH63" i="2"/>
  <c r="BD63" i="2"/>
  <c r="AQ63" i="2"/>
  <c r="AR63" i="2"/>
  <c r="AS63" i="2"/>
  <c r="AT63" i="2"/>
  <c r="AU63" i="2"/>
  <c r="AV63" i="2"/>
  <c r="AW63" i="2"/>
  <c r="AX63" i="2"/>
  <c r="AY63" i="2"/>
  <c r="AZ63" i="2" s="1"/>
  <c r="BF63" i="2"/>
  <c r="BA103" i="2" l="1"/>
  <c r="BE63" i="2"/>
  <c r="BA63" i="2"/>
  <c r="AQ62" i="2"/>
  <c r="AR62" i="2"/>
  <c r="AS62" i="2"/>
  <c r="AT62" i="2"/>
  <c r="AU62" i="2"/>
  <c r="AV62" i="2"/>
  <c r="AW62" i="2"/>
  <c r="AX62" i="2" s="1"/>
  <c r="AY62" i="2"/>
  <c r="AZ62" i="2" s="1"/>
  <c r="BD62" i="2"/>
  <c r="BF62" i="2"/>
  <c r="BH62" i="2"/>
  <c r="AQ104" i="2"/>
  <c r="AR104" i="2"/>
  <c r="AS104" i="2"/>
  <c r="AT104" i="2"/>
  <c r="AU104" i="2"/>
  <c r="AV104" i="2"/>
  <c r="AW104" i="2"/>
  <c r="AX104" i="2" s="1"/>
  <c r="AY104" i="2"/>
  <c r="AZ104" i="2" s="1"/>
  <c r="BE104" i="2"/>
  <c r="BD104" i="2"/>
  <c r="BF104" i="2"/>
  <c r="BH104" i="2"/>
  <c r="BE62" i="2" l="1"/>
  <c r="BA62" i="2"/>
  <c r="BA104" i="2"/>
  <c r="AQ85" i="2" l="1"/>
  <c r="AR85" i="2"/>
  <c r="AS85" i="2"/>
  <c r="AT85" i="2"/>
  <c r="AU85" i="2"/>
  <c r="AV85" i="2"/>
  <c r="AW85" i="2"/>
  <c r="AX85" i="2" s="1"/>
  <c r="AY85" i="2"/>
  <c r="AZ85" i="2" s="1"/>
  <c r="BE85" i="2"/>
  <c r="BD85" i="2"/>
  <c r="BF85" i="2"/>
  <c r="BH85" i="2"/>
  <c r="AQ74" i="2"/>
  <c r="AR74" i="2"/>
  <c r="AS74" i="2"/>
  <c r="AT74" i="2"/>
  <c r="AU74" i="2"/>
  <c r="AV74" i="2"/>
  <c r="AW74" i="2"/>
  <c r="AX74" i="2" s="1"/>
  <c r="AY74" i="2"/>
  <c r="AZ74" i="2" s="1"/>
  <c r="BD74" i="2"/>
  <c r="BE74" i="2"/>
  <c r="BF74" i="2"/>
  <c r="BH74" i="2"/>
  <c r="BA85" i="2" l="1"/>
  <c r="BA74" i="2"/>
  <c r="AQ107" i="2"/>
  <c r="AR107" i="2"/>
  <c r="AS107" i="2"/>
  <c r="AT107" i="2"/>
  <c r="AU107" i="2"/>
  <c r="AV107" i="2"/>
  <c r="I57" i="18" s="1"/>
  <c r="AW107" i="2"/>
  <c r="AY107" i="2"/>
  <c r="AZ107" i="2" s="1"/>
  <c r="BE107" i="2"/>
  <c r="BF107" i="2"/>
  <c r="K57" i="18" s="1"/>
  <c r="BH107" i="2"/>
  <c r="AX107" i="2" l="1"/>
  <c r="BA107" i="2" s="1"/>
  <c r="J57" i="18"/>
  <c r="BD107" i="2"/>
  <c r="AQ105" i="2" l="1"/>
  <c r="AR105" i="2"/>
  <c r="AS105" i="2"/>
  <c r="AT105" i="2"/>
  <c r="AU105" i="2"/>
  <c r="AV105" i="2"/>
  <c r="AW105" i="2"/>
  <c r="AX105" i="2"/>
  <c r="AY105" i="2"/>
  <c r="AZ105" i="2" s="1"/>
  <c r="BD105" i="2"/>
  <c r="BE105" i="2"/>
  <c r="BF105" i="2"/>
  <c r="BH105" i="2"/>
  <c r="AQ100" i="2"/>
  <c r="AR100" i="2"/>
  <c r="AS100" i="2"/>
  <c r="AT100" i="2"/>
  <c r="AU100" i="2"/>
  <c r="AV100" i="2"/>
  <c r="AW100" i="2"/>
  <c r="AX100" i="2"/>
  <c r="AY100" i="2"/>
  <c r="AZ100" i="2" s="1"/>
  <c r="BD100" i="2"/>
  <c r="BF100" i="2"/>
  <c r="BH100" i="2"/>
  <c r="AQ86" i="2"/>
  <c r="AR86" i="2"/>
  <c r="AS86" i="2"/>
  <c r="AT86" i="2"/>
  <c r="AU86" i="2"/>
  <c r="AV86" i="2"/>
  <c r="AW86" i="2"/>
  <c r="AX86" i="2" s="1"/>
  <c r="AY86" i="2"/>
  <c r="AZ86" i="2" s="1"/>
  <c r="BE86" i="2"/>
  <c r="BF86" i="2"/>
  <c r="BH86" i="2"/>
  <c r="AQ87" i="2"/>
  <c r="AR87" i="2"/>
  <c r="AS87" i="2"/>
  <c r="AT87" i="2"/>
  <c r="AU87" i="2"/>
  <c r="AV87" i="2"/>
  <c r="AW87" i="2"/>
  <c r="AX87" i="2" s="1"/>
  <c r="AY87" i="2"/>
  <c r="AZ87" i="2" s="1"/>
  <c r="BE87" i="2"/>
  <c r="BF87" i="2"/>
  <c r="BH87" i="2"/>
  <c r="AQ91" i="2"/>
  <c r="AR91" i="2"/>
  <c r="AS91" i="2"/>
  <c r="AT91" i="2"/>
  <c r="AU91" i="2"/>
  <c r="AV91" i="2"/>
  <c r="I49" i="18" s="1"/>
  <c r="AW91" i="2"/>
  <c r="AY91" i="2"/>
  <c r="AZ91" i="2" s="1"/>
  <c r="BE91" i="2"/>
  <c r="BF91" i="2"/>
  <c r="K49" i="18" s="1"/>
  <c r="BH91" i="2"/>
  <c r="AQ82" i="2"/>
  <c r="AR82" i="2"/>
  <c r="AS82" i="2"/>
  <c r="AT82" i="2"/>
  <c r="AU82" i="2"/>
  <c r="AV82" i="2"/>
  <c r="AW82" i="2"/>
  <c r="AX82" i="2" s="1"/>
  <c r="AY82" i="2"/>
  <c r="AZ82" i="2" s="1"/>
  <c r="BE82" i="2"/>
  <c r="BF82" i="2"/>
  <c r="BH82" i="2"/>
  <c r="AQ108" i="2"/>
  <c r="AR108" i="2"/>
  <c r="AS108" i="2"/>
  <c r="AT108" i="2"/>
  <c r="AU108" i="2"/>
  <c r="AV108" i="2"/>
  <c r="AW108" i="2"/>
  <c r="AX108" i="2" s="1"/>
  <c r="AY108" i="2"/>
  <c r="AZ108" i="2" s="1"/>
  <c r="BE108" i="2"/>
  <c r="BF108" i="2"/>
  <c r="BH108" i="2"/>
  <c r="AX91" i="2" l="1"/>
  <c r="BA91" i="2" s="1"/>
  <c r="J49" i="18"/>
  <c r="BA105" i="2"/>
  <c r="BE100" i="2"/>
  <c r="BD91" i="2"/>
  <c r="BA100" i="2"/>
  <c r="BD87" i="2"/>
  <c r="BD86" i="2"/>
  <c r="BA86" i="2"/>
  <c r="BA87" i="2"/>
  <c r="BD82" i="2"/>
  <c r="BD108" i="2"/>
  <c r="BA82" i="2"/>
  <c r="BA108" i="2"/>
  <c r="BH88" i="2"/>
  <c r="BH84" i="2"/>
  <c r="BD88" i="2"/>
  <c r="BD84" i="2"/>
  <c r="AQ83" i="2"/>
  <c r="AR83" i="2"/>
  <c r="AS83" i="2"/>
  <c r="AT83" i="2"/>
  <c r="AU83" i="2"/>
  <c r="AV83" i="2"/>
  <c r="AX83" i="2" s="1"/>
  <c r="AW83" i="2"/>
  <c r="AY83" i="2"/>
  <c r="AZ83" i="2" s="1"/>
  <c r="BD83" i="2"/>
  <c r="BF83" i="2"/>
  <c r="BH83" i="2"/>
  <c r="BE89" i="2"/>
  <c r="AQ84" i="2"/>
  <c r="AR84" i="2"/>
  <c r="AS84" i="2"/>
  <c r="AT84" i="2"/>
  <c r="AU84" i="2"/>
  <c r="AV84" i="2"/>
  <c r="I45" i="18" s="1"/>
  <c r="AW84" i="2"/>
  <c r="J45" i="18" s="1"/>
  <c r="AX84" i="2"/>
  <c r="AY84" i="2"/>
  <c r="AZ84" i="2" s="1"/>
  <c r="BF84" i="2"/>
  <c r="K45" i="18" s="1"/>
  <c r="AQ88" i="2"/>
  <c r="AR88" i="2"/>
  <c r="AS88" i="2"/>
  <c r="AT88" i="2"/>
  <c r="AU88" i="2"/>
  <c r="AV88" i="2"/>
  <c r="I46" i="18" s="1"/>
  <c r="AW88" i="2"/>
  <c r="AY88" i="2"/>
  <c r="AZ88" i="2" s="1"/>
  <c r="BF88" i="2"/>
  <c r="K46" i="18" s="1"/>
  <c r="AQ89" i="2"/>
  <c r="AR89" i="2"/>
  <c r="AS89" i="2"/>
  <c r="AT89" i="2"/>
  <c r="AU89" i="2"/>
  <c r="AV89" i="2"/>
  <c r="I47" i="18" s="1"/>
  <c r="AW89" i="2"/>
  <c r="AY89" i="2"/>
  <c r="AZ89" i="2" s="1"/>
  <c r="BF89" i="2"/>
  <c r="K47" i="18" s="1"/>
  <c r="BH89" i="2"/>
  <c r="AX89" i="2" l="1"/>
  <c r="BA89" i="2" s="1"/>
  <c r="J47" i="18"/>
  <c r="AX88" i="2"/>
  <c r="BA88" i="2" s="1"/>
  <c r="J46" i="18"/>
  <c r="BA84" i="2"/>
  <c r="BE84" i="2"/>
  <c r="BA83" i="2"/>
  <c r="BE83" i="2"/>
  <c r="BD89" i="2"/>
  <c r="BE88" i="2"/>
  <c r="C28" i="12"/>
  <c r="AQ109" i="2"/>
  <c r="AR109" i="2"/>
  <c r="AS109" i="2"/>
  <c r="AT109" i="2"/>
  <c r="AU109" i="2"/>
  <c r="AV109" i="2"/>
  <c r="AX109" i="2" s="1"/>
  <c r="AW109" i="2"/>
  <c r="AY109" i="2"/>
  <c r="AZ109" i="2" s="1"/>
  <c r="BE109" i="2"/>
  <c r="BD109" i="2"/>
  <c r="BF109" i="2"/>
  <c r="BH109" i="2"/>
  <c r="BA109" i="2" l="1"/>
  <c r="AQ110" i="2" l="1"/>
  <c r="AR110" i="2"/>
  <c r="AS110" i="2"/>
  <c r="AT110" i="2"/>
  <c r="AU110" i="2"/>
  <c r="AV110" i="2"/>
  <c r="AW110" i="2"/>
  <c r="AX110" i="2" s="1"/>
  <c r="AY110" i="2"/>
  <c r="AZ110" i="2" s="1"/>
  <c r="BE110" i="2"/>
  <c r="BD110" i="2"/>
  <c r="BF110" i="2"/>
  <c r="BH110" i="2"/>
  <c r="AQ92" i="2"/>
  <c r="AR92" i="2"/>
  <c r="AS92" i="2"/>
  <c r="AT92" i="2"/>
  <c r="AU92" i="2"/>
  <c r="AV92" i="2"/>
  <c r="AW92" i="2"/>
  <c r="AX92" i="2" s="1"/>
  <c r="AY92" i="2"/>
  <c r="AZ92" i="2" s="1"/>
  <c r="BE92" i="2"/>
  <c r="BF92" i="2"/>
  <c r="BH92" i="2"/>
  <c r="AQ99" i="2"/>
  <c r="AR99" i="2"/>
  <c r="AS99" i="2"/>
  <c r="AT99" i="2"/>
  <c r="AU99" i="2"/>
  <c r="AV99" i="2"/>
  <c r="AW99" i="2"/>
  <c r="AX99" i="2"/>
  <c r="AY99" i="2"/>
  <c r="AZ99" i="2" s="1"/>
  <c r="BD99" i="2"/>
  <c r="BE99" i="2"/>
  <c r="BF99" i="2"/>
  <c r="BH99" i="2"/>
  <c r="BA99" i="2" l="1"/>
  <c r="BD92" i="2"/>
  <c r="BA110" i="2"/>
  <c r="BA92" i="2"/>
  <c r="BD94" i="2"/>
  <c r="AQ93" i="2"/>
  <c r="AR93" i="2"/>
  <c r="AS93" i="2"/>
  <c r="AT93" i="2"/>
  <c r="AU93" i="2"/>
  <c r="AV93" i="2"/>
  <c r="I50" i="18" s="1"/>
  <c r="AW93" i="2"/>
  <c r="AY93" i="2"/>
  <c r="AZ93" i="2" s="1"/>
  <c r="BD93" i="2"/>
  <c r="BF93" i="2"/>
  <c r="K50" i="18" s="1"/>
  <c r="BH93" i="2"/>
  <c r="AQ94" i="2"/>
  <c r="AR94" i="2"/>
  <c r="AS94" i="2"/>
  <c r="AT94" i="2"/>
  <c r="AU94" i="2"/>
  <c r="AV94" i="2"/>
  <c r="I51" i="18" s="1"/>
  <c r="AW94" i="2"/>
  <c r="AY94" i="2"/>
  <c r="AZ94" i="2" s="1"/>
  <c r="BF94" i="2"/>
  <c r="K51" i="18" s="1"/>
  <c r="BH94" i="2"/>
  <c r="AQ95" i="2"/>
  <c r="AR95" i="2"/>
  <c r="AS95" i="2"/>
  <c r="AT95" i="2"/>
  <c r="AU95" i="2"/>
  <c r="AV95" i="2"/>
  <c r="I52" i="18" s="1"/>
  <c r="AW95" i="2"/>
  <c r="AY95" i="2"/>
  <c r="AZ95" i="2" s="1"/>
  <c r="BD95" i="2"/>
  <c r="BF95" i="2"/>
  <c r="K52" i="18" s="1"/>
  <c r="BH95" i="2"/>
  <c r="BD106" i="2"/>
  <c r="AQ96" i="2"/>
  <c r="AR96" i="2"/>
  <c r="AS96" i="2"/>
  <c r="AT96" i="2"/>
  <c r="AU96" i="2"/>
  <c r="AV96" i="2"/>
  <c r="I53" i="18" s="1"/>
  <c r="AW96" i="2"/>
  <c r="AY96" i="2"/>
  <c r="AZ96" i="2" s="1"/>
  <c r="BD96" i="2"/>
  <c r="BF96" i="2"/>
  <c r="K53" i="18" s="1"/>
  <c r="BH96" i="2"/>
  <c r="BH106" i="2"/>
  <c r="AQ106" i="2"/>
  <c r="AR106" i="2"/>
  <c r="AS106" i="2"/>
  <c r="AT106" i="2"/>
  <c r="AU106" i="2"/>
  <c r="AV106" i="2"/>
  <c r="AW106" i="2"/>
  <c r="J56" i="18" s="1"/>
  <c r="AY106" i="2"/>
  <c r="AZ106" i="2" s="1"/>
  <c r="BF106" i="2"/>
  <c r="K56" i="18" s="1"/>
  <c r="AQ97" i="2"/>
  <c r="AR97" i="2"/>
  <c r="AS97" i="2"/>
  <c r="AT97" i="2"/>
  <c r="AU97" i="2"/>
  <c r="AV97" i="2"/>
  <c r="AX97" i="2" s="1"/>
  <c r="AW97" i="2"/>
  <c r="AY97" i="2"/>
  <c r="AZ97" i="2" s="1"/>
  <c r="BE97" i="2"/>
  <c r="BD97" i="2"/>
  <c r="BF97" i="2"/>
  <c r="BH97" i="2"/>
  <c r="AQ196" i="2"/>
  <c r="AR196" i="2"/>
  <c r="AS196" i="2"/>
  <c r="AT196" i="2"/>
  <c r="AU196" i="2"/>
  <c r="AV196" i="2"/>
  <c r="I82" i="18" s="1"/>
  <c r="AW196" i="2"/>
  <c r="AY196" i="2"/>
  <c r="AZ196" i="2" s="1"/>
  <c r="BD196" i="2"/>
  <c r="BF196" i="2"/>
  <c r="K82" i="18" s="1"/>
  <c r="BH196" i="2"/>
  <c r="AQ197" i="2"/>
  <c r="AR197" i="2"/>
  <c r="AS197" i="2"/>
  <c r="AT197" i="2"/>
  <c r="AU197" i="2"/>
  <c r="AV197" i="2"/>
  <c r="I83" i="18" s="1"/>
  <c r="AW197" i="2"/>
  <c r="AY197" i="2"/>
  <c r="AZ197" i="2" s="1"/>
  <c r="BD197" i="2"/>
  <c r="BF197" i="2"/>
  <c r="K83" i="18" s="1"/>
  <c r="BH197" i="2"/>
  <c r="AX197" i="2" l="1"/>
  <c r="BA197" i="2" s="1"/>
  <c r="J83" i="18"/>
  <c r="AX196" i="2"/>
  <c r="BA196" i="2" s="1"/>
  <c r="BB196" i="2" s="1"/>
  <c r="J82" i="18"/>
  <c r="AX106" i="2"/>
  <c r="BA106" i="2" s="1"/>
  <c r="I56" i="18"/>
  <c r="AX96" i="2"/>
  <c r="BA96" i="2" s="1"/>
  <c r="J53" i="18"/>
  <c r="AX95" i="2"/>
  <c r="BA95" i="2" s="1"/>
  <c r="J52" i="18"/>
  <c r="AX94" i="2"/>
  <c r="BA94" i="2" s="1"/>
  <c r="J51" i="18"/>
  <c r="AX93" i="2"/>
  <c r="BA93" i="2" s="1"/>
  <c r="J50" i="18"/>
  <c r="BE93" i="2"/>
  <c r="BE94" i="2"/>
  <c r="BE95" i="2"/>
  <c r="BE96" i="2"/>
  <c r="BE106" i="2"/>
  <c r="BA97" i="2"/>
  <c r="BE196" i="2"/>
  <c r="BE197" i="2"/>
  <c r="AQ112" i="2" l="1"/>
  <c r="AR112" i="2"/>
  <c r="AS112" i="2"/>
  <c r="AT112" i="2"/>
  <c r="AU112" i="2"/>
  <c r="AV112" i="2"/>
  <c r="AW112" i="2"/>
  <c r="AX112" i="2" s="1"/>
  <c r="AY112" i="2"/>
  <c r="AZ112" i="2" s="1"/>
  <c r="BE112" i="2"/>
  <c r="BD112" i="2"/>
  <c r="BF112" i="2"/>
  <c r="BH112" i="2"/>
  <c r="AQ120" i="2"/>
  <c r="AR120" i="2"/>
  <c r="AS120" i="2"/>
  <c r="AT120" i="2"/>
  <c r="AU120" i="2"/>
  <c r="AV120" i="2"/>
  <c r="AW120" i="2"/>
  <c r="AX120" i="2"/>
  <c r="AY120" i="2"/>
  <c r="AZ120" i="2" s="1"/>
  <c r="BD120" i="2"/>
  <c r="BF120" i="2"/>
  <c r="BH120" i="2"/>
  <c r="BA120" i="2" l="1"/>
  <c r="BE120" i="2"/>
  <c r="BA112" i="2"/>
  <c r="AQ146" i="2"/>
  <c r="AR146" i="2"/>
  <c r="AS146" i="2"/>
  <c r="AT146" i="2"/>
  <c r="AU146" i="2"/>
  <c r="AV146" i="2"/>
  <c r="AW146" i="2"/>
  <c r="AX146" i="2" s="1"/>
  <c r="AY146" i="2"/>
  <c r="AZ146" i="2" s="1"/>
  <c r="BE146" i="2"/>
  <c r="BD146" i="2"/>
  <c r="BF146" i="2"/>
  <c r="BH146" i="2"/>
  <c r="BA146" i="2" l="1"/>
  <c r="AQ193" i="2"/>
  <c r="AR193" i="2"/>
  <c r="AS193" i="2"/>
  <c r="AT193" i="2"/>
  <c r="AU193" i="2"/>
  <c r="AV193" i="2"/>
  <c r="AW193" i="2"/>
  <c r="J81" i="18" s="1"/>
  <c r="AY193" i="2"/>
  <c r="AZ193" i="2" s="1"/>
  <c r="BD193" i="2"/>
  <c r="BE193" i="2"/>
  <c r="BF193" i="2"/>
  <c r="K81" i="18" s="1"/>
  <c r="BH193" i="2"/>
  <c r="AX193" i="2" l="1"/>
  <c r="BA193" i="2" s="1"/>
  <c r="BB193" i="2" s="1"/>
  <c r="I81" i="18"/>
  <c r="AQ169" i="2" l="1"/>
  <c r="AR169" i="2"/>
  <c r="AS169" i="2"/>
  <c r="AT169" i="2"/>
  <c r="AU169" i="2"/>
  <c r="AV169" i="2"/>
  <c r="AW169" i="2"/>
  <c r="AX169" i="2" s="1"/>
  <c r="AY169" i="2"/>
  <c r="AZ169" i="2" s="1"/>
  <c r="BD169" i="2"/>
  <c r="BF169" i="2"/>
  <c r="BH169" i="2"/>
  <c r="AQ163" i="2"/>
  <c r="AR163" i="2"/>
  <c r="AS163" i="2"/>
  <c r="AT163" i="2"/>
  <c r="AU163" i="2"/>
  <c r="AV163" i="2"/>
  <c r="AW163" i="2"/>
  <c r="J73" i="18" s="1"/>
  <c r="AY163" i="2"/>
  <c r="AZ163" i="2" s="1"/>
  <c r="BD163" i="2"/>
  <c r="BF163" i="2"/>
  <c r="K73" i="18" s="1"/>
  <c r="BH163" i="2"/>
  <c r="AQ113" i="2"/>
  <c r="AR113" i="2"/>
  <c r="AS113" i="2"/>
  <c r="AT113" i="2"/>
  <c r="AU113" i="2"/>
  <c r="AV113" i="2"/>
  <c r="AW113" i="2"/>
  <c r="AX113" i="2" s="1"/>
  <c r="AY113" i="2"/>
  <c r="AZ113" i="2" s="1"/>
  <c r="BD113" i="2"/>
  <c r="BF113" i="2"/>
  <c r="BH113" i="2"/>
  <c r="AX163" i="2" l="1"/>
  <c r="BA163" i="2" s="1"/>
  <c r="I73" i="18"/>
  <c r="BE113" i="2"/>
  <c r="BE169" i="2"/>
  <c r="BA169" i="2"/>
  <c r="BE163" i="2"/>
  <c r="BA113" i="2"/>
  <c r="I18" i="11"/>
  <c r="I17" i="11"/>
  <c r="D18" i="11"/>
  <c r="D17" i="11"/>
  <c r="K14" i="11"/>
  <c r="I14" i="11"/>
  <c r="B14" i="11"/>
  <c r="L11" i="11"/>
  <c r="I11" i="11"/>
  <c r="D11" i="11"/>
  <c r="E10" i="11"/>
  <c r="D8" i="11"/>
  <c r="BD116" i="2" l="1"/>
  <c r="BD115" i="2"/>
  <c r="AQ114" i="2"/>
  <c r="AR114" i="2"/>
  <c r="AS114" i="2"/>
  <c r="AT114" i="2"/>
  <c r="AU114" i="2"/>
  <c r="AV114" i="2"/>
  <c r="AW114" i="2"/>
  <c r="J58" i="18" s="1"/>
  <c r="AY114" i="2"/>
  <c r="AZ114" i="2" s="1"/>
  <c r="BD114" i="2"/>
  <c r="BF114" i="2"/>
  <c r="K58" i="18" s="1"/>
  <c r="BH114" i="2"/>
  <c r="AQ115" i="2"/>
  <c r="AR115" i="2"/>
  <c r="AS115" i="2"/>
  <c r="AT115" i="2"/>
  <c r="AU115" i="2"/>
  <c r="AV115" i="2"/>
  <c r="AX115" i="2" s="1"/>
  <c r="AW115" i="2"/>
  <c r="AY115" i="2"/>
  <c r="AZ115" i="2" s="1"/>
  <c r="BF115" i="2"/>
  <c r="BH115" i="2"/>
  <c r="AQ116" i="2"/>
  <c r="AR116" i="2"/>
  <c r="AS116" i="2"/>
  <c r="AT116" i="2"/>
  <c r="AU116" i="2"/>
  <c r="AV116" i="2"/>
  <c r="AW116" i="2"/>
  <c r="J59" i="18" s="1"/>
  <c r="AY116" i="2"/>
  <c r="AZ116" i="2" s="1"/>
  <c r="BF116" i="2"/>
  <c r="K59" i="18" s="1"/>
  <c r="BH116" i="2"/>
  <c r="BE119" i="2"/>
  <c r="BD118" i="2"/>
  <c r="AQ117" i="2"/>
  <c r="AR117" i="2"/>
  <c r="AS117" i="2"/>
  <c r="AT117" i="2"/>
  <c r="AU117" i="2"/>
  <c r="AV117" i="2"/>
  <c r="AW117" i="2"/>
  <c r="AX117" i="2" s="1"/>
  <c r="AY117" i="2"/>
  <c r="AZ117" i="2" s="1"/>
  <c r="BD117" i="2"/>
  <c r="BF117" i="2"/>
  <c r="BH117" i="2"/>
  <c r="AQ118" i="2"/>
  <c r="AR118" i="2"/>
  <c r="AS118" i="2"/>
  <c r="AT118" i="2"/>
  <c r="AU118" i="2"/>
  <c r="AV118" i="2"/>
  <c r="AW118" i="2"/>
  <c r="AX118" i="2" s="1"/>
  <c r="AY118" i="2"/>
  <c r="AZ118" i="2" s="1"/>
  <c r="BF118" i="2"/>
  <c r="BH118" i="2"/>
  <c r="AQ119" i="2"/>
  <c r="AR119" i="2"/>
  <c r="AS119" i="2"/>
  <c r="AT119" i="2"/>
  <c r="AU119" i="2"/>
  <c r="AV119" i="2"/>
  <c r="AW119" i="2"/>
  <c r="AX119" i="2" s="1"/>
  <c r="AY119" i="2"/>
  <c r="AZ119" i="2" s="1"/>
  <c r="BF119" i="2"/>
  <c r="BH119" i="2"/>
  <c r="AX116" i="2" l="1"/>
  <c r="BA116" i="2" s="1"/>
  <c r="I59" i="18"/>
  <c r="AX114" i="2"/>
  <c r="BA114" i="2" s="1"/>
  <c r="I58" i="18"/>
  <c r="BE114" i="2"/>
  <c r="BA115" i="2"/>
  <c r="BE115" i="2"/>
  <c r="BE116" i="2"/>
  <c r="BE117" i="2"/>
  <c r="BA117" i="2"/>
  <c r="BD119" i="2"/>
  <c r="BE118" i="2"/>
  <c r="BA118" i="2"/>
  <c r="BA119" i="2"/>
  <c r="AQ159" i="2"/>
  <c r="AR159" i="2"/>
  <c r="AS159" i="2"/>
  <c r="AT159" i="2"/>
  <c r="AU159" i="2"/>
  <c r="AV159" i="2"/>
  <c r="AW159" i="2"/>
  <c r="AX159" i="2" s="1"/>
  <c r="AY159" i="2"/>
  <c r="AZ159" i="2" s="1"/>
  <c r="BD159" i="2"/>
  <c r="BF159" i="2"/>
  <c r="BH159" i="2"/>
  <c r="AQ160" i="2"/>
  <c r="AR160" i="2"/>
  <c r="AS160" i="2"/>
  <c r="AT160" i="2"/>
  <c r="AU160" i="2"/>
  <c r="AV160" i="2"/>
  <c r="AW160" i="2"/>
  <c r="AX160" i="2" s="1"/>
  <c r="AY160" i="2"/>
  <c r="AZ160" i="2" s="1"/>
  <c r="BD160" i="2"/>
  <c r="BF160" i="2"/>
  <c r="BH160" i="2"/>
  <c r="BH121" i="2"/>
  <c r="BD121" i="2"/>
  <c r="AQ121" i="2"/>
  <c r="AR121" i="2"/>
  <c r="AS121" i="2"/>
  <c r="AT121" i="2"/>
  <c r="AU121" i="2"/>
  <c r="AV121" i="2"/>
  <c r="I60" i="18" s="1"/>
  <c r="AW121" i="2"/>
  <c r="J60" i="18" s="1"/>
  <c r="AX121" i="2"/>
  <c r="AY121" i="2"/>
  <c r="AZ121" i="2" s="1"/>
  <c r="BF121" i="2"/>
  <c r="K60" i="18" s="1"/>
  <c r="AQ147" i="2"/>
  <c r="AR147" i="2"/>
  <c r="AS147" i="2"/>
  <c r="AT147" i="2"/>
  <c r="AU147" i="2"/>
  <c r="AV147" i="2"/>
  <c r="AX147" i="2" s="1"/>
  <c r="AW147" i="2"/>
  <c r="AY147" i="2"/>
  <c r="AZ147" i="2" s="1"/>
  <c r="BE147" i="2"/>
  <c r="BF147" i="2"/>
  <c r="BH147" i="2"/>
  <c r="AQ130" i="2"/>
  <c r="AR130" i="2"/>
  <c r="AS130" i="2"/>
  <c r="AT130" i="2"/>
  <c r="AU130" i="2"/>
  <c r="AV130" i="2"/>
  <c r="I63" i="18" s="1"/>
  <c r="AW130" i="2"/>
  <c r="J63" i="18" s="1"/>
  <c r="AX130" i="2"/>
  <c r="AY130" i="2"/>
  <c r="AZ130" i="2" s="1"/>
  <c r="BD130" i="2"/>
  <c r="BF130" i="2"/>
  <c r="K63" i="18" s="1"/>
  <c r="BH130" i="2"/>
  <c r="AQ131" i="2"/>
  <c r="AR131" i="2"/>
  <c r="AS131" i="2"/>
  <c r="AT131" i="2"/>
  <c r="AU131" i="2"/>
  <c r="AV131" i="2"/>
  <c r="AW131" i="2"/>
  <c r="AX131" i="2" s="1"/>
  <c r="AY131" i="2"/>
  <c r="AZ131" i="2" s="1"/>
  <c r="BE131" i="2"/>
  <c r="BF131" i="2"/>
  <c r="BH131" i="2"/>
  <c r="BA121" i="2" l="1"/>
  <c r="BE159" i="2"/>
  <c r="BA159" i="2"/>
  <c r="BE160" i="2"/>
  <c r="BA160" i="2"/>
  <c r="BD147" i="2"/>
  <c r="BE121" i="2"/>
  <c r="BA147" i="2"/>
  <c r="BA130" i="2"/>
  <c r="BE130" i="2"/>
  <c r="BD131" i="2"/>
  <c r="BA131" i="2"/>
  <c r="AQ132" i="2" l="1"/>
  <c r="AR132" i="2"/>
  <c r="AS132" i="2"/>
  <c r="AT132" i="2"/>
  <c r="AU132" i="2"/>
  <c r="AV132" i="2"/>
  <c r="I64" i="18" s="1"/>
  <c r="AW132" i="2"/>
  <c r="AY132" i="2"/>
  <c r="AZ132" i="2" s="1"/>
  <c r="BD132" i="2"/>
  <c r="BF132" i="2"/>
  <c r="K64" i="18" s="1"/>
  <c r="BH132" i="2"/>
  <c r="AQ133" i="2"/>
  <c r="AR133" i="2"/>
  <c r="AS133" i="2"/>
  <c r="AT133" i="2"/>
  <c r="AU133" i="2"/>
  <c r="AV133" i="2"/>
  <c r="I65" i="18" s="1"/>
  <c r="AW133" i="2"/>
  <c r="J65" i="18" s="1"/>
  <c r="AY133" i="2"/>
  <c r="AZ133" i="2" s="1"/>
  <c r="BE133" i="2"/>
  <c r="BF133" i="2"/>
  <c r="K65" i="18" s="1"/>
  <c r="BH133" i="2"/>
  <c r="AX132" i="2" l="1"/>
  <c r="BA132" i="2" s="1"/>
  <c r="J64" i="18"/>
  <c r="AX133" i="2"/>
  <c r="BA133" i="2" s="1"/>
  <c r="BD133" i="2"/>
  <c r="BE132" i="2"/>
  <c r="BD127" i="2"/>
  <c r="AQ127" i="2"/>
  <c r="AR127" i="2"/>
  <c r="AS127" i="2"/>
  <c r="AT127" i="2"/>
  <c r="AU127" i="2"/>
  <c r="AV127" i="2"/>
  <c r="AX127" i="2" s="1"/>
  <c r="AW127" i="2"/>
  <c r="AY127" i="2"/>
  <c r="AZ127" i="2" s="1"/>
  <c r="BE127" i="2"/>
  <c r="BF127" i="2"/>
  <c r="BH127" i="2"/>
  <c r="AQ136" i="2"/>
  <c r="AR136" i="2"/>
  <c r="AS136" i="2"/>
  <c r="AT136" i="2"/>
  <c r="AU136" i="2"/>
  <c r="AV136" i="2"/>
  <c r="AW136" i="2"/>
  <c r="AX136" i="2" s="1"/>
  <c r="AY136" i="2"/>
  <c r="AZ136" i="2" s="1"/>
  <c r="BD136" i="2"/>
  <c r="BF136" i="2"/>
  <c r="BH136" i="2"/>
  <c r="AQ124" i="2"/>
  <c r="AR124" i="2"/>
  <c r="AS124" i="2"/>
  <c r="AT124" i="2"/>
  <c r="AU124" i="2"/>
  <c r="AV124" i="2"/>
  <c r="AW124" i="2"/>
  <c r="AX124" i="2" s="1"/>
  <c r="AY124" i="2"/>
  <c r="AZ124" i="2" s="1"/>
  <c r="BE124" i="2"/>
  <c r="BD124" i="2"/>
  <c r="BF124" i="2"/>
  <c r="BH124" i="2"/>
  <c r="BA127" i="2" l="1"/>
  <c r="BE136" i="2"/>
  <c r="BA136" i="2"/>
  <c r="BA124" i="2"/>
  <c r="AQ137" i="2"/>
  <c r="AR137" i="2"/>
  <c r="AS137" i="2"/>
  <c r="AT137" i="2"/>
  <c r="AU137" i="2"/>
  <c r="AV137" i="2"/>
  <c r="AW137" i="2"/>
  <c r="AX137" i="2" s="1"/>
  <c r="AY137" i="2"/>
  <c r="AZ137" i="2" s="1"/>
  <c r="BE137" i="2"/>
  <c r="BD137" i="2"/>
  <c r="BF137" i="2"/>
  <c r="BH137" i="2"/>
  <c r="AQ138" i="2"/>
  <c r="AR138" i="2"/>
  <c r="AS138" i="2"/>
  <c r="AT138" i="2"/>
  <c r="AU138" i="2"/>
  <c r="AV138" i="2"/>
  <c r="AW138" i="2"/>
  <c r="AX138" i="2" s="1"/>
  <c r="AY138" i="2"/>
  <c r="AZ138" i="2" s="1"/>
  <c r="BE138" i="2"/>
  <c r="BD138" i="2"/>
  <c r="BF138" i="2"/>
  <c r="BH138" i="2"/>
  <c r="AQ141" i="2"/>
  <c r="AR141" i="2"/>
  <c r="AS141" i="2"/>
  <c r="AT141" i="2"/>
  <c r="AU141" i="2"/>
  <c r="AV141" i="2"/>
  <c r="AW141" i="2"/>
  <c r="AX141" i="2" s="1"/>
  <c r="AY141" i="2"/>
  <c r="AZ141" i="2" s="1"/>
  <c r="BE141" i="2"/>
  <c r="BD141" i="2"/>
  <c r="BF141" i="2"/>
  <c r="BH141" i="2"/>
  <c r="AQ142" i="2"/>
  <c r="AR142" i="2"/>
  <c r="AS142" i="2"/>
  <c r="AT142" i="2"/>
  <c r="AU142" i="2"/>
  <c r="AV142" i="2"/>
  <c r="AW142" i="2"/>
  <c r="AX142" i="2" s="1"/>
  <c r="AY142" i="2"/>
  <c r="AZ142" i="2" s="1"/>
  <c r="BE142" i="2"/>
  <c r="BD142" i="2"/>
  <c r="BF142" i="2"/>
  <c r="BH142" i="2"/>
  <c r="BA137" i="2" l="1"/>
  <c r="BA138" i="2"/>
  <c r="BA141" i="2"/>
  <c r="BA142" i="2"/>
  <c r="AQ143" i="2"/>
  <c r="AR143" i="2"/>
  <c r="AS143" i="2"/>
  <c r="AT143" i="2"/>
  <c r="AU143" i="2"/>
  <c r="AV143" i="2"/>
  <c r="AW143" i="2"/>
  <c r="AX143" i="2" s="1"/>
  <c r="AY143" i="2"/>
  <c r="AZ143" i="2" s="1"/>
  <c r="BE143" i="2"/>
  <c r="BD143" i="2"/>
  <c r="BF143" i="2"/>
  <c r="BH143" i="2"/>
  <c r="AQ186" i="2"/>
  <c r="AR186" i="2"/>
  <c r="AS186" i="2"/>
  <c r="AT186" i="2"/>
  <c r="AU186" i="2"/>
  <c r="AV186" i="2"/>
  <c r="I79" i="18" s="1"/>
  <c r="AW186" i="2"/>
  <c r="AY186" i="2"/>
  <c r="AZ186" i="2" s="1"/>
  <c r="BE186" i="2"/>
  <c r="BF186" i="2"/>
  <c r="K79" i="18" s="1"/>
  <c r="BH186" i="2"/>
  <c r="AX186" i="2" l="1"/>
  <c r="BA186" i="2" s="1"/>
  <c r="J79" i="18"/>
  <c r="BD186" i="2"/>
  <c r="BA143" i="2"/>
  <c r="AQ166" i="2" l="1"/>
  <c r="AR166" i="2"/>
  <c r="AS166" i="2"/>
  <c r="AT166" i="2"/>
  <c r="AU166" i="2"/>
  <c r="AV166" i="2"/>
  <c r="AW166" i="2"/>
  <c r="AX166" i="2"/>
  <c r="AY166" i="2"/>
  <c r="AZ166" i="2" s="1"/>
  <c r="BD166" i="2"/>
  <c r="BF166" i="2"/>
  <c r="BH166" i="2"/>
  <c r="BA166" i="2" l="1"/>
  <c r="BE166" i="2"/>
  <c r="BH129" i="2"/>
  <c r="BH128" i="2"/>
  <c r="BD129" i="2"/>
  <c r="BE128" i="2"/>
  <c r="AQ125" i="2"/>
  <c r="AR125" i="2"/>
  <c r="AS125" i="2"/>
  <c r="AT125" i="2"/>
  <c r="AU125" i="2"/>
  <c r="AV125" i="2"/>
  <c r="I61" i="18" s="1"/>
  <c r="AW125" i="2"/>
  <c r="AY125" i="2"/>
  <c r="AZ125" i="2" s="1"/>
  <c r="BE125" i="2"/>
  <c r="BD125" i="2"/>
  <c r="BF125" i="2"/>
  <c r="K61" i="18" s="1"/>
  <c r="BH125" i="2"/>
  <c r="BD134" i="2"/>
  <c r="AQ128" i="2"/>
  <c r="AR128" i="2"/>
  <c r="AS128" i="2"/>
  <c r="AT128" i="2"/>
  <c r="AU128" i="2"/>
  <c r="AV128" i="2"/>
  <c r="I62" i="18" s="1"/>
  <c r="AW128" i="2"/>
  <c r="AY128" i="2"/>
  <c r="AZ128" i="2" s="1"/>
  <c r="BD128" i="2"/>
  <c r="BF128" i="2"/>
  <c r="K62" i="18" s="1"/>
  <c r="AQ129" i="2"/>
  <c r="AR129" i="2"/>
  <c r="AS129" i="2"/>
  <c r="AT129" i="2"/>
  <c r="AU129" i="2"/>
  <c r="AV129" i="2"/>
  <c r="AW129" i="2"/>
  <c r="AX129" i="2" s="1"/>
  <c r="AY129" i="2"/>
  <c r="AZ129" i="2" s="1"/>
  <c r="BF129" i="2"/>
  <c r="AQ134" i="2"/>
  <c r="AR134" i="2"/>
  <c r="AS134" i="2"/>
  <c r="AT134" i="2"/>
  <c r="AU134" i="2"/>
  <c r="AV134" i="2"/>
  <c r="AW134" i="2"/>
  <c r="AX134" i="2" s="1"/>
  <c r="AY134" i="2"/>
  <c r="AZ134" i="2" s="1"/>
  <c r="BE134" i="2"/>
  <c r="BF134" i="2"/>
  <c r="BH134" i="2"/>
  <c r="AX128" i="2" l="1"/>
  <c r="BA128" i="2" s="1"/>
  <c r="J62" i="18"/>
  <c r="AX125" i="2"/>
  <c r="BA125" i="2" s="1"/>
  <c r="J61" i="18"/>
  <c r="BE129" i="2"/>
  <c r="BA129" i="2"/>
  <c r="BA134" i="2"/>
  <c r="AQ148" i="2" l="1"/>
  <c r="AR148" i="2"/>
  <c r="AS148" i="2"/>
  <c r="AT148" i="2"/>
  <c r="AU148" i="2"/>
  <c r="AV148" i="2"/>
  <c r="I69" i="18" s="1"/>
  <c r="AW148" i="2"/>
  <c r="AY148" i="2"/>
  <c r="AZ148" i="2" s="1"/>
  <c r="BE148" i="2"/>
  <c r="BD148" i="2"/>
  <c r="BF148" i="2"/>
  <c r="K69" i="18" s="1"/>
  <c r="BH148" i="2"/>
  <c r="AX148" i="2" l="1"/>
  <c r="BA148" i="2" s="1"/>
  <c r="J69" i="18"/>
  <c r="AW149" i="2" l="1"/>
  <c r="AW150" i="2"/>
  <c r="AW151" i="2"/>
  <c r="AW152" i="2"/>
  <c r="AW153" i="2"/>
  <c r="AW155" i="2"/>
  <c r="J70" i="18" s="1"/>
  <c r="AW156" i="2"/>
  <c r="AW157" i="2"/>
  <c r="AW158" i="2"/>
  <c r="J71" i="18" s="1"/>
  <c r="AW161" i="2"/>
  <c r="AW162" i="2"/>
  <c r="J72" i="18" s="1"/>
  <c r="AW164" i="2"/>
  <c r="AW165" i="2"/>
  <c r="J74" i="18" s="1"/>
  <c r="AW167" i="2"/>
  <c r="AW168" i="2"/>
  <c r="AW170" i="2"/>
  <c r="AW171" i="2"/>
  <c r="AW172" i="2"/>
  <c r="AW173" i="2"/>
  <c r="AW174" i="2"/>
  <c r="AW175" i="2"/>
  <c r="AW176" i="2"/>
  <c r="J75" i="18" s="1"/>
  <c r="AW177" i="2"/>
  <c r="AW178" i="2"/>
  <c r="J76" i="18" s="1"/>
  <c r="AW179" i="2"/>
  <c r="AW180" i="2"/>
  <c r="AW181" i="2"/>
  <c r="J77" i="18" s="1"/>
  <c r="AW182" i="2"/>
  <c r="AW183" i="2"/>
  <c r="AW184" i="2"/>
  <c r="AW187" i="2"/>
  <c r="AW188" i="2"/>
  <c r="AW185" i="2"/>
  <c r="J78" i="18" s="1"/>
  <c r="AW189" i="2"/>
  <c r="AW190" i="2"/>
  <c r="AW191" i="2"/>
  <c r="AW192" i="2"/>
  <c r="J80" i="18" s="1"/>
  <c r="AW194" i="2"/>
  <c r="AW198" i="2"/>
  <c r="AW199" i="2"/>
  <c r="AW195" i="2"/>
  <c r="AW200" i="2"/>
  <c r="AW201" i="2"/>
  <c r="J84" i="18" s="1"/>
  <c r="AW202" i="2"/>
  <c r="AW203" i="2"/>
  <c r="AW204" i="2"/>
  <c r="AW205" i="2"/>
  <c r="AW206" i="2"/>
  <c r="J85" i="18" s="1"/>
  <c r="AW207" i="2"/>
  <c r="AW208" i="2"/>
  <c r="J86" i="18" s="1"/>
  <c r="AW209" i="2"/>
  <c r="AW211" i="2"/>
  <c r="AW212" i="2"/>
  <c r="AW213" i="2"/>
  <c r="AW214" i="2"/>
  <c r="AW215" i="2"/>
  <c r="AW210" i="2"/>
  <c r="AW216" i="2"/>
  <c r="AW217" i="2"/>
  <c r="AW218" i="2"/>
  <c r="J87" i="18" s="1"/>
  <c r="AW219" i="2"/>
  <c r="AW220" i="2"/>
  <c r="AW221" i="2"/>
  <c r="AW222" i="2"/>
  <c r="AW223" i="2"/>
  <c r="J88" i="18" s="1"/>
  <c r="AW224" i="2"/>
  <c r="AW225" i="2"/>
  <c r="AW226" i="2"/>
  <c r="AW227" i="2"/>
  <c r="AW228" i="2"/>
  <c r="AW229" i="2"/>
  <c r="J89" i="18" s="1"/>
  <c r="AW230" i="2"/>
  <c r="AW231" i="2"/>
  <c r="AW232" i="2"/>
  <c r="AW233" i="2"/>
  <c r="AW234" i="2"/>
  <c r="AW235" i="2"/>
  <c r="AW237" i="2"/>
  <c r="AW238" i="2"/>
  <c r="AW239" i="2"/>
  <c r="AW240" i="2"/>
  <c r="AW241" i="2"/>
  <c r="AW236" i="2"/>
  <c r="AW242" i="2"/>
  <c r="AW243" i="2"/>
  <c r="AW244" i="2"/>
  <c r="AW245" i="2"/>
  <c r="AW246" i="2"/>
  <c r="AW247" i="2"/>
  <c r="AW248" i="2"/>
  <c r="AW249" i="2"/>
  <c r="AW250" i="2"/>
  <c r="AW251" i="2"/>
  <c r="AW252" i="2"/>
  <c r="AW253" i="2"/>
  <c r="AW254" i="2"/>
  <c r="AW255" i="2"/>
  <c r="AW256" i="2"/>
  <c r="AW258" i="2"/>
  <c r="AW257" i="2"/>
  <c r="AW259" i="2"/>
  <c r="J90" i="18" s="1"/>
  <c r="AW260" i="2"/>
  <c r="AW261" i="2"/>
  <c r="AW262" i="2"/>
  <c r="AW263" i="2"/>
  <c r="AW264" i="2"/>
  <c r="AW265" i="2"/>
  <c r="AW266" i="2"/>
  <c r="AW268" i="2"/>
  <c r="AW269" i="2"/>
  <c r="AW270" i="2"/>
  <c r="AW271" i="2"/>
  <c r="AW272" i="2"/>
  <c r="AW267" i="2"/>
  <c r="AW273" i="2"/>
  <c r="AW274" i="2"/>
  <c r="AW275" i="2"/>
  <c r="AW276" i="2"/>
  <c r="AW277" i="2"/>
  <c r="AW278" i="2"/>
  <c r="AW281" i="2"/>
  <c r="AW282" i="2"/>
  <c r="AW283" i="2"/>
  <c r="AW284" i="2"/>
  <c r="AW280" i="2"/>
  <c r="AW285" i="2"/>
  <c r="AW279" i="2"/>
  <c r="AW286" i="2"/>
  <c r="AW287" i="2"/>
  <c r="J91" i="18" s="1"/>
  <c r="AW288" i="2"/>
  <c r="AW289" i="2"/>
  <c r="AW290" i="2"/>
  <c r="J92" i="18" s="1"/>
  <c r="AW292" i="2"/>
  <c r="J93" i="18" s="1"/>
  <c r="AW293" i="2"/>
  <c r="AW294" i="2"/>
  <c r="AW295" i="2"/>
  <c r="AW296" i="2"/>
  <c r="AW297" i="2"/>
  <c r="AW298" i="2"/>
  <c r="AW299" i="2"/>
  <c r="AW300" i="2"/>
  <c r="AW301" i="2"/>
  <c r="AW302" i="2"/>
  <c r="AW303" i="2"/>
  <c r="AW304" i="2"/>
  <c r="AW305" i="2"/>
  <c r="AW306" i="2"/>
  <c r="AW308" i="2"/>
  <c r="AW309" i="2"/>
  <c r="AW310" i="2"/>
  <c r="AW312" i="2"/>
  <c r="AW313" i="2"/>
  <c r="AW314" i="2"/>
  <c r="AW311" i="2"/>
  <c r="AW315" i="2"/>
  <c r="AW316" i="2"/>
  <c r="AW317" i="2"/>
  <c r="AW318" i="2"/>
  <c r="AW319" i="2"/>
  <c r="AW320" i="2"/>
  <c r="AW321" i="2"/>
  <c r="AW322" i="2"/>
  <c r="AW323" i="2"/>
  <c r="AW324" i="2"/>
  <c r="J94" i="18" s="1"/>
  <c r="AW325" i="2"/>
  <c r="AW326" i="2"/>
  <c r="AW327" i="2"/>
  <c r="AW328" i="2"/>
  <c r="AW329" i="2"/>
  <c r="AW330" i="2"/>
  <c r="AW331" i="2"/>
  <c r="AW332" i="2"/>
  <c r="AW333" i="2"/>
  <c r="AW334" i="2"/>
  <c r="AW335" i="2"/>
  <c r="AW336" i="2"/>
  <c r="AW337" i="2"/>
  <c r="AW338" i="2"/>
  <c r="J95" i="18" s="1"/>
  <c r="AW340" i="2"/>
  <c r="AW341" i="2"/>
  <c r="AW339" i="2"/>
  <c r="AW342" i="2"/>
  <c r="AW343" i="2"/>
  <c r="AW344" i="2"/>
  <c r="AW345" i="2"/>
  <c r="AW346" i="2"/>
  <c r="AW347" i="2"/>
  <c r="AW348" i="2"/>
  <c r="AW349" i="2"/>
  <c r="AW350" i="2"/>
  <c r="J96" i="18" s="1"/>
  <c r="AW351" i="2"/>
  <c r="AW352" i="2"/>
  <c r="AW353" i="2"/>
  <c r="AW354" i="2"/>
  <c r="AW355" i="2"/>
  <c r="AW356" i="2"/>
  <c r="AW357" i="2"/>
  <c r="AW358" i="2"/>
  <c r="AW359" i="2"/>
  <c r="AW360" i="2"/>
  <c r="AW361" i="2"/>
  <c r="AW362" i="2"/>
  <c r="AW363" i="2"/>
  <c r="AW365" i="2"/>
  <c r="AW364" i="2"/>
  <c r="AW366" i="2"/>
  <c r="AW367" i="2"/>
  <c r="AW368" i="2"/>
  <c r="AW369" i="2"/>
  <c r="AW370" i="2"/>
  <c r="J97" i="18" s="1"/>
  <c r="AW371" i="2"/>
  <c r="J98" i="18" s="1"/>
  <c r="AW372" i="2"/>
  <c r="AW373" i="2"/>
  <c r="AW374" i="2"/>
  <c r="AW375" i="2"/>
  <c r="AW376" i="2"/>
  <c r="AW377" i="2"/>
  <c r="AW378" i="2"/>
  <c r="AW379" i="2"/>
  <c r="AW380" i="2"/>
  <c r="AW381" i="2"/>
  <c r="AW383" i="2"/>
  <c r="AW384" i="2"/>
  <c r="AW382" i="2"/>
  <c r="AW385" i="2"/>
  <c r="AW386" i="2"/>
  <c r="AW387" i="2"/>
  <c r="AW388" i="2"/>
  <c r="AW389" i="2"/>
  <c r="J99" i="18" s="1"/>
  <c r="AW390" i="2"/>
  <c r="AW391" i="2"/>
  <c r="AW392" i="2"/>
  <c r="J100" i="18" s="1"/>
  <c r="AW393" i="2"/>
  <c r="AW394" i="2"/>
  <c r="AW395" i="2"/>
  <c r="AW396" i="2"/>
  <c r="AW397" i="2"/>
  <c r="AW398" i="2"/>
  <c r="AW399" i="2"/>
  <c r="AW400" i="2"/>
  <c r="J101" i="18" s="1"/>
  <c r="AW401" i="2"/>
  <c r="AW402" i="2"/>
  <c r="AW403" i="2"/>
  <c r="AW404" i="2"/>
  <c r="J102" i="18" s="1"/>
  <c r="AW405" i="2"/>
  <c r="J103" i="18" s="1"/>
  <c r="AW406" i="2"/>
  <c r="AW407" i="2"/>
  <c r="AW408" i="2"/>
  <c r="AW409" i="2"/>
  <c r="AW410" i="2"/>
  <c r="AW411" i="2"/>
  <c r="AW412" i="2"/>
  <c r="AW413" i="2"/>
  <c r="AW414" i="2"/>
  <c r="AW415" i="2"/>
  <c r="AW416" i="2"/>
  <c r="AW417" i="2"/>
  <c r="AW418" i="2"/>
  <c r="AW419" i="2"/>
  <c r="AW420" i="2"/>
  <c r="AW421" i="2"/>
  <c r="AW423" i="2"/>
  <c r="J104" i="18" s="1"/>
  <c r="AW424" i="2"/>
  <c r="AW425" i="2"/>
  <c r="AW426" i="2"/>
  <c r="AW422"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J105" i="18" s="1"/>
  <c r="AW464" i="2"/>
  <c r="AW465" i="2"/>
  <c r="AW466" i="2"/>
  <c r="AW467" i="2"/>
  <c r="J106" i="18" s="1"/>
  <c r="AW468" i="2"/>
  <c r="J107" i="18" s="1"/>
  <c r="AW470" i="2"/>
  <c r="AW471" i="2"/>
  <c r="AW469" i="2"/>
  <c r="AW472" i="2"/>
  <c r="AW473" i="2"/>
  <c r="AW474" i="2"/>
  <c r="AW475" i="2"/>
  <c r="AW476" i="2"/>
  <c r="AW477" i="2"/>
  <c r="AW478" i="2"/>
  <c r="AW479" i="2"/>
  <c r="AW480" i="2"/>
  <c r="AW481" i="2"/>
  <c r="AW482" i="2"/>
  <c r="AW483" i="2"/>
  <c r="AW484" i="2"/>
  <c r="AW485" i="2"/>
  <c r="AW486" i="2"/>
  <c r="AW487" i="2"/>
  <c r="AW488" i="2"/>
  <c r="AW489" i="2"/>
  <c r="J108" i="18" s="1"/>
  <c r="AW490" i="2"/>
  <c r="J109" i="18" s="1"/>
  <c r="AW491" i="2"/>
  <c r="AW492" i="2"/>
  <c r="AW493" i="2"/>
  <c r="AW494" i="2"/>
  <c r="AW495" i="2"/>
  <c r="AW496" i="2"/>
  <c r="AW497" i="2"/>
  <c r="J110" i="18" s="1"/>
  <c r="AW498" i="2"/>
  <c r="AW499" i="2"/>
  <c r="AW500" i="2"/>
  <c r="AW502" i="2"/>
  <c r="AW503" i="2"/>
  <c r="AW504" i="2"/>
  <c r="AW505" i="2"/>
  <c r="AW501"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3" i="2"/>
  <c r="AW574" i="2"/>
  <c r="AW572" i="2"/>
  <c r="AW575" i="2"/>
  <c r="AW576" i="2"/>
  <c r="AW577" i="2"/>
  <c r="J111" i="18" s="1"/>
  <c r="AW578" i="2"/>
  <c r="AW579" i="2"/>
  <c r="AW580" i="2"/>
  <c r="AW581" i="2"/>
  <c r="AW582" i="2"/>
  <c r="J112" i="18" s="1"/>
  <c r="AW584" i="2"/>
  <c r="AW585" i="2"/>
  <c r="AW586" i="2"/>
  <c r="AW583" i="2"/>
  <c r="AW587" i="2"/>
  <c r="AW588" i="2"/>
  <c r="AW589" i="2"/>
  <c r="AW590" i="2"/>
  <c r="AW591" i="2"/>
  <c r="AW592" i="2"/>
  <c r="AW593" i="2"/>
  <c r="AW594" i="2"/>
  <c r="AW595" i="2"/>
  <c r="AW596" i="2"/>
  <c r="AW597" i="2"/>
  <c r="AW598" i="2"/>
  <c r="AW599" i="2"/>
  <c r="AW600" i="2"/>
  <c r="AW601" i="2"/>
  <c r="J113" i="18" s="1"/>
  <c r="AW602" i="2"/>
  <c r="AW603" i="2"/>
  <c r="AW604" i="2"/>
  <c r="AW605" i="2"/>
  <c r="AW606" i="2"/>
  <c r="AW607" i="2"/>
  <c r="AW608" i="2"/>
  <c r="J114" i="18" s="1"/>
  <c r="AW609" i="2"/>
  <c r="AW610" i="2"/>
  <c r="AW611" i="2"/>
  <c r="AW612" i="2"/>
  <c r="AW613" i="2"/>
  <c r="AW614" i="2"/>
  <c r="AW615" i="2"/>
  <c r="AW616" i="2"/>
  <c r="AW617" i="2"/>
  <c r="AW618" i="2"/>
  <c r="AW619" i="2"/>
  <c r="AW621" i="2"/>
  <c r="AW620" i="2"/>
  <c r="AW622" i="2"/>
  <c r="AW623" i="2"/>
  <c r="AW624" i="2"/>
  <c r="AW625" i="2"/>
  <c r="AW626" i="2"/>
  <c r="AW627" i="2"/>
  <c r="AW628" i="2"/>
  <c r="J115" i="18" s="1"/>
  <c r="AW629" i="2"/>
  <c r="AW630" i="2"/>
  <c r="AW631" i="2"/>
  <c r="AW632" i="2"/>
  <c r="J116" i="18" s="1"/>
  <c r="AW633" i="2"/>
  <c r="AW634" i="2"/>
  <c r="AW635" i="2"/>
  <c r="AW636" i="2"/>
  <c r="AW637" i="2"/>
  <c r="AW638" i="2"/>
  <c r="AW639" i="2"/>
  <c r="AW640" i="2"/>
  <c r="AW641" i="2"/>
  <c r="AW642" i="2"/>
  <c r="AW643" i="2"/>
  <c r="AW644" i="2"/>
  <c r="AW645" i="2"/>
  <c r="AW646" i="2"/>
  <c r="AW647" i="2"/>
  <c r="AW648" i="2"/>
  <c r="AW649" i="2"/>
  <c r="AW650" i="2"/>
  <c r="AW651" i="2"/>
  <c r="AW652" i="2"/>
  <c r="AW653" i="2"/>
  <c r="AW655" i="2"/>
  <c r="AW654" i="2"/>
  <c r="AW656" i="2"/>
  <c r="AW657" i="2"/>
  <c r="AW658" i="2"/>
  <c r="AW659" i="2"/>
  <c r="AW660" i="2"/>
  <c r="AW661" i="2"/>
  <c r="AW662" i="2"/>
  <c r="AW663" i="2"/>
  <c r="AW664" i="2"/>
  <c r="AW665" i="2"/>
  <c r="AW666" i="2"/>
  <c r="AW667" i="2"/>
  <c r="AW668" i="2"/>
  <c r="AW669" i="2"/>
  <c r="AW671" i="2"/>
  <c r="AW672" i="2"/>
  <c r="AW673" i="2"/>
  <c r="AW674" i="2"/>
  <c r="AW675" i="2"/>
  <c r="AW676" i="2"/>
  <c r="AW677" i="2"/>
  <c r="AW678" i="2"/>
  <c r="AW679" i="2"/>
  <c r="AW680" i="2"/>
  <c r="AW681" i="2"/>
  <c r="AW682" i="2"/>
  <c r="AW683" i="2"/>
  <c r="AW684" i="2"/>
  <c r="AW685" i="2"/>
  <c r="AW686" i="2"/>
  <c r="AW687" i="2"/>
  <c r="AW688" i="2"/>
  <c r="AW689" i="2"/>
  <c r="AW690" i="2"/>
  <c r="AW691" i="2"/>
  <c r="AW692" i="2"/>
  <c r="AW693" i="2"/>
  <c r="AW695" i="2"/>
  <c r="AW696" i="2"/>
  <c r="AW697" i="2"/>
  <c r="AW698" i="2"/>
  <c r="AW694" i="2"/>
  <c r="AW699" i="2"/>
  <c r="AW700" i="2"/>
  <c r="AW701" i="2"/>
  <c r="AW702" i="2"/>
  <c r="AW703" i="2"/>
  <c r="AW704" i="2"/>
  <c r="J117" i="18" s="1"/>
  <c r="AW705" i="2"/>
  <c r="AW706" i="2"/>
  <c r="AW707" i="2"/>
  <c r="AW708" i="2"/>
  <c r="AW709" i="2"/>
  <c r="AW710" i="2"/>
  <c r="AW711" i="2"/>
  <c r="AW712" i="2"/>
  <c r="AW713" i="2"/>
  <c r="AW714" i="2"/>
  <c r="AW715" i="2"/>
  <c r="AW716" i="2"/>
  <c r="AW717" i="2"/>
  <c r="AW718" i="2"/>
  <c r="AW719" i="2"/>
  <c r="AW720" i="2"/>
  <c r="AW721" i="2"/>
  <c r="AW722" i="2"/>
  <c r="J118" i="18" s="1"/>
  <c r="AW723" i="2"/>
  <c r="AW724" i="2"/>
  <c r="AW725" i="2"/>
  <c r="AW726" i="2"/>
  <c r="AW727" i="2"/>
  <c r="AW728" i="2"/>
  <c r="AW729" i="2"/>
  <c r="J119" i="18" s="1"/>
  <c r="AW730" i="2"/>
  <c r="AW731" i="2"/>
  <c r="AW732" i="2"/>
  <c r="AW733" i="2"/>
  <c r="AW734" i="2"/>
  <c r="AW735" i="2"/>
  <c r="AW736" i="2"/>
  <c r="AW737" i="2"/>
  <c r="AW738" i="2"/>
  <c r="AW739" i="2"/>
  <c r="AW740" i="2"/>
  <c r="AW741" i="2"/>
  <c r="AW742" i="2"/>
  <c r="AW743" i="2"/>
  <c r="AW744" i="2"/>
  <c r="AW745" i="2"/>
  <c r="AW746" i="2"/>
  <c r="AW747" i="2"/>
  <c r="AW748" i="2"/>
  <c r="AW749" i="2"/>
  <c r="AW750" i="2"/>
  <c r="AW751" i="2"/>
  <c r="AW752" i="2"/>
  <c r="AW753" i="2"/>
  <c r="AW754" i="2"/>
  <c r="AW755" i="2"/>
  <c r="AW756" i="2"/>
  <c r="AW757" i="2"/>
  <c r="AW758" i="2"/>
  <c r="AW759" i="2"/>
  <c r="AW760" i="2"/>
  <c r="AW761" i="2"/>
  <c r="AW762" i="2"/>
  <c r="AW763" i="2"/>
  <c r="AW764" i="2"/>
  <c r="AW765" i="2"/>
  <c r="AW766" i="2"/>
  <c r="AW767" i="2"/>
  <c r="AW768" i="2"/>
  <c r="AW769" i="2"/>
  <c r="AW770" i="2"/>
  <c r="AW771" i="2"/>
  <c r="AW772" i="2"/>
  <c r="AW773" i="2"/>
  <c r="AW774" i="2"/>
  <c r="AW775" i="2"/>
  <c r="AW776" i="2"/>
  <c r="AW777" i="2"/>
  <c r="AW778" i="2"/>
  <c r="AW779" i="2"/>
  <c r="AW780" i="2"/>
  <c r="AW781" i="2"/>
  <c r="AW782" i="2"/>
  <c r="AW783" i="2"/>
  <c r="AW784" i="2"/>
  <c r="AW785" i="2"/>
  <c r="AW786" i="2"/>
  <c r="AW787" i="2"/>
  <c r="AW788" i="2"/>
  <c r="AW789" i="2"/>
  <c r="AW790" i="2"/>
  <c r="AW791" i="2"/>
  <c r="AW792" i="2"/>
  <c r="AW793" i="2"/>
  <c r="AW794" i="2"/>
  <c r="AW795" i="2"/>
  <c r="AW796" i="2"/>
  <c r="AW797" i="2"/>
  <c r="AW798" i="2"/>
  <c r="AW799" i="2"/>
  <c r="AW801" i="2"/>
  <c r="AW802" i="2"/>
  <c r="AW803" i="2"/>
  <c r="AW804" i="2"/>
  <c r="AW805" i="2"/>
  <c r="AW806" i="2"/>
  <c r="AW807" i="2"/>
  <c r="AW808" i="2"/>
  <c r="AW809" i="2"/>
  <c r="AW810" i="2"/>
  <c r="AW811" i="2"/>
  <c r="AW812" i="2"/>
  <c r="AW813" i="2"/>
  <c r="AW814" i="2"/>
  <c r="AW815" i="2"/>
  <c r="AW816" i="2"/>
  <c r="J120" i="18" s="1"/>
  <c r="AW817" i="2"/>
  <c r="J121" i="18" s="1"/>
  <c r="AW818" i="2"/>
  <c r="AW819" i="2"/>
  <c r="AW820" i="2"/>
  <c r="AW821" i="2"/>
  <c r="AW822" i="2"/>
  <c r="AW823" i="2"/>
  <c r="J122" i="18" s="1"/>
  <c r="AW824" i="2"/>
  <c r="AW825" i="2"/>
  <c r="AW826" i="2"/>
  <c r="AW827" i="2"/>
  <c r="AW828" i="2"/>
  <c r="AW829" i="2"/>
  <c r="AW830" i="2"/>
  <c r="AW831" i="2"/>
  <c r="AW832" i="2"/>
  <c r="AW833" i="2"/>
  <c r="AW834" i="2"/>
  <c r="AW835" i="2"/>
  <c r="J123" i="18" s="1"/>
  <c r="AW836" i="2"/>
  <c r="AW837" i="2"/>
  <c r="AW838" i="2"/>
  <c r="J124" i="18" s="1"/>
  <c r="AW839" i="2"/>
  <c r="J125" i="18" s="1"/>
  <c r="AW840" i="2"/>
  <c r="J126" i="18" s="1"/>
  <c r="AW841" i="2"/>
  <c r="J127" i="18" s="1"/>
  <c r="AW842" i="2"/>
  <c r="AW843" i="2"/>
  <c r="AW844" i="2"/>
  <c r="J128" i="18" s="1"/>
  <c r="AW845" i="2"/>
  <c r="AW846" i="2"/>
  <c r="AW847" i="2"/>
  <c r="AW848" i="2"/>
  <c r="AW849" i="2"/>
  <c r="AW850" i="2"/>
  <c r="AW851" i="2"/>
  <c r="AW852" i="2"/>
  <c r="AW853" i="2"/>
  <c r="AW854" i="2"/>
  <c r="AW855" i="2"/>
  <c r="AW856" i="2"/>
  <c r="AW857" i="2"/>
  <c r="AW858" i="2"/>
  <c r="AW859" i="2"/>
  <c r="AW860" i="2"/>
  <c r="AW861" i="2"/>
  <c r="AW862" i="2"/>
  <c r="AW863" i="2"/>
  <c r="AW864" i="2"/>
  <c r="J129" i="18" s="1"/>
  <c r="AW865" i="2"/>
  <c r="J130" i="18" s="1"/>
  <c r="AW866" i="2"/>
  <c r="AW867" i="2"/>
  <c r="AW868" i="2"/>
  <c r="AW869" i="2"/>
  <c r="AW870" i="2"/>
  <c r="AW871" i="2"/>
  <c r="AW872" i="2"/>
  <c r="AW873" i="2"/>
  <c r="AW874" i="2"/>
  <c r="AW875" i="2"/>
  <c r="AW876" i="2"/>
  <c r="AW877" i="2"/>
  <c r="AW878" i="2"/>
  <c r="AW879" i="2"/>
  <c r="AW880" i="2"/>
  <c r="AW881" i="2"/>
  <c r="AW882" i="2"/>
  <c r="AW883" i="2"/>
  <c r="AW884" i="2"/>
  <c r="AW885" i="2"/>
  <c r="AW886" i="2"/>
  <c r="AW887" i="2"/>
  <c r="AW888" i="2"/>
  <c r="AW889" i="2"/>
  <c r="AW890" i="2"/>
  <c r="AW891" i="2"/>
  <c r="AW892" i="2"/>
  <c r="AW893" i="2"/>
  <c r="AW894" i="2"/>
  <c r="J131" i="18" s="1"/>
  <c r="AW895" i="2"/>
  <c r="AW896" i="2"/>
  <c r="J132" i="18" s="1"/>
  <c r="AW897" i="2"/>
  <c r="J133" i="18" s="1"/>
  <c r="AW898" i="2"/>
  <c r="AW899" i="2"/>
  <c r="AW900" i="2"/>
  <c r="AW901" i="2"/>
  <c r="AW902" i="2"/>
  <c r="AW903" i="2"/>
  <c r="AW904" i="2"/>
  <c r="AW905" i="2"/>
  <c r="AW906" i="2"/>
  <c r="AW907" i="2"/>
  <c r="AW908" i="2"/>
  <c r="AW909" i="2"/>
  <c r="AW910" i="2"/>
  <c r="AW911" i="2"/>
  <c r="AW912" i="2"/>
  <c r="AW913" i="2"/>
  <c r="AW914" i="2"/>
  <c r="AW915" i="2"/>
  <c r="AW916" i="2"/>
  <c r="AW917" i="2"/>
  <c r="AW918" i="2"/>
  <c r="AW919" i="2"/>
  <c r="AW920" i="2"/>
  <c r="AW921" i="2"/>
  <c r="J134" i="18" s="1"/>
  <c r="AW922" i="2"/>
  <c r="AW923" i="2"/>
  <c r="J135" i="18" s="1"/>
  <c r="AW924" i="2"/>
  <c r="AW925" i="2"/>
  <c r="AW926" i="2"/>
  <c r="AW927" i="2"/>
  <c r="AW928" i="2"/>
  <c r="AW929" i="2"/>
  <c r="AW930" i="2"/>
  <c r="AW931" i="2"/>
  <c r="AW932" i="2"/>
  <c r="AW933" i="2"/>
  <c r="AW934" i="2"/>
  <c r="AW935" i="2"/>
  <c r="AW936" i="2"/>
  <c r="J136" i="18" s="1"/>
  <c r="AW937" i="2"/>
  <c r="AW938" i="2"/>
  <c r="AW939" i="2"/>
  <c r="AW940" i="2"/>
  <c r="AW941" i="2"/>
  <c r="AW942" i="2"/>
  <c r="AW943" i="2"/>
  <c r="AW944" i="2"/>
  <c r="J137" i="18" s="1"/>
  <c r="AW945" i="2"/>
  <c r="AW946" i="2"/>
  <c r="AW947" i="2"/>
  <c r="AW948" i="2"/>
  <c r="AW949" i="2"/>
  <c r="AW950" i="2"/>
  <c r="AW951" i="2"/>
  <c r="AW952" i="2"/>
  <c r="AW953" i="2"/>
  <c r="AW954" i="2"/>
  <c r="AW955" i="2"/>
  <c r="AW956" i="2"/>
  <c r="J138" i="18" s="1"/>
  <c r="AW957" i="2"/>
  <c r="AW958" i="2"/>
  <c r="AW959" i="2"/>
  <c r="J139" i="18" s="1"/>
  <c r="AW960" i="2"/>
  <c r="AW961" i="2"/>
  <c r="AW962" i="2"/>
  <c r="AW963" i="2"/>
  <c r="AW964" i="2"/>
  <c r="AW965" i="2"/>
  <c r="AW966" i="2"/>
  <c r="AW967" i="2"/>
  <c r="AW968" i="2"/>
  <c r="AW969" i="2"/>
  <c r="AW970" i="2"/>
  <c r="AW971" i="2"/>
  <c r="AW972" i="2"/>
  <c r="AW973" i="2"/>
  <c r="AW974" i="2"/>
  <c r="AW975" i="2"/>
  <c r="AW976" i="2"/>
  <c r="AW977" i="2"/>
  <c r="AW978" i="2"/>
  <c r="AW979" i="2"/>
  <c r="AW980" i="2"/>
  <c r="AW981" i="2"/>
  <c r="AW982" i="2"/>
  <c r="AW983" i="2"/>
  <c r="AW984" i="2"/>
  <c r="AW985" i="2"/>
  <c r="AW986" i="2"/>
  <c r="AW987" i="2"/>
  <c r="AW988" i="2"/>
  <c r="AW989" i="2"/>
  <c r="AW990" i="2"/>
  <c r="AW991" i="2"/>
  <c r="AW992" i="2"/>
  <c r="AW993" i="2"/>
  <c r="AW994" i="2"/>
  <c r="AW995" i="2"/>
  <c r="AW996" i="2"/>
  <c r="AW997" i="2"/>
  <c r="AW998" i="2"/>
  <c r="AW999" i="2"/>
  <c r="AW1000" i="2"/>
  <c r="AW1001" i="2"/>
  <c r="AW1002" i="2"/>
  <c r="AW1003" i="2"/>
  <c r="AW1004" i="2"/>
  <c r="AW1005" i="2"/>
  <c r="AW1006" i="2"/>
  <c r="AW1007" i="2"/>
  <c r="AW1008" i="2"/>
  <c r="AW1009" i="2"/>
  <c r="AW1010" i="2"/>
  <c r="AW1011" i="2"/>
  <c r="AW1012" i="2"/>
  <c r="AW1013" i="2"/>
  <c r="AW1014" i="2"/>
  <c r="AW1015" i="2"/>
  <c r="AW1016" i="2"/>
  <c r="AW1017" i="2"/>
  <c r="AW1018" i="2"/>
  <c r="AW1019" i="2"/>
  <c r="J140" i="18" s="1"/>
  <c r="AW1020" i="2"/>
  <c r="AW1021" i="2"/>
  <c r="J141" i="18" s="1"/>
  <c r="AW1022" i="2"/>
  <c r="AW1023" i="2"/>
  <c r="AW1024" i="2"/>
  <c r="AW1025" i="2"/>
  <c r="J142" i="18" s="1"/>
  <c r="AW1026" i="2"/>
  <c r="AW1027" i="2"/>
  <c r="AW1028" i="2"/>
  <c r="AW1029" i="2"/>
  <c r="AW1030" i="2"/>
  <c r="AW1031" i="2"/>
  <c r="AW1032" i="2"/>
  <c r="AW1033" i="2"/>
  <c r="AW1034" i="2"/>
  <c r="AW1035" i="2"/>
  <c r="AW1036" i="2"/>
  <c r="AW1037" i="2"/>
  <c r="AW1038" i="2"/>
  <c r="AW1039" i="2"/>
  <c r="AW1040" i="2"/>
  <c r="AW1041" i="2"/>
  <c r="AW1042" i="2"/>
  <c r="J143" i="18" s="1"/>
  <c r="AW1043" i="2"/>
  <c r="AW1044" i="2"/>
  <c r="AW1045" i="2"/>
  <c r="AW1046" i="2"/>
  <c r="J144" i="18" s="1"/>
  <c r="AW1047" i="2"/>
  <c r="AW1048" i="2"/>
  <c r="J145" i="18" s="1"/>
  <c r="AW1049" i="2"/>
  <c r="J146" i="18" s="1"/>
  <c r="AW1050" i="2"/>
  <c r="AW1051" i="2"/>
  <c r="AW1052" i="2"/>
  <c r="J147" i="18" s="1"/>
  <c r="AW1053" i="2"/>
  <c r="AW1054" i="2"/>
  <c r="AW1055" i="2"/>
  <c r="AW1056" i="2"/>
  <c r="AW1057" i="2"/>
  <c r="AW1058" i="2"/>
  <c r="J148" i="18" s="1"/>
  <c r="AW1059" i="2"/>
  <c r="AW1060" i="2"/>
  <c r="J149" i="18" s="1"/>
  <c r="AW1061" i="2"/>
  <c r="AW1062" i="2"/>
  <c r="J150" i="18" s="1"/>
  <c r="AW1063" i="2"/>
  <c r="AW1064" i="2"/>
  <c r="AW1065" i="2"/>
  <c r="AW1066" i="2"/>
  <c r="AW1067" i="2"/>
  <c r="J151" i="18" s="1"/>
  <c r="AW1068" i="2"/>
  <c r="AW1069" i="2"/>
  <c r="AW1070" i="2"/>
  <c r="J152" i="18" s="1"/>
  <c r="AW1071" i="2"/>
  <c r="J153" i="18" s="1"/>
  <c r="AW1072" i="2"/>
  <c r="AW1073" i="2"/>
  <c r="AW1074" i="2"/>
  <c r="J154" i="18" s="1"/>
  <c r="AW1075" i="2"/>
  <c r="J155" i="18" s="1"/>
  <c r="AW1076" i="2"/>
  <c r="J156" i="18" s="1"/>
  <c r="AW1077" i="2"/>
  <c r="J157" i="18" s="1"/>
  <c r="AW1078" i="2"/>
  <c r="J158" i="18" s="1"/>
  <c r="AW1079" i="2"/>
  <c r="AW1080" i="2"/>
  <c r="AW1081" i="2"/>
  <c r="AW1082" i="2"/>
  <c r="AW1083" i="2"/>
  <c r="AW1084" i="2"/>
  <c r="J159" i="18" s="1"/>
  <c r="AW1085" i="2"/>
  <c r="AW1086" i="2"/>
  <c r="J160" i="18" s="1"/>
  <c r="AW1087" i="2"/>
  <c r="AW1088" i="2"/>
  <c r="AW1089" i="2"/>
  <c r="AW1090" i="2"/>
  <c r="AW1091" i="2"/>
  <c r="AW1092" i="2"/>
  <c r="AW1093" i="2"/>
  <c r="AW1094" i="2"/>
  <c r="J161" i="18" s="1"/>
  <c r="AW1095" i="2"/>
  <c r="J162" i="18" s="1"/>
  <c r="AW1096" i="2"/>
  <c r="AW1097" i="2"/>
  <c r="J163" i="18" s="1"/>
  <c r="AW1098" i="2"/>
  <c r="AW1099" i="2"/>
  <c r="J164" i="18" s="1"/>
  <c r="AW1100" i="2"/>
  <c r="AW1101" i="2"/>
  <c r="AW1102" i="2"/>
  <c r="AW1103" i="2"/>
  <c r="J165" i="18" s="1"/>
  <c r="AW1104" i="2"/>
  <c r="AW1105" i="2"/>
  <c r="J166" i="18" s="1"/>
  <c r="AW1106" i="2"/>
  <c r="J167" i="18" s="1"/>
  <c r="AW1107" i="2"/>
  <c r="AW1108" i="2"/>
  <c r="AW1109" i="2"/>
  <c r="AW1110" i="2"/>
  <c r="AW1111" i="2"/>
  <c r="AW1112" i="2"/>
  <c r="AW1113" i="2"/>
  <c r="AW1114" i="2"/>
  <c r="AW1115" i="2"/>
  <c r="AW1116" i="2"/>
  <c r="AW1117" i="2"/>
  <c r="AW1118" i="2"/>
  <c r="AW1119" i="2"/>
  <c r="J168" i="18" s="1"/>
  <c r="AW1120" i="2"/>
  <c r="J169" i="18" s="1"/>
  <c r="AW1121" i="2"/>
  <c r="J170" i="18" s="1"/>
  <c r="AW1122" i="2"/>
  <c r="AW1123" i="2"/>
  <c r="J171" i="18" s="1"/>
  <c r="AW1124" i="2"/>
  <c r="AW1125" i="2"/>
  <c r="AW1126" i="2"/>
  <c r="AW1127" i="2"/>
  <c r="AW1128" i="2"/>
  <c r="J172" i="18" s="1"/>
  <c r="AW1129" i="2"/>
  <c r="AW1130" i="2"/>
  <c r="AW1131" i="2"/>
  <c r="AW1132" i="2"/>
  <c r="AW1133" i="2"/>
  <c r="AW1134" i="2"/>
  <c r="AW1135" i="2"/>
  <c r="AW1136" i="2"/>
  <c r="AW1137" i="2"/>
  <c r="AW1138" i="2"/>
  <c r="AW1139" i="2"/>
  <c r="AW1140" i="2"/>
  <c r="AW1141" i="2"/>
  <c r="AW1142" i="2"/>
  <c r="AW1143" i="2"/>
  <c r="AW1144" i="2"/>
  <c r="AW1145" i="2"/>
  <c r="AW1146" i="2"/>
  <c r="J173" i="18" s="1"/>
  <c r="AW1147" i="2"/>
  <c r="AW1148" i="2"/>
  <c r="J174" i="18" s="1"/>
  <c r="AW1149" i="2"/>
  <c r="AW1150" i="2"/>
  <c r="AW1151" i="2"/>
  <c r="AW1152" i="2"/>
  <c r="AW1153" i="2"/>
  <c r="AW145" i="2"/>
  <c r="J68" i="18" s="1"/>
  <c r="AW144" i="2"/>
  <c r="AW135" i="2"/>
  <c r="AV149" i="2"/>
  <c r="AX149" i="2" s="1"/>
  <c r="AV150" i="2"/>
  <c r="AV151" i="2"/>
  <c r="AV152" i="2"/>
  <c r="AV153" i="2"/>
  <c r="AV155" i="2"/>
  <c r="I70" i="18" s="1"/>
  <c r="AV156" i="2"/>
  <c r="AV157" i="2"/>
  <c r="AV158" i="2"/>
  <c r="I71" i="18" s="1"/>
  <c r="AV161" i="2"/>
  <c r="AV162" i="2"/>
  <c r="I72" i="18" s="1"/>
  <c r="AV164" i="2"/>
  <c r="AV165" i="2"/>
  <c r="I74" i="18" s="1"/>
  <c r="AV167" i="2"/>
  <c r="AV168" i="2"/>
  <c r="AV170" i="2"/>
  <c r="AV171" i="2"/>
  <c r="AV172" i="2"/>
  <c r="AV173" i="2"/>
  <c r="AV174" i="2"/>
  <c r="AV175" i="2"/>
  <c r="AV176" i="2"/>
  <c r="I75" i="18" s="1"/>
  <c r="AV177" i="2"/>
  <c r="AV178" i="2"/>
  <c r="I76" i="18" s="1"/>
  <c r="AV179" i="2"/>
  <c r="AV180" i="2"/>
  <c r="AV181" i="2"/>
  <c r="I77" i="18" s="1"/>
  <c r="AV182" i="2"/>
  <c r="AV183" i="2"/>
  <c r="AV184" i="2"/>
  <c r="AV187" i="2"/>
  <c r="AV188" i="2"/>
  <c r="AV185" i="2"/>
  <c r="I78" i="18" s="1"/>
  <c r="AV189" i="2"/>
  <c r="AV190" i="2"/>
  <c r="AV191" i="2"/>
  <c r="AV192" i="2"/>
  <c r="I80" i="18" s="1"/>
  <c r="AV194" i="2"/>
  <c r="AV198" i="2"/>
  <c r="AV199" i="2"/>
  <c r="AV195" i="2"/>
  <c r="AV200" i="2"/>
  <c r="AV201" i="2"/>
  <c r="I84" i="18" s="1"/>
  <c r="AV202" i="2"/>
  <c r="AV203" i="2"/>
  <c r="AV204" i="2"/>
  <c r="AV205" i="2"/>
  <c r="AV206" i="2"/>
  <c r="I85" i="18" s="1"/>
  <c r="AV207" i="2"/>
  <c r="AV208" i="2"/>
  <c r="I86" i="18" s="1"/>
  <c r="AV209" i="2"/>
  <c r="AV211" i="2"/>
  <c r="AV212" i="2"/>
  <c r="AV213" i="2"/>
  <c r="AV214" i="2"/>
  <c r="AV215" i="2"/>
  <c r="AV210" i="2"/>
  <c r="AV216" i="2"/>
  <c r="AV217" i="2"/>
  <c r="AV218" i="2"/>
  <c r="I87" i="18" s="1"/>
  <c r="AV219" i="2"/>
  <c r="AV220" i="2"/>
  <c r="AV221" i="2"/>
  <c r="AV222" i="2"/>
  <c r="AV223" i="2"/>
  <c r="I88" i="18" s="1"/>
  <c r="AV224" i="2"/>
  <c r="AV225" i="2"/>
  <c r="AV226" i="2"/>
  <c r="AV227" i="2"/>
  <c r="AV228" i="2"/>
  <c r="AV229" i="2"/>
  <c r="I89" i="18" s="1"/>
  <c r="AV230" i="2"/>
  <c r="AV231" i="2"/>
  <c r="AV232" i="2"/>
  <c r="AV233" i="2"/>
  <c r="AV234" i="2"/>
  <c r="AV235" i="2"/>
  <c r="AV237" i="2"/>
  <c r="AV238" i="2"/>
  <c r="AV239" i="2"/>
  <c r="AV240" i="2"/>
  <c r="AV241" i="2"/>
  <c r="AV236" i="2"/>
  <c r="AV242" i="2"/>
  <c r="AV243" i="2"/>
  <c r="AV244" i="2"/>
  <c r="AV245" i="2"/>
  <c r="AV246" i="2"/>
  <c r="AV247" i="2"/>
  <c r="AV248" i="2"/>
  <c r="AV249" i="2"/>
  <c r="AV250" i="2"/>
  <c r="AV251" i="2"/>
  <c r="AV252" i="2"/>
  <c r="AV253" i="2"/>
  <c r="AV254" i="2"/>
  <c r="AV255" i="2"/>
  <c r="AV256" i="2"/>
  <c r="AV258" i="2"/>
  <c r="AV257" i="2"/>
  <c r="AV259" i="2"/>
  <c r="I90" i="18" s="1"/>
  <c r="AV260" i="2"/>
  <c r="AV261" i="2"/>
  <c r="AV262" i="2"/>
  <c r="AV263" i="2"/>
  <c r="AV264" i="2"/>
  <c r="AV265" i="2"/>
  <c r="AV266" i="2"/>
  <c r="AV268" i="2"/>
  <c r="AV269" i="2"/>
  <c r="AV270" i="2"/>
  <c r="AV271" i="2"/>
  <c r="AV272" i="2"/>
  <c r="AV267" i="2"/>
  <c r="AV273" i="2"/>
  <c r="AV274" i="2"/>
  <c r="AV275" i="2"/>
  <c r="AV276" i="2"/>
  <c r="AV277" i="2"/>
  <c r="AV278" i="2"/>
  <c r="AV281" i="2"/>
  <c r="AV282" i="2"/>
  <c r="AV283" i="2"/>
  <c r="AV284" i="2"/>
  <c r="AV280" i="2"/>
  <c r="AV285" i="2"/>
  <c r="AV279" i="2"/>
  <c r="AV286" i="2"/>
  <c r="AV287" i="2"/>
  <c r="I91" i="18" s="1"/>
  <c r="AV288" i="2"/>
  <c r="AV289" i="2"/>
  <c r="AV290" i="2"/>
  <c r="I92" i="18" s="1"/>
  <c r="AV292" i="2"/>
  <c r="I93" i="18" s="1"/>
  <c r="AV293" i="2"/>
  <c r="AV294" i="2"/>
  <c r="AV295" i="2"/>
  <c r="AV296" i="2"/>
  <c r="AV297" i="2"/>
  <c r="AV298" i="2"/>
  <c r="AV299" i="2"/>
  <c r="AV300" i="2"/>
  <c r="AV301" i="2"/>
  <c r="AV302" i="2"/>
  <c r="AV303" i="2"/>
  <c r="AV304" i="2"/>
  <c r="AV305" i="2"/>
  <c r="AV306" i="2"/>
  <c r="AV308" i="2"/>
  <c r="AV309" i="2"/>
  <c r="AV310" i="2"/>
  <c r="AV312" i="2"/>
  <c r="AV313" i="2"/>
  <c r="AV314" i="2"/>
  <c r="AV311" i="2"/>
  <c r="AV315" i="2"/>
  <c r="AV316" i="2"/>
  <c r="AV317" i="2"/>
  <c r="AV318" i="2"/>
  <c r="AV319" i="2"/>
  <c r="AV320" i="2"/>
  <c r="AV321" i="2"/>
  <c r="AV322" i="2"/>
  <c r="AV323" i="2"/>
  <c r="AV324" i="2"/>
  <c r="I94" i="18" s="1"/>
  <c r="AV325" i="2"/>
  <c r="AV326" i="2"/>
  <c r="AV327" i="2"/>
  <c r="AV328" i="2"/>
  <c r="AV329" i="2"/>
  <c r="AV330" i="2"/>
  <c r="AV331" i="2"/>
  <c r="AV332" i="2"/>
  <c r="AV333" i="2"/>
  <c r="AV334" i="2"/>
  <c r="AV335" i="2"/>
  <c r="AV336" i="2"/>
  <c r="AV337" i="2"/>
  <c r="AV338" i="2"/>
  <c r="I95" i="18" s="1"/>
  <c r="AV340" i="2"/>
  <c r="AV341" i="2"/>
  <c r="AV339" i="2"/>
  <c r="AV342" i="2"/>
  <c r="AV343" i="2"/>
  <c r="AV344" i="2"/>
  <c r="AV345" i="2"/>
  <c r="AV346" i="2"/>
  <c r="AV347" i="2"/>
  <c r="AV348" i="2"/>
  <c r="AV349" i="2"/>
  <c r="AV350" i="2"/>
  <c r="I96" i="18" s="1"/>
  <c r="AV351" i="2"/>
  <c r="AV352" i="2"/>
  <c r="AV353" i="2"/>
  <c r="AV354" i="2"/>
  <c r="AV355" i="2"/>
  <c r="AV356" i="2"/>
  <c r="AV357" i="2"/>
  <c r="AV358" i="2"/>
  <c r="AV359" i="2"/>
  <c r="AV360" i="2"/>
  <c r="AV361" i="2"/>
  <c r="AV362" i="2"/>
  <c r="AV363" i="2"/>
  <c r="AV365" i="2"/>
  <c r="AV364" i="2"/>
  <c r="AV366" i="2"/>
  <c r="AV367" i="2"/>
  <c r="AV368" i="2"/>
  <c r="AV369" i="2"/>
  <c r="AV370" i="2"/>
  <c r="I97" i="18" s="1"/>
  <c r="AV371" i="2"/>
  <c r="I98" i="18" s="1"/>
  <c r="AV372" i="2"/>
  <c r="AV373" i="2"/>
  <c r="AV374" i="2"/>
  <c r="AV375" i="2"/>
  <c r="AV376" i="2"/>
  <c r="AV377" i="2"/>
  <c r="AV378" i="2"/>
  <c r="AV379" i="2"/>
  <c r="AV380" i="2"/>
  <c r="AV381" i="2"/>
  <c r="AV383" i="2"/>
  <c r="AV384" i="2"/>
  <c r="AV382" i="2"/>
  <c r="AV385" i="2"/>
  <c r="AV386" i="2"/>
  <c r="AV387" i="2"/>
  <c r="AV388" i="2"/>
  <c r="AV389" i="2"/>
  <c r="I99" i="18" s="1"/>
  <c r="AV390" i="2"/>
  <c r="AV391" i="2"/>
  <c r="AV392" i="2"/>
  <c r="I100" i="18" s="1"/>
  <c r="AV393" i="2"/>
  <c r="AV394" i="2"/>
  <c r="AV395" i="2"/>
  <c r="AV396" i="2"/>
  <c r="AV397" i="2"/>
  <c r="AV398" i="2"/>
  <c r="AV399" i="2"/>
  <c r="AV400" i="2"/>
  <c r="I101" i="18" s="1"/>
  <c r="AV401" i="2"/>
  <c r="AV402" i="2"/>
  <c r="AV403" i="2"/>
  <c r="AV404" i="2"/>
  <c r="I102" i="18" s="1"/>
  <c r="AV405" i="2"/>
  <c r="I103" i="18" s="1"/>
  <c r="AV406" i="2"/>
  <c r="AV407" i="2"/>
  <c r="AV408" i="2"/>
  <c r="AV409" i="2"/>
  <c r="AV410" i="2"/>
  <c r="AV411" i="2"/>
  <c r="AV412" i="2"/>
  <c r="AV413" i="2"/>
  <c r="AV414" i="2"/>
  <c r="AV415" i="2"/>
  <c r="AV416" i="2"/>
  <c r="AV417" i="2"/>
  <c r="AV418" i="2"/>
  <c r="AV419" i="2"/>
  <c r="AV420" i="2"/>
  <c r="AV421" i="2"/>
  <c r="AV423" i="2"/>
  <c r="I104" i="18" s="1"/>
  <c r="AV424" i="2"/>
  <c r="AV425" i="2"/>
  <c r="AV426" i="2"/>
  <c r="AV422" i="2"/>
  <c r="AV427" i="2"/>
  <c r="AV428" i="2"/>
  <c r="AV429" i="2"/>
  <c r="AV430" i="2"/>
  <c r="AV431" i="2"/>
  <c r="AV432" i="2"/>
  <c r="AV433" i="2"/>
  <c r="AV434" i="2"/>
  <c r="AV435" i="2"/>
  <c r="AV436" i="2"/>
  <c r="AV437" i="2"/>
  <c r="AV438" i="2"/>
  <c r="AV439" i="2"/>
  <c r="AV440" i="2"/>
  <c r="AV441" i="2"/>
  <c r="AV442" i="2"/>
  <c r="AV443" i="2"/>
  <c r="AV444" i="2"/>
  <c r="AV445" i="2"/>
  <c r="AV446" i="2"/>
  <c r="AV447" i="2"/>
  <c r="AV448" i="2"/>
  <c r="AV449" i="2"/>
  <c r="AV450" i="2"/>
  <c r="AV451" i="2"/>
  <c r="AV452" i="2"/>
  <c r="AV453" i="2"/>
  <c r="AV454" i="2"/>
  <c r="AV455" i="2"/>
  <c r="AV456" i="2"/>
  <c r="AV457" i="2"/>
  <c r="AV458" i="2"/>
  <c r="AV459" i="2"/>
  <c r="AV460" i="2"/>
  <c r="AV461" i="2"/>
  <c r="AV462" i="2"/>
  <c r="AV463" i="2"/>
  <c r="I105" i="18" s="1"/>
  <c r="AV464" i="2"/>
  <c r="AV465" i="2"/>
  <c r="AV466" i="2"/>
  <c r="AV467" i="2"/>
  <c r="I106" i="18" s="1"/>
  <c r="AV468" i="2"/>
  <c r="I107" i="18" s="1"/>
  <c r="AV470" i="2"/>
  <c r="AV471" i="2"/>
  <c r="AV469" i="2"/>
  <c r="AV472" i="2"/>
  <c r="AV473" i="2"/>
  <c r="AV474" i="2"/>
  <c r="AV475" i="2"/>
  <c r="AV476" i="2"/>
  <c r="AV477" i="2"/>
  <c r="AV478" i="2"/>
  <c r="AV479" i="2"/>
  <c r="AV480" i="2"/>
  <c r="AV481" i="2"/>
  <c r="AV482" i="2"/>
  <c r="AV483" i="2"/>
  <c r="AV484" i="2"/>
  <c r="AV485" i="2"/>
  <c r="AV486" i="2"/>
  <c r="AV487" i="2"/>
  <c r="AV488" i="2"/>
  <c r="AV489" i="2"/>
  <c r="I108" i="18" s="1"/>
  <c r="AV490" i="2"/>
  <c r="I109" i="18" s="1"/>
  <c r="AV491" i="2"/>
  <c r="AV492" i="2"/>
  <c r="AV493" i="2"/>
  <c r="AV494" i="2"/>
  <c r="AV495" i="2"/>
  <c r="AV496" i="2"/>
  <c r="AV497" i="2"/>
  <c r="I110" i="18" s="1"/>
  <c r="AV498" i="2"/>
  <c r="AV499" i="2"/>
  <c r="AV500" i="2"/>
  <c r="AV502" i="2"/>
  <c r="AV503" i="2"/>
  <c r="AV504" i="2"/>
  <c r="AV505" i="2"/>
  <c r="AV501" i="2"/>
  <c r="AV506" i="2"/>
  <c r="AV507" i="2"/>
  <c r="AV508" i="2"/>
  <c r="AV509" i="2"/>
  <c r="AV510" i="2"/>
  <c r="AV511" i="2"/>
  <c r="AV512" i="2"/>
  <c r="AV513" i="2"/>
  <c r="AV514" i="2"/>
  <c r="AV515" i="2"/>
  <c r="AV516" i="2"/>
  <c r="AV517" i="2"/>
  <c r="AV518" i="2"/>
  <c r="AV519" i="2"/>
  <c r="AV520" i="2"/>
  <c r="AV521" i="2"/>
  <c r="AV522" i="2"/>
  <c r="AV523" i="2"/>
  <c r="AV524" i="2"/>
  <c r="AV525" i="2"/>
  <c r="AV526" i="2"/>
  <c r="AV527" i="2"/>
  <c r="AV528" i="2"/>
  <c r="AV529" i="2"/>
  <c r="AV530" i="2"/>
  <c r="AV531" i="2"/>
  <c r="AV532" i="2"/>
  <c r="AV533" i="2"/>
  <c r="AV534" i="2"/>
  <c r="AV535" i="2"/>
  <c r="AV536" i="2"/>
  <c r="AV537" i="2"/>
  <c r="AV538" i="2"/>
  <c r="AV539" i="2"/>
  <c r="AV540" i="2"/>
  <c r="AV541" i="2"/>
  <c r="AV542" i="2"/>
  <c r="AV543" i="2"/>
  <c r="AV544" i="2"/>
  <c r="AV545" i="2"/>
  <c r="AV546" i="2"/>
  <c r="AV547" i="2"/>
  <c r="AV548" i="2"/>
  <c r="AV549" i="2"/>
  <c r="AV550" i="2"/>
  <c r="AV551" i="2"/>
  <c r="AV552" i="2"/>
  <c r="AV553" i="2"/>
  <c r="AV554" i="2"/>
  <c r="AV555" i="2"/>
  <c r="AV556" i="2"/>
  <c r="AV557" i="2"/>
  <c r="AV558" i="2"/>
  <c r="AV559" i="2"/>
  <c r="AV560" i="2"/>
  <c r="AV561" i="2"/>
  <c r="AV562" i="2"/>
  <c r="AV563" i="2"/>
  <c r="AV564" i="2"/>
  <c r="AV565" i="2"/>
  <c r="AV566" i="2"/>
  <c r="AV567" i="2"/>
  <c r="AV568" i="2"/>
  <c r="AV569" i="2"/>
  <c r="AV570" i="2"/>
  <c r="AV571" i="2"/>
  <c r="AV573" i="2"/>
  <c r="AV574" i="2"/>
  <c r="AV572" i="2"/>
  <c r="AV575" i="2"/>
  <c r="AV576" i="2"/>
  <c r="AV577" i="2"/>
  <c r="I111" i="18" s="1"/>
  <c r="AV578" i="2"/>
  <c r="AV579" i="2"/>
  <c r="AV580" i="2"/>
  <c r="AV581" i="2"/>
  <c r="AV582" i="2"/>
  <c r="I112" i="18" s="1"/>
  <c r="AV584" i="2"/>
  <c r="AV585" i="2"/>
  <c r="AV586" i="2"/>
  <c r="AV583" i="2"/>
  <c r="AV587" i="2"/>
  <c r="AV588" i="2"/>
  <c r="AV589" i="2"/>
  <c r="AV590" i="2"/>
  <c r="AV591" i="2"/>
  <c r="AV592" i="2"/>
  <c r="AV593" i="2"/>
  <c r="AV594" i="2"/>
  <c r="AV595" i="2"/>
  <c r="AV596" i="2"/>
  <c r="AV597" i="2"/>
  <c r="AV598" i="2"/>
  <c r="AV599" i="2"/>
  <c r="AV600" i="2"/>
  <c r="AV601" i="2"/>
  <c r="I113" i="18" s="1"/>
  <c r="AV602" i="2"/>
  <c r="AV603" i="2"/>
  <c r="AV604" i="2"/>
  <c r="AV605" i="2"/>
  <c r="AV606" i="2"/>
  <c r="AV607" i="2"/>
  <c r="AV608" i="2"/>
  <c r="I114" i="18" s="1"/>
  <c r="AV609" i="2"/>
  <c r="AV610" i="2"/>
  <c r="AV611" i="2"/>
  <c r="AV612" i="2"/>
  <c r="AV613" i="2"/>
  <c r="AV614" i="2"/>
  <c r="AV615" i="2"/>
  <c r="AV616" i="2"/>
  <c r="AV617" i="2"/>
  <c r="AV618" i="2"/>
  <c r="AV619" i="2"/>
  <c r="AV621" i="2"/>
  <c r="AV620" i="2"/>
  <c r="AV622" i="2"/>
  <c r="AV623" i="2"/>
  <c r="AV624" i="2"/>
  <c r="AV625" i="2"/>
  <c r="AV626" i="2"/>
  <c r="AV627" i="2"/>
  <c r="AV628" i="2"/>
  <c r="I115" i="18" s="1"/>
  <c r="AV629" i="2"/>
  <c r="AV630" i="2"/>
  <c r="AV631" i="2"/>
  <c r="AV632" i="2"/>
  <c r="I116" i="18" s="1"/>
  <c r="AV633" i="2"/>
  <c r="AV634" i="2"/>
  <c r="AV635" i="2"/>
  <c r="AV636" i="2"/>
  <c r="AV637" i="2"/>
  <c r="AV638" i="2"/>
  <c r="AV639" i="2"/>
  <c r="AV640" i="2"/>
  <c r="AV641" i="2"/>
  <c r="AV642" i="2"/>
  <c r="AV643" i="2"/>
  <c r="AV644" i="2"/>
  <c r="AV645" i="2"/>
  <c r="AV646" i="2"/>
  <c r="AV647" i="2"/>
  <c r="AV648" i="2"/>
  <c r="AV649" i="2"/>
  <c r="AV650" i="2"/>
  <c r="AV651" i="2"/>
  <c r="AV652" i="2"/>
  <c r="AV653" i="2"/>
  <c r="AV655" i="2"/>
  <c r="AV654" i="2"/>
  <c r="AV656" i="2"/>
  <c r="AV657" i="2"/>
  <c r="AV658" i="2"/>
  <c r="AV659" i="2"/>
  <c r="AV660" i="2"/>
  <c r="AV661" i="2"/>
  <c r="AV662" i="2"/>
  <c r="AV663" i="2"/>
  <c r="AV664" i="2"/>
  <c r="AV665" i="2"/>
  <c r="AV666" i="2"/>
  <c r="AV667" i="2"/>
  <c r="AV668" i="2"/>
  <c r="AV669" i="2"/>
  <c r="AV671" i="2"/>
  <c r="AV672" i="2"/>
  <c r="AV673" i="2"/>
  <c r="AV674" i="2"/>
  <c r="AV675" i="2"/>
  <c r="AV676" i="2"/>
  <c r="AV677" i="2"/>
  <c r="AV678" i="2"/>
  <c r="AV679" i="2"/>
  <c r="AV680" i="2"/>
  <c r="AV681" i="2"/>
  <c r="AV682" i="2"/>
  <c r="AV683" i="2"/>
  <c r="AV684" i="2"/>
  <c r="AV685" i="2"/>
  <c r="AV686" i="2"/>
  <c r="AV687" i="2"/>
  <c r="AV688" i="2"/>
  <c r="AV689" i="2"/>
  <c r="AV690" i="2"/>
  <c r="AV691" i="2"/>
  <c r="AV692" i="2"/>
  <c r="AV693" i="2"/>
  <c r="AV695" i="2"/>
  <c r="AV696" i="2"/>
  <c r="AV697" i="2"/>
  <c r="AV698" i="2"/>
  <c r="AV694" i="2"/>
  <c r="AV699" i="2"/>
  <c r="AV700" i="2"/>
  <c r="AV701" i="2"/>
  <c r="AV702" i="2"/>
  <c r="AV703" i="2"/>
  <c r="AV704" i="2"/>
  <c r="I117" i="18" s="1"/>
  <c r="AV705" i="2"/>
  <c r="AV706" i="2"/>
  <c r="AV707" i="2"/>
  <c r="AV708" i="2"/>
  <c r="AV709" i="2"/>
  <c r="AV710" i="2"/>
  <c r="AV711" i="2"/>
  <c r="AV712" i="2"/>
  <c r="AV713" i="2"/>
  <c r="AV714" i="2"/>
  <c r="AV715" i="2"/>
  <c r="AV716" i="2"/>
  <c r="AV717" i="2"/>
  <c r="AV718" i="2"/>
  <c r="AV719" i="2"/>
  <c r="AV720" i="2"/>
  <c r="AV721" i="2"/>
  <c r="AV722" i="2"/>
  <c r="I118" i="18" s="1"/>
  <c r="AV723" i="2"/>
  <c r="AV724" i="2"/>
  <c r="AV725" i="2"/>
  <c r="AV726" i="2"/>
  <c r="AV727" i="2"/>
  <c r="AV728" i="2"/>
  <c r="AV729" i="2"/>
  <c r="I119" i="18" s="1"/>
  <c r="AV730" i="2"/>
  <c r="AV731" i="2"/>
  <c r="AV732" i="2"/>
  <c r="AV733" i="2"/>
  <c r="AV734" i="2"/>
  <c r="AV735" i="2"/>
  <c r="AV736" i="2"/>
  <c r="AV737" i="2"/>
  <c r="AV738" i="2"/>
  <c r="AV739" i="2"/>
  <c r="AV740" i="2"/>
  <c r="AV741" i="2"/>
  <c r="AV742" i="2"/>
  <c r="AV743" i="2"/>
  <c r="AV744" i="2"/>
  <c r="AV745" i="2"/>
  <c r="AV746" i="2"/>
  <c r="AV747" i="2"/>
  <c r="AV748" i="2"/>
  <c r="AV749" i="2"/>
  <c r="AV750" i="2"/>
  <c r="AV751" i="2"/>
  <c r="AV752" i="2"/>
  <c r="AV753" i="2"/>
  <c r="AV754" i="2"/>
  <c r="AV755" i="2"/>
  <c r="AV756" i="2"/>
  <c r="AV757" i="2"/>
  <c r="AV758" i="2"/>
  <c r="AV759" i="2"/>
  <c r="AV760" i="2"/>
  <c r="AV761" i="2"/>
  <c r="AV762" i="2"/>
  <c r="AV763" i="2"/>
  <c r="AV764" i="2"/>
  <c r="AV765" i="2"/>
  <c r="AV766" i="2"/>
  <c r="AV767" i="2"/>
  <c r="AV768" i="2"/>
  <c r="AV769" i="2"/>
  <c r="AV770" i="2"/>
  <c r="AV771" i="2"/>
  <c r="AV772" i="2"/>
  <c r="AV773" i="2"/>
  <c r="AV774" i="2"/>
  <c r="AV775" i="2"/>
  <c r="AV776" i="2"/>
  <c r="AV777" i="2"/>
  <c r="AV778" i="2"/>
  <c r="AV779" i="2"/>
  <c r="AV780" i="2"/>
  <c r="AV781" i="2"/>
  <c r="AV782" i="2"/>
  <c r="AV783" i="2"/>
  <c r="AV784" i="2"/>
  <c r="AV785" i="2"/>
  <c r="AV786" i="2"/>
  <c r="AV787" i="2"/>
  <c r="AV788" i="2"/>
  <c r="AV789" i="2"/>
  <c r="AV790" i="2"/>
  <c r="AV791" i="2"/>
  <c r="AV792" i="2"/>
  <c r="AV793" i="2"/>
  <c r="AV794" i="2"/>
  <c r="AV795" i="2"/>
  <c r="AV796" i="2"/>
  <c r="AV797" i="2"/>
  <c r="AV798" i="2"/>
  <c r="AV799" i="2"/>
  <c r="AV801" i="2"/>
  <c r="AV802" i="2"/>
  <c r="AV803" i="2"/>
  <c r="AV804" i="2"/>
  <c r="AV805" i="2"/>
  <c r="AV806" i="2"/>
  <c r="AV807" i="2"/>
  <c r="AV808" i="2"/>
  <c r="AV809" i="2"/>
  <c r="AV810" i="2"/>
  <c r="AV811" i="2"/>
  <c r="AV812" i="2"/>
  <c r="AV813" i="2"/>
  <c r="AV814" i="2"/>
  <c r="AV815" i="2"/>
  <c r="AV816" i="2"/>
  <c r="I120" i="18" s="1"/>
  <c r="AV817" i="2"/>
  <c r="I121" i="18" s="1"/>
  <c r="AV818" i="2"/>
  <c r="AV819" i="2"/>
  <c r="AV820" i="2"/>
  <c r="AV821" i="2"/>
  <c r="AV822" i="2"/>
  <c r="AV823" i="2"/>
  <c r="I122" i="18" s="1"/>
  <c r="AV824" i="2"/>
  <c r="AV825" i="2"/>
  <c r="AV826" i="2"/>
  <c r="AV827" i="2"/>
  <c r="AV828" i="2"/>
  <c r="AV829" i="2"/>
  <c r="AV830" i="2"/>
  <c r="AV831" i="2"/>
  <c r="AV832" i="2"/>
  <c r="AV833" i="2"/>
  <c r="AV834" i="2"/>
  <c r="AV835" i="2"/>
  <c r="I123" i="18" s="1"/>
  <c r="AV836" i="2"/>
  <c r="AV837" i="2"/>
  <c r="AV838" i="2"/>
  <c r="I124" i="18" s="1"/>
  <c r="AV839" i="2"/>
  <c r="I125" i="18" s="1"/>
  <c r="AV840" i="2"/>
  <c r="I126" i="18" s="1"/>
  <c r="AV841" i="2"/>
  <c r="I127" i="18" s="1"/>
  <c r="AV842" i="2"/>
  <c r="AV843" i="2"/>
  <c r="AV844" i="2"/>
  <c r="I128" i="18" s="1"/>
  <c r="AV845" i="2"/>
  <c r="AV846" i="2"/>
  <c r="AV847" i="2"/>
  <c r="AV848" i="2"/>
  <c r="AV849" i="2"/>
  <c r="AV850" i="2"/>
  <c r="AV851" i="2"/>
  <c r="AV852" i="2"/>
  <c r="AV853" i="2"/>
  <c r="AV854" i="2"/>
  <c r="AV855" i="2"/>
  <c r="AV856" i="2"/>
  <c r="AV857" i="2"/>
  <c r="AV858" i="2"/>
  <c r="AV859" i="2"/>
  <c r="AV860" i="2"/>
  <c r="AV861" i="2"/>
  <c r="AV862" i="2"/>
  <c r="AV863" i="2"/>
  <c r="AV864" i="2"/>
  <c r="I129" i="18" s="1"/>
  <c r="AV865" i="2"/>
  <c r="I130" i="18" s="1"/>
  <c r="AV866" i="2"/>
  <c r="AV867" i="2"/>
  <c r="AV868" i="2"/>
  <c r="AV869" i="2"/>
  <c r="AV870" i="2"/>
  <c r="AV871" i="2"/>
  <c r="AV872" i="2"/>
  <c r="AV873" i="2"/>
  <c r="AV874" i="2"/>
  <c r="AV875" i="2"/>
  <c r="AV876" i="2"/>
  <c r="AV877" i="2"/>
  <c r="AV878" i="2"/>
  <c r="AV879" i="2"/>
  <c r="AV880" i="2"/>
  <c r="AV881" i="2"/>
  <c r="AV882" i="2"/>
  <c r="AV883" i="2"/>
  <c r="AV884" i="2"/>
  <c r="AV885" i="2"/>
  <c r="AV886" i="2"/>
  <c r="AV887" i="2"/>
  <c r="AV888" i="2"/>
  <c r="AV889" i="2"/>
  <c r="AV890" i="2"/>
  <c r="AV891" i="2"/>
  <c r="AV892" i="2"/>
  <c r="AV893" i="2"/>
  <c r="AV894" i="2"/>
  <c r="I131" i="18" s="1"/>
  <c r="AV895" i="2"/>
  <c r="AV896" i="2"/>
  <c r="I132" i="18" s="1"/>
  <c r="AV897" i="2"/>
  <c r="I133" i="18" s="1"/>
  <c r="AV898" i="2"/>
  <c r="AV899" i="2"/>
  <c r="AV900" i="2"/>
  <c r="AV901" i="2"/>
  <c r="AV902" i="2"/>
  <c r="AV903" i="2"/>
  <c r="AV904" i="2"/>
  <c r="AV905" i="2"/>
  <c r="AV906" i="2"/>
  <c r="AV907" i="2"/>
  <c r="AV908" i="2"/>
  <c r="AV909" i="2"/>
  <c r="AV910" i="2"/>
  <c r="AV911" i="2"/>
  <c r="AV912" i="2"/>
  <c r="AV913" i="2"/>
  <c r="AV914" i="2"/>
  <c r="AV915" i="2"/>
  <c r="AV916" i="2"/>
  <c r="AV917" i="2"/>
  <c r="AV918" i="2"/>
  <c r="AV919" i="2"/>
  <c r="AV920" i="2"/>
  <c r="AV921" i="2"/>
  <c r="I134" i="18" s="1"/>
  <c r="AV922" i="2"/>
  <c r="AV923" i="2"/>
  <c r="I135" i="18" s="1"/>
  <c r="AV924" i="2"/>
  <c r="AV925" i="2"/>
  <c r="AV926" i="2"/>
  <c r="AV927" i="2"/>
  <c r="AV928" i="2"/>
  <c r="AV929" i="2"/>
  <c r="AV930" i="2"/>
  <c r="AV931" i="2"/>
  <c r="AV932" i="2"/>
  <c r="AV933" i="2"/>
  <c r="AV934" i="2"/>
  <c r="AV935" i="2"/>
  <c r="AV936" i="2"/>
  <c r="I136" i="18" s="1"/>
  <c r="AV937" i="2"/>
  <c r="AV938" i="2"/>
  <c r="AV939" i="2"/>
  <c r="AV940" i="2"/>
  <c r="AV941" i="2"/>
  <c r="AV942" i="2"/>
  <c r="AV943" i="2"/>
  <c r="AV944" i="2"/>
  <c r="I137" i="18" s="1"/>
  <c r="AV945" i="2"/>
  <c r="AV946" i="2"/>
  <c r="AV947" i="2"/>
  <c r="AV948" i="2"/>
  <c r="AV949" i="2"/>
  <c r="AV950" i="2"/>
  <c r="AV951" i="2"/>
  <c r="AV952" i="2"/>
  <c r="AV953" i="2"/>
  <c r="AV954" i="2"/>
  <c r="AV955" i="2"/>
  <c r="AV956" i="2"/>
  <c r="I138" i="18" s="1"/>
  <c r="AV957" i="2"/>
  <c r="AV958" i="2"/>
  <c r="AV959" i="2"/>
  <c r="I139" i="18" s="1"/>
  <c r="AV960" i="2"/>
  <c r="AV961" i="2"/>
  <c r="AV962" i="2"/>
  <c r="AV963" i="2"/>
  <c r="AV964" i="2"/>
  <c r="AV965" i="2"/>
  <c r="AV966" i="2"/>
  <c r="AV967" i="2"/>
  <c r="AV968" i="2"/>
  <c r="AV969" i="2"/>
  <c r="AV970" i="2"/>
  <c r="AV971" i="2"/>
  <c r="AV972" i="2"/>
  <c r="AV973" i="2"/>
  <c r="AV974" i="2"/>
  <c r="AV975" i="2"/>
  <c r="AV976" i="2"/>
  <c r="AV977" i="2"/>
  <c r="AV978" i="2"/>
  <c r="AV979" i="2"/>
  <c r="AV980" i="2"/>
  <c r="AV981" i="2"/>
  <c r="AV982" i="2"/>
  <c r="AV983" i="2"/>
  <c r="AV984" i="2"/>
  <c r="AV985" i="2"/>
  <c r="AV986" i="2"/>
  <c r="AV987" i="2"/>
  <c r="AV988" i="2"/>
  <c r="AV989" i="2"/>
  <c r="AV990" i="2"/>
  <c r="AV991" i="2"/>
  <c r="AV992" i="2"/>
  <c r="AV993" i="2"/>
  <c r="AV994" i="2"/>
  <c r="AV995" i="2"/>
  <c r="AV996" i="2"/>
  <c r="AV997" i="2"/>
  <c r="AV998" i="2"/>
  <c r="AV999" i="2"/>
  <c r="AV1000" i="2"/>
  <c r="AV1001" i="2"/>
  <c r="AV1002" i="2"/>
  <c r="AV1003" i="2"/>
  <c r="AV1004" i="2"/>
  <c r="AV1005" i="2"/>
  <c r="AV1006" i="2"/>
  <c r="AV1007" i="2"/>
  <c r="AV1008" i="2"/>
  <c r="AV1009" i="2"/>
  <c r="AV1010" i="2"/>
  <c r="AV1011" i="2"/>
  <c r="AV1012" i="2"/>
  <c r="AV1013" i="2"/>
  <c r="AV1014" i="2"/>
  <c r="AV1015" i="2"/>
  <c r="AV1016" i="2"/>
  <c r="AV1017" i="2"/>
  <c r="AV1018" i="2"/>
  <c r="AV1019" i="2"/>
  <c r="I140" i="18" s="1"/>
  <c r="AV1020" i="2"/>
  <c r="AV1021" i="2"/>
  <c r="I141" i="18" s="1"/>
  <c r="AV1022" i="2"/>
  <c r="AV1023" i="2"/>
  <c r="AV1024" i="2"/>
  <c r="AV1025" i="2"/>
  <c r="I142" i="18" s="1"/>
  <c r="AV1026" i="2"/>
  <c r="AV1027" i="2"/>
  <c r="AV1028" i="2"/>
  <c r="AV1029" i="2"/>
  <c r="AV1030" i="2"/>
  <c r="AV1031" i="2"/>
  <c r="AV1032" i="2"/>
  <c r="AV1033" i="2"/>
  <c r="AV1034" i="2"/>
  <c r="AV1035" i="2"/>
  <c r="AV1036" i="2"/>
  <c r="AV1037" i="2"/>
  <c r="AV1038" i="2"/>
  <c r="AV1039" i="2"/>
  <c r="AV1040" i="2"/>
  <c r="AV1041" i="2"/>
  <c r="AV1042" i="2"/>
  <c r="I143" i="18" s="1"/>
  <c r="AV1043" i="2"/>
  <c r="AV1044" i="2"/>
  <c r="AV1045" i="2"/>
  <c r="AV1046" i="2"/>
  <c r="I144" i="18" s="1"/>
  <c r="AV1047" i="2"/>
  <c r="AV1048" i="2"/>
  <c r="I145" i="18" s="1"/>
  <c r="AV1049" i="2"/>
  <c r="I146" i="18" s="1"/>
  <c r="AV1050" i="2"/>
  <c r="AV1051" i="2"/>
  <c r="AV1052" i="2"/>
  <c r="I147" i="18" s="1"/>
  <c r="AV1053" i="2"/>
  <c r="AV1054" i="2"/>
  <c r="AV1055" i="2"/>
  <c r="AV1056" i="2"/>
  <c r="AV1057" i="2"/>
  <c r="AV1058" i="2"/>
  <c r="I148" i="18" s="1"/>
  <c r="AV1059" i="2"/>
  <c r="AV1060" i="2"/>
  <c r="I149" i="18" s="1"/>
  <c r="AV1061" i="2"/>
  <c r="AV1062" i="2"/>
  <c r="I150" i="18" s="1"/>
  <c r="AV1063" i="2"/>
  <c r="AV1064" i="2"/>
  <c r="AV1065" i="2"/>
  <c r="AV1066" i="2"/>
  <c r="AV1067" i="2"/>
  <c r="I151" i="18" s="1"/>
  <c r="AV1068" i="2"/>
  <c r="AV1069" i="2"/>
  <c r="AV1070" i="2"/>
  <c r="I152" i="18" s="1"/>
  <c r="AV1071" i="2"/>
  <c r="I153" i="18" s="1"/>
  <c r="AV1072" i="2"/>
  <c r="AV1073" i="2"/>
  <c r="AV1074" i="2"/>
  <c r="I154" i="18" s="1"/>
  <c r="AV1075" i="2"/>
  <c r="I155" i="18" s="1"/>
  <c r="AV1076" i="2"/>
  <c r="I156" i="18" s="1"/>
  <c r="AV1077" i="2"/>
  <c r="I157" i="18" s="1"/>
  <c r="AV1078" i="2"/>
  <c r="I158" i="18" s="1"/>
  <c r="AV1079" i="2"/>
  <c r="AV1080" i="2"/>
  <c r="AV1081" i="2"/>
  <c r="AV1082" i="2"/>
  <c r="AV1083" i="2"/>
  <c r="AV1084" i="2"/>
  <c r="I159" i="18" s="1"/>
  <c r="AV1085" i="2"/>
  <c r="AV1086" i="2"/>
  <c r="I160" i="18" s="1"/>
  <c r="AV1087" i="2"/>
  <c r="AV1088" i="2"/>
  <c r="AV1089" i="2"/>
  <c r="AV1090" i="2"/>
  <c r="AV1091" i="2"/>
  <c r="AV1092" i="2"/>
  <c r="AV1093" i="2"/>
  <c r="AV1094" i="2"/>
  <c r="I161" i="18" s="1"/>
  <c r="AV1095" i="2"/>
  <c r="I162" i="18" s="1"/>
  <c r="AV1096" i="2"/>
  <c r="AV1097" i="2"/>
  <c r="I163" i="18" s="1"/>
  <c r="AV1098" i="2"/>
  <c r="AV1099" i="2"/>
  <c r="I164" i="18" s="1"/>
  <c r="AV1100" i="2"/>
  <c r="AV1101" i="2"/>
  <c r="AV1102" i="2"/>
  <c r="AV1103" i="2"/>
  <c r="I165" i="18" s="1"/>
  <c r="AV1104" i="2"/>
  <c r="AV1105" i="2"/>
  <c r="I166" i="18" s="1"/>
  <c r="AV1106" i="2"/>
  <c r="I167" i="18" s="1"/>
  <c r="AV1107" i="2"/>
  <c r="AV1108" i="2"/>
  <c r="AV1109" i="2"/>
  <c r="AV1110" i="2"/>
  <c r="AV1111" i="2"/>
  <c r="AV1112" i="2"/>
  <c r="AV1113" i="2"/>
  <c r="AV1114" i="2"/>
  <c r="AV1115" i="2"/>
  <c r="AV1116" i="2"/>
  <c r="AV1117" i="2"/>
  <c r="AV1118" i="2"/>
  <c r="AV1119" i="2"/>
  <c r="I168" i="18" s="1"/>
  <c r="AV1120" i="2"/>
  <c r="I169" i="18" s="1"/>
  <c r="AV1121" i="2"/>
  <c r="I170" i="18" s="1"/>
  <c r="AV1122" i="2"/>
  <c r="AV1123" i="2"/>
  <c r="I171" i="18" s="1"/>
  <c r="AV1124" i="2"/>
  <c r="AV1125" i="2"/>
  <c r="AV1126" i="2"/>
  <c r="AV1127" i="2"/>
  <c r="AV1128" i="2"/>
  <c r="I172" i="18" s="1"/>
  <c r="AV1129" i="2"/>
  <c r="AV1130" i="2"/>
  <c r="AV1131" i="2"/>
  <c r="AV1132" i="2"/>
  <c r="AV1133" i="2"/>
  <c r="AV1134" i="2"/>
  <c r="AV1135" i="2"/>
  <c r="AV1136" i="2"/>
  <c r="AV1137" i="2"/>
  <c r="AV1138" i="2"/>
  <c r="AV1139" i="2"/>
  <c r="AV1140" i="2"/>
  <c r="AV1141" i="2"/>
  <c r="AV1142" i="2"/>
  <c r="AV1143" i="2"/>
  <c r="AV1144" i="2"/>
  <c r="AV1145" i="2"/>
  <c r="AV1146" i="2"/>
  <c r="I173" i="18" s="1"/>
  <c r="AV1147" i="2"/>
  <c r="AV1148" i="2"/>
  <c r="I174" i="18" s="1"/>
  <c r="AV1149" i="2"/>
  <c r="AV1150" i="2"/>
  <c r="AV1151" i="2"/>
  <c r="AV1152" i="2"/>
  <c r="AV1153" i="2"/>
  <c r="AV145" i="2"/>
  <c r="I68" i="18" s="1"/>
  <c r="AV144" i="2"/>
  <c r="AV135" i="2"/>
  <c r="I66" i="18" s="1"/>
  <c r="AQ135" i="2"/>
  <c r="AR135" i="2"/>
  <c r="AS135" i="2"/>
  <c r="AT135" i="2"/>
  <c r="AU135" i="2"/>
  <c r="AY135" i="2"/>
  <c r="AZ135" i="2" s="1"/>
  <c r="BE135" i="2"/>
  <c r="BF135" i="2"/>
  <c r="K66" i="18" s="1"/>
  <c r="BH135" i="2"/>
  <c r="BH149" i="2"/>
  <c r="BE149" i="2"/>
  <c r="AQ149" i="2"/>
  <c r="AR149" i="2"/>
  <c r="AS149" i="2"/>
  <c r="AT149" i="2"/>
  <c r="AU149" i="2"/>
  <c r="AY149" i="2"/>
  <c r="AZ149" i="2" s="1"/>
  <c r="BF149" i="2"/>
  <c r="AX135" i="2" l="1"/>
  <c r="BA135" i="2" s="1"/>
  <c r="J66" i="18"/>
  <c r="BD135" i="2"/>
  <c r="BD149" i="2"/>
  <c r="BA149" i="2"/>
  <c r="AQ144" i="2"/>
  <c r="AR144" i="2"/>
  <c r="AS144" i="2"/>
  <c r="AT144" i="2"/>
  <c r="AU144" i="2"/>
  <c r="AX144" i="2"/>
  <c r="AY144" i="2"/>
  <c r="AZ144" i="2" s="1"/>
  <c r="BE144" i="2"/>
  <c r="BD144" i="2"/>
  <c r="BF144" i="2"/>
  <c r="BH144" i="2"/>
  <c r="AQ145" i="2"/>
  <c r="AR145" i="2"/>
  <c r="AS145" i="2"/>
  <c r="AT145" i="2"/>
  <c r="AU145" i="2"/>
  <c r="AX145" i="2"/>
  <c r="AY145" i="2"/>
  <c r="AZ145" i="2" s="1"/>
  <c r="BE145" i="2"/>
  <c r="BD145" i="2"/>
  <c r="BF145" i="2"/>
  <c r="K68" i="18" s="1"/>
  <c r="BH145" i="2"/>
  <c r="AQ151" i="2"/>
  <c r="AR151" i="2"/>
  <c r="AS151" i="2"/>
  <c r="AT151" i="2"/>
  <c r="AU151" i="2"/>
  <c r="AX151" i="2"/>
  <c r="AY151" i="2"/>
  <c r="AZ151" i="2" s="1"/>
  <c r="BE151" i="2"/>
  <c r="BD151" i="2"/>
  <c r="BF151" i="2"/>
  <c r="BH151" i="2"/>
  <c r="BA144" i="2" l="1"/>
  <c r="BA145" i="2"/>
  <c r="BA151" i="2"/>
  <c r="AQ167" i="2" l="1"/>
  <c r="AR167" i="2"/>
  <c r="AS167" i="2"/>
  <c r="AT167" i="2"/>
  <c r="AU167" i="2"/>
  <c r="AX167" i="2"/>
  <c r="AY167" i="2"/>
  <c r="AZ167" i="2" s="1"/>
  <c r="BD167" i="2"/>
  <c r="BF167" i="2"/>
  <c r="BH167" i="2"/>
  <c r="BH152" i="2"/>
  <c r="AQ168" i="2"/>
  <c r="AR168" i="2"/>
  <c r="AS168" i="2"/>
  <c r="AT168" i="2"/>
  <c r="AU168" i="2"/>
  <c r="AX168" i="2"/>
  <c r="AY168" i="2"/>
  <c r="AZ168" i="2" s="1"/>
  <c r="BE168" i="2"/>
  <c r="BF168" i="2"/>
  <c r="BH168" i="2"/>
  <c r="BD152" i="2"/>
  <c r="AQ152" i="2"/>
  <c r="AR152" i="2"/>
  <c r="AS152" i="2"/>
  <c r="AT152" i="2"/>
  <c r="AU152" i="2"/>
  <c r="AX152" i="2"/>
  <c r="AY152" i="2"/>
  <c r="AZ152" i="2" s="1"/>
  <c r="BF152" i="2"/>
  <c r="AQ150" i="2"/>
  <c r="AR150" i="2"/>
  <c r="AS150" i="2"/>
  <c r="AT150" i="2"/>
  <c r="AU150" i="2"/>
  <c r="AX150" i="2"/>
  <c r="AY150" i="2"/>
  <c r="AZ150" i="2" s="1"/>
  <c r="BD150" i="2"/>
  <c r="BF150" i="2"/>
  <c r="BH150" i="2"/>
  <c r="AQ164" i="2"/>
  <c r="AR164" i="2"/>
  <c r="AS164" i="2"/>
  <c r="AT164" i="2"/>
  <c r="AU164" i="2"/>
  <c r="AX164" i="2"/>
  <c r="AY164" i="2"/>
  <c r="AZ164" i="2" s="1"/>
  <c r="BE164" i="2"/>
  <c r="BF164" i="2"/>
  <c r="BH164" i="2"/>
  <c r="AQ161" i="2"/>
  <c r="AR161" i="2"/>
  <c r="AS161" i="2"/>
  <c r="AT161" i="2"/>
  <c r="AU161" i="2"/>
  <c r="AX161" i="2"/>
  <c r="AY161" i="2"/>
  <c r="AZ161" i="2" s="1"/>
  <c r="BE161" i="2"/>
  <c r="BD161" i="2"/>
  <c r="BF161" i="2"/>
  <c r="BH161" i="2"/>
  <c r="BA167" i="2" l="1"/>
  <c r="BD168" i="2"/>
  <c r="BE167" i="2"/>
  <c r="BD164" i="2"/>
  <c r="BA168" i="2"/>
  <c r="BE152" i="2"/>
  <c r="BA152" i="2"/>
  <c r="BE150" i="2"/>
  <c r="BA150" i="2"/>
  <c r="BA164" i="2"/>
  <c r="BA161" i="2"/>
  <c r="AQ323" i="2" l="1"/>
  <c r="AR323" i="2"/>
  <c r="AS323" i="2"/>
  <c r="AT323" i="2"/>
  <c r="AU323" i="2"/>
  <c r="AX323" i="2"/>
  <c r="AY323" i="2"/>
  <c r="AZ323" i="2" s="1"/>
  <c r="BD323" i="2"/>
  <c r="BE323" i="2"/>
  <c r="BF323" i="2"/>
  <c r="BH323" i="2"/>
  <c r="AQ324" i="2"/>
  <c r="AR324" i="2"/>
  <c r="AS324" i="2"/>
  <c r="AT324" i="2"/>
  <c r="AU324" i="2"/>
  <c r="AX324" i="2"/>
  <c r="AY324" i="2"/>
  <c r="AZ324" i="2" s="1"/>
  <c r="BD324" i="2"/>
  <c r="BF324" i="2"/>
  <c r="K94" i="18" s="1"/>
  <c r="BH324" i="2"/>
  <c r="AQ268" i="2"/>
  <c r="AR268" i="2"/>
  <c r="AS268" i="2"/>
  <c r="AT268" i="2"/>
  <c r="AU268" i="2"/>
  <c r="AX268" i="2"/>
  <c r="AY268" i="2"/>
  <c r="AZ268" i="2" s="1"/>
  <c r="BD268" i="2"/>
  <c r="BF268" i="2"/>
  <c r="BH268" i="2"/>
  <c r="AQ336" i="2"/>
  <c r="AR336" i="2"/>
  <c r="AS336" i="2"/>
  <c r="AT336" i="2"/>
  <c r="AU336" i="2"/>
  <c r="AX336" i="2"/>
  <c r="AY336" i="2"/>
  <c r="AZ336" i="2" s="1"/>
  <c r="BD336" i="2"/>
  <c r="BE336" i="2"/>
  <c r="BF336" i="2"/>
  <c r="BH336" i="2"/>
  <c r="AQ337" i="2"/>
  <c r="AR337" i="2"/>
  <c r="AS337" i="2"/>
  <c r="AT337" i="2"/>
  <c r="AU337" i="2"/>
  <c r="AX337" i="2"/>
  <c r="AY337" i="2"/>
  <c r="AZ337" i="2" s="1"/>
  <c r="BD337" i="2"/>
  <c r="BF337" i="2"/>
  <c r="BH337" i="2"/>
  <c r="BA323" i="2" l="1"/>
  <c r="BA324" i="2"/>
  <c r="BE324" i="2"/>
  <c r="BA268" i="2"/>
  <c r="BE268" i="2"/>
  <c r="BA336" i="2"/>
  <c r="BA337" i="2"/>
  <c r="BE337" i="2"/>
  <c r="AQ153" i="2"/>
  <c r="AR153" i="2"/>
  <c r="AS153" i="2"/>
  <c r="AT153" i="2"/>
  <c r="AU153" i="2"/>
  <c r="AX153" i="2"/>
  <c r="AY153" i="2"/>
  <c r="AZ153" i="2" s="1"/>
  <c r="BD153" i="2"/>
  <c r="BF153" i="2"/>
  <c r="BH153" i="2"/>
  <c r="BE153" i="2" l="1"/>
  <c r="BA153" i="2"/>
  <c r="BE157" i="2"/>
  <c r="AQ162" i="2"/>
  <c r="AR162" i="2"/>
  <c r="AS162" i="2"/>
  <c r="AT162" i="2"/>
  <c r="AU162" i="2"/>
  <c r="AX162" i="2"/>
  <c r="AY162" i="2"/>
  <c r="AZ162" i="2" s="1"/>
  <c r="BD162" i="2"/>
  <c r="BF162" i="2"/>
  <c r="K72" i="18" s="1"/>
  <c r="BH162" i="2"/>
  <c r="BE156" i="2"/>
  <c r="AQ155" i="2"/>
  <c r="AR155" i="2"/>
  <c r="AS155" i="2"/>
  <c r="AT155" i="2"/>
  <c r="AU155" i="2"/>
  <c r="AX155" i="2"/>
  <c r="AY155" i="2"/>
  <c r="AZ155" i="2" s="1"/>
  <c r="BD155" i="2"/>
  <c r="BF155" i="2"/>
  <c r="K70" i="18" s="1"/>
  <c r="BH155" i="2"/>
  <c r="BH158" i="2"/>
  <c r="AQ156" i="2"/>
  <c r="AR156" i="2"/>
  <c r="AS156" i="2"/>
  <c r="AT156" i="2"/>
  <c r="AU156" i="2"/>
  <c r="AX156" i="2"/>
  <c r="AY156" i="2"/>
  <c r="AZ156" i="2" s="1"/>
  <c r="BD156" i="2"/>
  <c r="BF156" i="2"/>
  <c r="BH156" i="2"/>
  <c r="AQ157" i="2"/>
  <c r="AR157" i="2"/>
  <c r="AS157" i="2"/>
  <c r="AT157" i="2"/>
  <c r="AU157" i="2"/>
  <c r="AX157" i="2"/>
  <c r="AY157" i="2"/>
  <c r="AZ157" i="2" s="1"/>
  <c r="BF157" i="2"/>
  <c r="BH157" i="2"/>
  <c r="AQ158" i="2"/>
  <c r="AR158" i="2"/>
  <c r="AS158" i="2"/>
  <c r="AT158" i="2"/>
  <c r="AU158" i="2"/>
  <c r="AX158" i="2"/>
  <c r="AY158" i="2"/>
  <c r="AZ158" i="2" s="1"/>
  <c r="BD158" i="2"/>
  <c r="BE158" i="2"/>
  <c r="BF158" i="2"/>
  <c r="K71" i="18" s="1"/>
  <c r="BD157" i="2" l="1"/>
  <c r="BE162" i="2"/>
  <c r="BA162" i="2"/>
  <c r="BE155" i="2"/>
  <c r="BA155" i="2"/>
  <c r="BA156" i="2"/>
  <c r="BA157" i="2"/>
  <c r="BA158" i="2"/>
  <c r="AQ165" i="2" l="1"/>
  <c r="AR165" i="2"/>
  <c r="AS165" i="2"/>
  <c r="AT165" i="2"/>
  <c r="AU165" i="2"/>
  <c r="AX165" i="2"/>
  <c r="AY165" i="2"/>
  <c r="AZ165" i="2" s="1"/>
  <c r="BD165" i="2"/>
  <c r="BE165" i="2"/>
  <c r="BF165" i="2"/>
  <c r="K74" i="18" s="1"/>
  <c r="BH165" i="2"/>
  <c r="BA165" i="2" l="1"/>
  <c r="AQ175" i="2"/>
  <c r="AR175" i="2"/>
  <c r="AS175" i="2"/>
  <c r="AT175" i="2"/>
  <c r="AU175" i="2"/>
  <c r="AX175" i="2"/>
  <c r="AY175" i="2"/>
  <c r="AZ175" i="2" s="1"/>
  <c r="BE175" i="2"/>
  <c r="BD175" i="2"/>
  <c r="BF175" i="2"/>
  <c r="BH175" i="2"/>
  <c r="AQ176" i="2"/>
  <c r="AR176" i="2"/>
  <c r="AS176" i="2"/>
  <c r="AT176" i="2"/>
  <c r="AU176" i="2"/>
  <c r="AX176" i="2"/>
  <c r="AY176" i="2"/>
  <c r="AZ176" i="2" s="1"/>
  <c r="BE176" i="2"/>
  <c r="BD176" i="2"/>
  <c r="BF176" i="2"/>
  <c r="K75" i="18" s="1"/>
  <c r="BH176" i="2"/>
  <c r="BA175" i="2" l="1"/>
  <c r="BA176" i="2"/>
  <c r="AQ187" i="2"/>
  <c r="AR187" i="2"/>
  <c r="AS187" i="2"/>
  <c r="AT187" i="2"/>
  <c r="AU187" i="2"/>
  <c r="AX187" i="2"/>
  <c r="AY187" i="2"/>
  <c r="AZ187" i="2" s="1"/>
  <c r="BE187" i="2"/>
  <c r="BF187" i="2"/>
  <c r="BH187" i="2"/>
  <c r="AQ188" i="2"/>
  <c r="AR188" i="2"/>
  <c r="AS188" i="2"/>
  <c r="AT188" i="2"/>
  <c r="AU188" i="2"/>
  <c r="AX188" i="2"/>
  <c r="AY188" i="2"/>
  <c r="AZ188" i="2" s="1"/>
  <c r="BE188" i="2"/>
  <c r="BF188" i="2"/>
  <c r="BH188" i="2"/>
  <c r="BD187" i="2" l="1"/>
  <c r="BD188" i="2"/>
  <c r="BA187" i="2"/>
  <c r="BA188" i="2"/>
  <c r="BD170" i="2"/>
  <c r="AQ182" i="2"/>
  <c r="AR182" i="2"/>
  <c r="AS182" i="2"/>
  <c r="AT182" i="2"/>
  <c r="AU182" i="2"/>
  <c r="AX182" i="2"/>
  <c r="AY182" i="2"/>
  <c r="AZ182" i="2" s="1"/>
  <c r="BD182" i="2"/>
  <c r="BF182" i="2"/>
  <c r="BH182" i="2"/>
  <c r="AQ181" i="2"/>
  <c r="AR181" i="2"/>
  <c r="AS181" i="2"/>
  <c r="AT181" i="2"/>
  <c r="AU181" i="2"/>
  <c r="AX181" i="2"/>
  <c r="AY181" i="2"/>
  <c r="AZ181" i="2" s="1"/>
  <c r="BD181" i="2"/>
  <c r="BF181" i="2"/>
  <c r="K77" i="18" s="1"/>
  <c r="BH181" i="2"/>
  <c r="AQ170" i="2"/>
  <c r="AR170" i="2"/>
  <c r="AS170" i="2"/>
  <c r="AT170" i="2"/>
  <c r="AU170" i="2"/>
  <c r="AX170" i="2"/>
  <c r="AY170" i="2"/>
  <c r="AZ170" i="2" s="1"/>
  <c r="BF170" i="2"/>
  <c r="BH170" i="2"/>
  <c r="AQ171" i="2"/>
  <c r="AR171" i="2"/>
  <c r="AS171" i="2"/>
  <c r="AT171" i="2"/>
  <c r="AU171" i="2"/>
  <c r="AX171" i="2"/>
  <c r="AY171" i="2"/>
  <c r="AZ171" i="2" s="1"/>
  <c r="BE171" i="2"/>
  <c r="BD171" i="2"/>
  <c r="BF171" i="2"/>
  <c r="BH171" i="2"/>
  <c r="BA171" i="2" l="1"/>
  <c r="BE182" i="2"/>
  <c r="BA182" i="2"/>
  <c r="BE181" i="2"/>
  <c r="BA181" i="2"/>
  <c r="BA170" i="2"/>
  <c r="BE170" i="2"/>
  <c r="AQ177" i="2" l="1"/>
  <c r="AR177" i="2"/>
  <c r="AS177" i="2"/>
  <c r="AT177" i="2"/>
  <c r="AU177" i="2"/>
  <c r="AX177" i="2"/>
  <c r="AY177" i="2"/>
  <c r="AZ177" i="2" s="1"/>
  <c r="BD177" i="2"/>
  <c r="BF177" i="2"/>
  <c r="BH177" i="2"/>
  <c r="AQ178" i="2"/>
  <c r="AR178" i="2"/>
  <c r="AS178" i="2"/>
  <c r="AT178" i="2"/>
  <c r="AU178" i="2"/>
  <c r="AX178" i="2"/>
  <c r="AY178" i="2"/>
  <c r="AZ178" i="2" s="1"/>
  <c r="BD178" i="2"/>
  <c r="BF178" i="2"/>
  <c r="K76" i="18" s="1"/>
  <c r="BH178" i="2"/>
  <c r="AQ179" i="2"/>
  <c r="AR179" i="2"/>
  <c r="AS179" i="2"/>
  <c r="AT179" i="2"/>
  <c r="AU179" i="2"/>
  <c r="AX179" i="2"/>
  <c r="AY179" i="2"/>
  <c r="AZ179" i="2" s="1"/>
  <c r="BD179" i="2"/>
  <c r="BF179" i="2"/>
  <c r="BH179" i="2"/>
  <c r="BE177" i="2" l="1"/>
  <c r="BA177" i="2"/>
  <c r="BE178" i="2"/>
  <c r="BA178" i="2"/>
  <c r="BE179" i="2"/>
  <c r="BA179" i="2"/>
  <c r="AQ172" i="2"/>
  <c r="AR172" i="2"/>
  <c r="AS172" i="2"/>
  <c r="AT172" i="2"/>
  <c r="AU172" i="2"/>
  <c r="AX172" i="2"/>
  <c r="AY172" i="2"/>
  <c r="AZ172" i="2" s="1"/>
  <c r="BD172" i="2"/>
  <c r="BF172" i="2"/>
  <c r="BH172" i="2"/>
  <c r="BA172" i="2" l="1"/>
  <c r="BE172" i="2"/>
  <c r="BH174" i="2"/>
  <c r="BD174" i="2"/>
  <c r="AQ174" i="2"/>
  <c r="AR174" i="2"/>
  <c r="AS174" i="2"/>
  <c r="AT174" i="2"/>
  <c r="AU174" i="2"/>
  <c r="AX174" i="2"/>
  <c r="AY174" i="2"/>
  <c r="AZ174" i="2" s="1"/>
  <c r="BF174" i="2"/>
  <c r="AQ173" i="2"/>
  <c r="AR173" i="2"/>
  <c r="AS173" i="2"/>
  <c r="AT173" i="2"/>
  <c r="AU173" i="2"/>
  <c r="AX173" i="2"/>
  <c r="AY173" i="2"/>
  <c r="AZ173" i="2" s="1"/>
  <c r="BD173" i="2"/>
  <c r="BF173" i="2"/>
  <c r="BH173" i="2"/>
  <c r="BE174" i="2" l="1"/>
  <c r="BA174" i="2"/>
  <c r="BE173" i="2"/>
  <c r="BA173" i="2"/>
  <c r="AQ180" i="2" l="1"/>
  <c r="AR180" i="2"/>
  <c r="AS180" i="2"/>
  <c r="AT180" i="2"/>
  <c r="AU180" i="2"/>
  <c r="AX180" i="2"/>
  <c r="AY180" i="2"/>
  <c r="AZ180" i="2" s="1"/>
  <c r="BE180" i="2"/>
  <c r="BF180" i="2"/>
  <c r="BH180" i="2"/>
  <c r="BH185" i="2"/>
  <c r="BE185" i="2"/>
  <c r="AQ185" i="2"/>
  <c r="AR185" i="2"/>
  <c r="AS185" i="2"/>
  <c r="AT185" i="2"/>
  <c r="AU185" i="2"/>
  <c r="AX185" i="2"/>
  <c r="AY185" i="2"/>
  <c r="AZ185" i="2" s="1"/>
  <c r="BD185" i="2"/>
  <c r="BF185" i="2"/>
  <c r="K78" i="18" s="1"/>
  <c r="AQ385" i="2"/>
  <c r="AR385" i="2"/>
  <c r="AS385" i="2"/>
  <c r="AT385" i="2"/>
  <c r="AU385" i="2"/>
  <c r="AX385" i="2"/>
  <c r="AY385" i="2"/>
  <c r="AZ385" i="2" s="1"/>
  <c r="BE385" i="2"/>
  <c r="BF385" i="2"/>
  <c r="BH385" i="2"/>
  <c r="BD180" i="2" l="1"/>
  <c r="BD385" i="2"/>
  <c r="BA180" i="2"/>
  <c r="BA185" i="2"/>
  <c r="BA385" i="2"/>
  <c r="BE183" i="2" l="1"/>
  <c r="AQ537" i="2"/>
  <c r="AR537" i="2"/>
  <c r="AS537" i="2"/>
  <c r="AT537" i="2"/>
  <c r="AU537" i="2"/>
  <c r="AX537" i="2"/>
  <c r="AY537" i="2"/>
  <c r="AZ537" i="2" s="1"/>
  <c r="BD537" i="2"/>
  <c r="BF537" i="2"/>
  <c r="BH537" i="2"/>
  <c r="AQ940" i="2"/>
  <c r="AR940" i="2"/>
  <c r="AS940" i="2"/>
  <c r="AT940" i="2"/>
  <c r="AU940" i="2"/>
  <c r="AX940" i="2"/>
  <c r="AY940" i="2"/>
  <c r="AZ940" i="2" s="1"/>
  <c r="BD940" i="2"/>
  <c r="BF940" i="2"/>
  <c r="BH940" i="2"/>
  <c r="AQ194" i="2"/>
  <c r="AR194" i="2"/>
  <c r="AS194" i="2"/>
  <c r="AT194" i="2"/>
  <c r="AU194" i="2"/>
  <c r="AX194" i="2"/>
  <c r="AY194" i="2"/>
  <c r="AZ194" i="2" s="1"/>
  <c r="BD194" i="2"/>
  <c r="BF194" i="2"/>
  <c r="BH194" i="2"/>
  <c r="AQ183" i="2"/>
  <c r="AR183" i="2"/>
  <c r="AS183" i="2"/>
  <c r="AT183" i="2"/>
  <c r="AU183" i="2"/>
  <c r="AX183" i="2"/>
  <c r="AY183" i="2"/>
  <c r="AZ183" i="2" s="1"/>
  <c r="BF183" i="2"/>
  <c r="BH183" i="2"/>
  <c r="AQ192" i="2"/>
  <c r="AR192" i="2"/>
  <c r="AS192" i="2"/>
  <c r="AT192" i="2"/>
  <c r="AU192" i="2"/>
  <c r="AX192" i="2"/>
  <c r="AY192" i="2"/>
  <c r="AZ192" i="2" s="1"/>
  <c r="BE192" i="2"/>
  <c r="BF192" i="2"/>
  <c r="K80" i="18" s="1"/>
  <c r="BH192" i="2"/>
  <c r="BE537" i="2" l="1"/>
  <c r="BA537" i="2"/>
  <c r="BE940" i="2"/>
  <c r="BA940" i="2"/>
  <c r="BD183" i="2"/>
  <c r="BA194" i="2"/>
  <c r="BE194" i="2"/>
  <c r="BD192" i="2"/>
  <c r="BA183" i="2"/>
  <c r="BA192" i="2"/>
  <c r="BH189" i="2"/>
  <c r="BE189" i="2"/>
  <c r="AQ184" i="2"/>
  <c r="AR184" i="2"/>
  <c r="AS184" i="2"/>
  <c r="AT184" i="2"/>
  <c r="AU184" i="2"/>
  <c r="AX184" i="2"/>
  <c r="AY184" i="2"/>
  <c r="AZ184" i="2" s="1"/>
  <c r="BE184" i="2"/>
  <c r="BD184" i="2"/>
  <c r="BF184" i="2"/>
  <c r="BH184" i="2"/>
  <c r="AQ189" i="2"/>
  <c r="AR189" i="2"/>
  <c r="AS189" i="2"/>
  <c r="AT189" i="2"/>
  <c r="AU189" i="2"/>
  <c r="AX189" i="2"/>
  <c r="AY189" i="2"/>
  <c r="AZ189" i="2" s="1"/>
  <c r="BF189" i="2"/>
  <c r="BD189" i="2" l="1"/>
  <c r="BA184" i="2"/>
  <c r="BA189" i="2"/>
  <c r="AQ190" i="2"/>
  <c r="AR190" i="2"/>
  <c r="AS190" i="2"/>
  <c r="AT190" i="2"/>
  <c r="AU190" i="2"/>
  <c r="AX190" i="2"/>
  <c r="AY190" i="2"/>
  <c r="AZ190" i="2" s="1"/>
  <c r="BE190" i="2"/>
  <c r="BD190" i="2"/>
  <c r="BF190" i="2"/>
  <c r="BH190" i="2"/>
  <c r="AQ191" i="2"/>
  <c r="AR191" i="2"/>
  <c r="AS191" i="2"/>
  <c r="AT191" i="2"/>
  <c r="AU191" i="2"/>
  <c r="AX191" i="2"/>
  <c r="AY191" i="2"/>
  <c r="AZ191" i="2" s="1"/>
  <c r="BD191" i="2"/>
  <c r="BF191" i="2"/>
  <c r="BH191" i="2"/>
  <c r="BA190" i="2" l="1"/>
  <c r="BE191" i="2"/>
  <c r="BA191" i="2"/>
  <c r="BH430" i="2"/>
  <c r="BH389" i="2"/>
  <c r="BD430" i="2"/>
  <c r="BD389" i="2"/>
  <c r="AQ389" i="2"/>
  <c r="AR389" i="2"/>
  <c r="AS389" i="2"/>
  <c r="AT389" i="2"/>
  <c r="AU389" i="2"/>
  <c r="AX389" i="2"/>
  <c r="AY389" i="2"/>
  <c r="AZ389" i="2" s="1"/>
  <c r="BF389" i="2"/>
  <c r="K99" i="18" s="1"/>
  <c r="BH487" i="2"/>
  <c r="BD487" i="2"/>
  <c r="AQ430" i="2"/>
  <c r="AR430" i="2"/>
  <c r="AS430" i="2"/>
  <c r="AT430" i="2"/>
  <c r="AU430" i="2"/>
  <c r="AX430" i="2"/>
  <c r="AY430" i="2"/>
  <c r="AZ430" i="2" s="1"/>
  <c r="BF430" i="2"/>
  <c r="BH507" i="2"/>
  <c r="BD507" i="2"/>
  <c r="AQ487" i="2"/>
  <c r="AR487" i="2"/>
  <c r="AS487" i="2"/>
  <c r="AT487" i="2"/>
  <c r="AU487" i="2"/>
  <c r="AX487" i="2"/>
  <c r="AY487" i="2"/>
  <c r="AZ487" i="2" s="1"/>
  <c r="BF487" i="2"/>
  <c r="AQ507" i="2"/>
  <c r="AR507" i="2"/>
  <c r="AS507" i="2"/>
  <c r="AT507" i="2"/>
  <c r="AU507" i="2"/>
  <c r="AX507" i="2"/>
  <c r="AY507" i="2"/>
  <c r="AZ507" i="2" s="1"/>
  <c r="BF507" i="2"/>
  <c r="AQ634" i="2"/>
  <c r="AR634" i="2"/>
  <c r="AS634" i="2"/>
  <c r="AT634" i="2"/>
  <c r="AU634" i="2"/>
  <c r="AX634" i="2"/>
  <c r="AY634" i="2"/>
  <c r="AZ634" i="2" s="1"/>
  <c r="BE634" i="2"/>
  <c r="BF634" i="2"/>
  <c r="BH634" i="2"/>
  <c r="AQ650" i="2"/>
  <c r="AR650" i="2"/>
  <c r="AS650" i="2"/>
  <c r="AT650" i="2"/>
  <c r="AU650" i="2"/>
  <c r="AX650" i="2"/>
  <c r="AY650" i="2"/>
  <c r="AZ650" i="2" s="1"/>
  <c r="BD650" i="2"/>
  <c r="BF650" i="2"/>
  <c r="BH650" i="2"/>
  <c r="AQ666" i="2"/>
  <c r="AR666" i="2"/>
  <c r="AS666" i="2"/>
  <c r="AT666" i="2"/>
  <c r="AU666" i="2"/>
  <c r="AX666" i="2"/>
  <c r="AY666" i="2"/>
  <c r="AZ666" i="2" s="1"/>
  <c r="BE666" i="2"/>
  <c r="BF666" i="2"/>
  <c r="BH666" i="2"/>
  <c r="AQ684" i="2"/>
  <c r="AR684" i="2"/>
  <c r="AS684" i="2"/>
  <c r="AT684" i="2"/>
  <c r="AU684" i="2"/>
  <c r="AX684" i="2"/>
  <c r="AY684" i="2"/>
  <c r="AZ684" i="2" s="1"/>
  <c r="BD684" i="2"/>
  <c r="BF684" i="2"/>
  <c r="BH684" i="2"/>
  <c r="BA389" i="2" l="1"/>
  <c r="BE389" i="2"/>
  <c r="BE430" i="2"/>
  <c r="BA430" i="2"/>
  <c r="BE650" i="2"/>
  <c r="BA487" i="2"/>
  <c r="BE487" i="2"/>
  <c r="BD634" i="2"/>
  <c r="BE507" i="2"/>
  <c r="BA507" i="2"/>
  <c r="BD666" i="2"/>
  <c r="BA634" i="2"/>
  <c r="BE684" i="2"/>
  <c r="BA650" i="2"/>
  <c r="BA666" i="2"/>
  <c r="BA684" i="2"/>
  <c r="I43" i="14"/>
  <c r="E43" i="14"/>
  <c r="K42" i="14"/>
  <c r="E42" i="14"/>
  <c r="T11" i="14"/>
  <c r="T10" i="14"/>
  <c r="T9" i="14"/>
  <c r="AQ229" i="2"/>
  <c r="AR229" i="2"/>
  <c r="AS229" i="2"/>
  <c r="AT229" i="2"/>
  <c r="AU229" i="2"/>
  <c r="AX229" i="2"/>
  <c r="AY229" i="2"/>
  <c r="AZ229" i="2" s="1"/>
  <c r="BE229" i="2"/>
  <c r="BD229" i="2"/>
  <c r="BF229" i="2"/>
  <c r="K89" i="18" s="1"/>
  <c r="BH229" i="2"/>
  <c r="BB389" i="2" l="1"/>
  <c r="BB430" i="2"/>
  <c r="BB487" i="2"/>
  <c r="BB507" i="2"/>
  <c r="BB666" i="2"/>
  <c r="BB634" i="2"/>
  <c r="BB650" i="2"/>
  <c r="BB684" i="2"/>
  <c r="BA229" i="2"/>
  <c r="BD195" i="2"/>
  <c r="BH199" i="2"/>
  <c r="BH198" i="2"/>
  <c r="BD199" i="2"/>
  <c r="BD198" i="2"/>
  <c r="AQ202" i="2"/>
  <c r="AR202" i="2"/>
  <c r="AS202" i="2"/>
  <c r="AT202" i="2"/>
  <c r="AU202" i="2"/>
  <c r="AX202" i="2"/>
  <c r="AY202" i="2"/>
  <c r="AZ202" i="2" s="1"/>
  <c r="BD202" i="2"/>
  <c r="BF202" i="2"/>
  <c r="BH202" i="2"/>
  <c r="BH195" i="2"/>
  <c r="AQ198" i="2"/>
  <c r="AR198" i="2"/>
  <c r="AS198" i="2"/>
  <c r="AT198" i="2"/>
  <c r="AU198" i="2"/>
  <c r="AX198" i="2"/>
  <c r="AY198" i="2"/>
  <c r="AZ198" i="2" s="1"/>
  <c r="BF198" i="2"/>
  <c r="BH200" i="2"/>
  <c r="BD200" i="2"/>
  <c r="AQ199" i="2"/>
  <c r="AR199" i="2"/>
  <c r="AS199" i="2"/>
  <c r="AT199" i="2"/>
  <c r="AU199" i="2"/>
  <c r="AX199" i="2"/>
  <c r="AY199" i="2"/>
  <c r="AZ199" i="2" s="1"/>
  <c r="BF199" i="2"/>
  <c r="BH201" i="2"/>
  <c r="BD201" i="2"/>
  <c r="AQ195" i="2"/>
  <c r="AR195" i="2"/>
  <c r="AS195" i="2"/>
  <c r="AT195" i="2"/>
  <c r="AU195" i="2"/>
  <c r="AX195" i="2"/>
  <c r="AY195" i="2"/>
  <c r="AZ195" i="2" s="1"/>
  <c r="BF195" i="2"/>
  <c r="BD203" i="2"/>
  <c r="AQ203" i="2"/>
  <c r="AR203" i="2"/>
  <c r="AS203" i="2"/>
  <c r="AT203" i="2"/>
  <c r="AU203" i="2"/>
  <c r="AX203" i="2"/>
  <c r="AY203" i="2"/>
  <c r="AZ203" i="2" s="1"/>
  <c r="BF203" i="2"/>
  <c r="BH203" i="2"/>
  <c r="AQ200" i="2"/>
  <c r="AR200" i="2"/>
  <c r="AS200" i="2"/>
  <c r="AT200" i="2"/>
  <c r="AU200" i="2"/>
  <c r="AX200" i="2"/>
  <c r="AY200" i="2"/>
  <c r="AZ200" i="2" s="1"/>
  <c r="BF200" i="2"/>
  <c r="AQ201" i="2"/>
  <c r="AR201" i="2"/>
  <c r="AS201" i="2"/>
  <c r="AT201" i="2"/>
  <c r="AU201" i="2"/>
  <c r="AX201" i="2"/>
  <c r="AY201" i="2"/>
  <c r="AZ201" i="2" s="1"/>
  <c r="BF201" i="2"/>
  <c r="K84" i="18" s="1"/>
  <c r="AQ243" i="2"/>
  <c r="AR243" i="2"/>
  <c r="AS243" i="2"/>
  <c r="AT243" i="2"/>
  <c r="AU243" i="2"/>
  <c r="AX243" i="2"/>
  <c r="AY243" i="2"/>
  <c r="AZ243" i="2" s="1"/>
  <c r="BE243" i="2"/>
  <c r="BD243" i="2"/>
  <c r="BF243" i="2"/>
  <c r="BH243" i="2"/>
  <c r="AQ225" i="2"/>
  <c r="AR225" i="2"/>
  <c r="AS225" i="2"/>
  <c r="AT225" i="2"/>
  <c r="AU225" i="2"/>
  <c r="AX225" i="2"/>
  <c r="AY225" i="2"/>
  <c r="AZ225" i="2" s="1"/>
  <c r="BE225" i="2"/>
  <c r="BD225" i="2"/>
  <c r="BF225" i="2"/>
  <c r="BH225" i="2"/>
  <c r="BE198" i="2" l="1"/>
  <c r="BA198" i="2"/>
  <c r="BA202" i="2"/>
  <c r="BE202" i="2"/>
  <c r="BA199" i="2"/>
  <c r="BE199" i="2"/>
  <c r="BE195" i="2"/>
  <c r="BA195" i="2"/>
  <c r="BA203" i="2"/>
  <c r="BE203" i="2"/>
  <c r="BA200" i="2"/>
  <c r="BE200" i="2"/>
  <c r="BA201" i="2"/>
  <c r="BE201" i="2"/>
  <c r="BA243" i="2"/>
  <c r="BA225" i="2"/>
  <c r="AQ204" i="2"/>
  <c r="AR204" i="2"/>
  <c r="AS204" i="2"/>
  <c r="AT204" i="2"/>
  <c r="AU204" i="2"/>
  <c r="AX204" i="2"/>
  <c r="AY204" i="2"/>
  <c r="AZ204" i="2" s="1"/>
  <c r="BD204" i="2"/>
  <c r="BE204" i="2"/>
  <c r="BF204" i="2"/>
  <c r="BH204" i="2"/>
  <c r="AQ226" i="2"/>
  <c r="AR226" i="2"/>
  <c r="AS226" i="2"/>
  <c r="AT226" i="2"/>
  <c r="AU226" i="2"/>
  <c r="AX226" i="2"/>
  <c r="AY226" i="2"/>
  <c r="AZ226" i="2" s="1"/>
  <c r="BE226" i="2"/>
  <c r="BD226" i="2"/>
  <c r="BF226" i="2"/>
  <c r="BH226" i="2"/>
  <c r="BA204" i="2" l="1"/>
  <c r="BA226" i="2"/>
  <c r="AQ205" i="2"/>
  <c r="AR205" i="2"/>
  <c r="AS205" i="2"/>
  <c r="AT205" i="2"/>
  <c r="AU205" i="2"/>
  <c r="AX205" i="2"/>
  <c r="AY205" i="2"/>
  <c r="AZ205" i="2" s="1"/>
  <c r="BD205" i="2"/>
  <c r="BE205" i="2"/>
  <c r="BF205" i="2"/>
  <c r="BH205" i="2"/>
  <c r="BA205" i="2" l="1"/>
  <c r="BD208" i="2"/>
  <c r="AQ211" i="2"/>
  <c r="AR211" i="2"/>
  <c r="AS211" i="2"/>
  <c r="AT211" i="2"/>
  <c r="AU211" i="2"/>
  <c r="AX211" i="2"/>
  <c r="AY211" i="2"/>
  <c r="AZ211" i="2" s="1"/>
  <c r="BE211" i="2"/>
  <c r="BF211" i="2"/>
  <c r="BH211" i="2"/>
  <c r="AQ208" i="2"/>
  <c r="AR208" i="2"/>
  <c r="AS208" i="2"/>
  <c r="AT208" i="2"/>
  <c r="AU208" i="2"/>
  <c r="AX208" i="2"/>
  <c r="AY208" i="2"/>
  <c r="AZ208" i="2" s="1"/>
  <c r="BF208" i="2"/>
  <c r="K86" i="18" s="1"/>
  <c r="BH208" i="2"/>
  <c r="BD211" i="2" l="1"/>
  <c r="BA211" i="2"/>
  <c r="BE208" i="2"/>
  <c r="BA208" i="2"/>
  <c r="BD213" i="2" l="1"/>
  <c r="BE216" i="2"/>
  <c r="BD206" i="2"/>
  <c r="BH209" i="2"/>
  <c r="BH207" i="2"/>
  <c r="BD209" i="2"/>
  <c r="BD207" i="2"/>
  <c r="AQ212" i="2"/>
  <c r="AR212" i="2"/>
  <c r="AS212" i="2"/>
  <c r="AT212" i="2"/>
  <c r="AU212" i="2"/>
  <c r="AX212" i="2"/>
  <c r="AY212" i="2"/>
  <c r="AZ212" i="2" s="1"/>
  <c r="BD212" i="2"/>
  <c r="BF212" i="2"/>
  <c r="BH212" i="2"/>
  <c r="AQ209" i="2"/>
  <c r="AR209" i="2"/>
  <c r="AS209" i="2"/>
  <c r="AT209" i="2"/>
  <c r="AU209" i="2"/>
  <c r="AX209" i="2"/>
  <c r="AY209" i="2"/>
  <c r="AZ209" i="2" s="1"/>
  <c r="BF209" i="2"/>
  <c r="AQ213" i="2"/>
  <c r="AR213" i="2"/>
  <c r="AS213" i="2"/>
  <c r="AT213" i="2"/>
  <c r="AU213" i="2"/>
  <c r="AX213" i="2"/>
  <c r="AY213" i="2"/>
  <c r="AZ213" i="2" s="1"/>
  <c r="BF213" i="2"/>
  <c r="BH213" i="2"/>
  <c r="AQ206" i="2"/>
  <c r="AR206" i="2"/>
  <c r="AS206" i="2"/>
  <c r="AT206" i="2"/>
  <c r="AU206" i="2"/>
  <c r="AX206" i="2"/>
  <c r="AY206" i="2"/>
  <c r="AZ206" i="2" s="1"/>
  <c r="BF206" i="2"/>
  <c r="K85" i="18" s="1"/>
  <c r="BH206" i="2"/>
  <c r="AQ207" i="2"/>
  <c r="AR207" i="2"/>
  <c r="AS207" i="2"/>
  <c r="AT207" i="2"/>
  <c r="AU207" i="2"/>
  <c r="AX207" i="2"/>
  <c r="AY207" i="2"/>
  <c r="AZ207" i="2" s="1"/>
  <c r="BE207" i="2"/>
  <c r="BF207" i="2"/>
  <c r="BD214" i="2"/>
  <c r="BH210" i="2"/>
  <c r="BE210" i="2"/>
  <c r="AQ258" i="2"/>
  <c r="AR258" i="2"/>
  <c r="AS258" i="2"/>
  <c r="AT258" i="2"/>
  <c r="AU258" i="2"/>
  <c r="AX258" i="2"/>
  <c r="AY258" i="2"/>
  <c r="AZ258" i="2" s="1"/>
  <c r="BD258" i="2"/>
  <c r="BF258" i="2"/>
  <c r="BH258" i="2"/>
  <c r="BH215" i="2"/>
  <c r="BD215" i="2"/>
  <c r="AQ214" i="2"/>
  <c r="AR214" i="2"/>
  <c r="AS214" i="2"/>
  <c r="AT214" i="2"/>
  <c r="AU214" i="2"/>
  <c r="AX214" i="2"/>
  <c r="AY214" i="2"/>
  <c r="AZ214" i="2" s="1"/>
  <c r="BF214" i="2"/>
  <c r="BH214" i="2"/>
  <c r="BH216" i="2"/>
  <c r="AQ215" i="2"/>
  <c r="AR215" i="2"/>
  <c r="AS215" i="2"/>
  <c r="AT215" i="2"/>
  <c r="AU215" i="2"/>
  <c r="AX215" i="2"/>
  <c r="AY215" i="2"/>
  <c r="AZ215" i="2" s="1"/>
  <c r="BF215" i="2"/>
  <c r="AQ210" i="2"/>
  <c r="AR210" i="2"/>
  <c r="AS210" i="2"/>
  <c r="AT210" i="2"/>
  <c r="AU210" i="2"/>
  <c r="AX210" i="2"/>
  <c r="AY210" i="2"/>
  <c r="AZ210" i="2" s="1"/>
  <c r="BF210" i="2"/>
  <c r="AQ216" i="2"/>
  <c r="AR216" i="2"/>
  <c r="AS216" i="2"/>
  <c r="AT216" i="2"/>
  <c r="AU216" i="2"/>
  <c r="AX216" i="2"/>
  <c r="AY216" i="2"/>
  <c r="AZ216" i="2" s="1"/>
  <c r="BF216" i="2"/>
  <c r="BE212" i="2" l="1"/>
  <c r="BA212" i="2"/>
  <c r="BA209" i="2"/>
  <c r="BE209" i="2"/>
  <c r="BE213" i="2"/>
  <c r="BA213" i="2"/>
  <c r="BA207" i="2"/>
  <c r="BA206" i="2"/>
  <c r="BE206" i="2"/>
  <c r="BA258" i="2"/>
  <c r="BE258" i="2"/>
  <c r="BE214" i="2"/>
  <c r="BA214" i="2"/>
  <c r="BD210" i="2"/>
  <c r="BE215" i="2"/>
  <c r="BA215" i="2"/>
  <c r="BD216" i="2"/>
  <c r="BA210" i="2"/>
  <c r="BA216" i="2"/>
  <c r="AQ220" i="2"/>
  <c r="AR220" i="2"/>
  <c r="AS220" i="2"/>
  <c r="AT220" i="2"/>
  <c r="AU220" i="2"/>
  <c r="AX220" i="2"/>
  <c r="AY220" i="2"/>
  <c r="AZ220" i="2" s="1"/>
  <c r="BE220" i="2"/>
  <c r="BD220" i="2"/>
  <c r="BF220" i="2"/>
  <c r="BH220" i="2"/>
  <c r="AQ221" i="2"/>
  <c r="AR221" i="2"/>
  <c r="AS221" i="2"/>
  <c r="AT221" i="2"/>
  <c r="AU221" i="2"/>
  <c r="AX221" i="2"/>
  <c r="AY221" i="2"/>
  <c r="AZ221" i="2" s="1"/>
  <c r="BE221" i="2"/>
  <c r="BD221" i="2"/>
  <c r="BF221" i="2"/>
  <c r="BH221" i="2"/>
  <c r="AQ222" i="2"/>
  <c r="AR222" i="2"/>
  <c r="AS222" i="2"/>
  <c r="AT222" i="2"/>
  <c r="AU222" i="2"/>
  <c r="AX222" i="2"/>
  <c r="AY222" i="2"/>
  <c r="AZ222" i="2" s="1"/>
  <c r="BD222" i="2"/>
  <c r="BE222" i="2"/>
  <c r="BF222" i="2"/>
  <c r="BH222" i="2"/>
  <c r="BA220" i="2" l="1"/>
  <c r="BA221" i="2"/>
  <c r="BA222" i="2"/>
  <c r="BH219" i="2" l="1"/>
  <c r="BE219" i="2"/>
  <c r="AQ227" i="2"/>
  <c r="AR227" i="2"/>
  <c r="AS227" i="2"/>
  <c r="AT227" i="2"/>
  <c r="AU227" i="2"/>
  <c r="AX227" i="2"/>
  <c r="AY227" i="2"/>
  <c r="AZ227" i="2" s="1"/>
  <c r="BD227" i="2"/>
  <c r="BF227" i="2"/>
  <c r="BH227" i="2"/>
  <c r="AQ228" i="2"/>
  <c r="AR228" i="2"/>
  <c r="AS228" i="2"/>
  <c r="AT228" i="2"/>
  <c r="AU228" i="2"/>
  <c r="AX228" i="2"/>
  <c r="AY228" i="2"/>
  <c r="AZ228" i="2" s="1"/>
  <c r="BD228" i="2"/>
  <c r="BF228" i="2"/>
  <c r="BH228" i="2"/>
  <c r="AQ217" i="2"/>
  <c r="AR217" i="2"/>
  <c r="AS217" i="2"/>
  <c r="AT217" i="2"/>
  <c r="AU217" i="2"/>
  <c r="AX217" i="2"/>
  <c r="AY217" i="2"/>
  <c r="AZ217" i="2" s="1"/>
  <c r="BE217" i="2"/>
  <c r="BF217" i="2"/>
  <c r="BH217" i="2"/>
  <c r="BH223" i="2"/>
  <c r="BE223" i="2"/>
  <c r="AQ218" i="2"/>
  <c r="AR218" i="2"/>
  <c r="AS218" i="2"/>
  <c r="AT218" i="2"/>
  <c r="AU218" i="2"/>
  <c r="AX218" i="2"/>
  <c r="AY218" i="2"/>
  <c r="AZ218" i="2" s="1"/>
  <c r="BD218" i="2"/>
  <c r="BF218" i="2"/>
  <c r="K87" i="18" s="1"/>
  <c r="BH218" i="2"/>
  <c r="BH224" i="2"/>
  <c r="BD224" i="2"/>
  <c r="AQ219" i="2"/>
  <c r="AR219" i="2"/>
  <c r="AS219" i="2"/>
  <c r="AT219" i="2"/>
  <c r="AU219" i="2"/>
  <c r="AX219" i="2"/>
  <c r="AY219" i="2"/>
  <c r="AZ219" i="2" s="1"/>
  <c r="BF219" i="2"/>
  <c r="AQ223" i="2"/>
  <c r="AR223" i="2"/>
  <c r="AS223" i="2"/>
  <c r="AT223" i="2"/>
  <c r="AU223" i="2"/>
  <c r="AX223" i="2"/>
  <c r="AY223" i="2"/>
  <c r="AZ223" i="2" s="1"/>
  <c r="BF223" i="2"/>
  <c r="K88" i="18" s="1"/>
  <c r="AQ224" i="2"/>
  <c r="AR224" i="2"/>
  <c r="AS224" i="2"/>
  <c r="AT224" i="2"/>
  <c r="AU224" i="2"/>
  <c r="AX224" i="2"/>
  <c r="AY224" i="2"/>
  <c r="AZ224" i="2" s="1"/>
  <c r="BF224" i="2"/>
  <c r="BD217" i="2" l="1"/>
  <c r="BD219" i="2"/>
  <c r="BE227" i="2"/>
  <c r="BA227" i="2"/>
  <c r="BE228" i="2"/>
  <c r="BA228" i="2"/>
  <c r="BA217" i="2"/>
  <c r="BE218" i="2"/>
  <c r="BA218" i="2"/>
  <c r="BD223" i="2"/>
  <c r="BA219" i="2"/>
  <c r="BE224" i="2"/>
  <c r="BA223" i="2"/>
  <c r="BA224" i="2"/>
  <c r="BH231" i="2" l="1"/>
  <c r="BD231" i="2"/>
  <c r="BD230" i="2"/>
  <c r="AQ244" i="2"/>
  <c r="AR244" i="2"/>
  <c r="AS244" i="2"/>
  <c r="AT244" i="2"/>
  <c r="AU244" i="2"/>
  <c r="AX244" i="2"/>
  <c r="AY244" i="2"/>
  <c r="AZ244" i="2" s="1"/>
  <c r="BD244" i="2"/>
  <c r="BF244" i="2"/>
  <c r="BH244" i="2"/>
  <c r="AQ230" i="2"/>
  <c r="AR230" i="2"/>
  <c r="AS230" i="2"/>
  <c r="AT230" i="2"/>
  <c r="AU230" i="2"/>
  <c r="AY230" i="2"/>
  <c r="AZ230" i="2" s="1"/>
  <c r="BF230" i="2"/>
  <c r="BH230" i="2"/>
  <c r="AQ231" i="2"/>
  <c r="AR231" i="2"/>
  <c r="AS231" i="2"/>
  <c r="AT231" i="2"/>
  <c r="AU231" i="2"/>
  <c r="AY231" i="2"/>
  <c r="AZ231" i="2" s="1"/>
  <c r="BF231" i="2"/>
  <c r="AQ315" i="2"/>
  <c r="AR315" i="2"/>
  <c r="AS315" i="2"/>
  <c r="AT315" i="2"/>
  <c r="AU315" i="2"/>
  <c r="AX315" i="2"/>
  <c r="AY315" i="2"/>
  <c r="AZ315" i="2" s="1"/>
  <c r="BD315" i="2"/>
  <c r="BF315" i="2"/>
  <c r="BH315" i="2"/>
  <c r="AQ316" i="2"/>
  <c r="AR316" i="2"/>
  <c r="AS316" i="2"/>
  <c r="AT316" i="2"/>
  <c r="AU316" i="2"/>
  <c r="AX316" i="2"/>
  <c r="AY316" i="2"/>
  <c r="AZ316" i="2" s="1"/>
  <c r="BD316" i="2"/>
  <c r="BF316" i="2"/>
  <c r="BH316" i="2"/>
  <c r="AQ292" i="2"/>
  <c r="AR292" i="2"/>
  <c r="AS292" i="2"/>
  <c r="AT292" i="2"/>
  <c r="AU292" i="2"/>
  <c r="AY292" i="2"/>
  <c r="AZ292" i="2" s="1"/>
  <c r="BE292" i="2"/>
  <c r="BF292" i="2"/>
  <c r="K93" i="18" s="1"/>
  <c r="BH292" i="2"/>
  <c r="AQ293" i="2"/>
  <c r="AR293" i="2"/>
  <c r="AS293" i="2"/>
  <c r="AT293" i="2"/>
  <c r="AU293" i="2"/>
  <c r="AY293" i="2"/>
  <c r="AZ293" i="2" s="1"/>
  <c r="BE293" i="2"/>
  <c r="BF293" i="2"/>
  <c r="BH293" i="2"/>
  <c r="AX231" i="2" l="1"/>
  <c r="BA231" i="2" s="1"/>
  <c r="AX292" i="2"/>
  <c r="BA292" i="2" s="1"/>
  <c r="AX230" i="2"/>
  <c r="BA230" i="2" s="1"/>
  <c r="AX293" i="2"/>
  <c r="BA293" i="2" s="1"/>
  <c r="BA244" i="2"/>
  <c r="BE244" i="2"/>
  <c r="BE230" i="2"/>
  <c r="BE231" i="2"/>
  <c r="BD293" i="2"/>
  <c r="BD292" i="2"/>
  <c r="BE315" i="2"/>
  <c r="BA315" i="2"/>
  <c r="BA316" i="2"/>
  <c r="BE316" i="2"/>
  <c r="AQ232" i="2"/>
  <c r="AR232" i="2"/>
  <c r="AS232" i="2"/>
  <c r="AT232" i="2"/>
  <c r="AU232" i="2"/>
  <c r="AY232" i="2"/>
  <c r="AZ232" i="2" s="1"/>
  <c r="BD232" i="2"/>
  <c r="BF232" i="2"/>
  <c r="BH232" i="2"/>
  <c r="BH235" i="2"/>
  <c r="AQ233" i="2"/>
  <c r="AR233" i="2"/>
  <c r="AS233" i="2"/>
  <c r="AT233" i="2"/>
  <c r="AU233" i="2"/>
  <c r="AY233" i="2"/>
  <c r="AZ233" i="2" s="1"/>
  <c r="BD233" i="2"/>
  <c r="BE233" i="2"/>
  <c r="BF233" i="2"/>
  <c r="BH233" i="2"/>
  <c r="AQ234" i="2"/>
  <c r="AR234" i="2"/>
  <c r="AS234" i="2"/>
  <c r="AT234" i="2"/>
  <c r="AU234" i="2"/>
  <c r="AY234" i="2"/>
  <c r="AZ234" i="2" s="1"/>
  <c r="BE234" i="2"/>
  <c r="BD234" i="2"/>
  <c r="BF234" i="2"/>
  <c r="BH234" i="2"/>
  <c r="AQ235" i="2"/>
  <c r="AR235" i="2"/>
  <c r="AS235" i="2"/>
  <c r="AT235" i="2"/>
  <c r="AU235" i="2"/>
  <c r="AY235" i="2"/>
  <c r="AZ235" i="2" s="1"/>
  <c r="BE235" i="2"/>
  <c r="BD235" i="2"/>
  <c r="BF235" i="2"/>
  <c r="AX235" i="2" l="1"/>
  <c r="BA235" i="2" s="1"/>
  <c r="AX234" i="2"/>
  <c r="BA234" i="2" s="1"/>
  <c r="AX233" i="2"/>
  <c r="BA233" i="2" s="1"/>
  <c r="AX232" i="2"/>
  <c r="BA232" i="2" s="1"/>
  <c r="BE232" i="2"/>
  <c r="BD238" i="2" l="1"/>
  <c r="AQ237" i="2"/>
  <c r="AR237" i="2"/>
  <c r="AS237" i="2"/>
  <c r="AT237" i="2"/>
  <c r="AU237" i="2"/>
  <c r="AY237" i="2"/>
  <c r="AZ237" i="2" s="1"/>
  <c r="BD237" i="2"/>
  <c r="BF237" i="2"/>
  <c r="BH237" i="2"/>
  <c r="AQ238" i="2"/>
  <c r="AR238" i="2"/>
  <c r="AS238" i="2"/>
  <c r="AT238" i="2"/>
  <c r="AU238" i="2"/>
  <c r="AX238" i="2"/>
  <c r="AY238" i="2"/>
  <c r="AZ238" i="2" s="1"/>
  <c r="BF238" i="2"/>
  <c r="BH238" i="2"/>
  <c r="AQ239" i="2"/>
  <c r="AR239" i="2"/>
  <c r="AS239" i="2"/>
  <c r="AT239" i="2"/>
  <c r="AU239" i="2"/>
  <c r="AY239" i="2"/>
  <c r="AZ239" i="2" s="1"/>
  <c r="BD239" i="2"/>
  <c r="BE239" i="2"/>
  <c r="BF239" i="2"/>
  <c r="BH239" i="2"/>
  <c r="AX239" i="2" l="1"/>
  <c r="BA239" i="2" s="1"/>
  <c r="AX237" i="2"/>
  <c r="BA237" i="2" s="1"/>
  <c r="BA238" i="2"/>
  <c r="BE238" i="2"/>
  <c r="BE237" i="2"/>
  <c r="AQ312" i="2"/>
  <c r="AR312" i="2"/>
  <c r="AS312" i="2"/>
  <c r="AT312" i="2"/>
  <c r="AU312" i="2"/>
  <c r="AX312" i="2"/>
  <c r="AY312" i="2"/>
  <c r="AZ312" i="2" s="1"/>
  <c r="BD312" i="2"/>
  <c r="BF312" i="2"/>
  <c r="BH312" i="2"/>
  <c r="AQ313" i="2"/>
  <c r="AR313" i="2"/>
  <c r="AS313" i="2"/>
  <c r="AT313" i="2"/>
  <c r="AU313" i="2"/>
  <c r="AX313" i="2"/>
  <c r="AY313" i="2"/>
  <c r="AZ313" i="2" s="1"/>
  <c r="BD313" i="2"/>
  <c r="BF313" i="2"/>
  <c r="BH313" i="2"/>
  <c r="AQ314" i="2"/>
  <c r="AR314" i="2"/>
  <c r="AS314" i="2"/>
  <c r="AT314" i="2"/>
  <c r="AU314" i="2"/>
  <c r="AX314" i="2"/>
  <c r="AY314" i="2"/>
  <c r="AZ314" i="2" s="1"/>
  <c r="BD314" i="2"/>
  <c r="BF314" i="2"/>
  <c r="BH314" i="2"/>
  <c r="AQ321" i="2"/>
  <c r="AR321" i="2"/>
  <c r="AS321" i="2"/>
  <c r="AT321" i="2"/>
  <c r="AU321" i="2"/>
  <c r="AX321" i="2"/>
  <c r="AY321" i="2"/>
  <c r="AZ321" i="2" s="1"/>
  <c r="BD321" i="2"/>
  <c r="BF321" i="2"/>
  <c r="BH321" i="2"/>
  <c r="AQ329" i="2"/>
  <c r="AR329" i="2"/>
  <c r="AS329" i="2"/>
  <c r="AT329" i="2"/>
  <c r="AU329" i="2"/>
  <c r="AX329" i="2"/>
  <c r="AY329" i="2"/>
  <c r="AZ329" i="2" s="1"/>
  <c r="BD329" i="2"/>
  <c r="BF329" i="2"/>
  <c r="BH329" i="2"/>
  <c r="AQ352" i="2"/>
  <c r="AR352" i="2"/>
  <c r="AS352" i="2"/>
  <c r="AT352" i="2"/>
  <c r="AU352" i="2"/>
  <c r="AX352" i="2"/>
  <c r="AY352" i="2"/>
  <c r="AZ352" i="2" s="1"/>
  <c r="BE352" i="2"/>
  <c r="BF352" i="2"/>
  <c r="BH352" i="2"/>
  <c r="AQ353" i="2"/>
  <c r="AR353" i="2"/>
  <c r="AS353" i="2"/>
  <c r="AT353" i="2"/>
  <c r="AU353" i="2"/>
  <c r="AX353" i="2"/>
  <c r="AY353" i="2"/>
  <c r="AZ353" i="2" s="1"/>
  <c r="BD353" i="2"/>
  <c r="BF353" i="2"/>
  <c r="BH353" i="2"/>
  <c r="AQ354" i="2"/>
  <c r="AR354" i="2"/>
  <c r="AS354" i="2"/>
  <c r="AT354" i="2"/>
  <c r="AU354" i="2"/>
  <c r="AX354" i="2"/>
  <c r="AY354" i="2"/>
  <c r="AZ354" i="2" s="1"/>
  <c r="BD354" i="2"/>
  <c r="BF354" i="2"/>
  <c r="BH354" i="2"/>
  <c r="AQ343" i="2"/>
  <c r="AR343" i="2"/>
  <c r="AS343" i="2"/>
  <c r="AT343" i="2"/>
  <c r="AU343" i="2"/>
  <c r="AX343" i="2"/>
  <c r="AY343" i="2"/>
  <c r="AZ343" i="2" s="1"/>
  <c r="BD343" i="2"/>
  <c r="BF343" i="2"/>
  <c r="BH343" i="2"/>
  <c r="BA312" i="2" l="1"/>
  <c r="BE312" i="2"/>
  <c r="BE313" i="2"/>
  <c r="BA313" i="2"/>
  <c r="BE314" i="2"/>
  <c r="BA314" i="2"/>
  <c r="BE321" i="2"/>
  <c r="BA321" i="2"/>
  <c r="BE354" i="2"/>
  <c r="BD352" i="2"/>
  <c r="BE329" i="2"/>
  <c r="BA329" i="2"/>
  <c r="BA352" i="2"/>
  <c r="BA354" i="2"/>
  <c r="BE353" i="2"/>
  <c r="BA353" i="2"/>
  <c r="BE343" i="2"/>
  <c r="BA343" i="2"/>
  <c r="BH241" i="2" l="1"/>
  <c r="BE241" i="2"/>
  <c r="AQ240" i="2"/>
  <c r="AR240" i="2"/>
  <c r="AS240" i="2"/>
  <c r="AT240" i="2"/>
  <c r="AU240" i="2"/>
  <c r="AX240" i="2"/>
  <c r="AY240" i="2"/>
  <c r="AZ240" i="2" s="1"/>
  <c r="BD240" i="2"/>
  <c r="BF240" i="2"/>
  <c r="BH240" i="2"/>
  <c r="AQ241" i="2"/>
  <c r="BH236" i="2"/>
  <c r="BD236" i="2"/>
  <c r="AR241" i="2"/>
  <c r="AS241" i="2"/>
  <c r="AT241" i="2"/>
  <c r="AU241" i="2"/>
  <c r="AY241" i="2"/>
  <c r="AZ241" i="2" s="1"/>
  <c r="BF241" i="2"/>
  <c r="AQ236" i="2"/>
  <c r="AR236" i="2"/>
  <c r="AS236" i="2"/>
  <c r="AT236" i="2"/>
  <c r="AU236" i="2"/>
  <c r="AY236" i="2"/>
  <c r="AZ236" i="2" s="1"/>
  <c r="BF236" i="2"/>
  <c r="AX236" i="2" l="1"/>
  <c r="BA236" i="2" s="1"/>
  <c r="AX241" i="2"/>
  <c r="BA241" i="2" s="1"/>
  <c r="BD241" i="2"/>
  <c r="BA240" i="2"/>
  <c r="BE240" i="2"/>
  <c r="BE236" i="2"/>
  <c r="AQ242" i="2"/>
  <c r="AR242" i="2"/>
  <c r="AS242" i="2"/>
  <c r="AT242" i="2"/>
  <c r="AU242" i="2"/>
  <c r="AY242" i="2"/>
  <c r="AZ242" i="2" s="1"/>
  <c r="BD242" i="2"/>
  <c r="BF242" i="2"/>
  <c r="BH242" i="2"/>
  <c r="BH247" i="2"/>
  <c r="BD247" i="2"/>
  <c r="BD246" i="2"/>
  <c r="AQ322" i="2"/>
  <c r="AR322" i="2"/>
  <c r="AS322" i="2"/>
  <c r="AT322" i="2"/>
  <c r="AU322" i="2"/>
  <c r="AX322" i="2"/>
  <c r="AY322" i="2"/>
  <c r="AZ322" i="2" s="1"/>
  <c r="BD322" i="2"/>
  <c r="BF322" i="2"/>
  <c r="BH322" i="2"/>
  <c r="AQ325" i="2"/>
  <c r="AR325" i="2"/>
  <c r="AS325" i="2"/>
  <c r="AT325" i="2"/>
  <c r="AU325" i="2"/>
  <c r="AX325" i="2"/>
  <c r="AY325" i="2"/>
  <c r="AZ325" i="2" s="1"/>
  <c r="BD325" i="2"/>
  <c r="BF325" i="2"/>
  <c r="BH325" i="2"/>
  <c r="AQ246" i="2"/>
  <c r="AR246" i="2"/>
  <c r="AS246" i="2"/>
  <c r="AT246" i="2"/>
  <c r="AU246" i="2"/>
  <c r="AX246" i="2"/>
  <c r="AY246" i="2"/>
  <c r="AZ246" i="2" s="1"/>
  <c r="BF246" i="2"/>
  <c r="BH246" i="2"/>
  <c r="BH248" i="2"/>
  <c r="BD248" i="2"/>
  <c r="BE245" i="2"/>
  <c r="AQ247" i="2"/>
  <c r="AR247" i="2"/>
  <c r="AS247" i="2"/>
  <c r="AT247" i="2"/>
  <c r="AU247" i="2"/>
  <c r="AX247" i="2"/>
  <c r="AY247" i="2"/>
  <c r="AZ247" i="2" s="1"/>
  <c r="BF247" i="2"/>
  <c r="AQ245" i="2"/>
  <c r="AR245" i="2"/>
  <c r="AS245" i="2"/>
  <c r="AT245" i="2"/>
  <c r="AU245" i="2"/>
  <c r="AY245" i="2"/>
  <c r="AZ245" i="2" s="1"/>
  <c r="BF245" i="2"/>
  <c r="BH245" i="2"/>
  <c r="AQ253" i="2"/>
  <c r="AR253" i="2"/>
  <c r="AS253" i="2"/>
  <c r="AT253" i="2"/>
  <c r="AU253" i="2"/>
  <c r="AX253" i="2"/>
  <c r="AY253" i="2"/>
  <c r="AZ253" i="2" s="1"/>
  <c r="BE253" i="2"/>
  <c r="BF253" i="2"/>
  <c r="BH253" i="2"/>
  <c r="AQ248" i="2"/>
  <c r="AR248" i="2"/>
  <c r="AS248" i="2"/>
  <c r="AT248" i="2"/>
  <c r="AU248" i="2"/>
  <c r="AX248" i="2"/>
  <c r="AY248" i="2"/>
  <c r="AZ248" i="2" s="1"/>
  <c r="BF248" i="2"/>
  <c r="AX245" i="2" l="1"/>
  <c r="BA245" i="2" s="1"/>
  <c r="AX242" i="2"/>
  <c r="BA242" i="2" s="1"/>
  <c r="BE242" i="2"/>
  <c r="BE322" i="2"/>
  <c r="BA322" i="2"/>
  <c r="BE247" i="2"/>
  <c r="BA246" i="2"/>
  <c r="BE325" i="2"/>
  <c r="BA325" i="2"/>
  <c r="BE246" i="2"/>
  <c r="BD245" i="2"/>
  <c r="BA247" i="2"/>
  <c r="BB136" i="2" s="1"/>
  <c r="BD253" i="2"/>
  <c r="BE248" i="2"/>
  <c r="BA253" i="2"/>
  <c r="BA248" i="2"/>
  <c r="AQ355" i="2"/>
  <c r="AR355" i="2"/>
  <c r="AS355" i="2"/>
  <c r="AT355" i="2"/>
  <c r="AU355" i="2"/>
  <c r="AX355" i="2"/>
  <c r="AY355" i="2"/>
  <c r="AZ355" i="2" s="1"/>
  <c r="BD355" i="2"/>
  <c r="BF355" i="2"/>
  <c r="BH355" i="2"/>
  <c r="AQ356" i="2"/>
  <c r="AR356" i="2"/>
  <c r="AS356" i="2"/>
  <c r="AT356" i="2"/>
  <c r="AU356" i="2"/>
  <c r="AY356" i="2"/>
  <c r="AZ356" i="2" s="1"/>
  <c r="BE356" i="2"/>
  <c r="BF356" i="2"/>
  <c r="BH356" i="2"/>
  <c r="AQ350" i="2"/>
  <c r="AR350" i="2"/>
  <c r="AS350" i="2"/>
  <c r="AT350" i="2"/>
  <c r="AU350" i="2"/>
  <c r="AY350" i="2"/>
  <c r="AZ350" i="2" s="1"/>
  <c r="BE350" i="2"/>
  <c r="BF350" i="2"/>
  <c r="K96" i="18" s="1"/>
  <c r="BH350" i="2"/>
  <c r="AQ261" i="2"/>
  <c r="AR261" i="2"/>
  <c r="AS261" i="2"/>
  <c r="AT261" i="2"/>
  <c r="AU261" i="2"/>
  <c r="AY261" i="2"/>
  <c r="AZ261" i="2" s="1"/>
  <c r="BD261" i="2"/>
  <c r="BF261" i="2"/>
  <c r="BH261" i="2"/>
  <c r="BB247" i="2" l="1"/>
  <c r="BB217" i="2"/>
  <c r="BB246" i="2"/>
  <c r="BB218" i="2"/>
  <c r="AX261" i="2"/>
  <c r="BA261" i="2" s="1"/>
  <c r="AX356" i="2"/>
  <c r="BA356" i="2" s="1"/>
  <c r="AX350" i="2"/>
  <c r="BA350" i="2" s="1"/>
  <c r="BD350" i="2"/>
  <c r="BD356" i="2"/>
  <c r="BE355" i="2"/>
  <c r="BA355" i="2"/>
  <c r="BE261" i="2"/>
  <c r="AQ262" i="2"/>
  <c r="AR262" i="2"/>
  <c r="AS262" i="2"/>
  <c r="AT262" i="2"/>
  <c r="AU262" i="2"/>
  <c r="AY262" i="2"/>
  <c r="AZ262" i="2" s="1"/>
  <c r="BD262" i="2"/>
  <c r="BF262" i="2"/>
  <c r="BH262" i="2"/>
  <c r="AX262" i="2" l="1"/>
  <c r="BA262" i="2" s="1"/>
  <c r="BE262" i="2"/>
  <c r="AQ330" i="2"/>
  <c r="AR330" i="2"/>
  <c r="AS330" i="2"/>
  <c r="AT330" i="2"/>
  <c r="AU330" i="2"/>
  <c r="AX330" i="2"/>
  <c r="AY330" i="2"/>
  <c r="AZ330" i="2" s="1"/>
  <c r="BD330" i="2"/>
  <c r="BF330" i="2"/>
  <c r="BH330" i="2"/>
  <c r="AQ331" i="2"/>
  <c r="AR331" i="2"/>
  <c r="AS331" i="2"/>
  <c r="AT331" i="2"/>
  <c r="AU331" i="2"/>
  <c r="AX331" i="2"/>
  <c r="AY331" i="2"/>
  <c r="AZ331" i="2" s="1"/>
  <c r="BD331" i="2"/>
  <c r="BF331" i="2"/>
  <c r="BH331" i="2"/>
  <c r="AQ340" i="2"/>
  <c r="AR340" i="2"/>
  <c r="AS340" i="2"/>
  <c r="AT340" i="2"/>
  <c r="AU340" i="2"/>
  <c r="AY340" i="2"/>
  <c r="AZ340" i="2" s="1"/>
  <c r="BD340" i="2"/>
  <c r="BF340" i="2"/>
  <c r="BH340" i="2"/>
  <c r="AQ341" i="2"/>
  <c r="AR341" i="2"/>
  <c r="AS341" i="2"/>
  <c r="AT341" i="2"/>
  <c r="AU341" i="2"/>
  <c r="AX341" i="2"/>
  <c r="AY341" i="2"/>
  <c r="AZ341" i="2" s="1"/>
  <c r="BD341" i="2"/>
  <c r="BF341" i="2"/>
  <c r="BH341" i="2"/>
  <c r="AQ308" i="2"/>
  <c r="AR308" i="2"/>
  <c r="AS308" i="2"/>
  <c r="AT308" i="2"/>
  <c r="AU308" i="2"/>
  <c r="AY308" i="2"/>
  <c r="AZ308" i="2" s="1"/>
  <c r="BD308" i="2"/>
  <c r="BF308" i="2"/>
  <c r="BH308" i="2"/>
  <c r="AQ332" i="2"/>
  <c r="AR332" i="2"/>
  <c r="AS332" i="2"/>
  <c r="AT332" i="2"/>
  <c r="AU332" i="2"/>
  <c r="AX332" i="2"/>
  <c r="AY332" i="2"/>
  <c r="AZ332" i="2" s="1"/>
  <c r="BD332" i="2"/>
  <c r="BF332" i="2"/>
  <c r="BH332" i="2"/>
  <c r="AQ357" i="2"/>
  <c r="AR357" i="2"/>
  <c r="AS357" i="2"/>
  <c r="AT357" i="2"/>
  <c r="AU357" i="2"/>
  <c r="AX357" i="2"/>
  <c r="AY357" i="2"/>
  <c r="AZ357" i="2" s="1"/>
  <c r="BD357" i="2"/>
  <c r="BF357" i="2"/>
  <c r="BH357" i="2"/>
  <c r="AQ345" i="2"/>
  <c r="AR345" i="2"/>
  <c r="AS345" i="2"/>
  <c r="AT345" i="2"/>
  <c r="AU345" i="2"/>
  <c r="AX345" i="2"/>
  <c r="AY345" i="2"/>
  <c r="AZ345" i="2" s="1"/>
  <c r="BD345" i="2"/>
  <c r="BF345" i="2"/>
  <c r="BH345" i="2"/>
  <c r="AQ326" i="2"/>
  <c r="AR326" i="2"/>
  <c r="AS326" i="2"/>
  <c r="AT326" i="2"/>
  <c r="AU326" i="2"/>
  <c r="AX326" i="2"/>
  <c r="AY326" i="2"/>
  <c r="AZ326" i="2" s="1"/>
  <c r="BD326" i="2"/>
  <c r="BF326" i="2"/>
  <c r="BH326" i="2"/>
  <c r="AQ281" i="2"/>
  <c r="AR281" i="2"/>
  <c r="AS281" i="2"/>
  <c r="AT281" i="2"/>
  <c r="AU281" i="2"/>
  <c r="AY281" i="2"/>
  <c r="AZ281" i="2" s="1"/>
  <c r="BD281" i="2"/>
  <c r="BF281" i="2"/>
  <c r="BH281" i="2"/>
  <c r="BD254" i="2"/>
  <c r="AQ254" i="2"/>
  <c r="AR254" i="2"/>
  <c r="AS254" i="2"/>
  <c r="AT254" i="2"/>
  <c r="AU254" i="2"/>
  <c r="AY254" i="2"/>
  <c r="AZ254" i="2" s="1"/>
  <c r="BF254" i="2"/>
  <c r="BH254" i="2"/>
  <c r="AQ358" i="2"/>
  <c r="AR358" i="2"/>
  <c r="AS358" i="2"/>
  <c r="AT358" i="2"/>
  <c r="AU358" i="2"/>
  <c r="AX358" i="2"/>
  <c r="AY358" i="2"/>
  <c r="AZ358" i="2" s="1"/>
  <c r="BE358" i="2"/>
  <c r="BF358" i="2"/>
  <c r="BH358" i="2"/>
  <c r="AQ351" i="2"/>
  <c r="AR351" i="2"/>
  <c r="AS351" i="2"/>
  <c r="AT351" i="2"/>
  <c r="AU351" i="2"/>
  <c r="AX351" i="2"/>
  <c r="AY351" i="2"/>
  <c r="AZ351" i="2" s="1"/>
  <c r="BE351" i="2"/>
  <c r="BF351" i="2"/>
  <c r="BH351" i="2"/>
  <c r="AX254" i="2" l="1"/>
  <c r="BA254" i="2" s="1"/>
  <c r="AX281" i="2"/>
  <c r="BA281" i="2" s="1"/>
  <c r="AX308" i="2"/>
  <c r="BA308" i="2" s="1"/>
  <c r="AX340" i="2"/>
  <c r="BA340" i="2" s="1"/>
  <c r="BA331" i="2"/>
  <c r="BE330" i="2"/>
  <c r="BA330" i="2"/>
  <c r="BE331" i="2"/>
  <c r="BE340" i="2"/>
  <c r="BE341" i="2"/>
  <c r="BA341" i="2"/>
  <c r="BE308" i="2"/>
  <c r="BE332" i="2"/>
  <c r="BA332" i="2"/>
  <c r="BE357" i="2"/>
  <c r="BA357" i="2"/>
  <c r="BE345" i="2"/>
  <c r="BA345" i="2"/>
  <c r="BE326" i="2"/>
  <c r="BA326" i="2"/>
  <c r="BD351" i="2"/>
  <c r="BE281" i="2"/>
  <c r="BD358" i="2"/>
  <c r="BE254" i="2"/>
  <c r="BA358" i="2"/>
  <c r="BA351" i="2"/>
  <c r="AQ255" i="2"/>
  <c r="AR255" i="2"/>
  <c r="AS255" i="2"/>
  <c r="AT255" i="2"/>
  <c r="AU255" i="2"/>
  <c r="AY255" i="2"/>
  <c r="AZ255" i="2" s="1"/>
  <c r="BE255" i="2"/>
  <c r="BF255" i="2"/>
  <c r="BH255" i="2"/>
  <c r="AX255" i="2" l="1"/>
  <c r="BA255" i="2" s="1"/>
  <c r="BD255" i="2"/>
  <c r="AQ249" i="2"/>
  <c r="AR249" i="2"/>
  <c r="AS249" i="2"/>
  <c r="AT249" i="2"/>
  <c r="AU249" i="2"/>
  <c r="AY249" i="2"/>
  <c r="AZ249" i="2" s="1"/>
  <c r="BE249" i="2"/>
  <c r="BD249" i="2"/>
  <c r="BF249" i="2"/>
  <c r="BH249" i="2"/>
  <c r="AQ250" i="2"/>
  <c r="AR250" i="2"/>
  <c r="AS250" i="2"/>
  <c r="AT250" i="2"/>
  <c r="AU250" i="2"/>
  <c r="AY250" i="2"/>
  <c r="AZ250" i="2" s="1"/>
  <c r="BD250" i="2"/>
  <c r="BE250" i="2"/>
  <c r="BF250" i="2"/>
  <c r="BH250" i="2"/>
  <c r="AX249" i="2" l="1"/>
  <c r="BA249" i="2" s="1"/>
  <c r="AX250" i="2"/>
  <c r="BA250" i="2" s="1"/>
  <c r="BD252" i="2" l="1"/>
  <c r="AQ251" i="2"/>
  <c r="AR251" i="2"/>
  <c r="AS251" i="2"/>
  <c r="AT251" i="2"/>
  <c r="AU251" i="2"/>
  <c r="AY251" i="2"/>
  <c r="AZ251" i="2" s="1"/>
  <c r="BE251" i="2"/>
  <c r="BD251" i="2"/>
  <c r="BF251" i="2"/>
  <c r="BH251" i="2"/>
  <c r="AQ252" i="2"/>
  <c r="AR252" i="2"/>
  <c r="AS252" i="2"/>
  <c r="AT252" i="2"/>
  <c r="AU252" i="2"/>
  <c r="AY252" i="2"/>
  <c r="AZ252" i="2" s="1"/>
  <c r="BE252" i="2"/>
  <c r="BF252" i="2"/>
  <c r="BH252" i="2"/>
  <c r="AX251" i="2" l="1"/>
  <c r="BA251" i="2" s="1"/>
  <c r="AX252" i="2"/>
  <c r="BA252" i="2" s="1"/>
  <c r="AQ256" i="2"/>
  <c r="AR256" i="2"/>
  <c r="AS256" i="2"/>
  <c r="AT256" i="2"/>
  <c r="AU256" i="2"/>
  <c r="AY256" i="2"/>
  <c r="AZ256" i="2" s="1"/>
  <c r="BD256" i="2"/>
  <c r="BE256" i="2"/>
  <c r="BF256" i="2"/>
  <c r="BH256" i="2"/>
  <c r="AX256" i="2" l="1"/>
  <c r="BA256" i="2" s="1"/>
  <c r="AQ269" i="2" l="1"/>
  <c r="AR269" i="2"/>
  <c r="AS269" i="2"/>
  <c r="AT269" i="2"/>
  <c r="AU269" i="2"/>
  <c r="AY269" i="2"/>
  <c r="AZ269" i="2" s="1"/>
  <c r="BE269" i="2"/>
  <c r="BD269" i="2"/>
  <c r="BF269" i="2"/>
  <c r="BH269" i="2"/>
  <c r="AQ270" i="2"/>
  <c r="AR270" i="2"/>
  <c r="AS270" i="2"/>
  <c r="AT270" i="2"/>
  <c r="AU270" i="2"/>
  <c r="AX270" i="2"/>
  <c r="AY270" i="2"/>
  <c r="AZ270" i="2" s="1"/>
  <c r="BE270" i="2"/>
  <c r="BD270" i="2"/>
  <c r="BF270" i="2"/>
  <c r="BH270" i="2"/>
  <c r="AX269" i="2" l="1"/>
  <c r="BA269" i="2" s="1"/>
  <c r="BA270" i="2"/>
  <c r="BH257" i="2"/>
  <c r="AQ309" i="2"/>
  <c r="AR309" i="2"/>
  <c r="AS309" i="2"/>
  <c r="AT309" i="2"/>
  <c r="AU309" i="2"/>
  <c r="AX309" i="2"/>
  <c r="AY309" i="2"/>
  <c r="AZ309" i="2" s="1"/>
  <c r="BD309" i="2"/>
  <c r="BE309" i="2"/>
  <c r="BF309" i="2"/>
  <c r="BH309" i="2"/>
  <c r="AQ257" i="2"/>
  <c r="AR257" i="2"/>
  <c r="AS257" i="2"/>
  <c r="AT257" i="2"/>
  <c r="AU257" i="2"/>
  <c r="AX257" i="2"/>
  <c r="AY257" i="2"/>
  <c r="AZ257" i="2" s="1"/>
  <c r="BD257" i="2"/>
  <c r="BF257" i="2"/>
  <c r="AQ259" i="2"/>
  <c r="AR259" i="2"/>
  <c r="AS259" i="2"/>
  <c r="AT259" i="2"/>
  <c r="AU259" i="2"/>
  <c r="AX259" i="2"/>
  <c r="AY259" i="2"/>
  <c r="AZ259" i="2" s="1"/>
  <c r="BD259" i="2"/>
  <c r="BF259" i="2"/>
  <c r="K90" i="18" s="1"/>
  <c r="BH259" i="2"/>
  <c r="AQ271" i="2"/>
  <c r="AR271" i="2"/>
  <c r="AS271" i="2"/>
  <c r="AT271" i="2"/>
  <c r="AU271" i="2"/>
  <c r="AY271" i="2"/>
  <c r="AZ271" i="2" s="1"/>
  <c r="BE271" i="2"/>
  <c r="BF271" i="2"/>
  <c r="BH271" i="2"/>
  <c r="AQ272" i="2"/>
  <c r="AR272" i="2"/>
  <c r="AS272" i="2"/>
  <c r="AT272" i="2"/>
  <c r="AU272" i="2"/>
  <c r="AY272" i="2"/>
  <c r="AZ272" i="2" s="1"/>
  <c r="BD272" i="2"/>
  <c r="BF272" i="2"/>
  <c r="BH272" i="2"/>
  <c r="AX272" i="2" l="1"/>
  <c r="BA272" i="2" s="1"/>
  <c r="BA309" i="2"/>
  <c r="BA257" i="2"/>
  <c r="BE257" i="2"/>
  <c r="BA259" i="2"/>
  <c r="BE259" i="2"/>
  <c r="AX271" i="2"/>
  <c r="BA271" i="2" s="1"/>
  <c r="BE272" i="2"/>
  <c r="BD271" i="2"/>
  <c r="AQ263" i="2" l="1"/>
  <c r="AR263" i="2"/>
  <c r="AS263" i="2"/>
  <c r="AT263" i="2"/>
  <c r="AU263" i="2"/>
  <c r="AY263" i="2"/>
  <c r="AZ263" i="2" s="1"/>
  <c r="BE263" i="2"/>
  <c r="BD263" i="2"/>
  <c r="BF263" i="2"/>
  <c r="BH263" i="2"/>
  <c r="AQ260" i="2"/>
  <c r="AR260" i="2"/>
  <c r="AS260" i="2"/>
  <c r="AT260" i="2"/>
  <c r="AU260" i="2"/>
  <c r="AY260" i="2"/>
  <c r="AZ260" i="2" s="1"/>
  <c r="BD260" i="2"/>
  <c r="BE260" i="2"/>
  <c r="BF260" i="2"/>
  <c r="BH260" i="2"/>
  <c r="AX263" i="2" l="1"/>
  <c r="BA263" i="2" s="1"/>
  <c r="AX260" i="2"/>
  <c r="BA260" i="2" s="1"/>
  <c r="AQ557" i="2"/>
  <c r="AR557" i="2"/>
  <c r="AS557" i="2"/>
  <c r="AT557" i="2"/>
  <c r="AU557" i="2"/>
  <c r="AX557" i="2"/>
  <c r="AY557" i="2"/>
  <c r="AZ557" i="2" s="1"/>
  <c r="BD557" i="2"/>
  <c r="BF557" i="2"/>
  <c r="BH557" i="2"/>
  <c r="AQ518" i="2"/>
  <c r="AR518" i="2"/>
  <c r="AS518" i="2"/>
  <c r="AT518" i="2"/>
  <c r="AU518" i="2"/>
  <c r="AX518" i="2"/>
  <c r="AY518" i="2"/>
  <c r="AZ518" i="2" s="1"/>
  <c r="BD518" i="2"/>
  <c r="BE518" i="2"/>
  <c r="BF518" i="2"/>
  <c r="BH518" i="2"/>
  <c r="BA557" i="2" l="1"/>
  <c r="BE557" i="2"/>
  <c r="BA518" i="2"/>
  <c r="AQ338" i="2" l="1"/>
  <c r="AR338" i="2"/>
  <c r="AS338" i="2"/>
  <c r="AT338" i="2"/>
  <c r="AU338" i="2"/>
  <c r="AY338" i="2"/>
  <c r="AZ338" i="2" s="1"/>
  <c r="BD338" i="2"/>
  <c r="BF338" i="2"/>
  <c r="K95" i="18" s="1"/>
  <c r="BH338" i="2"/>
  <c r="AQ264" i="2"/>
  <c r="AR264" i="2"/>
  <c r="AS264" i="2"/>
  <c r="AT264" i="2"/>
  <c r="AU264" i="2"/>
  <c r="AY264" i="2"/>
  <c r="AZ264" i="2" s="1"/>
  <c r="BD264" i="2"/>
  <c r="BF264" i="2"/>
  <c r="BH264" i="2"/>
  <c r="AX264" i="2" l="1"/>
  <c r="BA264" i="2" s="1"/>
  <c r="AX338" i="2"/>
  <c r="BA338" i="2" s="1"/>
  <c r="BE338" i="2"/>
  <c r="BE264" i="2"/>
  <c r="AQ265" i="2" l="1"/>
  <c r="AR265" i="2"/>
  <c r="AS265" i="2"/>
  <c r="AT265" i="2"/>
  <c r="AU265" i="2"/>
  <c r="AY265" i="2"/>
  <c r="AZ265" i="2" s="1"/>
  <c r="BE265" i="2"/>
  <c r="BD265" i="2"/>
  <c r="BF265" i="2"/>
  <c r="BH265" i="2"/>
  <c r="AQ348" i="2"/>
  <c r="AR348" i="2"/>
  <c r="AS348" i="2"/>
  <c r="AT348" i="2"/>
  <c r="AU348" i="2"/>
  <c r="AX348" i="2"/>
  <c r="AY348" i="2"/>
  <c r="AZ348" i="2" s="1"/>
  <c r="BD348" i="2"/>
  <c r="BF348" i="2"/>
  <c r="BH348" i="2"/>
  <c r="AQ282" i="2"/>
  <c r="AR282" i="2"/>
  <c r="AS282" i="2"/>
  <c r="AT282" i="2"/>
  <c r="AU282" i="2"/>
  <c r="AX282" i="2"/>
  <c r="AY282" i="2"/>
  <c r="AZ282" i="2" s="1"/>
  <c r="BE282" i="2"/>
  <c r="BD282" i="2"/>
  <c r="BF282" i="2"/>
  <c r="BH282" i="2"/>
  <c r="AX265" i="2" l="1"/>
  <c r="BA265" i="2" s="1"/>
  <c r="BE348" i="2"/>
  <c r="BA348" i="2"/>
  <c r="BA282" i="2"/>
  <c r="BH267" i="2"/>
  <c r="BD267" i="2"/>
  <c r="AQ267" i="2"/>
  <c r="AR267" i="2"/>
  <c r="AS267" i="2"/>
  <c r="AT267" i="2"/>
  <c r="AU267" i="2"/>
  <c r="AY267" i="2"/>
  <c r="AZ267" i="2" s="1"/>
  <c r="BF267" i="2"/>
  <c r="AX267" i="2" l="1"/>
  <c r="BA267" i="2" s="1"/>
  <c r="BE267" i="2"/>
  <c r="AQ266" i="2"/>
  <c r="AR266" i="2"/>
  <c r="AS266" i="2"/>
  <c r="AT266" i="2"/>
  <c r="AU266" i="2"/>
  <c r="AY266" i="2"/>
  <c r="AZ266" i="2" s="1"/>
  <c r="BD266" i="2"/>
  <c r="BE266" i="2"/>
  <c r="BF266" i="2"/>
  <c r="BH266" i="2"/>
  <c r="AX266" i="2" l="1"/>
  <c r="BA266" i="2" s="1"/>
  <c r="AQ283" i="2"/>
  <c r="AR283" i="2"/>
  <c r="AS283" i="2"/>
  <c r="AT283" i="2"/>
  <c r="AU283" i="2"/>
  <c r="AX283" i="2"/>
  <c r="AY283" i="2"/>
  <c r="AZ283" i="2" s="1"/>
  <c r="BD283" i="2"/>
  <c r="BE283" i="2"/>
  <c r="BF283" i="2"/>
  <c r="BH283" i="2"/>
  <c r="BA283" i="2" l="1"/>
  <c r="AQ296" i="2"/>
  <c r="AR296" i="2"/>
  <c r="AS296" i="2"/>
  <c r="AT296" i="2"/>
  <c r="AU296" i="2"/>
  <c r="AY296" i="2"/>
  <c r="AZ296" i="2" s="1"/>
  <c r="BE296" i="2"/>
  <c r="BD296" i="2"/>
  <c r="BF296" i="2"/>
  <c r="BH296" i="2"/>
  <c r="AQ297" i="2"/>
  <c r="AR297" i="2"/>
  <c r="AS297" i="2"/>
  <c r="AT297" i="2"/>
  <c r="AU297" i="2"/>
  <c r="AY297" i="2"/>
  <c r="AZ297" i="2" s="1"/>
  <c r="BE297" i="2"/>
  <c r="BD297" i="2"/>
  <c r="BF297" i="2"/>
  <c r="BH297" i="2"/>
  <c r="AX296" i="2" l="1"/>
  <c r="BA296" i="2" s="1"/>
  <c r="AX297" i="2"/>
  <c r="BA297" i="2" s="1"/>
  <c r="AQ273" i="2"/>
  <c r="AR273" i="2"/>
  <c r="AS273" i="2"/>
  <c r="AT273" i="2"/>
  <c r="AU273" i="2"/>
  <c r="AY273" i="2"/>
  <c r="AZ273" i="2" s="1"/>
  <c r="BD273" i="2"/>
  <c r="BE273" i="2"/>
  <c r="BF273" i="2"/>
  <c r="BH273" i="2"/>
  <c r="AX273" i="2" l="1"/>
  <c r="BA273" i="2" s="1"/>
  <c r="AQ359" i="2" l="1"/>
  <c r="AR359" i="2"/>
  <c r="AS359" i="2"/>
  <c r="AT359" i="2"/>
  <c r="AU359" i="2"/>
  <c r="AX359" i="2"/>
  <c r="AY359" i="2"/>
  <c r="AZ359" i="2" s="1"/>
  <c r="BD359" i="2"/>
  <c r="BE359" i="2"/>
  <c r="BF359" i="2"/>
  <c r="BH359" i="2"/>
  <c r="BA359" i="2" l="1"/>
  <c r="AQ349" i="2"/>
  <c r="AR349" i="2"/>
  <c r="AS349" i="2"/>
  <c r="AT349" i="2"/>
  <c r="AU349" i="2"/>
  <c r="AX349" i="2"/>
  <c r="AY349" i="2"/>
  <c r="AZ349" i="2" s="1"/>
  <c r="BD349" i="2"/>
  <c r="BF349" i="2"/>
  <c r="BH349" i="2"/>
  <c r="AQ274" i="2"/>
  <c r="AR274" i="2"/>
  <c r="AS274" i="2"/>
  <c r="AT274" i="2"/>
  <c r="AU274" i="2"/>
  <c r="AX274" i="2"/>
  <c r="AY274" i="2"/>
  <c r="AZ274" i="2" s="1"/>
  <c r="BE274" i="2"/>
  <c r="BD274" i="2"/>
  <c r="BF274" i="2"/>
  <c r="BH274" i="2"/>
  <c r="BE349" i="2" l="1"/>
  <c r="BA349" i="2"/>
  <c r="BA274" i="2"/>
  <c r="AQ275" i="2"/>
  <c r="AR275" i="2"/>
  <c r="AS275" i="2"/>
  <c r="AT275" i="2"/>
  <c r="AU275" i="2"/>
  <c r="AY275" i="2"/>
  <c r="AZ275" i="2" s="1"/>
  <c r="BD275" i="2"/>
  <c r="BF275" i="2"/>
  <c r="BH275" i="2"/>
  <c r="AQ294" i="2"/>
  <c r="AR294" i="2"/>
  <c r="AS294" i="2"/>
  <c r="AT294" i="2"/>
  <c r="AU294" i="2"/>
  <c r="AY294" i="2"/>
  <c r="AZ294" i="2" s="1"/>
  <c r="BE294" i="2"/>
  <c r="BD294" i="2"/>
  <c r="BF294" i="2"/>
  <c r="BH294" i="2"/>
  <c r="AQ277" i="2"/>
  <c r="AR277" i="2"/>
  <c r="AS277" i="2"/>
  <c r="AT277" i="2"/>
  <c r="AU277" i="2"/>
  <c r="AY277" i="2"/>
  <c r="AZ277" i="2" s="1"/>
  <c r="BE277" i="2"/>
  <c r="BD277" i="2"/>
  <c r="BF277" i="2"/>
  <c r="BH277" i="2"/>
  <c r="AQ295" i="2"/>
  <c r="AR295" i="2"/>
  <c r="AS295" i="2"/>
  <c r="AT295" i="2"/>
  <c r="AU295" i="2"/>
  <c r="AX295" i="2"/>
  <c r="AY295" i="2"/>
  <c r="AZ295" i="2" s="1"/>
  <c r="BE295" i="2"/>
  <c r="BF295" i="2"/>
  <c r="BH295" i="2"/>
  <c r="AX277" i="2" l="1"/>
  <c r="BA277" i="2" s="1"/>
  <c r="AX275" i="2"/>
  <c r="BA275" i="2" s="1"/>
  <c r="AX294" i="2"/>
  <c r="BA294" i="2" s="1"/>
  <c r="BD295" i="2"/>
  <c r="BE275" i="2"/>
  <c r="BA295" i="2"/>
  <c r="AQ298" i="2"/>
  <c r="AR298" i="2"/>
  <c r="AS298" i="2"/>
  <c r="AT298" i="2"/>
  <c r="AU298" i="2"/>
  <c r="AY298" i="2"/>
  <c r="AZ298" i="2" s="1"/>
  <c r="BE298" i="2"/>
  <c r="BD298" i="2"/>
  <c r="BF298" i="2"/>
  <c r="BH298" i="2"/>
  <c r="AQ299" i="2"/>
  <c r="AR299" i="2"/>
  <c r="AS299" i="2"/>
  <c r="AT299" i="2"/>
  <c r="AU299" i="2"/>
  <c r="AY299" i="2"/>
  <c r="AZ299" i="2" s="1"/>
  <c r="BE299" i="2"/>
  <c r="BD299" i="2"/>
  <c r="BF299" i="2"/>
  <c r="BH299" i="2"/>
  <c r="AX298" i="2" l="1"/>
  <c r="BA298" i="2" s="1"/>
  <c r="AX299" i="2"/>
  <c r="BA299" i="2" s="1"/>
  <c r="AQ276" i="2"/>
  <c r="AR276" i="2"/>
  <c r="AS276" i="2"/>
  <c r="AT276" i="2"/>
  <c r="AU276" i="2"/>
  <c r="AY276" i="2"/>
  <c r="AZ276" i="2" s="1"/>
  <c r="BE276" i="2"/>
  <c r="BD276" i="2"/>
  <c r="BF276" i="2"/>
  <c r="BH276" i="2"/>
  <c r="AX276" i="2" l="1"/>
  <c r="BA276" i="2" s="1"/>
  <c r="BH280" i="2" l="1"/>
  <c r="BD280" i="2"/>
  <c r="AQ284" i="2"/>
  <c r="AR284" i="2"/>
  <c r="AS284" i="2"/>
  <c r="AT284" i="2"/>
  <c r="AU284" i="2"/>
  <c r="AX284" i="2"/>
  <c r="AY284" i="2"/>
  <c r="AZ284" i="2" s="1"/>
  <c r="BE284" i="2"/>
  <c r="BF284" i="2"/>
  <c r="BH284" i="2"/>
  <c r="BH285" i="2"/>
  <c r="BD285" i="2"/>
  <c r="AQ280" i="2"/>
  <c r="AR280" i="2"/>
  <c r="AS280" i="2"/>
  <c r="AT280" i="2"/>
  <c r="AU280" i="2"/>
  <c r="AX280" i="2"/>
  <c r="AY280" i="2"/>
  <c r="AZ280" i="2" s="1"/>
  <c r="BF280" i="2"/>
  <c r="BH279" i="2"/>
  <c r="BD279" i="2"/>
  <c r="AQ285" i="2"/>
  <c r="AR285" i="2"/>
  <c r="AS285" i="2"/>
  <c r="AT285" i="2"/>
  <c r="AU285" i="2"/>
  <c r="AX285" i="2"/>
  <c r="AY285" i="2"/>
  <c r="AZ285" i="2" s="1"/>
  <c r="BF285" i="2"/>
  <c r="BH286" i="2"/>
  <c r="BD286" i="2"/>
  <c r="AQ279" i="2"/>
  <c r="AR279" i="2"/>
  <c r="AS279" i="2"/>
  <c r="AT279" i="2"/>
  <c r="AU279" i="2"/>
  <c r="AX279" i="2"/>
  <c r="AY279" i="2"/>
  <c r="AZ279" i="2" s="1"/>
  <c r="BF279" i="2"/>
  <c r="AQ286" i="2"/>
  <c r="AR286" i="2"/>
  <c r="AS286" i="2"/>
  <c r="AT286" i="2"/>
  <c r="AU286" i="2"/>
  <c r="AX286" i="2"/>
  <c r="AY286" i="2"/>
  <c r="AZ286" i="2" s="1"/>
  <c r="BF286" i="2"/>
  <c r="BA280" i="2" l="1"/>
  <c r="BA285" i="2"/>
  <c r="BA284" i="2"/>
  <c r="BD284" i="2"/>
  <c r="BE280" i="2"/>
  <c r="BE285" i="2"/>
  <c r="BE279" i="2"/>
  <c r="BA279" i="2"/>
  <c r="BE286" i="2"/>
  <c r="BA286" i="2"/>
  <c r="AQ300" i="2"/>
  <c r="AR300" i="2"/>
  <c r="AS300" i="2"/>
  <c r="AT300" i="2"/>
  <c r="AU300" i="2"/>
  <c r="AX300" i="2"/>
  <c r="AY300" i="2"/>
  <c r="AZ300" i="2" s="1"/>
  <c r="BE300" i="2"/>
  <c r="BF300" i="2"/>
  <c r="BH300" i="2"/>
  <c r="AQ278" i="2"/>
  <c r="AR278" i="2"/>
  <c r="AS278" i="2"/>
  <c r="AT278" i="2"/>
  <c r="AU278" i="2"/>
  <c r="AY278" i="2"/>
  <c r="AZ278" i="2" s="1"/>
  <c r="BE278" i="2"/>
  <c r="BF278" i="2"/>
  <c r="BH278" i="2"/>
  <c r="AX278" i="2" l="1"/>
  <c r="BA278" i="2" s="1"/>
  <c r="BD300" i="2"/>
  <c r="BA300" i="2"/>
  <c r="BD278" i="2"/>
  <c r="BD290" i="2"/>
  <c r="BD289" i="2"/>
  <c r="AQ366" i="2"/>
  <c r="AR366" i="2"/>
  <c r="AS366" i="2"/>
  <c r="AT366" i="2"/>
  <c r="AU366" i="2"/>
  <c r="AX366" i="2"/>
  <c r="AY366" i="2"/>
  <c r="AZ366" i="2" s="1"/>
  <c r="BD366" i="2"/>
  <c r="BF366" i="2"/>
  <c r="BH366" i="2"/>
  <c r="AQ367" i="2"/>
  <c r="AR367" i="2"/>
  <c r="AS367" i="2"/>
  <c r="AT367" i="2"/>
  <c r="AU367" i="2"/>
  <c r="AX367" i="2"/>
  <c r="AY367" i="2"/>
  <c r="AZ367" i="2" s="1"/>
  <c r="BD367" i="2"/>
  <c r="BF367" i="2"/>
  <c r="BH367" i="2"/>
  <c r="AQ368" i="2"/>
  <c r="AR368" i="2"/>
  <c r="AS368" i="2"/>
  <c r="AT368" i="2"/>
  <c r="AU368" i="2"/>
  <c r="AX368" i="2"/>
  <c r="AY368" i="2"/>
  <c r="AZ368" i="2" s="1"/>
  <c r="BE368" i="2"/>
  <c r="BF368" i="2"/>
  <c r="BH368" i="2"/>
  <c r="AQ287" i="2"/>
  <c r="AR287" i="2"/>
  <c r="AS287" i="2"/>
  <c r="AT287" i="2"/>
  <c r="AU287" i="2"/>
  <c r="AX287" i="2"/>
  <c r="AY287" i="2"/>
  <c r="AZ287" i="2" s="1"/>
  <c r="BD287" i="2"/>
  <c r="BF287" i="2"/>
  <c r="K91" i="18" s="1"/>
  <c r="BH287" i="2"/>
  <c r="BH288" i="2"/>
  <c r="BE288" i="2"/>
  <c r="AQ289" i="2"/>
  <c r="AR289" i="2"/>
  <c r="AS289" i="2"/>
  <c r="AT289" i="2"/>
  <c r="AU289" i="2"/>
  <c r="AY289" i="2"/>
  <c r="AZ289" i="2" s="1"/>
  <c r="BF289" i="2"/>
  <c r="BH289" i="2"/>
  <c r="AQ290" i="2"/>
  <c r="AR290" i="2"/>
  <c r="AS290" i="2"/>
  <c r="AT290" i="2"/>
  <c r="AU290" i="2"/>
  <c r="AY290" i="2"/>
  <c r="AZ290" i="2" s="1"/>
  <c r="BF290" i="2"/>
  <c r="K92" i="18" s="1"/>
  <c r="BH290" i="2"/>
  <c r="AQ288" i="2"/>
  <c r="AR288" i="2"/>
  <c r="AS288" i="2"/>
  <c r="AT288" i="2"/>
  <c r="AU288" i="2"/>
  <c r="AY288" i="2"/>
  <c r="AZ288" i="2" s="1"/>
  <c r="BD288" i="2"/>
  <c r="BF288" i="2"/>
  <c r="AX290" i="2" l="1"/>
  <c r="BA290" i="2" s="1"/>
  <c r="AX288" i="2"/>
  <c r="BA288" i="2" s="1"/>
  <c r="AX289" i="2"/>
  <c r="BA289" i="2" s="1"/>
  <c r="BE366" i="2"/>
  <c r="BA366" i="2"/>
  <c r="BD368" i="2"/>
  <c r="BE367" i="2"/>
  <c r="BA367" i="2"/>
  <c r="BA287" i="2"/>
  <c r="BA368" i="2"/>
  <c r="BE287" i="2"/>
  <c r="BE290" i="2"/>
  <c r="BE289" i="2"/>
  <c r="BH302" i="2"/>
  <c r="BD302" i="2"/>
  <c r="AQ302" i="2"/>
  <c r="AR302" i="2"/>
  <c r="AS302" i="2"/>
  <c r="AT302" i="2"/>
  <c r="AU302" i="2"/>
  <c r="AX302" i="2"/>
  <c r="AY302" i="2"/>
  <c r="AZ302" i="2" s="1"/>
  <c r="BF302" i="2"/>
  <c r="BA302" i="2" l="1"/>
  <c r="BE302" i="2"/>
  <c r="AQ301" i="2" l="1"/>
  <c r="AR301" i="2"/>
  <c r="AS301" i="2"/>
  <c r="AT301" i="2"/>
  <c r="AU301" i="2"/>
  <c r="AY301" i="2"/>
  <c r="AZ301" i="2" s="1"/>
  <c r="BE301" i="2"/>
  <c r="BD301" i="2"/>
  <c r="BF301" i="2"/>
  <c r="BH301" i="2"/>
  <c r="AX301" i="2" l="1"/>
  <c r="BA301" i="2" s="1"/>
  <c r="AQ303" i="2" l="1"/>
  <c r="AR303" i="2"/>
  <c r="AS303" i="2"/>
  <c r="AT303" i="2"/>
  <c r="AU303" i="2"/>
  <c r="AX303" i="2"/>
  <c r="AY303" i="2"/>
  <c r="AZ303" i="2" s="1"/>
  <c r="BD303" i="2"/>
  <c r="BE303" i="2"/>
  <c r="BF303" i="2"/>
  <c r="BH303" i="2"/>
  <c r="BA303" i="2" l="1"/>
  <c r="BH306" i="2"/>
  <c r="BH305" i="2"/>
  <c r="BD306" i="2"/>
  <c r="BE305" i="2"/>
  <c r="AQ304" i="2"/>
  <c r="AR304" i="2"/>
  <c r="AS304" i="2"/>
  <c r="AT304" i="2"/>
  <c r="AU304" i="2"/>
  <c r="AY304" i="2"/>
  <c r="AZ304" i="2" s="1"/>
  <c r="BE304" i="2"/>
  <c r="BD304" i="2"/>
  <c r="BF304" i="2"/>
  <c r="BH304" i="2"/>
  <c r="AQ305" i="2"/>
  <c r="AR305" i="2"/>
  <c r="AS305" i="2"/>
  <c r="AT305" i="2"/>
  <c r="AU305" i="2"/>
  <c r="AX305" i="2"/>
  <c r="AY305" i="2"/>
  <c r="AZ305" i="2" s="1"/>
  <c r="BF305" i="2"/>
  <c r="AQ306" i="2"/>
  <c r="AR306" i="2"/>
  <c r="AS306" i="2"/>
  <c r="AT306" i="2"/>
  <c r="AU306" i="2"/>
  <c r="AY306" i="2"/>
  <c r="AZ306" i="2" s="1"/>
  <c r="BF306" i="2"/>
  <c r="AX304" i="2" l="1"/>
  <c r="BA304" i="2" s="1"/>
  <c r="AX306" i="2"/>
  <c r="BA306" i="2" s="1"/>
  <c r="BD305" i="2"/>
  <c r="BE306" i="2"/>
  <c r="BA305" i="2"/>
  <c r="AQ310" i="2"/>
  <c r="AR310" i="2"/>
  <c r="AS310" i="2"/>
  <c r="AT310" i="2"/>
  <c r="AU310" i="2"/>
  <c r="AX310" i="2"/>
  <c r="AY310" i="2"/>
  <c r="AZ310" i="2" s="1"/>
  <c r="BD310" i="2"/>
  <c r="BE310" i="2"/>
  <c r="BF310" i="2"/>
  <c r="BH310" i="2"/>
  <c r="BA310" i="2" l="1"/>
  <c r="BH317" i="2" l="1"/>
  <c r="BE317" i="2"/>
  <c r="AQ317" i="2"/>
  <c r="AR317" i="2"/>
  <c r="AS317" i="2"/>
  <c r="AT317" i="2"/>
  <c r="AU317" i="2"/>
  <c r="AX317" i="2"/>
  <c r="AY317" i="2"/>
  <c r="AZ317" i="2" s="1"/>
  <c r="BF317" i="2"/>
  <c r="AQ311" i="2"/>
  <c r="AR311" i="2"/>
  <c r="AS311" i="2"/>
  <c r="AT311" i="2"/>
  <c r="AU311" i="2"/>
  <c r="AX311" i="2"/>
  <c r="AY311" i="2"/>
  <c r="AZ311" i="2" s="1"/>
  <c r="BE311" i="2"/>
  <c r="BD311" i="2"/>
  <c r="BF311" i="2"/>
  <c r="BH311" i="2"/>
  <c r="BD317" i="2" l="1"/>
  <c r="BA317" i="2"/>
  <c r="BA311" i="2"/>
  <c r="AQ344" i="2" l="1"/>
  <c r="AR344" i="2"/>
  <c r="AS344" i="2"/>
  <c r="AT344" i="2"/>
  <c r="AU344" i="2"/>
  <c r="AY344" i="2"/>
  <c r="AZ344" i="2" s="1"/>
  <c r="BE344" i="2"/>
  <c r="BD344" i="2"/>
  <c r="BF344" i="2"/>
  <c r="BH344" i="2"/>
  <c r="AX344" i="2" l="1"/>
  <c r="BA344" i="2" s="1"/>
  <c r="BH319" i="2"/>
  <c r="BD319" i="2"/>
  <c r="AQ318" i="2"/>
  <c r="AR318" i="2"/>
  <c r="AS318" i="2"/>
  <c r="AT318" i="2"/>
  <c r="AU318" i="2"/>
  <c r="AX318" i="2"/>
  <c r="AY318" i="2"/>
  <c r="AZ318" i="2" s="1"/>
  <c r="BE318" i="2"/>
  <c r="BD318" i="2"/>
  <c r="BF318" i="2"/>
  <c r="BH318" i="2"/>
  <c r="AQ319" i="2"/>
  <c r="AR319" i="2"/>
  <c r="AS319" i="2"/>
  <c r="AT319" i="2"/>
  <c r="AU319" i="2"/>
  <c r="AX319" i="2"/>
  <c r="AY319" i="2"/>
  <c r="AZ319" i="2" s="1"/>
  <c r="BF319" i="2"/>
  <c r="BE319" i="2" l="1"/>
  <c r="BA318" i="2"/>
  <c r="BA319" i="2"/>
  <c r="BH327" i="2" l="1"/>
  <c r="BE327" i="2"/>
  <c r="AQ327" i="2"/>
  <c r="AR327" i="2"/>
  <c r="AS327" i="2"/>
  <c r="AT327" i="2"/>
  <c r="AU327" i="2"/>
  <c r="AY327" i="2"/>
  <c r="AZ327" i="2" s="1"/>
  <c r="BF327" i="2"/>
  <c r="AX327" i="2" l="1"/>
  <c r="BA327" i="2" s="1"/>
  <c r="BD327" i="2"/>
  <c r="AQ320" i="2"/>
  <c r="AR320" i="2"/>
  <c r="AS320" i="2"/>
  <c r="AT320" i="2"/>
  <c r="AU320" i="2"/>
  <c r="AX320" i="2"/>
  <c r="AY320" i="2"/>
  <c r="AZ320" i="2" s="1"/>
  <c r="BD320" i="2"/>
  <c r="BE320" i="2"/>
  <c r="BF320" i="2"/>
  <c r="BH320" i="2"/>
  <c r="AQ370" i="2"/>
  <c r="AR370" i="2"/>
  <c r="AS370" i="2"/>
  <c r="AT370" i="2"/>
  <c r="AU370" i="2"/>
  <c r="AX370" i="2"/>
  <c r="AY370" i="2"/>
  <c r="AZ370" i="2" s="1"/>
  <c r="BD370" i="2"/>
  <c r="BF370" i="2"/>
  <c r="K97" i="18" s="1"/>
  <c r="BH370" i="2"/>
  <c r="AQ371" i="2"/>
  <c r="AR371" i="2"/>
  <c r="AS371" i="2"/>
  <c r="AT371" i="2"/>
  <c r="AU371" i="2"/>
  <c r="AX371" i="2"/>
  <c r="AY371" i="2"/>
  <c r="AZ371" i="2" s="1"/>
  <c r="BD371" i="2"/>
  <c r="BF371" i="2"/>
  <c r="K98" i="18" s="1"/>
  <c r="BH371" i="2"/>
  <c r="BA320" i="2" l="1"/>
  <c r="BA370" i="2"/>
  <c r="BE370" i="2"/>
  <c r="BE371" i="2"/>
  <c r="BA371" i="2"/>
  <c r="BH334" i="2"/>
  <c r="BH333" i="2"/>
  <c r="BE334" i="2"/>
  <c r="BE333" i="2"/>
  <c r="AQ333" i="2"/>
  <c r="AR333" i="2"/>
  <c r="AS333" i="2"/>
  <c r="AT333" i="2"/>
  <c r="AU333" i="2"/>
  <c r="AX333" i="2"/>
  <c r="AY333" i="2"/>
  <c r="AZ333" i="2" s="1"/>
  <c r="BF333" i="2"/>
  <c r="BH335" i="2"/>
  <c r="BE335" i="2"/>
  <c r="AQ334" i="2"/>
  <c r="AR334" i="2"/>
  <c r="AS334" i="2"/>
  <c r="AT334" i="2"/>
  <c r="AU334" i="2"/>
  <c r="AY334" i="2"/>
  <c r="AZ334" i="2" s="1"/>
  <c r="BF334" i="2"/>
  <c r="AQ335" i="2"/>
  <c r="AR335" i="2"/>
  <c r="AS335" i="2"/>
  <c r="AT335" i="2"/>
  <c r="AU335" i="2"/>
  <c r="AX335" i="2"/>
  <c r="AY335" i="2"/>
  <c r="AZ335" i="2" s="1"/>
  <c r="BF335" i="2"/>
  <c r="AQ328" i="2"/>
  <c r="AR328" i="2"/>
  <c r="AS328" i="2"/>
  <c r="AT328" i="2"/>
  <c r="AU328" i="2"/>
  <c r="AX328" i="2"/>
  <c r="AY328" i="2"/>
  <c r="AZ328" i="2" s="1"/>
  <c r="BD328" i="2"/>
  <c r="BF328" i="2"/>
  <c r="BH328" i="2"/>
  <c r="AX334" i="2" l="1"/>
  <c r="BA334" i="2" s="1"/>
  <c r="BD333" i="2"/>
  <c r="BE328" i="2"/>
  <c r="BA333" i="2"/>
  <c r="BD334" i="2"/>
  <c r="BD335" i="2"/>
  <c r="BA335" i="2"/>
  <c r="BA328" i="2"/>
  <c r="AQ369" i="2"/>
  <c r="AR369" i="2"/>
  <c r="AS369" i="2"/>
  <c r="AT369" i="2"/>
  <c r="AU369" i="2"/>
  <c r="AX369" i="2"/>
  <c r="AY369" i="2"/>
  <c r="AZ369" i="2" s="1"/>
  <c r="BE369" i="2"/>
  <c r="BD369" i="2"/>
  <c r="BF369" i="2"/>
  <c r="BH369" i="2"/>
  <c r="AQ372" i="2"/>
  <c r="AR372" i="2"/>
  <c r="AS372" i="2"/>
  <c r="AT372" i="2"/>
  <c r="AU372" i="2"/>
  <c r="AX372" i="2"/>
  <c r="AY372" i="2"/>
  <c r="AZ372" i="2" s="1"/>
  <c r="BE372" i="2"/>
  <c r="BF372" i="2"/>
  <c r="BH372" i="2"/>
  <c r="BD372" i="2" l="1"/>
  <c r="BA369" i="2"/>
  <c r="BA372" i="2"/>
  <c r="AQ339" i="2"/>
  <c r="AR339" i="2"/>
  <c r="AS339" i="2"/>
  <c r="AT339" i="2"/>
  <c r="AU339" i="2"/>
  <c r="AX339" i="2"/>
  <c r="AY339" i="2"/>
  <c r="AZ339" i="2" s="1"/>
  <c r="BD339" i="2"/>
  <c r="BF339" i="2"/>
  <c r="BH339" i="2"/>
  <c r="AQ342" i="2"/>
  <c r="AR342" i="2"/>
  <c r="AS342" i="2"/>
  <c r="AT342" i="2"/>
  <c r="AU342" i="2"/>
  <c r="AX342" i="2"/>
  <c r="AY342" i="2"/>
  <c r="AZ342" i="2" s="1"/>
  <c r="BD342" i="2"/>
  <c r="BF342" i="2"/>
  <c r="BH342" i="2"/>
  <c r="BA342" i="2" l="1"/>
  <c r="BA339" i="2"/>
  <c r="BE339" i="2"/>
  <c r="BE342" i="2"/>
  <c r="AQ373" i="2"/>
  <c r="AR373" i="2"/>
  <c r="AS373" i="2"/>
  <c r="AT373" i="2"/>
  <c r="AU373" i="2"/>
  <c r="AX373" i="2"/>
  <c r="AY373" i="2"/>
  <c r="AZ373" i="2" s="1"/>
  <c r="BE373" i="2"/>
  <c r="BD373" i="2"/>
  <c r="BF373" i="2"/>
  <c r="BH373" i="2"/>
  <c r="BA373" i="2" l="1"/>
  <c r="AQ346" i="2"/>
  <c r="AR346" i="2"/>
  <c r="AS346" i="2"/>
  <c r="AT346" i="2"/>
  <c r="AU346" i="2"/>
  <c r="AY346" i="2"/>
  <c r="AZ346" i="2" s="1"/>
  <c r="BE346" i="2"/>
  <c r="BF346" i="2"/>
  <c r="BH346" i="2"/>
  <c r="AQ347" i="2"/>
  <c r="AR347" i="2"/>
  <c r="AS347" i="2"/>
  <c r="AT347" i="2"/>
  <c r="AU347" i="2"/>
  <c r="AX347" i="2"/>
  <c r="AY347" i="2"/>
  <c r="AZ347" i="2" s="1"/>
  <c r="BD347" i="2"/>
  <c r="BF347" i="2"/>
  <c r="BH347" i="2"/>
  <c r="AX346" i="2" l="1"/>
  <c r="BA346" i="2" s="1"/>
  <c r="BD346" i="2"/>
  <c r="BE347" i="2"/>
  <c r="BA347" i="2"/>
  <c r="AQ363" i="2"/>
  <c r="AR363" i="2"/>
  <c r="AS363" i="2"/>
  <c r="AT363" i="2"/>
  <c r="AU363" i="2"/>
  <c r="AX363" i="2"/>
  <c r="AY363" i="2"/>
  <c r="AZ363" i="2" s="1"/>
  <c r="BD363" i="2"/>
  <c r="BF363" i="2"/>
  <c r="BH363" i="2"/>
  <c r="BE363" i="2" l="1"/>
  <c r="BA363" i="2"/>
  <c r="BH362" i="2" l="1"/>
  <c r="BD362" i="2"/>
  <c r="BD361" i="2"/>
  <c r="AQ360" i="2"/>
  <c r="AR360" i="2"/>
  <c r="AS360" i="2"/>
  <c r="AT360" i="2"/>
  <c r="AU360" i="2"/>
  <c r="AY360" i="2"/>
  <c r="AZ360" i="2" s="1"/>
  <c r="BE360" i="2"/>
  <c r="BF360" i="2"/>
  <c r="BH360" i="2"/>
  <c r="AQ361" i="2"/>
  <c r="AR361" i="2"/>
  <c r="AS361" i="2"/>
  <c r="AT361" i="2"/>
  <c r="AU361" i="2"/>
  <c r="AX361" i="2"/>
  <c r="AY361" i="2"/>
  <c r="AZ361" i="2" s="1"/>
  <c r="BF361" i="2"/>
  <c r="BH361" i="2"/>
  <c r="AQ362" i="2"/>
  <c r="AR362" i="2"/>
  <c r="AS362" i="2"/>
  <c r="AT362" i="2"/>
  <c r="AU362" i="2"/>
  <c r="AY362" i="2"/>
  <c r="AZ362" i="2" s="1"/>
  <c r="BF362" i="2"/>
  <c r="AX362" i="2" l="1"/>
  <c r="BA362" i="2" s="1"/>
  <c r="AX360" i="2"/>
  <c r="BA360" i="2" s="1"/>
  <c r="BD360" i="2"/>
  <c r="BE361" i="2"/>
  <c r="BE362" i="2"/>
  <c r="BA361" i="2"/>
  <c r="C11" i="7"/>
  <c r="D11" i="7"/>
  <c r="E11" i="7"/>
  <c r="BE364" i="2" l="1"/>
  <c r="AQ365" i="2"/>
  <c r="AR365" i="2"/>
  <c r="AS365" i="2"/>
  <c r="AT365" i="2"/>
  <c r="AU365" i="2"/>
  <c r="AX365" i="2"/>
  <c r="AY365" i="2"/>
  <c r="AZ365" i="2" s="1"/>
  <c r="BD365" i="2"/>
  <c r="BF365" i="2"/>
  <c r="BH365" i="2"/>
  <c r="AQ364" i="2"/>
  <c r="AR364" i="2"/>
  <c r="AS364" i="2"/>
  <c r="AT364" i="2"/>
  <c r="AU364" i="2"/>
  <c r="AX364" i="2"/>
  <c r="AY364" i="2"/>
  <c r="AZ364" i="2" s="1"/>
  <c r="BF364" i="2"/>
  <c r="BH364" i="2"/>
  <c r="AQ709" i="2"/>
  <c r="AR709" i="2"/>
  <c r="AS709" i="2"/>
  <c r="AT709" i="2"/>
  <c r="AU709" i="2"/>
  <c r="AX709" i="2"/>
  <c r="AY709" i="2"/>
  <c r="AZ709" i="2" s="1"/>
  <c r="BD709" i="2"/>
  <c r="BE709" i="2"/>
  <c r="BF709" i="2"/>
  <c r="BH709" i="2"/>
  <c r="BD364" i="2" l="1"/>
  <c r="BE365" i="2"/>
  <c r="BA365" i="2"/>
  <c r="BA364" i="2"/>
  <c r="BA709" i="2"/>
  <c r="AQ375" i="2"/>
  <c r="AR375" i="2"/>
  <c r="AS375" i="2"/>
  <c r="AT375" i="2"/>
  <c r="AU375" i="2"/>
  <c r="AX375" i="2"/>
  <c r="AY375" i="2"/>
  <c r="AZ375" i="2" s="1"/>
  <c r="BD375" i="2"/>
  <c r="BF375" i="2"/>
  <c r="BH375" i="2"/>
  <c r="BE375" i="2" l="1"/>
  <c r="BA375" i="2"/>
  <c r="BH377" i="2" l="1"/>
  <c r="BH374" i="2"/>
  <c r="BD377" i="2"/>
  <c r="BE374" i="2"/>
  <c r="AQ376" i="2"/>
  <c r="AR376" i="2"/>
  <c r="AS376" i="2"/>
  <c r="AT376" i="2"/>
  <c r="AU376" i="2"/>
  <c r="AX376" i="2"/>
  <c r="AY376" i="2"/>
  <c r="AZ376" i="2" s="1"/>
  <c r="BD376" i="2"/>
  <c r="BF376" i="2"/>
  <c r="BH376" i="2"/>
  <c r="AQ374" i="2"/>
  <c r="AR374" i="2"/>
  <c r="AS374" i="2"/>
  <c r="AT374" i="2"/>
  <c r="AU374" i="2"/>
  <c r="AX374" i="2"/>
  <c r="AY374" i="2"/>
  <c r="AZ374" i="2" s="1"/>
  <c r="BF374" i="2"/>
  <c r="AQ377" i="2"/>
  <c r="AR377" i="2"/>
  <c r="AS377" i="2"/>
  <c r="AT377" i="2"/>
  <c r="AU377" i="2"/>
  <c r="AX377" i="2"/>
  <c r="AY377" i="2"/>
  <c r="AZ377" i="2" s="1"/>
  <c r="BF377" i="2"/>
  <c r="BD374" i="2" l="1"/>
  <c r="BE376" i="2"/>
  <c r="BA376" i="2"/>
  <c r="BE377" i="2"/>
  <c r="BA374" i="2"/>
  <c r="BA377" i="2"/>
  <c r="BH379" i="2"/>
  <c r="BD379" i="2"/>
  <c r="AQ378" i="2"/>
  <c r="AR378" i="2"/>
  <c r="AS378" i="2"/>
  <c r="AT378" i="2"/>
  <c r="AU378" i="2"/>
  <c r="AX378" i="2"/>
  <c r="AY378" i="2"/>
  <c r="AZ378" i="2" s="1"/>
  <c r="BE378" i="2"/>
  <c r="BF378" i="2"/>
  <c r="BH378" i="2"/>
  <c r="AQ379" i="2"/>
  <c r="AR379" i="2"/>
  <c r="AS379" i="2"/>
  <c r="AT379" i="2"/>
  <c r="AU379" i="2"/>
  <c r="AX379" i="2"/>
  <c r="AY379" i="2"/>
  <c r="AZ379" i="2" s="1"/>
  <c r="BF379" i="2"/>
  <c r="BD378" i="2" l="1"/>
  <c r="BE379" i="2"/>
  <c r="BA378" i="2"/>
  <c r="BA379" i="2"/>
  <c r="AQ380" i="2" l="1"/>
  <c r="AR380" i="2"/>
  <c r="AS380" i="2"/>
  <c r="AT380" i="2"/>
  <c r="AU380" i="2"/>
  <c r="AX380" i="2"/>
  <c r="AY380" i="2"/>
  <c r="AZ380" i="2" s="1"/>
  <c r="BD380" i="2"/>
  <c r="BF380" i="2"/>
  <c r="BH380" i="2"/>
  <c r="BA380" i="2" l="1"/>
  <c r="BE380" i="2"/>
  <c r="AQ383" i="2"/>
  <c r="AR383" i="2"/>
  <c r="AS383" i="2"/>
  <c r="AT383" i="2"/>
  <c r="AU383" i="2"/>
  <c r="AY383" i="2"/>
  <c r="AZ383" i="2" s="1"/>
  <c r="BE383" i="2"/>
  <c r="BD383" i="2"/>
  <c r="BF383" i="2"/>
  <c r="BH383" i="2"/>
  <c r="AQ630" i="2"/>
  <c r="AR630" i="2"/>
  <c r="AS630" i="2"/>
  <c r="AT630" i="2"/>
  <c r="AU630" i="2"/>
  <c r="AY630" i="2"/>
  <c r="AZ630" i="2" s="1"/>
  <c r="BD630" i="2"/>
  <c r="BF630" i="2"/>
  <c r="BH630" i="2"/>
  <c r="AQ635" i="2"/>
  <c r="AR635" i="2"/>
  <c r="AS635" i="2"/>
  <c r="AT635" i="2"/>
  <c r="AU635" i="2"/>
  <c r="AX635" i="2"/>
  <c r="AY635" i="2"/>
  <c r="AZ635" i="2" s="1"/>
  <c r="BD635" i="2"/>
  <c r="BF635" i="2"/>
  <c r="BH635" i="2"/>
  <c r="AX383" i="2" l="1"/>
  <c r="BA383" i="2" s="1"/>
  <c r="AX630" i="2"/>
  <c r="BA630" i="2" s="1"/>
  <c r="BE635" i="2"/>
  <c r="BE630" i="2"/>
  <c r="BA635" i="2"/>
  <c r="AQ381" i="2"/>
  <c r="AR381" i="2"/>
  <c r="AS381" i="2"/>
  <c r="AT381" i="2"/>
  <c r="AU381" i="2"/>
  <c r="AX381" i="2"/>
  <c r="AY381" i="2"/>
  <c r="AZ381" i="2" s="1"/>
  <c r="BD381" i="2"/>
  <c r="BF381" i="2"/>
  <c r="BH381" i="2"/>
  <c r="AQ442" i="2"/>
  <c r="AR442" i="2"/>
  <c r="AS442" i="2"/>
  <c r="AT442" i="2"/>
  <c r="AU442" i="2"/>
  <c r="AX442" i="2"/>
  <c r="AY442" i="2"/>
  <c r="AZ442" i="2" s="1"/>
  <c r="BE442" i="2"/>
  <c r="BF442" i="2"/>
  <c r="BH442" i="2"/>
  <c r="AQ384" i="2"/>
  <c r="AR384" i="2"/>
  <c r="AS384" i="2"/>
  <c r="AT384" i="2"/>
  <c r="AU384" i="2"/>
  <c r="AX384" i="2"/>
  <c r="AY384" i="2"/>
  <c r="AZ384" i="2" s="1"/>
  <c r="BD384" i="2"/>
  <c r="BF384" i="2"/>
  <c r="BH384" i="2"/>
  <c r="BB186" i="2" l="1"/>
  <c r="BB557" i="2"/>
  <c r="BB518" i="2"/>
  <c r="BB383" i="2"/>
  <c r="BB635" i="2"/>
  <c r="BB630" i="2"/>
  <c r="BD442" i="2"/>
  <c r="BE381" i="2"/>
  <c r="BA381" i="2"/>
  <c r="BE384" i="2"/>
  <c r="BA442" i="2"/>
  <c r="BA384" i="2"/>
  <c r="AQ463" i="2"/>
  <c r="AR463" i="2"/>
  <c r="AS463" i="2"/>
  <c r="AT463" i="2"/>
  <c r="AU463" i="2"/>
  <c r="AY463" i="2"/>
  <c r="AZ463" i="2" s="1"/>
  <c r="BE463" i="2"/>
  <c r="BD463" i="2"/>
  <c r="BF463" i="2"/>
  <c r="K105" i="18" s="1"/>
  <c r="BH463" i="2"/>
  <c r="AQ464" i="2"/>
  <c r="AR464" i="2"/>
  <c r="AS464" i="2"/>
  <c r="AT464" i="2"/>
  <c r="AU464" i="2"/>
  <c r="AX464" i="2"/>
  <c r="AY464" i="2"/>
  <c r="AZ464" i="2" s="1"/>
  <c r="BE464" i="2"/>
  <c r="BD464" i="2"/>
  <c r="BF464" i="2"/>
  <c r="BH464" i="2"/>
  <c r="AX463" i="2" l="1"/>
  <c r="BA463" i="2" s="1"/>
  <c r="BA464" i="2"/>
  <c r="AQ465" i="2"/>
  <c r="AR465" i="2"/>
  <c r="AS465" i="2"/>
  <c r="AT465" i="2"/>
  <c r="AU465" i="2"/>
  <c r="AX465" i="2"/>
  <c r="AY465" i="2"/>
  <c r="AZ465" i="2" s="1"/>
  <c r="BD465" i="2"/>
  <c r="BE465" i="2"/>
  <c r="BF465" i="2"/>
  <c r="BH465" i="2"/>
  <c r="BA465" i="2" l="1"/>
  <c r="AQ382" i="2"/>
  <c r="AR382" i="2"/>
  <c r="AS382" i="2"/>
  <c r="AT382" i="2"/>
  <c r="AU382" i="2"/>
  <c r="AX382" i="2"/>
  <c r="AY382" i="2"/>
  <c r="AZ382" i="2" s="1"/>
  <c r="BD382" i="2"/>
  <c r="BE382" i="2"/>
  <c r="BF382" i="2"/>
  <c r="BH382" i="2"/>
  <c r="BA382" i="2" l="1"/>
  <c r="BH387" i="2"/>
  <c r="BE388" i="2"/>
  <c r="AQ386" i="2"/>
  <c r="AR386" i="2"/>
  <c r="AS386" i="2"/>
  <c r="AT386" i="2"/>
  <c r="AU386" i="2"/>
  <c r="AX386" i="2"/>
  <c r="AY386" i="2"/>
  <c r="AZ386" i="2" s="1"/>
  <c r="BD386" i="2"/>
  <c r="BF386" i="2"/>
  <c r="BH386" i="2"/>
  <c r="BH390" i="2"/>
  <c r="AQ387" i="2"/>
  <c r="AR387" i="2"/>
  <c r="AS387" i="2"/>
  <c r="AT387" i="2"/>
  <c r="AU387" i="2"/>
  <c r="AX387" i="2"/>
  <c r="AY387" i="2"/>
  <c r="AZ387" i="2" s="1"/>
  <c r="BE387" i="2"/>
  <c r="BD387" i="2"/>
  <c r="BF387" i="2"/>
  <c r="BH391" i="2"/>
  <c r="BD391" i="2"/>
  <c r="BD390" i="2"/>
  <c r="AQ388" i="2"/>
  <c r="AR388" i="2"/>
  <c r="AS388" i="2"/>
  <c r="AT388" i="2"/>
  <c r="AU388" i="2"/>
  <c r="AX388" i="2"/>
  <c r="AY388" i="2"/>
  <c r="AZ388" i="2" s="1"/>
  <c r="BF388" i="2"/>
  <c r="BH388" i="2"/>
  <c r="BH392" i="2"/>
  <c r="BE392" i="2"/>
  <c r="AQ390" i="2"/>
  <c r="AR390" i="2"/>
  <c r="AS390" i="2"/>
  <c r="AT390" i="2"/>
  <c r="AU390" i="2"/>
  <c r="AX390" i="2"/>
  <c r="AY390" i="2"/>
  <c r="AZ390" i="2" s="1"/>
  <c r="BE390" i="2"/>
  <c r="BF390" i="2"/>
  <c r="BH393" i="2"/>
  <c r="BE393" i="2"/>
  <c r="AQ391" i="2"/>
  <c r="AR391" i="2"/>
  <c r="AS391" i="2"/>
  <c r="AT391" i="2"/>
  <c r="AU391" i="2"/>
  <c r="AX391" i="2"/>
  <c r="AY391" i="2"/>
  <c r="AZ391" i="2" s="1"/>
  <c r="BF391" i="2"/>
  <c r="AQ392" i="2"/>
  <c r="AR392" i="2"/>
  <c r="AS392" i="2"/>
  <c r="AT392" i="2"/>
  <c r="AU392" i="2"/>
  <c r="AY392" i="2"/>
  <c r="AZ392" i="2" s="1"/>
  <c r="BF392" i="2"/>
  <c r="K100" i="18" s="1"/>
  <c r="AQ393" i="2"/>
  <c r="AR393" i="2"/>
  <c r="AS393" i="2"/>
  <c r="AT393" i="2"/>
  <c r="AU393" i="2"/>
  <c r="AX393" i="2"/>
  <c r="AY393" i="2"/>
  <c r="AZ393" i="2" s="1"/>
  <c r="BF393" i="2"/>
  <c r="AX392" i="2" l="1"/>
  <c r="BA392" i="2" s="1"/>
  <c r="BB392" i="2" s="1"/>
  <c r="BE386" i="2"/>
  <c r="BA386" i="2"/>
  <c r="BD388" i="2"/>
  <c r="BA387" i="2"/>
  <c r="BA388" i="2"/>
  <c r="BE391" i="2"/>
  <c r="BA390" i="2"/>
  <c r="BD392" i="2"/>
  <c r="BA391" i="2"/>
  <c r="BD393" i="2"/>
  <c r="BA393" i="2"/>
  <c r="AQ400" i="2"/>
  <c r="AR400" i="2"/>
  <c r="AS400" i="2"/>
  <c r="AT400" i="2"/>
  <c r="AU400" i="2"/>
  <c r="AX400" i="2"/>
  <c r="AY400" i="2"/>
  <c r="AZ400" i="2" s="1"/>
  <c r="BD400" i="2"/>
  <c r="BF400" i="2"/>
  <c r="K101" i="18" s="1"/>
  <c r="BH400" i="2"/>
  <c r="BB393" i="2" l="1"/>
  <c r="BB370" i="2"/>
  <c r="BB391" i="2"/>
  <c r="BB371" i="2"/>
  <c r="BE400" i="2"/>
  <c r="BA400" i="2"/>
  <c r="BB400" i="2" s="1"/>
  <c r="BD396" i="2"/>
  <c r="AQ396" i="2"/>
  <c r="AR396" i="2"/>
  <c r="AS396" i="2"/>
  <c r="AT396" i="2"/>
  <c r="AU396" i="2"/>
  <c r="AX396" i="2"/>
  <c r="AY396" i="2"/>
  <c r="AZ396" i="2" s="1"/>
  <c r="BE396" i="2"/>
  <c r="BF396" i="2"/>
  <c r="BH396" i="2"/>
  <c r="BH398" i="2"/>
  <c r="BH397" i="2"/>
  <c r="BD397" i="2"/>
  <c r="AQ397" i="2"/>
  <c r="AR397" i="2"/>
  <c r="AS397" i="2"/>
  <c r="AT397" i="2"/>
  <c r="AU397" i="2"/>
  <c r="AX397" i="2"/>
  <c r="AY397" i="2"/>
  <c r="AZ397" i="2" s="1"/>
  <c r="BF397" i="2"/>
  <c r="BD398" i="2"/>
  <c r="AQ398" i="2"/>
  <c r="AR398" i="2"/>
  <c r="AS398" i="2"/>
  <c r="AT398" i="2"/>
  <c r="AU398" i="2"/>
  <c r="AX398" i="2"/>
  <c r="AY398" i="2"/>
  <c r="AZ398" i="2" s="1"/>
  <c r="BF398" i="2"/>
  <c r="BA396" i="2" l="1"/>
  <c r="BE397" i="2"/>
  <c r="BA397" i="2"/>
  <c r="BE398" i="2"/>
  <c r="BA398" i="2"/>
  <c r="BH395" i="2"/>
  <c r="BH394" i="2"/>
  <c r="BE395" i="2"/>
  <c r="BE394" i="2"/>
  <c r="AQ399" i="2"/>
  <c r="AR399" i="2"/>
  <c r="AS399" i="2"/>
  <c r="AT399" i="2"/>
  <c r="AU399" i="2"/>
  <c r="AY399" i="2"/>
  <c r="AZ399" i="2" s="1"/>
  <c r="BD399" i="2"/>
  <c r="BF399" i="2"/>
  <c r="BH399" i="2"/>
  <c r="AQ402" i="2"/>
  <c r="AR402" i="2"/>
  <c r="AS402" i="2"/>
  <c r="AT402" i="2"/>
  <c r="AU402" i="2"/>
  <c r="AY402" i="2"/>
  <c r="AZ402" i="2" s="1"/>
  <c r="BD402" i="2"/>
  <c r="BF402" i="2"/>
  <c r="BH402" i="2"/>
  <c r="AQ423" i="2"/>
  <c r="AR423" i="2"/>
  <c r="AS423" i="2"/>
  <c r="AT423" i="2"/>
  <c r="AU423" i="2"/>
  <c r="AY423" i="2"/>
  <c r="AZ423" i="2" s="1"/>
  <c r="BD423" i="2"/>
  <c r="BF423" i="2"/>
  <c r="K104" i="18" s="1"/>
  <c r="BH423" i="2"/>
  <c r="AQ394" i="2"/>
  <c r="AR394" i="2"/>
  <c r="AS394" i="2"/>
  <c r="AT394" i="2"/>
  <c r="AU394" i="2"/>
  <c r="AX394" i="2"/>
  <c r="AY394" i="2"/>
  <c r="AZ394" i="2" s="1"/>
  <c r="BF394" i="2"/>
  <c r="AQ395" i="2"/>
  <c r="AR395" i="2"/>
  <c r="AS395" i="2"/>
  <c r="AT395" i="2"/>
  <c r="AU395" i="2"/>
  <c r="AX395" i="2"/>
  <c r="AY395" i="2"/>
  <c r="AZ395" i="2" s="1"/>
  <c r="BF395" i="2"/>
  <c r="AX399" i="2" l="1"/>
  <c r="BA399" i="2" s="1"/>
  <c r="AX423" i="2"/>
  <c r="BA423" i="2" s="1"/>
  <c r="AX402" i="2"/>
  <c r="BA402" i="2" s="1"/>
  <c r="BE399" i="2"/>
  <c r="BE402" i="2"/>
  <c r="BD394" i="2"/>
  <c r="BE423" i="2"/>
  <c r="BD395" i="2"/>
  <c r="BA394" i="2"/>
  <c r="BA395" i="2"/>
  <c r="BE401" i="2"/>
  <c r="BH403" i="2"/>
  <c r="BD403" i="2"/>
  <c r="AQ403" i="2"/>
  <c r="AR403" i="2"/>
  <c r="AS403" i="2"/>
  <c r="AT403" i="2"/>
  <c r="AU403" i="2"/>
  <c r="AX403" i="2"/>
  <c r="AY403" i="2"/>
  <c r="AZ403" i="2" s="1"/>
  <c r="BF403" i="2"/>
  <c r="AQ401" i="2"/>
  <c r="AR401" i="2"/>
  <c r="AS401" i="2"/>
  <c r="AT401" i="2"/>
  <c r="AU401" i="2"/>
  <c r="AX401" i="2"/>
  <c r="AY401" i="2"/>
  <c r="AZ401" i="2" s="1"/>
  <c r="BF401" i="2"/>
  <c r="BH401" i="2"/>
  <c r="BD401" i="2" l="1"/>
  <c r="BA401" i="2"/>
  <c r="BE403" i="2"/>
  <c r="BA403" i="2"/>
  <c r="BE405" i="2"/>
  <c r="AQ404" i="2"/>
  <c r="AR404" i="2"/>
  <c r="AS404" i="2"/>
  <c r="AT404" i="2"/>
  <c r="AU404" i="2"/>
  <c r="AX404" i="2"/>
  <c r="AY404" i="2"/>
  <c r="AZ404" i="2" s="1"/>
  <c r="BE404" i="2"/>
  <c r="BD404" i="2"/>
  <c r="BF404" i="2"/>
  <c r="K102" i="18" s="1"/>
  <c r="BH404" i="2"/>
  <c r="AQ405" i="2"/>
  <c r="AR405" i="2"/>
  <c r="AS405" i="2"/>
  <c r="AT405" i="2"/>
  <c r="AU405" i="2"/>
  <c r="AX405" i="2"/>
  <c r="AY405" i="2"/>
  <c r="AZ405" i="2" s="1"/>
  <c r="BF405" i="2"/>
  <c r="K103" i="18" s="1"/>
  <c r="BH405" i="2"/>
  <c r="BA404" i="2" l="1"/>
  <c r="BB404" i="2" s="1"/>
  <c r="BA405" i="2"/>
  <c r="BB405" i="2" s="1"/>
  <c r="BD405" i="2"/>
  <c r="AQ443" i="2"/>
  <c r="AR443" i="2"/>
  <c r="AS443" i="2"/>
  <c r="AT443" i="2"/>
  <c r="AU443" i="2"/>
  <c r="AX443" i="2"/>
  <c r="AY443" i="2"/>
  <c r="AZ443" i="2" s="1"/>
  <c r="BD443" i="2"/>
  <c r="BE443" i="2"/>
  <c r="BF443" i="2"/>
  <c r="BH443" i="2"/>
  <c r="AQ444" i="2"/>
  <c r="AR444" i="2"/>
  <c r="AS444" i="2"/>
  <c r="AT444" i="2"/>
  <c r="AU444" i="2"/>
  <c r="AX444" i="2"/>
  <c r="AY444" i="2"/>
  <c r="AZ444" i="2" s="1"/>
  <c r="BD444" i="2"/>
  <c r="BF444" i="2"/>
  <c r="BH444" i="2"/>
  <c r="AQ413" i="2"/>
  <c r="AR413" i="2"/>
  <c r="AS413" i="2"/>
  <c r="AT413" i="2"/>
  <c r="AU413" i="2"/>
  <c r="AX413" i="2"/>
  <c r="AY413" i="2"/>
  <c r="AZ413" i="2" s="1"/>
  <c r="BD413" i="2"/>
  <c r="BF413" i="2"/>
  <c r="BH413" i="2"/>
  <c r="AQ414" i="2"/>
  <c r="AR414" i="2"/>
  <c r="AS414" i="2"/>
  <c r="AT414" i="2"/>
  <c r="AU414" i="2"/>
  <c r="AX414" i="2"/>
  <c r="AY414" i="2"/>
  <c r="AZ414" i="2" s="1"/>
  <c r="BD414" i="2"/>
  <c r="BF414" i="2"/>
  <c r="BH414" i="2"/>
  <c r="AQ419" i="2"/>
  <c r="AR419" i="2"/>
  <c r="AS419" i="2"/>
  <c r="AT419" i="2"/>
  <c r="AU419" i="2"/>
  <c r="AX419" i="2"/>
  <c r="AY419" i="2"/>
  <c r="AZ419" i="2" s="1"/>
  <c r="BD419" i="2"/>
  <c r="BF419" i="2"/>
  <c r="BH419" i="2"/>
  <c r="AQ420" i="2"/>
  <c r="AR420" i="2"/>
  <c r="AS420" i="2"/>
  <c r="AT420" i="2"/>
  <c r="AU420" i="2"/>
  <c r="AX420" i="2"/>
  <c r="AY420" i="2"/>
  <c r="AZ420" i="2" s="1"/>
  <c r="BD420" i="2"/>
  <c r="BF420" i="2"/>
  <c r="BH420" i="2"/>
  <c r="BA444" i="2" l="1"/>
  <c r="BA443" i="2"/>
  <c r="BE444" i="2"/>
  <c r="BE413" i="2"/>
  <c r="BA413" i="2"/>
  <c r="BE414" i="2"/>
  <c r="BA414" i="2"/>
  <c r="BE419" i="2"/>
  <c r="BA419" i="2"/>
  <c r="BE420" i="2"/>
  <c r="BA420" i="2"/>
  <c r="AQ415" i="2"/>
  <c r="AR415" i="2"/>
  <c r="AS415" i="2"/>
  <c r="AT415" i="2"/>
  <c r="AU415" i="2"/>
  <c r="AX415" i="2"/>
  <c r="AY415" i="2"/>
  <c r="AZ415" i="2" s="1"/>
  <c r="BD415" i="2"/>
  <c r="BF415" i="2"/>
  <c r="BH415" i="2"/>
  <c r="AQ416" i="2"/>
  <c r="AR416" i="2"/>
  <c r="AS416" i="2"/>
  <c r="AT416" i="2"/>
  <c r="AU416" i="2"/>
  <c r="AX416" i="2"/>
  <c r="AY416" i="2"/>
  <c r="AZ416" i="2" s="1"/>
  <c r="BD416" i="2"/>
  <c r="BF416" i="2"/>
  <c r="BH416" i="2"/>
  <c r="BH410" i="2"/>
  <c r="BH411" i="2"/>
  <c r="AQ410" i="2"/>
  <c r="AR410" i="2"/>
  <c r="AS410" i="2"/>
  <c r="AT410" i="2"/>
  <c r="AU410" i="2"/>
  <c r="AX410" i="2"/>
  <c r="AY410" i="2"/>
  <c r="AZ410" i="2" s="1"/>
  <c r="BE410" i="2"/>
  <c r="BD410" i="2"/>
  <c r="BF410" i="2"/>
  <c r="AQ411" i="2"/>
  <c r="AR411" i="2"/>
  <c r="AS411" i="2"/>
  <c r="AT411" i="2"/>
  <c r="AU411" i="2"/>
  <c r="AX411" i="2"/>
  <c r="AY411" i="2"/>
  <c r="AZ411" i="2" s="1"/>
  <c r="BE411" i="2"/>
  <c r="BD411" i="2"/>
  <c r="BF411" i="2"/>
  <c r="AQ412" i="2"/>
  <c r="AR412" i="2"/>
  <c r="AS412" i="2"/>
  <c r="AT412" i="2"/>
  <c r="AU412" i="2"/>
  <c r="AX412" i="2"/>
  <c r="AY412" i="2"/>
  <c r="AZ412" i="2" s="1"/>
  <c r="BE412" i="2"/>
  <c r="BD412" i="2"/>
  <c r="BF412" i="2"/>
  <c r="BH412" i="2"/>
  <c r="AQ406" i="2"/>
  <c r="AR406" i="2"/>
  <c r="AS406" i="2"/>
  <c r="AT406" i="2"/>
  <c r="AU406" i="2"/>
  <c r="AX406" i="2"/>
  <c r="AY406" i="2"/>
  <c r="AZ406" i="2" s="1"/>
  <c r="BD406" i="2"/>
  <c r="BE406" i="2"/>
  <c r="BF406" i="2"/>
  <c r="BH406" i="2"/>
  <c r="BE415" i="2" l="1"/>
  <c r="BA415" i="2"/>
  <c r="BE416" i="2"/>
  <c r="BA416" i="2"/>
  <c r="BA410" i="2"/>
  <c r="BA411" i="2"/>
  <c r="BA412" i="2"/>
  <c r="BA406" i="2"/>
  <c r="AQ424" i="2"/>
  <c r="AR424" i="2"/>
  <c r="AS424" i="2"/>
  <c r="AT424" i="2"/>
  <c r="AU424" i="2"/>
  <c r="AX424" i="2"/>
  <c r="AY424" i="2"/>
  <c r="AZ424" i="2" s="1"/>
  <c r="BE424" i="2"/>
  <c r="BD424" i="2"/>
  <c r="BF424" i="2"/>
  <c r="BH424" i="2"/>
  <c r="AQ425" i="2"/>
  <c r="AR425" i="2"/>
  <c r="AS425" i="2"/>
  <c r="AT425" i="2"/>
  <c r="AU425" i="2"/>
  <c r="AX425" i="2"/>
  <c r="AY425" i="2"/>
  <c r="AZ425" i="2" s="1"/>
  <c r="BE425" i="2"/>
  <c r="BD425" i="2"/>
  <c r="BF425" i="2"/>
  <c r="BH425" i="2"/>
  <c r="BA424" i="2" l="1"/>
  <c r="BA425" i="2"/>
  <c r="AQ407" i="2"/>
  <c r="AR407" i="2"/>
  <c r="AS407" i="2"/>
  <c r="AT407" i="2"/>
  <c r="AU407" i="2"/>
  <c r="AX407" i="2"/>
  <c r="AY407" i="2"/>
  <c r="AZ407" i="2" s="1"/>
  <c r="BD407" i="2"/>
  <c r="BF407" i="2"/>
  <c r="BH407" i="2"/>
  <c r="AQ480" i="2"/>
  <c r="AR480" i="2"/>
  <c r="AS480" i="2"/>
  <c r="AT480" i="2"/>
  <c r="AU480" i="2"/>
  <c r="AX480" i="2"/>
  <c r="AY480" i="2"/>
  <c r="AZ480" i="2" s="1"/>
  <c r="BE480" i="2"/>
  <c r="BD480" i="2"/>
  <c r="BF480" i="2"/>
  <c r="BH480" i="2"/>
  <c r="BE407" i="2" l="1"/>
  <c r="BA407" i="2"/>
  <c r="BA480" i="2"/>
  <c r="BH409" i="2"/>
  <c r="BD409" i="2"/>
  <c r="AQ408" i="2"/>
  <c r="AR408" i="2"/>
  <c r="AS408" i="2"/>
  <c r="AT408" i="2"/>
  <c r="AU408" i="2"/>
  <c r="AX408" i="2"/>
  <c r="AY408" i="2"/>
  <c r="AZ408" i="2" s="1"/>
  <c r="BE408" i="2"/>
  <c r="BD408" i="2"/>
  <c r="BF408" i="2"/>
  <c r="BH408" i="2"/>
  <c r="AQ409" i="2"/>
  <c r="AR409" i="2"/>
  <c r="AS409" i="2"/>
  <c r="AT409" i="2"/>
  <c r="AU409" i="2"/>
  <c r="AY409" i="2"/>
  <c r="AZ409" i="2" s="1"/>
  <c r="BF409" i="2"/>
  <c r="AX409" i="2" l="1"/>
  <c r="BA409" i="2" s="1"/>
  <c r="BE409" i="2"/>
  <c r="BA408" i="2"/>
  <c r="AQ445" i="2"/>
  <c r="AR445" i="2"/>
  <c r="AS445" i="2"/>
  <c r="AT445" i="2"/>
  <c r="AU445" i="2"/>
  <c r="AX445" i="2"/>
  <c r="AY445" i="2"/>
  <c r="AZ445" i="2" s="1"/>
  <c r="BD445" i="2"/>
  <c r="BF445" i="2"/>
  <c r="BH445" i="2"/>
  <c r="AQ446" i="2"/>
  <c r="AR446" i="2"/>
  <c r="AS446" i="2"/>
  <c r="AT446" i="2"/>
  <c r="AU446" i="2"/>
  <c r="AX446" i="2"/>
  <c r="AY446" i="2"/>
  <c r="AZ446" i="2" s="1"/>
  <c r="BD446" i="2"/>
  <c r="BF446" i="2"/>
  <c r="BH446" i="2"/>
  <c r="AQ447" i="2"/>
  <c r="AR447" i="2"/>
  <c r="AS447" i="2"/>
  <c r="AT447" i="2"/>
  <c r="AU447" i="2"/>
  <c r="AX447" i="2"/>
  <c r="AY447" i="2"/>
  <c r="AZ447" i="2" s="1"/>
  <c r="BD447" i="2"/>
  <c r="BF447" i="2"/>
  <c r="BH447" i="2"/>
  <c r="AQ448" i="2"/>
  <c r="AR448" i="2"/>
  <c r="AS448" i="2"/>
  <c r="AT448" i="2"/>
  <c r="AU448" i="2"/>
  <c r="AX448" i="2"/>
  <c r="AY448" i="2"/>
  <c r="AZ448" i="2" s="1"/>
  <c r="BD448" i="2"/>
  <c r="BE448" i="2"/>
  <c r="BF448" i="2"/>
  <c r="BH448" i="2"/>
  <c r="AQ449" i="2"/>
  <c r="AR449" i="2"/>
  <c r="AS449" i="2"/>
  <c r="AT449" i="2"/>
  <c r="AU449" i="2"/>
  <c r="AX449" i="2"/>
  <c r="AY449" i="2"/>
  <c r="AZ449" i="2" s="1"/>
  <c r="BD449" i="2"/>
  <c r="BF449" i="2"/>
  <c r="BH449" i="2"/>
  <c r="BE446" i="2" l="1"/>
  <c r="BE445" i="2"/>
  <c r="BA445" i="2"/>
  <c r="BA446" i="2"/>
  <c r="BE447" i="2"/>
  <c r="BA447" i="2"/>
  <c r="BA448" i="2"/>
  <c r="BE449" i="2"/>
  <c r="BA449" i="2"/>
  <c r="BD418" i="2"/>
  <c r="AQ417" i="2"/>
  <c r="AR417" i="2"/>
  <c r="AS417" i="2"/>
  <c r="AT417" i="2"/>
  <c r="AU417" i="2"/>
  <c r="AX417" i="2"/>
  <c r="AY417" i="2"/>
  <c r="AZ417" i="2" s="1"/>
  <c r="BD417" i="2"/>
  <c r="BF417" i="2"/>
  <c r="BH417" i="2"/>
  <c r="AQ418" i="2"/>
  <c r="AR418" i="2"/>
  <c r="AS418" i="2"/>
  <c r="AT418" i="2"/>
  <c r="AU418" i="2"/>
  <c r="AY418" i="2"/>
  <c r="AZ418" i="2" s="1"/>
  <c r="BF418" i="2"/>
  <c r="BH418" i="2"/>
  <c r="AQ429" i="2"/>
  <c r="AR429" i="2"/>
  <c r="AS429" i="2"/>
  <c r="AT429" i="2"/>
  <c r="AU429" i="2"/>
  <c r="AX429" i="2"/>
  <c r="AY429" i="2"/>
  <c r="AZ429" i="2" s="1"/>
  <c r="BD429" i="2"/>
  <c r="BF429" i="2"/>
  <c r="BH429" i="2"/>
  <c r="AQ450" i="2"/>
  <c r="AR450" i="2"/>
  <c r="AS450" i="2"/>
  <c r="AT450" i="2"/>
  <c r="AU450" i="2"/>
  <c r="AX450" i="2"/>
  <c r="AY450" i="2"/>
  <c r="AZ450" i="2" s="1"/>
  <c r="BD450" i="2"/>
  <c r="BF450" i="2"/>
  <c r="BH450" i="2"/>
  <c r="AQ451" i="2"/>
  <c r="AR451" i="2"/>
  <c r="AS451" i="2"/>
  <c r="AT451" i="2"/>
  <c r="AU451" i="2"/>
  <c r="AX451" i="2"/>
  <c r="AY451" i="2"/>
  <c r="AZ451" i="2" s="1"/>
  <c r="BD451" i="2"/>
  <c r="BF451" i="2"/>
  <c r="BH451" i="2"/>
  <c r="AQ452" i="2"/>
  <c r="AR452" i="2"/>
  <c r="AS452" i="2"/>
  <c r="AT452" i="2"/>
  <c r="AU452" i="2"/>
  <c r="AX452" i="2"/>
  <c r="AY452" i="2"/>
  <c r="AZ452" i="2" s="1"/>
  <c r="BD452" i="2"/>
  <c r="BF452" i="2"/>
  <c r="BH452" i="2"/>
  <c r="AQ453" i="2"/>
  <c r="AR453" i="2"/>
  <c r="AS453" i="2"/>
  <c r="AT453" i="2"/>
  <c r="AU453" i="2"/>
  <c r="AX453" i="2"/>
  <c r="AY453" i="2"/>
  <c r="AZ453" i="2" s="1"/>
  <c r="BD453" i="2"/>
  <c r="BF453" i="2"/>
  <c r="BH453" i="2"/>
  <c r="AQ432" i="2"/>
  <c r="AR432" i="2"/>
  <c r="AS432" i="2"/>
  <c r="AT432" i="2"/>
  <c r="AU432" i="2"/>
  <c r="AX432" i="2"/>
  <c r="AY432" i="2"/>
  <c r="AZ432" i="2" s="1"/>
  <c r="BD432" i="2"/>
  <c r="BF432" i="2"/>
  <c r="BH432" i="2"/>
  <c r="BH439" i="2"/>
  <c r="BD439" i="2"/>
  <c r="AQ433" i="2"/>
  <c r="AR433" i="2"/>
  <c r="AS433" i="2"/>
  <c r="AT433" i="2"/>
  <c r="AU433" i="2"/>
  <c r="AX433" i="2"/>
  <c r="AY433" i="2"/>
  <c r="AZ433" i="2" s="1"/>
  <c r="BD433" i="2"/>
  <c r="BF433" i="2"/>
  <c r="BH433" i="2"/>
  <c r="AQ439" i="2"/>
  <c r="AR439" i="2"/>
  <c r="AS439" i="2"/>
  <c r="AT439" i="2"/>
  <c r="AU439" i="2"/>
  <c r="AX439" i="2"/>
  <c r="AY439" i="2"/>
  <c r="AZ439" i="2" s="1"/>
  <c r="BF439" i="2"/>
  <c r="AX418" i="2" l="1"/>
  <c r="BA418" i="2" s="1"/>
  <c r="BE417" i="2"/>
  <c r="BA417" i="2"/>
  <c r="BA450" i="2"/>
  <c r="BE418" i="2"/>
  <c r="BE450" i="2"/>
  <c r="BE429" i="2"/>
  <c r="BA429" i="2"/>
  <c r="BA451" i="2"/>
  <c r="BE451" i="2"/>
  <c r="BA452" i="2"/>
  <c r="BE452" i="2"/>
  <c r="BA453" i="2"/>
  <c r="BE453" i="2"/>
  <c r="BA432" i="2"/>
  <c r="BE432" i="2"/>
  <c r="BE433" i="2"/>
  <c r="BA433" i="2"/>
  <c r="BE439" i="2"/>
  <c r="BA439" i="2"/>
  <c r="AQ440" i="2"/>
  <c r="AR440" i="2"/>
  <c r="AS440" i="2"/>
  <c r="AT440" i="2"/>
  <c r="AU440" i="2"/>
  <c r="AX440" i="2"/>
  <c r="AY440" i="2"/>
  <c r="AZ440" i="2" s="1"/>
  <c r="BD440" i="2"/>
  <c r="BF440" i="2"/>
  <c r="BH440" i="2"/>
  <c r="AQ454" i="2"/>
  <c r="AR454" i="2"/>
  <c r="AS454" i="2"/>
  <c r="AT454" i="2"/>
  <c r="AU454" i="2"/>
  <c r="AX454" i="2"/>
  <c r="AY454" i="2"/>
  <c r="AZ454" i="2" s="1"/>
  <c r="BD454" i="2"/>
  <c r="BF454" i="2"/>
  <c r="BH454" i="2"/>
  <c r="BE440" i="2" l="1"/>
  <c r="BA440" i="2"/>
  <c r="BA454" i="2"/>
  <c r="BE454" i="2"/>
  <c r="AQ763" i="2"/>
  <c r="BD470" i="2" l="1"/>
  <c r="AQ470" i="2"/>
  <c r="AR470" i="2"/>
  <c r="AS470" i="2"/>
  <c r="AT470" i="2"/>
  <c r="AU470" i="2"/>
  <c r="AX470" i="2"/>
  <c r="AY470" i="2"/>
  <c r="AZ470" i="2" s="1"/>
  <c r="BE470" i="2"/>
  <c r="BF470" i="2"/>
  <c r="BH470" i="2"/>
  <c r="BA470" i="2" l="1"/>
  <c r="BH422" i="2"/>
  <c r="BE422" i="2"/>
  <c r="BD426" i="2"/>
  <c r="AQ421" i="2"/>
  <c r="AR421" i="2"/>
  <c r="AS421" i="2"/>
  <c r="AT421" i="2"/>
  <c r="AU421" i="2"/>
  <c r="AX421" i="2"/>
  <c r="AY421" i="2"/>
  <c r="AZ421" i="2" s="1"/>
  <c r="BD421" i="2"/>
  <c r="BF421" i="2"/>
  <c r="BH421" i="2"/>
  <c r="BH427" i="2"/>
  <c r="BE427" i="2"/>
  <c r="AQ426" i="2"/>
  <c r="AR426" i="2"/>
  <c r="AS426" i="2"/>
  <c r="AT426" i="2"/>
  <c r="AU426" i="2"/>
  <c r="AX426" i="2"/>
  <c r="AY426" i="2"/>
  <c r="AZ426" i="2" s="1"/>
  <c r="BF426" i="2"/>
  <c r="BH426" i="2"/>
  <c r="BH428" i="2"/>
  <c r="AQ422" i="2"/>
  <c r="AR422" i="2"/>
  <c r="AS422" i="2"/>
  <c r="AT422" i="2"/>
  <c r="AU422" i="2"/>
  <c r="AX422" i="2"/>
  <c r="AY422" i="2"/>
  <c r="AZ422" i="2" s="1"/>
  <c r="BF422" i="2"/>
  <c r="AQ427" i="2"/>
  <c r="AR427" i="2"/>
  <c r="AS427" i="2"/>
  <c r="AT427" i="2"/>
  <c r="AU427" i="2"/>
  <c r="AX427" i="2"/>
  <c r="AY427" i="2"/>
  <c r="AZ427" i="2" s="1"/>
  <c r="BD427" i="2"/>
  <c r="BF427" i="2"/>
  <c r="AQ428" i="2"/>
  <c r="AR428" i="2"/>
  <c r="AS428" i="2"/>
  <c r="AT428" i="2"/>
  <c r="AU428" i="2"/>
  <c r="AX428" i="2"/>
  <c r="AY428" i="2"/>
  <c r="AZ428" i="2" s="1"/>
  <c r="BE428" i="2"/>
  <c r="BD428" i="2"/>
  <c r="BF428" i="2"/>
  <c r="BE421" i="2" l="1"/>
  <c r="BA421" i="2"/>
  <c r="BD422" i="2"/>
  <c r="BE426" i="2"/>
  <c r="BA426" i="2"/>
  <c r="BA422" i="2"/>
  <c r="BA427" i="2"/>
  <c r="BA428" i="2"/>
  <c r="BE434" i="2"/>
  <c r="AQ471" i="2"/>
  <c r="AR471" i="2"/>
  <c r="AS471" i="2"/>
  <c r="AT471" i="2"/>
  <c r="AU471" i="2"/>
  <c r="AX471" i="2"/>
  <c r="AY471" i="2"/>
  <c r="AZ471" i="2" s="1"/>
  <c r="BD471" i="2"/>
  <c r="BF471" i="2"/>
  <c r="BH471" i="2"/>
  <c r="BH435" i="2"/>
  <c r="BE435" i="2"/>
  <c r="AQ434" i="2"/>
  <c r="AR434" i="2"/>
  <c r="AS434" i="2"/>
  <c r="AT434" i="2"/>
  <c r="AU434" i="2"/>
  <c r="AX434" i="2"/>
  <c r="AY434" i="2"/>
  <c r="AZ434" i="2" s="1"/>
  <c r="BF434" i="2"/>
  <c r="BH434" i="2"/>
  <c r="AQ435" i="2"/>
  <c r="AR435" i="2"/>
  <c r="AS435" i="2"/>
  <c r="AT435" i="2"/>
  <c r="AU435" i="2"/>
  <c r="AX435" i="2"/>
  <c r="AY435" i="2"/>
  <c r="AZ435" i="2" s="1"/>
  <c r="BF435" i="2"/>
  <c r="BD434" i="2" l="1"/>
  <c r="BE471" i="2"/>
  <c r="BA471" i="2"/>
  <c r="BD435" i="2"/>
  <c r="BA434" i="2"/>
  <c r="BA435" i="2"/>
  <c r="AQ455" i="2"/>
  <c r="AR455" i="2"/>
  <c r="AS455" i="2"/>
  <c r="AT455" i="2"/>
  <c r="AU455" i="2"/>
  <c r="AX455" i="2"/>
  <c r="AY455" i="2"/>
  <c r="AZ455" i="2" s="1"/>
  <c r="BE455" i="2"/>
  <c r="BD455" i="2"/>
  <c r="BF455" i="2"/>
  <c r="BH455" i="2"/>
  <c r="AQ456" i="2"/>
  <c r="AR456" i="2"/>
  <c r="AS456" i="2"/>
  <c r="AT456" i="2"/>
  <c r="AU456" i="2"/>
  <c r="AX456" i="2"/>
  <c r="AY456" i="2"/>
  <c r="AZ456" i="2" s="1"/>
  <c r="BE456" i="2"/>
  <c r="BD456" i="2"/>
  <c r="BF456" i="2"/>
  <c r="BH456" i="2"/>
  <c r="BA455" i="2" l="1"/>
  <c r="BA456" i="2"/>
  <c r="BE457" i="2" l="1"/>
  <c r="BH438" i="2"/>
  <c r="BD438" i="2"/>
  <c r="BD437" i="2"/>
  <c r="AQ436" i="2"/>
  <c r="AR436" i="2"/>
  <c r="AS436" i="2"/>
  <c r="AT436" i="2"/>
  <c r="AU436" i="2"/>
  <c r="AX436" i="2"/>
  <c r="AY436" i="2"/>
  <c r="AZ436" i="2" s="1"/>
  <c r="BD436" i="2"/>
  <c r="BF436" i="2"/>
  <c r="BH436" i="2"/>
  <c r="AQ437" i="2"/>
  <c r="AR437" i="2"/>
  <c r="AS437" i="2"/>
  <c r="AT437" i="2"/>
  <c r="AU437" i="2"/>
  <c r="AX437" i="2"/>
  <c r="AY437" i="2"/>
  <c r="AZ437" i="2" s="1"/>
  <c r="BF437" i="2"/>
  <c r="BH437" i="2"/>
  <c r="AQ438" i="2"/>
  <c r="AR438" i="2"/>
  <c r="AS438" i="2"/>
  <c r="AT438" i="2"/>
  <c r="AU438" i="2"/>
  <c r="AX438" i="2"/>
  <c r="AY438" i="2"/>
  <c r="AZ438" i="2" s="1"/>
  <c r="BF438" i="2"/>
  <c r="AQ431" i="2"/>
  <c r="AR431" i="2"/>
  <c r="AS431" i="2"/>
  <c r="AT431" i="2"/>
  <c r="AU431" i="2"/>
  <c r="AX431" i="2"/>
  <c r="AY431" i="2"/>
  <c r="AZ431" i="2" s="1"/>
  <c r="BE431" i="2"/>
  <c r="BD431" i="2"/>
  <c r="BF431" i="2"/>
  <c r="BH431" i="2"/>
  <c r="BH458" i="2"/>
  <c r="BE458" i="2"/>
  <c r="AQ441" i="2"/>
  <c r="AR441" i="2"/>
  <c r="AS441" i="2"/>
  <c r="AT441" i="2"/>
  <c r="AU441" i="2"/>
  <c r="AX441" i="2"/>
  <c r="AY441" i="2"/>
  <c r="AZ441" i="2" s="1"/>
  <c r="BD441" i="2"/>
  <c r="BF441" i="2"/>
  <c r="BH441" i="2"/>
  <c r="BH459" i="2"/>
  <c r="AQ457" i="2"/>
  <c r="AR457" i="2"/>
  <c r="AS457" i="2"/>
  <c r="AT457" i="2"/>
  <c r="AU457" i="2"/>
  <c r="AX457" i="2"/>
  <c r="AY457" i="2"/>
  <c r="AZ457" i="2" s="1"/>
  <c r="BD457" i="2"/>
  <c r="BF457" i="2"/>
  <c r="BH457" i="2"/>
  <c r="AQ458" i="2"/>
  <c r="AR458" i="2"/>
  <c r="AS458" i="2"/>
  <c r="AT458" i="2"/>
  <c r="AU458" i="2"/>
  <c r="AX458" i="2"/>
  <c r="AY458" i="2"/>
  <c r="AZ458" i="2" s="1"/>
  <c r="BF458" i="2"/>
  <c r="AQ459" i="2"/>
  <c r="AR459" i="2"/>
  <c r="AS459" i="2"/>
  <c r="AT459" i="2"/>
  <c r="AU459" i="2"/>
  <c r="AX459" i="2"/>
  <c r="AY459" i="2"/>
  <c r="AZ459" i="2" s="1"/>
  <c r="BE459" i="2"/>
  <c r="BF459" i="2"/>
  <c r="BE436" i="2" l="1"/>
  <c r="BA436" i="2"/>
  <c r="BA441" i="2"/>
  <c r="BE437" i="2"/>
  <c r="BA437" i="2"/>
  <c r="BE438" i="2"/>
  <c r="BA438" i="2"/>
  <c r="BE441" i="2"/>
  <c r="BA431" i="2"/>
  <c r="BA458" i="2"/>
  <c r="BD458" i="2"/>
  <c r="BA457" i="2"/>
  <c r="BD459" i="2"/>
  <c r="BA459" i="2"/>
  <c r="AQ552" i="2"/>
  <c r="AR552" i="2"/>
  <c r="AS552" i="2"/>
  <c r="AT552" i="2"/>
  <c r="AU552" i="2"/>
  <c r="AX552" i="2"/>
  <c r="AY552" i="2"/>
  <c r="AZ552" i="2" s="1"/>
  <c r="BE552" i="2"/>
  <c r="BF552" i="2"/>
  <c r="BH552" i="2"/>
  <c r="BA552" i="2" l="1"/>
  <c r="BD552" i="2"/>
  <c r="AQ491" i="2"/>
  <c r="AR491" i="2"/>
  <c r="AS491" i="2"/>
  <c r="AT491" i="2"/>
  <c r="AU491" i="2"/>
  <c r="AX491" i="2"/>
  <c r="AY491" i="2"/>
  <c r="AZ491" i="2" s="1"/>
  <c r="BD491" i="2"/>
  <c r="BF491" i="2"/>
  <c r="BH491" i="2"/>
  <c r="AQ488" i="2"/>
  <c r="AR488" i="2"/>
  <c r="AS488" i="2"/>
  <c r="AT488" i="2"/>
  <c r="AU488" i="2"/>
  <c r="AY488" i="2"/>
  <c r="AZ488" i="2" s="1"/>
  <c r="BD488" i="2"/>
  <c r="BF488" i="2"/>
  <c r="BH488" i="2"/>
  <c r="AX488" i="2" l="1"/>
  <c r="BA488" i="2" s="1"/>
  <c r="BE491" i="2"/>
  <c r="BA491" i="2"/>
  <c r="BE488" i="2"/>
  <c r="BE466" i="2" l="1"/>
  <c r="AQ466" i="2"/>
  <c r="AR466" i="2"/>
  <c r="AS466" i="2"/>
  <c r="AT466" i="2"/>
  <c r="AU466" i="2"/>
  <c r="AX466" i="2"/>
  <c r="AY466" i="2"/>
  <c r="AZ466" i="2" s="1"/>
  <c r="BF466" i="2"/>
  <c r="BH466" i="2"/>
  <c r="BD466" i="2" l="1"/>
  <c r="BA466" i="2"/>
  <c r="AQ467" i="2"/>
  <c r="AR467" i="2"/>
  <c r="AS467" i="2"/>
  <c r="AT467" i="2"/>
  <c r="AU467" i="2"/>
  <c r="AY467" i="2"/>
  <c r="AZ467" i="2" s="1"/>
  <c r="BE467" i="2"/>
  <c r="BD467" i="2"/>
  <c r="BF467" i="2"/>
  <c r="K106" i="18" s="1"/>
  <c r="BH467" i="2"/>
  <c r="AQ468" i="2"/>
  <c r="AR468" i="2"/>
  <c r="AS468" i="2"/>
  <c r="AT468" i="2"/>
  <c r="AU468" i="2"/>
  <c r="AY468" i="2"/>
  <c r="AZ468" i="2" s="1"/>
  <c r="BE468" i="2"/>
  <c r="BD468" i="2"/>
  <c r="BF468" i="2"/>
  <c r="K107" i="18" s="1"/>
  <c r="BH468" i="2"/>
  <c r="AX468" i="2" l="1"/>
  <c r="BA468" i="2" s="1"/>
  <c r="AX467" i="2"/>
  <c r="BA467" i="2" s="1"/>
  <c r="J40" i="22" l="1"/>
  <c r="G40" i="22"/>
  <c r="D40" i="22"/>
  <c r="P11" i="22"/>
  <c r="P10" i="22"/>
  <c r="P9" i="22"/>
  <c r="BH462" i="2"/>
  <c r="BH461" i="2"/>
  <c r="BD462" i="2"/>
  <c r="BE461" i="2"/>
  <c r="AQ460" i="2"/>
  <c r="AR460" i="2"/>
  <c r="AS460" i="2"/>
  <c r="AT460" i="2"/>
  <c r="AU460" i="2"/>
  <c r="AX460" i="2"/>
  <c r="AY460" i="2"/>
  <c r="AZ460" i="2" s="1"/>
  <c r="BD460" i="2"/>
  <c r="BF460" i="2"/>
  <c r="BH460" i="2"/>
  <c r="AQ461" i="2"/>
  <c r="AR461" i="2"/>
  <c r="AS461" i="2"/>
  <c r="AT461" i="2"/>
  <c r="AU461" i="2"/>
  <c r="AX461" i="2"/>
  <c r="AY461" i="2"/>
  <c r="AZ461" i="2" s="1"/>
  <c r="BF461" i="2"/>
  <c r="AQ462" i="2"/>
  <c r="AR462" i="2"/>
  <c r="AS462" i="2"/>
  <c r="AT462" i="2"/>
  <c r="AU462" i="2"/>
  <c r="AX462" i="2"/>
  <c r="AY462" i="2"/>
  <c r="AZ462" i="2" s="1"/>
  <c r="BF462" i="2"/>
  <c r="BD461" i="2" l="1"/>
  <c r="BA460" i="2"/>
  <c r="BE460" i="2"/>
  <c r="BE462" i="2"/>
  <c r="BA461" i="2"/>
  <c r="BA462" i="2"/>
  <c r="AQ489" i="2" l="1"/>
  <c r="AR489" i="2"/>
  <c r="AS489" i="2"/>
  <c r="AT489" i="2"/>
  <c r="AU489" i="2"/>
  <c r="AY489" i="2"/>
  <c r="AZ489" i="2" s="1"/>
  <c r="BD489" i="2"/>
  <c r="BE489" i="2"/>
  <c r="BF489" i="2"/>
  <c r="K108" i="18" s="1"/>
  <c r="BH489" i="2"/>
  <c r="BD1036" i="2"/>
  <c r="AQ1036" i="2"/>
  <c r="AR1036" i="2"/>
  <c r="AS1036" i="2"/>
  <c r="AT1036" i="2"/>
  <c r="AU1036" i="2"/>
  <c r="AX1036" i="2"/>
  <c r="AY1036" i="2"/>
  <c r="AZ1036" i="2" s="1"/>
  <c r="BF1036" i="2"/>
  <c r="BH1036" i="2"/>
  <c r="AQ490" i="2"/>
  <c r="AR490" i="2"/>
  <c r="AS490" i="2"/>
  <c r="AT490" i="2"/>
  <c r="AU490" i="2"/>
  <c r="AY490" i="2"/>
  <c r="AZ490" i="2" s="1"/>
  <c r="BD490" i="2"/>
  <c r="BF490" i="2"/>
  <c r="K109" i="18" s="1"/>
  <c r="BH490" i="2"/>
  <c r="AQ474" i="2"/>
  <c r="AR474" i="2"/>
  <c r="AS474" i="2"/>
  <c r="AT474" i="2"/>
  <c r="AU474" i="2"/>
  <c r="AX474" i="2"/>
  <c r="AY474" i="2"/>
  <c r="AZ474" i="2" s="1"/>
  <c r="BD474" i="2"/>
  <c r="BF474" i="2"/>
  <c r="BH474" i="2"/>
  <c r="AX489" i="2" l="1"/>
  <c r="BA489" i="2" s="1"/>
  <c r="AX490" i="2"/>
  <c r="BA490" i="2" s="1"/>
  <c r="BE1036" i="2"/>
  <c r="BA1036" i="2"/>
  <c r="BE490" i="2"/>
  <c r="BE474" i="2"/>
  <c r="BA474" i="2"/>
  <c r="BH472" i="2" l="1"/>
  <c r="AQ469" i="2"/>
  <c r="AR469" i="2"/>
  <c r="AS469" i="2"/>
  <c r="AT469" i="2"/>
  <c r="AU469" i="2"/>
  <c r="AX469" i="2"/>
  <c r="AY469" i="2"/>
  <c r="AZ469" i="2" s="1"/>
  <c r="BD469" i="2"/>
  <c r="BF469" i="2"/>
  <c r="BH469" i="2"/>
  <c r="AQ472" i="2"/>
  <c r="AR472" i="2"/>
  <c r="AS472" i="2"/>
  <c r="AT472" i="2"/>
  <c r="AU472" i="2"/>
  <c r="AX472" i="2"/>
  <c r="AY472" i="2"/>
  <c r="AZ472" i="2" s="1"/>
  <c r="BE472" i="2"/>
  <c r="BF472" i="2"/>
  <c r="AQ473" i="2"/>
  <c r="AR473" i="2"/>
  <c r="AS473" i="2"/>
  <c r="AT473" i="2"/>
  <c r="AU473" i="2"/>
  <c r="AX473" i="2"/>
  <c r="AY473" i="2"/>
  <c r="AZ473" i="2" s="1"/>
  <c r="BE473" i="2"/>
  <c r="BD473" i="2"/>
  <c r="BF473" i="2"/>
  <c r="BH473" i="2"/>
  <c r="BD472" i="2" l="1"/>
  <c r="BE469" i="2"/>
  <c r="BA469" i="2"/>
  <c r="BA472" i="2"/>
  <c r="BA473" i="2"/>
  <c r="AQ475" i="2" l="1"/>
  <c r="AR475" i="2"/>
  <c r="AS475" i="2"/>
  <c r="AT475" i="2"/>
  <c r="AU475" i="2"/>
  <c r="AX475" i="2"/>
  <c r="AY475" i="2"/>
  <c r="AZ475" i="2" s="1"/>
  <c r="BD475" i="2"/>
  <c r="BF475" i="2"/>
  <c r="BH475" i="2"/>
  <c r="AQ479" i="2"/>
  <c r="AR479" i="2"/>
  <c r="AS479" i="2"/>
  <c r="AT479" i="2"/>
  <c r="AU479" i="2"/>
  <c r="AX479" i="2"/>
  <c r="AY479" i="2"/>
  <c r="AZ479" i="2" s="1"/>
  <c r="BE479" i="2"/>
  <c r="BD479" i="2"/>
  <c r="BF479" i="2"/>
  <c r="BH479" i="2"/>
  <c r="AQ476" i="2"/>
  <c r="AR476" i="2"/>
  <c r="AS476" i="2"/>
  <c r="AT476" i="2"/>
  <c r="AU476" i="2"/>
  <c r="AX476" i="2"/>
  <c r="AY476" i="2"/>
  <c r="AZ476" i="2" s="1"/>
  <c r="BE476" i="2"/>
  <c r="BD476" i="2"/>
  <c r="BF476" i="2"/>
  <c r="BH476" i="2"/>
  <c r="BE475" i="2" l="1"/>
  <c r="BA475" i="2"/>
  <c r="BA479" i="2"/>
  <c r="BA476" i="2"/>
  <c r="BH478" i="2" l="1"/>
  <c r="BD478" i="2"/>
  <c r="AQ477" i="2"/>
  <c r="AR477" i="2"/>
  <c r="AS477" i="2"/>
  <c r="AT477" i="2"/>
  <c r="AU477" i="2"/>
  <c r="AX477" i="2"/>
  <c r="AY477" i="2"/>
  <c r="AZ477" i="2" s="1"/>
  <c r="BD477" i="2"/>
  <c r="BF477" i="2"/>
  <c r="BH477" i="2"/>
  <c r="AQ478" i="2"/>
  <c r="AR478" i="2"/>
  <c r="AS478" i="2"/>
  <c r="AT478" i="2"/>
  <c r="AU478" i="2"/>
  <c r="AX478" i="2"/>
  <c r="AY478" i="2"/>
  <c r="AZ478" i="2" s="1"/>
  <c r="BE478" i="2"/>
  <c r="BF478" i="2"/>
  <c r="AQ492" i="2"/>
  <c r="AR492" i="2"/>
  <c r="AS492" i="2"/>
  <c r="AT492" i="2"/>
  <c r="AU492" i="2"/>
  <c r="AY492" i="2"/>
  <c r="AZ492" i="2" s="1"/>
  <c r="BD492" i="2"/>
  <c r="BE492" i="2"/>
  <c r="BF492" i="2"/>
  <c r="BH492" i="2"/>
  <c r="AX492" i="2" l="1"/>
  <c r="BA492" i="2" s="1"/>
  <c r="BE477" i="2"/>
  <c r="BA477" i="2"/>
  <c r="BA478" i="2"/>
  <c r="BD483" i="2" l="1"/>
  <c r="BD482" i="2"/>
  <c r="AQ481" i="2"/>
  <c r="AR481" i="2"/>
  <c r="AS481" i="2"/>
  <c r="AT481" i="2"/>
  <c r="AU481" i="2"/>
  <c r="AY481" i="2"/>
  <c r="AZ481" i="2" s="1"/>
  <c r="BD481" i="2"/>
  <c r="BF481" i="2"/>
  <c r="BH481" i="2"/>
  <c r="BD484" i="2"/>
  <c r="AQ482" i="2"/>
  <c r="AR482" i="2"/>
  <c r="AS482" i="2"/>
  <c r="AT482" i="2"/>
  <c r="AU482" i="2"/>
  <c r="AX482" i="2"/>
  <c r="AY482" i="2"/>
  <c r="AZ482" i="2" s="1"/>
  <c r="BF482" i="2"/>
  <c r="BH482" i="2"/>
  <c r="BE485" i="2"/>
  <c r="AQ483" i="2"/>
  <c r="AR483" i="2"/>
  <c r="AS483" i="2"/>
  <c r="AT483" i="2"/>
  <c r="AU483" i="2"/>
  <c r="AX483" i="2"/>
  <c r="AY483" i="2"/>
  <c r="AZ483" i="2" s="1"/>
  <c r="BF483" i="2"/>
  <c r="BH483" i="2"/>
  <c r="BH486" i="2"/>
  <c r="BE486" i="2"/>
  <c r="AQ484" i="2"/>
  <c r="AR484" i="2"/>
  <c r="AS484" i="2"/>
  <c r="AT484" i="2"/>
  <c r="AU484" i="2"/>
  <c r="AX484" i="2"/>
  <c r="AY484" i="2"/>
  <c r="AZ484" i="2" s="1"/>
  <c r="BF484" i="2"/>
  <c r="BH484" i="2"/>
  <c r="AQ485" i="2"/>
  <c r="AR485" i="2"/>
  <c r="AS485" i="2"/>
  <c r="AT485" i="2"/>
  <c r="AU485" i="2"/>
  <c r="AX485" i="2"/>
  <c r="AY485" i="2"/>
  <c r="AZ485" i="2" s="1"/>
  <c r="BF485" i="2"/>
  <c r="BH485" i="2"/>
  <c r="AQ486" i="2"/>
  <c r="AR486" i="2"/>
  <c r="AS486" i="2"/>
  <c r="AT486" i="2"/>
  <c r="AU486" i="2"/>
  <c r="AX486" i="2"/>
  <c r="AY486" i="2"/>
  <c r="AZ486" i="2" s="1"/>
  <c r="BD486" i="2"/>
  <c r="BF486" i="2"/>
  <c r="AX481" i="2" l="1"/>
  <c r="BA481" i="2" s="1"/>
  <c r="BE481" i="2"/>
  <c r="BE482" i="2"/>
  <c r="BA482" i="2"/>
  <c r="BE483" i="2"/>
  <c r="BA483" i="2"/>
  <c r="BD485" i="2"/>
  <c r="BE484" i="2"/>
  <c r="BA484" i="2"/>
  <c r="BA485" i="2"/>
  <c r="BA486" i="2"/>
  <c r="C46" i="7" l="1"/>
  <c r="D46" i="7"/>
  <c r="E46" i="7"/>
  <c r="F46" i="7"/>
  <c r="H46" i="7"/>
  <c r="R46" i="7" s="1"/>
  <c r="O46" i="7"/>
  <c r="Q46" i="7" s="1"/>
  <c r="P46" i="7"/>
  <c r="C47" i="7"/>
  <c r="D47" i="7"/>
  <c r="E47" i="7"/>
  <c r="F47" i="7"/>
  <c r="H47" i="7"/>
  <c r="R47" i="7" s="1"/>
  <c r="O47" i="7"/>
  <c r="Q47" i="7" s="1"/>
  <c r="P47" i="7"/>
  <c r="AQ493" i="2" l="1"/>
  <c r="AR493" i="2"/>
  <c r="AS493" i="2"/>
  <c r="AT493" i="2"/>
  <c r="AU493" i="2"/>
  <c r="AX493" i="2"/>
  <c r="AY493" i="2"/>
  <c r="AZ493" i="2" s="1"/>
  <c r="BD493" i="2"/>
  <c r="BF493" i="2"/>
  <c r="BH493" i="2"/>
  <c r="BD496" i="2"/>
  <c r="AQ496" i="2"/>
  <c r="AR496" i="2"/>
  <c r="AS496" i="2"/>
  <c r="AT496" i="2"/>
  <c r="AU496" i="2"/>
  <c r="AX496" i="2"/>
  <c r="AY496" i="2"/>
  <c r="AZ496" i="2" s="1"/>
  <c r="BF496" i="2"/>
  <c r="BH496" i="2"/>
  <c r="BD497" i="2"/>
  <c r="AQ497" i="2"/>
  <c r="AR497" i="2"/>
  <c r="AS497" i="2"/>
  <c r="AT497" i="2"/>
  <c r="AU497" i="2"/>
  <c r="AY497" i="2"/>
  <c r="AZ497" i="2" s="1"/>
  <c r="BF497" i="2"/>
  <c r="K110" i="18" s="1"/>
  <c r="BH497" i="2"/>
  <c r="AQ494" i="2"/>
  <c r="AR494" i="2"/>
  <c r="AS494" i="2"/>
  <c r="AT494" i="2"/>
  <c r="AU494" i="2"/>
  <c r="AX494" i="2"/>
  <c r="AY494" i="2"/>
  <c r="AZ494" i="2" s="1"/>
  <c r="BD494" i="2"/>
  <c r="BF494" i="2"/>
  <c r="BH494" i="2"/>
  <c r="AQ508" i="2"/>
  <c r="AR508" i="2"/>
  <c r="AS508" i="2"/>
  <c r="AT508" i="2"/>
  <c r="AU508" i="2"/>
  <c r="AX508" i="2"/>
  <c r="AY508" i="2"/>
  <c r="AZ508" i="2" s="1"/>
  <c r="BD508" i="2"/>
  <c r="BF508" i="2"/>
  <c r="BH508" i="2"/>
  <c r="AQ705" i="2"/>
  <c r="AR705" i="2"/>
  <c r="AS705" i="2"/>
  <c r="AT705" i="2"/>
  <c r="AU705" i="2"/>
  <c r="AX705" i="2"/>
  <c r="AY705" i="2"/>
  <c r="AZ705" i="2" s="1"/>
  <c r="BD705" i="2"/>
  <c r="BF705" i="2"/>
  <c r="BH705" i="2"/>
  <c r="AQ706" i="2"/>
  <c r="AR706" i="2"/>
  <c r="AS706" i="2"/>
  <c r="AT706" i="2"/>
  <c r="AU706" i="2"/>
  <c r="AX706" i="2"/>
  <c r="AY706" i="2"/>
  <c r="AZ706" i="2" s="1"/>
  <c r="BD706" i="2"/>
  <c r="BF706" i="2"/>
  <c r="BH706" i="2"/>
  <c r="AX497" i="2" l="1"/>
  <c r="BA497" i="2" s="1"/>
  <c r="BE493" i="2"/>
  <c r="BA493" i="2"/>
  <c r="BE496" i="2"/>
  <c r="BA496" i="2"/>
  <c r="BE497" i="2"/>
  <c r="BA706" i="2"/>
  <c r="BE494" i="2"/>
  <c r="BA494" i="2"/>
  <c r="BA508" i="2"/>
  <c r="BE508" i="2"/>
  <c r="BA705" i="2"/>
  <c r="BE705" i="2"/>
  <c r="BE706" i="2"/>
  <c r="J4" i="19"/>
  <c r="I4" i="19" s="1"/>
  <c r="BH500" i="2"/>
  <c r="BH498" i="2"/>
  <c r="BD500" i="2"/>
  <c r="BD498" i="2"/>
  <c r="AQ495" i="2"/>
  <c r="AR495" i="2"/>
  <c r="AS495" i="2"/>
  <c r="AT495" i="2"/>
  <c r="AU495" i="2"/>
  <c r="AX495" i="2"/>
  <c r="AY495" i="2"/>
  <c r="AZ495" i="2" s="1"/>
  <c r="BD495" i="2"/>
  <c r="BF495" i="2"/>
  <c r="BH495" i="2"/>
  <c r="AQ498" i="2"/>
  <c r="AR498" i="2"/>
  <c r="AS498" i="2"/>
  <c r="AT498" i="2"/>
  <c r="AU498" i="2"/>
  <c r="AX498" i="2"/>
  <c r="AY498" i="2"/>
  <c r="AZ498" i="2" s="1"/>
  <c r="BF498" i="2"/>
  <c r="AQ500" i="2"/>
  <c r="AR500" i="2"/>
  <c r="AS500" i="2"/>
  <c r="AT500" i="2"/>
  <c r="AU500" i="2"/>
  <c r="AX500" i="2"/>
  <c r="AY500" i="2"/>
  <c r="AZ500" i="2" s="1"/>
  <c r="BF500" i="2"/>
  <c r="BE495" i="2" l="1"/>
  <c r="BA495" i="2"/>
  <c r="BE498" i="2"/>
  <c r="BA498" i="2"/>
  <c r="BA500" i="2"/>
  <c r="BE500" i="2"/>
  <c r="BH503" i="2" l="1"/>
  <c r="BD502" i="2"/>
  <c r="BD503" i="2"/>
  <c r="AQ503" i="2"/>
  <c r="AR503" i="2"/>
  <c r="AS503" i="2"/>
  <c r="AT503" i="2"/>
  <c r="AU503" i="2"/>
  <c r="AX503" i="2"/>
  <c r="AY503" i="2"/>
  <c r="AZ503" i="2" s="1"/>
  <c r="BF503" i="2"/>
  <c r="BH502" i="2"/>
  <c r="BD504" i="2"/>
  <c r="AQ502" i="2"/>
  <c r="AR502" i="2"/>
  <c r="AS502" i="2"/>
  <c r="AT502" i="2"/>
  <c r="AU502" i="2"/>
  <c r="AX502" i="2"/>
  <c r="AY502" i="2"/>
  <c r="AZ502" i="2" s="1"/>
  <c r="BF502" i="2"/>
  <c r="BH504" i="2"/>
  <c r="BD505" i="2"/>
  <c r="AQ504" i="2"/>
  <c r="AR504" i="2"/>
  <c r="AS504" i="2"/>
  <c r="AT504" i="2"/>
  <c r="AU504" i="2"/>
  <c r="AY504" i="2"/>
  <c r="AZ504" i="2" s="1"/>
  <c r="BF504" i="2"/>
  <c r="BH505" i="2"/>
  <c r="BD501" i="2"/>
  <c r="AQ505" i="2"/>
  <c r="AR505" i="2"/>
  <c r="AS505" i="2"/>
  <c r="AT505" i="2"/>
  <c r="AU505" i="2"/>
  <c r="AX505" i="2"/>
  <c r="AY505" i="2"/>
  <c r="AZ505" i="2" s="1"/>
  <c r="BF505" i="2"/>
  <c r="BH501" i="2"/>
  <c r="BD506" i="2"/>
  <c r="AQ501" i="2"/>
  <c r="AR501" i="2"/>
  <c r="AS501" i="2"/>
  <c r="AT501" i="2"/>
  <c r="AU501" i="2"/>
  <c r="AX501" i="2"/>
  <c r="AY501" i="2"/>
  <c r="AZ501" i="2" s="1"/>
  <c r="BF501" i="2"/>
  <c r="BH506" i="2"/>
  <c r="AQ506" i="2"/>
  <c r="AR506" i="2"/>
  <c r="AS506" i="2"/>
  <c r="AT506" i="2"/>
  <c r="AU506" i="2"/>
  <c r="AX506" i="2"/>
  <c r="AY506" i="2"/>
  <c r="AZ506" i="2" s="1"/>
  <c r="BF506" i="2"/>
  <c r="AQ499" i="2"/>
  <c r="AR499" i="2"/>
  <c r="AS499" i="2"/>
  <c r="AT499" i="2"/>
  <c r="AU499" i="2"/>
  <c r="AX499" i="2"/>
  <c r="AY499" i="2"/>
  <c r="AZ499" i="2" s="1"/>
  <c r="BD499" i="2"/>
  <c r="BF499" i="2"/>
  <c r="BH499" i="2"/>
  <c r="AQ513" i="2"/>
  <c r="AR513" i="2"/>
  <c r="AS513" i="2"/>
  <c r="AT513" i="2"/>
  <c r="AU513" i="2"/>
  <c r="AX513" i="2"/>
  <c r="AY513" i="2"/>
  <c r="AZ513" i="2" s="1"/>
  <c r="BD513" i="2"/>
  <c r="BF513" i="2"/>
  <c r="BH513" i="2"/>
  <c r="AQ514" i="2"/>
  <c r="AR514" i="2"/>
  <c r="AS514" i="2"/>
  <c r="AT514" i="2"/>
  <c r="AU514" i="2"/>
  <c r="AX514" i="2"/>
  <c r="AY514" i="2"/>
  <c r="AZ514" i="2" s="1"/>
  <c r="BD514" i="2"/>
  <c r="BF514" i="2"/>
  <c r="BH514" i="2"/>
  <c r="AX504" i="2" l="1"/>
  <c r="BA504" i="2" s="1"/>
  <c r="BA513" i="2"/>
  <c r="BE503" i="2"/>
  <c r="BA503" i="2"/>
  <c r="BE502" i="2"/>
  <c r="BA502" i="2"/>
  <c r="BE504" i="2"/>
  <c r="BE505" i="2"/>
  <c r="BA505" i="2"/>
  <c r="BE501" i="2"/>
  <c r="BA501" i="2"/>
  <c r="BE513" i="2"/>
  <c r="BE506" i="2"/>
  <c r="BA506" i="2"/>
  <c r="BE514" i="2"/>
  <c r="BE499" i="2"/>
  <c r="BA499" i="2"/>
  <c r="BA514" i="2"/>
  <c r="AQ515" i="2"/>
  <c r="AR515" i="2"/>
  <c r="AS515" i="2"/>
  <c r="AT515" i="2"/>
  <c r="AU515" i="2"/>
  <c r="AX515" i="2"/>
  <c r="AY515" i="2"/>
  <c r="AZ515" i="2" s="1"/>
  <c r="BD515" i="2"/>
  <c r="BF515" i="2"/>
  <c r="BH515" i="2"/>
  <c r="BE515" i="2" l="1"/>
  <c r="BA515" i="2"/>
  <c r="J5" i="19"/>
  <c r="I5" i="19" s="1"/>
  <c r="BH512" i="2"/>
  <c r="BH509" i="2"/>
  <c r="BE512" i="2"/>
  <c r="BE509" i="2"/>
  <c r="BH510" i="2"/>
  <c r="BD510" i="2"/>
  <c r="AQ512" i="2"/>
  <c r="AR512" i="2"/>
  <c r="AS512" i="2"/>
  <c r="AT512" i="2"/>
  <c r="AU512" i="2"/>
  <c r="AX512" i="2"/>
  <c r="AY512" i="2"/>
  <c r="AZ512" i="2" s="1"/>
  <c r="BF512" i="2"/>
  <c r="AQ509" i="2"/>
  <c r="AR509" i="2"/>
  <c r="AS509" i="2"/>
  <c r="AT509" i="2"/>
  <c r="AU509" i="2"/>
  <c r="J46" i="7"/>
  <c r="AY509" i="2"/>
  <c r="AZ509" i="2" s="1"/>
  <c r="BF509" i="2"/>
  <c r="AQ510" i="2"/>
  <c r="AR510" i="2"/>
  <c r="AS510" i="2"/>
  <c r="AT510" i="2"/>
  <c r="AU510" i="2"/>
  <c r="J47" i="7"/>
  <c r="AY510" i="2"/>
  <c r="AZ510" i="2" s="1"/>
  <c r="BF510" i="2"/>
  <c r="AX510" i="2" l="1"/>
  <c r="BA510" i="2" s="1"/>
  <c r="K47" i="7"/>
  <c r="AX509" i="2"/>
  <c r="BA509" i="2" s="1"/>
  <c r="K46" i="7"/>
  <c r="BD512" i="2"/>
  <c r="BA512" i="2"/>
  <c r="BD509" i="2"/>
  <c r="BE510" i="2"/>
  <c r="AQ511" i="2"/>
  <c r="AR511" i="2"/>
  <c r="AS511" i="2"/>
  <c r="AT511" i="2"/>
  <c r="AU511" i="2"/>
  <c r="AX511" i="2"/>
  <c r="AY511" i="2"/>
  <c r="AZ511" i="2" s="1"/>
  <c r="BD511" i="2"/>
  <c r="BF511" i="2"/>
  <c r="BH511" i="2"/>
  <c r="BB477" i="2" l="1"/>
  <c r="BB348" i="2"/>
  <c r="BB478" i="2"/>
  <c r="BB349" i="2"/>
  <c r="BB509" i="2"/>
  <c r="BB705" i="2"/>
  <c r="BB510" i="2"/>
  <c r="BB706" i="2"/>
  <c r="BA511" i="2"/>
  <c r="BE511" i="2"/>
  <c r="BE519" i="2" l="1"/>
  <c r="BD517" i="2"/>
  <c r="AQ516" i="2"/>
  <c r="AR516" i="2"/>
  <c r="AS516" i="2"/>
  <c r="AT516" i="2"/>
  <c r="AU516" i="2"/>
  <c r="AX516" i="2"/>
  <c r="AY516" i="2"/>
  <c r="AZ516" i="2" s="1"/>
  <c r="BD516" i="2"/>
  <c r="BF516" i="2"/>
  <c r="BH516" i="2"/>
  <c r="BH520" i="2"/>
  <c r="BE520" i="2"/>
  <c r="AQ517" i="2"/>
  <c r="AR517" i="2"/>
  <c r="AS517" i="2"/>
  <c r="AT517" i="2"/>
  <c r="AU517" i="2"/>
  <c r="AX517" i="2"/>
  <c r="AY517" i="2"/>
  <c r="AZ517" i="2" s="1"/>
  <c r="BF517" i="2"/>
  <c r="BH517" i="2"/>
  <c r="AQ519" i="2"/>
  <c r="AR519" i="2"/>
  <c r="AS519" i="2"/>
  <c r="AT519" i="2"/>
  <c r="AU519" i="2"/>
  <c r="AX519" i="2"/>
  <c r="AY519" i="2"/>
  <c r="AZ519" i="2" s="1"/>
  <c r="BF519" i="2"/>
  <c r="BH519" i="2"/>
  <c r="AQ520" i="2"/>
  <c r="AR520" i="2"/>
  <c r="AS520" i="2"/>
  <c r="AT520" i="2"/>
  <c r="AU520" i="2"/>
  <c r="AX520" i="2"/>
  <c r="AY520" i="2"/>
  <c r="AZ520" i="2" s="1"/>
  <c r="BD520" i="2"/>
  <c r="BF520" i="2"/>
  <c r="BE516" i="2" l="1"/>
  <c r="BA516" i="2"/>
  <c r="BD519" i="2"/>
  <c r="BE517" i="2"/>
  <c r="BA517" i="2"/>
  <c r="BA519" i="2"/>
  <c r="BA520" i="2"/>
  <c r="BE522" i="2" l="1"/>
  <c r="AQ521" i="2"/>
  <c r="AR521" i="2"/>
  <c r="AS521" i="2"/>
  <c r="AT521" i="2"/>
  <c r="AU521" i="2"/>
  <c r="AY521" i="2"/>
  <c r="AZ521" i="2" s="1"/>
  <c r="BE521" i="2"/>
  <c r="BF521" i="2"/>
  <c r="BH521" i="2"/>
  <c r="AQ522" i="2"/>
  <c r="AR522" i="2"/>
  <c r="AS522" i="2"/>
  <c r="AT522" i="2"/>
  <c r="AU522" i="2"/>
  <c r="AX522" i="2"/>
  <c r="AY522" i="2"/>
  <c r="AZ522" i="2" s="1"/>
  <c r="BD522" i="2"/>
  <c r="BF522" i="2"/>
  <c r="BH522" i="2"/>
  <c r="AX521" i="2" l="1"/>
  <c r="BA521" i="2" s="1"/>
  <c r="BD521" i="2"/>
  <c r="BA522" i="2"/>
  <c r="BH525" i="2"/>
  <c r="BH524" i="2"/>
  <c r="BE525" i="2"/>
  <c r="BD524" i="2"/>
  <c r="AQ526" i="2"/>
  <c r="AR526" i="2"/>
  <c r="AS526" i="2"/>
  <c r="AT526" i="2"/>
  <c r="AU526" i="2"/>
  <c r="AX526" i="2"/>
  <c r="AY526" i="2"/>
  <c r="AZ526" i="2" s="1"/>
  <c r="BD526" i="2"/>
  <c r="BF526" i="2"/>
  <c r="BH526" i="2"/>
  <c r="AQ523" i="2"/>
  <c r="AR523" i="2"/>
  <c r="AS523" i="2"/>
  <c r="AT523" i="2"/>
  <c r="AU523" i="2"/>
  <c r="AX523" i="2"/>
  <c r="AY523" i="2"/>
  <c r="AZ523" i="2" s="1"/>
  <c r="BD523" i="2"/>
  <c r="BF523" i="2"/>
  <c r="BH523" i="2"/>
  <c r="BD527" i="2"/>
  <c r="AQ527" i="2"/>
  <c r="AR527" i="2"/>
  <c r="AS527" i="2"/>
  <c r="AT527" i="2"/>
  <c r="AU527" i="2"/>
  <c r="AX527" i="2"/>
  <c r="AY527" i="2"/>
  <c r="AZ527" i="2" s="1"/>
  <c r="BE527" i="2"/>
  <c r="BF527" i="2"/>
  <c r="BH527" i="2"/>
  <c r="AQ524" i="2"/>
  <c r="AR524" i="2"/>
  <c r="AS524" i="2"/>
  <c r="AT524" i="2"/>
  <c r="AU524" i="2"/>
  <c r="AX524" i="2"/>
  <c r="AY524" i="2"/>
  <c r="AZ524" i="2" s="1"/>
  <c r="BF524" i="2"/>
  <c r="AQ525" i="2"/>
  <c r="AR525" i="2"/>
  <c r="AS525" i="2"/>
  <c r="AT525" i="2"/>
  <c r="AU525" i="2"/>
  <c r="AX525" i="2"/>
  <c r="AY525" i="2"/>
  <c r="AZ525" i="2" s="1"/>
  <c r="BF525" i="2"/>
  <c r="BE526" i="2" l="1"/>
  <c r="BA526" i="2"/>
  <c r="BE524" i="2"/>
  <c r="BE523" i="2"/>
  <c r="BA523" i="2"/>
  <c r="BA527" i="2"/>
  <c r="BD525" i="2"/>
  <c r="BA524" i="2"/>
  <c r="BA525" i="2"/>
  <c r="AQ538" i="2"/>
  <c r="AR538" i="2"/>
  <c r="AS538" i="2"/>
  <c r="AT538" i="2"/>
  <c r="AU538" i="2"/>
  <c r="AX538" i="2"/>
  <c r="AY538" i="2"/>
  <c r="AZ538" i="2" s="1"/>
  <c r="BD538" i="2"/>
  <c r="BE538" i="2"/>
  <c r="BF538" i="2"/>
  <c r="BH538" i="2"/>
  <c r="AQ539" i="2"/>
  <c r="AR539" i="2"/>
  <c r="AS539" i="2"/>
  <c r="AT539" i="2"/>
  <c r="AU539" i="2"/>
  <c r="AX539" i="2"/>
  <c r="AY539" i="2"/>
  <c r="AZ539" i="2" s="1"/>
  <c r="BD539" i="2"/>
  <c r="BF539" i="2"/>
  <c r="BH539" i="2"/>
  <c r="BA538" i="2" l="1"/>
  <c r="BE539" i="2"/>
  <c r="BA539" i="2"/>
  <c r="BH531" i="2"/>
  <c r="BH530" i="2"/>
  <c r="BD530" i="2"/>
  <c r="AQ530" i="2"/>
  <c r="AR530" i="2"/>
  <c r="AS530" i="2"/>
  <c r="AT530" i="2"/>
  <c r="AU530" i="2"/>
  <c r="AX530" i="2"/>
  <c r="AY530" i="2"/>
  <c r="AZ530" i="2" s="1"/>
  <c r="BF530" i="2"/>
  <c r="BE531" i="2"/>
  <c r="AQ531" i="2"/>
  <c r="AR531" i="2"/>
  <c r="AS531" i="2"/>
  <c r="AT531" i="2"/>
  <c r="AU531" i="2"/>
  <c r="AX531" i="2"/>
  <c r="AY531" i="2"/>
  <c r="AZ531" i="2" s="1"/>
  <c r="BF531" i="2"/>
  <c r="BE530" i="2" l="1"/>
  <c r="BA530" i="2"/>
  <c r="BD531" i="2"/>
  <c r="BA531" i="2"/>
  <c r="AQ528" i="2"/>
  <c r="AR528" i="2"/>
  <c r="AS528" i="2"/>
  <c r="AT528" i="2"/>
  <c r="AU528" i="2"/>
  <c r="AX528" i="2"/>
  <c r="AY528" i="2"/>
  <c r="AZ528" i="2" s="1"/>
  <c r="BD528" i="2"/>
  <c r="BE528" i="2"/>
  <c r="BF528" i="2"/>
  <c r="BH528" i="2"/>
  <c r="BA528" i="2" l="1"/>
  <c r="J6" i="19" l="1"/>
  <c r="I6" i="19" s="1"/>
  <c r="J7" i="19"/>
  <c r="I7" i="19" s="1"/>
  <c r="AQ529" i="2"/>
  <c r="AR529" i="2"/>
  <c r="AS529" i="2"/>
  <c r="AT529" i="2"/>
  <c r="AU529" i="2"/>
  <c r="AX529" i="2"/>
  <c r="AY529" i="2"/>
  <c r="AZ529" i="2" s="1"/>
  <c r="BE529" i="2"/>
  <c r="BF529" i="2"/>
  <c r="BH529" i="2"/>
  <c r="BD529" i="2" l="1"/>
  <c r="BA529" i="2"/>
  <c r="AQ563" i="2" l="1"/>
  <c r="AR563" i="2"/>
  <c r="AS563" i="2"/>
  <c r="AT563" i="2"/>
  <c r="AU563" i="2"/>
  <c r="AX563" i="2"/>
  <c r="AY563" i="2"/>
  <c r="AZ563" i="2" s="1"/>
  <c r="BD563" i="2"/>
  <c r="BE563" i="2"/>
  <c r="BF563" i="2"/>
  <c r="BH563" i="2"/>
  <c r="BA563" i="2" l="1"/>
  <c r="BD535" i="2" l="1"/>
  <c r="BH533" i="2"/>
  <c r="BD533" i="2"/>
  <c r="AQ533" i="2"/>
  <c r="AR533" i="2"/>
  <c r="AS533" i="2"/>
  <c r="AT533" i="2"/>
  <c r="AU533" i="2"/>
  <c r="AX533" i="2"/>
  <c r="AY533" i="2"/>
  <c r="AZ533" i="2" s="1"/>
  <c r="BF533" i="2"/>
  <c r="BH535" i="2"/>
  <c r="BD534" i="2"/>
  <c r="AQ532" i="2"/>
  <c r="AR532" i="2"/>
  <c r="AS532" i="2"/>
  <c r="AT532" i="2"/>
  <c r="AU532" i="2"/>
  <c r="AX532" i="2"/>
  <c r="AY532" i="2"/>
  <c r="AZ532" i="2" s="1"/>
  <c r="BD532" i="2"/>
  <c r="BF532" i="2"/>
  <c r="BH532" i="2"/>
  <c r="BE536" i="2"/>
  <c r="AQ534" i="2"/>
  <c r="AR534" i="2"/>
  <c r="AS534" i="2"/>
  <c r="AT534" i="2"/>
  <c r="AU534" i="2"/>
  <c r="AX534" i="2"/>
  <c r="AY534" i="2"/>
  <c r="AZ534" i="2" s="1"/>
  <c r="BF534" i="2"/>
  <c r="BH534" i="2"/>
  <c r="AQ535" i="2"/>
  <c r="AR535" i="2"/>
  <c r="AS535" i="2"/>
  <c r="AT535" i="2"/>
  <c r="AU535" i="2"/>
  <c r="AX535" i="2"/>
  <c r="AY535" i="2"/>
  <c r="AZ535" i="2" s="1"/>
  <c r="BE535" i="2"/>
  <c r="BF535" i="2"/>
  <c r="AQ536" i="2"/>
  <c r="AR536" i="2"/>
  <c r="AS536" i="2"/>
  <c r="AT536" i="2"/>
  <c r="AU536" i="2"/>
  <c r="AX536" i="2"/>
  <c r="AY536" i="2"/>
  <c r="AZ536" i="2" s="1"/>
  <c r="BF536" i="2"/>
  <c r="BH536" i="2"/>
  <c r="AQ727" i="2"/>
  <c r="BA533" i="2" l="1"/>
  <c r="BE533" i="2"/>
  <c r="BE532" i="2"/>
  <c r="BA532" i="2"/>
  <c r="BD536" i="2"/>
  <c r="BE534" i="2"/>
  <c r="BA534" i="2"/>
  <c r="BA535" i="2"/>
  <c r="BA536" i="2"/>
  <c r="J8" i="19"/>
  <c r="I8" i="19" s="1"/>
  <c r="J9" i="19"/>
  <c r="I9" i="19" s="1"/>
  <c r="AQ540" i="2"/>
  <c r="AR540" i="2"/>
  <c r="AS540" i="2"/>
  <c r="AT540" i="2"/>
  <c r="AU540" i="2"/>
  <c r="AX540" i="2"/>
  <c r="AY540" i="2"/>
  <c r="AZ540" i="2" s="1"/>
  <c r="BD540" i="2"/>
  <c r="BF540" i="2"/>
  <c r="BH540" i="2"/>
  <c r="BA540" i="2" l="1"/>
  <c r="BE540" i="2"/>
  <c r="AQ553" i="2"/>
  <c r="AR553" i="2"/>
  <c r="AS553" i="2"/>
  <c r="AT553" i="2"/>
  <c r="AU553" i="2"/>
  <c r="AX553" i="2"/>
  <c r="AY553" i="2"/>
  <c r="AZ553" i="2" s="1"/>
  <c r="BD553" i="2"/>
  <c r="BF553" i="2"/>
  <c r="BH553" i="2"/>
  <c r="AQ637" i="2"/>
  <c r="AR637" i="2"/>
  <c r="AS637" i="2"/>
  <c r="AT637" i="2"/>
  <c r="AU637" i="2"/>
  <c r="AX637" i="2"/>
  <c r="AY637" i="2"/>
  <c r="AZ637" i="2" s="1"/>
  <c r="BD637" i="2"/>
  <c r="BF637" i="2"/>
  <c r="BH637" i="2"/>
  <c r="BA553" i="2" l="1"/>
  <c r="BE553" i="2"/>
  <c r="BE637" i="2"/>
  <c r="BA637" i="2"/>
  <c r="BH545" i="2"/>
  <c r="BD544" i="2"/>
  <c r="BE548" i="2"/>
  <c r="BD550" i="2"/>
  <c r="BD554" i="2"/>
  <c r="AQ544" i="2"/>
  <c r="AR544" i="2"/>
  <c r="AS544" i="2"/>
  <c r="AT544" i="2"/>
  <c r="AU544" i="2"/>
  <c r="AX544" i="2"/>
  <c r="AY544" i="2"/>
  <c r="AZ544" i="2" s="1"/>
  <c r="BF544" i="2"/>
  <c r="BH544" i="2"/>
  <c r="AQ545" i="2"/>
  <c r="AR545" i="2"/>
  <c r="AS545" i="2"/>
  <c r="AT545" i="2"/>
  <c r="AU545" i="2"/>
  <c r="AX545" i="2"/>
  <c r="AY545" i="2"/>
  <c r="AZ545" i="2" s="1"/>
  <c r="BD545" i="2"/>
  <c r="BF545" i="2"/>
  <c r="AQ541" i="2"/>
  <c r="AR541" i="2"/>
  <c r="AS541" i="2"/>
  <c r="AT541" i="2"/>
  <c r="AU541" i="2"/>
  <c r="AX541" i="2"/>
  <c r="AY541" i="2"/>
  <c r="AZ541" i="2" s="1"/>
  <c r="BD541" i="2"/>
  <c r="BF541" i="2"/>
  <c r="BH541" i="2"/>
  <c r="AQ542" i="2"/>
  <c r="AR542" i="2"/>
  <c r="AS542" i="2"/>
  <c r="AT542" i="2"/>
  <c r="AU542" i="2"/>
  <c r="AX542" i="2"/>
  <c r="AY542" i="2"/>
  <c r="AZ542" i="2" s="1"/>
  <c r="BD542" i="2"/>
  <c r="BF542" i="2"/>
  <c r="BH542" i="2"/>
  <c r="AQ543" i="2"/>
  <c r="AR543" i="2"/>
  <c r="AS543" i="2"/>
  <c r="AT543" i="2"/>
  <c r="AU543" i="2"/>
  <c r="AX543" i="2"/>
  <c r="AY543" i="2"/>
  <c r="AZ543" i="2" s="1"/>
  <c r="BD543" i="2"/>
  <c r="BF543" i="2"/>
  <c r="BH543" i="2"/>
  <c r="AQ546" i="2"/>
  <c r="AR546" i="2"/>
  <c r="AS546" i="2"/>
  <c r="AT546" i="2"/>
  <c r="AU546" i="2"/>
  <c r="AX546" i="2"/>
  <c r="AY546" i="2"/>
  <c r="AZ546" i="2" s="1"/>
  <c r="BD546" i="2"/>
  <c r="BF546" i="2"/>
  <c r="BH546" i="2"/>
  <c r="BH549" i="2"/>
  <c r="BD549" i="2"/>
  <c r="AQ547" i="2"/>
  <c r="AR547" i="2"/>
  <c r="AS547" i="2"/>
  <c r="AT547" i="2"/>
  <c r="AU547" i="2"/>
  <c r="AX547" i="2"/>
  <c r="AY547" i="2"/>
  <c r="AZ547" i="2" s="1"/>
  <c r="BD547" i="2"/>
  <c r="BF547" i="2"/>
  <c r="BH547" i="2"/>
  <c r="BH550" i="2"/>
  <c r="AQ549" i="2"/>
  <c r="AR549" i="2"/>
  <c r="AS549" i="2"/>
  <c r="AT549" i="2"/>
  <c r="AU549" i="2"/>
  <c r="AX549" i="2"/>
  <c r="AY549" i="2"/>
  <c r="AZ549" i="2" s="1"/>
  <c r="BF549" i="2"/>
  <c r="BH551" i="2"/>
  <c r="BE551" i="2"/>
  <c r="AQ550" i="2"/>
  <c r="AR550" i="2"/>
  <c r="AS550" i="2"/>
  <c r="AT550" i="2"/>
  <c r="AU550" i="2"/>
  <c r="AX550" i="2"/>
  <c r="AY550" i="2"/>
  <c r="AZ550" i="2" s="1"/>
  <c r="BF550" i="2"/>
  <c r="BH554" i="2"/>
  <c r="AQ554" i="2"/>
  <c r="AR554" i="2"/>
  <c r="AS554" i="2"/>
  <c r="AT554" i="2"/>
  <c r="AU554" i="2"/>
  <c r="AX554" i="2"/>
  <c r="AY554" i="2"/>
  <c r="AZ554" i="2" s="1"/>
  <c r="BF554" i="2"/>
  <c r="AQ548" i="2"/>
  <c r="AR548" i="2"/>
  <c r="AS548" i="2"/>
  <c r="AT548" i="2"/>
  <c r="AU548" i="2"/>
  <c r="AX548" i="2"/>
  <c r="AY548" i="2"/>
  <c r="AZ548" i="2" s="1"/>
  <c r="BF548" i="2"/>
  <c r="BH548" i="2"/>
  <c r="AQ551" i="2"/>
  <c r="AR551" i="2"/>
  <c r="AS551" i="2"/>
  <c r="AT551" i="2"/>
  <c r="AU551" i="2"/>
  <c r="AX551" i="2"/>
  <c r="AY551" i="2"/>
  <c r="AZ551" i="2" s="1"/>
  <c r="BD551" i="2"/>
  <c r="BF551" i="2"/>
  <c r="BE544" i="2" l="1"/>
  <c r="BA544" i="2"/>
  <c r="BE545" i="2"/>
  <c r="BA545" i="2"/>
  <c r="BE541" i="2"/>
  <c r="BA541" i="2"/>
  <c r="BE542" i="2"/>
  <c r="BA542" i="2"/>
  <c r="BE543" i="2"/>
  <c r="BA543" i="2"/>
  <c r="BE546" i="2"/>
  <c r="BA546" i="2"/>
  <c r="BE547" i="2"/>
  <c r="BA547" i="2"/>
  <c r="BE549" i="2"/>
  <c r="BA549" i="2"/>
  <c r="BE550" i="2"/>
  <c r="BA550" i="2"/>
  <c r="BD548" i="2"/>
  <c r="BE554" i="2"/>
  <c r="BA554" i="2"/>
  <c r="BA548" i="2"/>
  <c r="BA551" i="2"/>
  <c r="AQ555" i="2"/>
  <c r="AR555" i="2"/>
  <c r="AS555" i="2"/>
  <c r="AT555" i="2"/>
  <c r="AU555" i="2"/>
  <c r="AX555" i="2"/>
  <c r="AY555" i="2"/>
  <c r="AZ555" i="2" s="1"/>
  <c r="BD555" i="2"/>
  <c r="BF555" i="2"/>
  <c r="BH555" i="2"/>
  <c r="AQ556" i="2"/>
  <c r="AR556" i="2"/>
  <c r="AS556" i="2"/>
  <c r="AT556" i="2"/>
  <c r="AU556" i="2"/>
  <c r="AX556" i="2"/>
  <c r="AY556" i="2"/>
  <c r="AZ556" i="2" s="1"/>
  <c r="BD556" i="2"/>
  <c r="BE556" i="2"/>
  <c r="BF556" i="2"/>
  <c r="BH556" i="2"/>
  <c r="AQ558" i="2"/>
  <c r="AR558" i="2"/>
  <c r="AS558" i="2"/>
  <c r="AT558" i="2"/>
  <c r="AU558" i="2"/>
  <c r="AX558" i="2"/>
  <c r="AY558" i="2"/>
  <c r="AZ558" i="2" s="1"/>
  <c r="BD558" i="2"/>
  <c r="BF558" i="2"/>
  <c r="BH558" i="2"/>
  <c r="BA556" i="2" l="1"/>
  <c r="BA555" i="2"/>
  <c r="BE555" i="2"/>
  <c r="BE558" i="2"/>
  <c r="BA558" i="2"/>
  <c r="C11" i="23"/>
  <c r="D11" i="23"/>
  <c r="E11" i="23"/>
  <c r="F11" i="23"/>
  <c r="H11" i="23"/>
  <c r="R11" i="23" s="1"/>
  <c r="O11" i="23"/>
  <c r="P11" i="23"/>
  <c r="AQ608" i="2"/>
  <c r="AR608" i="2"/>
  <c r="AS608" i="2"/>
  <c r="AT608" i="2"/>
  <c r="AU608" i="2"/>
  <c r="AX608" i="2"/>
  <c r="AY608" i="2"/>
  <c r="AZ608" i="2" s="1"/>
  <c r="BD608" i="2"/>
  <c r="BF608" i="2"/>
  <c r="K114" i="18" s="1"/>
  <c r="BH608" i="2"/>
  <c r="AQ590" i="2"/>
  <c r="AR590" i="2"/>
  <c r="AS590" i="2"/>
  <c r="AT590" i="2"/>
  <c r="AU590" i="2"/>
  <c r="AX590" i="2"/>
  <c r="AY590" i="2"/>
  <c r="AZ590" i="2" s="1"/>
  <c r="BD590" i="2"/>
  <c r="BF590" i="2"/>
  <c r="BH590" i="2"/>
  <c r="AQ591" i="2"/>
  <c r="AR591" i="2"/>
  <c r="AS591" i="2"/>
  <c r="AT591" i="2"/>
  <c r="AU591" i="2"/>
  <c r="AX591" i="2"/>
  <c r="AY591" i="2"/>
  <c r="AZ591" i="2" s="1"/>
  <c r="BE591" i="2"/>
  <c r="BF591" i="2"/>
  <c r="BH591" i="2"/>
  <c r="BA608" i="2" l="1"/>
  <c r="BE608" i="2"/>
  <c r="BA590" i="2"/>
  <c r="BD591" i="2"/>
  <c r="BE590" i="2"/>
  <c r="BA591" i="2"/>
  <c r="J10" i="19"/>
  <c r="I10" i="19" s="1"/>
  <c r="J11" i="19"/>
  <c r="I11" i="19" s="1"/>
  <c r="BH562" i="2" l="1"/>
  <c r="BH561" i="2"/>
  <c r="BH560" i="2"/>
  <c r="BE561" i="2"/>
  <c r="BD560" i="2"/>
  <c r="AQ559" i="2"/>
  <c r="AR559" i="2"/>
  <c r="AS559" i="2"/>
  <c r="AT559" i="2"/>
  <c r="AU559" i="2"/>
  <c r="AX559" i="2"/>
  <c r="AY559" i="2"/>
  <c r="AZ559" i="2" s="1"/>
  <c r="BE559" i="2"/>
  <c r="BF559" i="2"/>
  <c r="BH559" i="2"/>
  <c r="AQ560" i="2"/>
  <c r="AR560" i="2"/>
  <c r="AS560" i="2"/>
  <c r="AT560" i="2"/>
  <c r="AU560" i="2"/>
  <c r="AX560" i="2"/>
  <c r="AY560" i="2"/>
  <c r="AZ560" i="2" s="1"/>
  <c r="BF560" i="2"/>
  <c r="AQ561" i="2"/>
  <c r="AR561" i="2"/>
  <c r="AS561" i="2"/>
  <c r="AT561" i="2"/>
  <c r="AU561" i="2"/>
  <c r="AX561" i="2"/>
  <c r="AY561" i="2"/>
  <c r="AZ561" i="2" s="1"/>
  <c r="BF561" i="2"/>
  <c r="AQ562" i="2"/>
  <c r="AR562" i="2"/>
  <c r="AS562" i="2"/>
  <c r="AT562" i="2"/>
  <c r="AU562" i="2"/>
  <c r="AX562" i="2"/>
  <c r="AY562" i="2"/>
  <c r="AZ562" i="2" s="1"/>
  <c r="BD562" i="2"/>
  <c r="BE562" i="2"/>
  <c r="BF562" i="2"/>
  <c r="BE560" i="2" l="1"/>
  <c r="BD559" i="2"/>
  <c r="BD561" i="2"/>
  <c r="BA559" i="2"/>
  <c r="BA560" i="2"/>
  <c r="BA561" i="2"/>
  <c r="BA562" i="2"/>
  <c r="BH564" i="2" l="1"/>
  <c r="BE564" i="2"/>
  <c r="AQ565" i="2"/>
  <c r="AR565" i="2"/>
  <c r="AS565" i="2"/>
  <c r="AT565" i="2"/>
  <c r="AU565" i="2"/>
  <c r="AX565" i="2"/>
  <c r="AY565" i="2"/>
  <c r="AZ565" i="2" s="1"/>
  <c r="BE565" i="2"/>
  <c r="BF565" i="2"/>
  <c r="BH565" i="2"/>
  <c r="AQ564" i="2"/>
  <c r="AR564" i="2"/>
  <c r="AS564" i="2"/>
  <c r="AT564" i="2"/>
  <c r="AU564" i="2"/>
  <c r="AX564" i="2"/>
  <c r="AY564" i="2"/>
  <c r="AZ564" i="2" s="1"/>
  <c r="BF564" i="2"/>
  <c r="BD565" i="2" l="1"/>
  <c r="BD564" i="2"/>
  <c r="BA565" i="2"/>
  <c r="BA564" i="2"/>
  <c r="BH567" i="2" l="1"/>
  <c r="BD567" i="2"/>
  <c r="AQ566" i="2"/>
  <c r="AR566" i="2"/>
  <c r="AS566" i="2"/>
  <c r="AT566" i="2"/>
  <c r="AU566" i="2"/>
  <c r="AX566" i="2"/>
  <c r="AY566" i="2"/>
  <c r="AZ566" i="2" s="1"/>
  <c r="BD566" i="2"/>
  <c r="BF566" i="2"/>
  <c r="BH566" i="2"/>
  <c r="AQ567" i="2"/>
  <c r="AR567" i="2"/>
  <c r="AS567" i="2"/>
  <c r="AT567" i="2"/>
  <c r="AU567" i="2"/>
  <c r="AX567" i="2"/>
  <c r="AY567" i="2"/>
  <c r="AZ567" i="2" s="1"/>
  <c r="BF567" i="2"/>
  <c r="BE566" i="2" l="1"/>
  <c r="BA566" i="2"/>
  <c r="BE567" i="2"/>
  <c r="BA567" i="2"/>
  <c r="AQ573" i="2"/>
  <c r="AR573" i="2"/>
  <c r="AS573" i="2"/>
  <c r="AT573" i="2"/>
  <c r="AU573" i="2"/>
  <c r="AX573" i="2"/>
  <c r="AY573" i="2"/>
  <c r="AZ573" i="2" s="1"/>
  <c r="BE573" i="2"/>
  <c r="BF573" i="2"/>
  <c r="BH573" i="2"/>
  <c r="BD573" i="2" l="1"/>
  <c r="BA573" i="2"/>
  <c r="AQ574" i="2"/>
  <c r="AR574" i="2"/>
  <c r="AS574" i="2"/>
  <c r="AT574" i="2"/>
  <c r="AU574" i="2"/>
  <c r="AX574" i="2"/>
  <c r="AY574" i="2"/>
  <c r="AZ574" i="2" s="1"/>
  <c r="BD574" i="2"/>
  <c r="BF574" i="2"/>
  <c r="BH574" i="2"/>
  <c r="BE574" i="2" l="1"/>
  <c r="BA574" i="2"/>
  <c r="J14" i="19"/>
  <c r="I14" i="19" s="1"/>
  <c r="J15" i="19"/>
  <c r="I15" i="19" s="1"/>
  <c r="J12" i="19" l="1"/>
  <c r="J13" i="19"/>
  <c r="J16" i="19"/>
  <c r="I13" i="19" l="1"/>
  <c r="I16" i="19"/>
  <c r="I12" i="19"/>
  <c r="BH571" i="2"/>
  <c r="BD571" i="2"/>
  <c r="BH570" i="2"/>
  <c r="BH569" i="2"/>
  <c r="BD570" i="2"/>
  <c r="BE569" i="2"/>
  <c r="AQ568" i="2"/>
  <c r="AR568" i="2"/>
  <c r="AS568" i="2"/>
  <c r="AT568" i="2"/>
  <c r="AU568" i="2"/>
  <c r="AX568" i="2"/>
  <c r="AY568" i="2"/>
  <c r="AZ568" i="2" s="1"/>
  <c r="BD568" i="2"/>
  <c r="BF568" i="2"/>
  <c r="BH568" i="2"/>
  <c r="AQ569" i="2"/>
  <c r="AR569" i="2"/>
  <c r="AS569" i="2"/>
  <c r="AT569" i="2"/>
  <c r="AU569" i="2"/>
  <c r="AX569" i="2"/>
  <c r="AY569" i="2"/>
  <c r="AZ569" i="2" s="1"/>
  <c r="BF569" i="2"/>
  <c r="AQ570" i="2"/>
  <c r="AR570" i="2"/>
  <c r="AS570" i="2"/>
  <c r="AT570" i="2"/>
  <c r="AU570" i="2"/>
  <c r="AX570" i="2"/>
  <c r="AY570" i="2"/>
  <c r="AZ570" i="2" s="1"/>
  <c r="BF570" i="2"/>
  <c r="AQ571" i="2"/>
  <c r="AR571" i="2"/>
  <c r="AS571" i="2"/>
  <c r="AT571" i="2"/>
  <c r="AU571" i="2"/>
  <c r="AX571" i="2"/>
  <c r="AY571" i="2"/>
  <c r="AZ571" i="2" s="1"/>
  <c r="BF571" i="2"/>
  <c r="BE571" i="2" l="1"/>
  <c r="BE570" i="2"/>
  <c r="BE568" i="2"/>
  <c r="BA568" i="2"/>
  <c r="BA569" i="2"/>
  <c r="BD569" i="2"/>
  <c r="BA570" i="2"/>
  <c r="BA571" i="2"/>
  <c r="C10" i="23"/>
  <c r="D10" i="23"/>
  <c r="E10" i="23"/>
  <c r="F10" i="23"/>
  <c r="H10" i="23"/>
  <c r="R10" i="23" s="1"/>
  <c r="O10" i="23"/>
  <c r="P10" i="23"/>
  <c r="AQ644" i="2"/>
  <c r="AR644" i="2"/>
  <c r="AS644" i="2"/>
  <c r="AT644" i="2"/>
  <c r="AU644" i="2"/>
  <c r="AX644" i="2"/>
  <c r="AY644" i="2"/>
  <c r="AZ644" i="2" s="1"/>
  <c r="BE644" i="2"/>
  <c r="BD644" i="2"/>
  <c r="BF644" i="2"/>
  <c r="BH644" i="2"/>
  <c r="K10" i="23" l="1"/>
  <c r="J10" i="23"/>
  <c r="BA644" i="2"/>
  <c r="AQ572" i="2"/>
  <c r="AR572" i="2"/>
  <c r="AS572" i="2"/>
  <c r="AT572" i="2"/>
  <c r="AU572" i="2"/>
  <c r="AX572" i="2"/>
  <c r="AY572" i="2"/>
  <c r="AZ572" i="2" s="1"/>
  <c r="BD572" i="2"/>
  <c r="BF572" i="2"/>
  <c r="BH572" i="2"/>
  <c r="BB644" i="2" l="1"/>
  <c r="BB287" i="2"/>
  <c r="BE572" i="2"/>
  <c r="BA572" i="2"/>
  <c r="I10" i="23" l="1"/>
  <c r="M10" i="23" s="1"/>
  <c r="N10" i="23" s="1"/>
  <c r="BH576" i="2"/>
  <c r="AQ575" i="2"/>
  <c r="AR575" i="2"/>
  <c r="AS575" i="2"/>
  <c r="AT575" i="2"/>
  <c r="AU575" i="2"/>
  <c r="AX575" i="2"/>
  <c r="AY575" i="2"/>
  <c r="AZ575" i="2" s="1"/>
  <c r="BD575" i="2"/>
  <c r="BF575" i="2"/>
  <c r="BH575" i="2"/>
  <c r="AQ576" i="2"/>
  <c r="AR576" i="2"/>
  <c r="AS576" i="2"/>
  <c r="AT576" i="2"/>
  <c r="AU576" i="2"/>
  <c r="AX576" i="2"/>
  <c r="AY576" i="2"/>
  <c r="AZ576" i="2" s="1"/>
  <c r="BD576" i="2"/>
  <c r="BF576" i="2"/>
  <c r="S10" i="23" l="1"/>
  <c r="BA575" i="2"/>
  <c r="BB415" i="2" s="1"/>
  <c r="BA576" i="2"/>
  <c r="BB494" i="2" s="1"/>
  <c r="BE575" i="2"/>
  <c r="BE576" i="2"/>
  <c r="AQ577" i="2"/>
  <c r="AR577" i="2"/>
  <c r="AS577" i="2"/>
  <c r="AT577" i="2"/>
  <c r="AU577" i="2"/>
  <c r="AY577" i="2"/>
  <c r="AZ577" i="2" s="1"/>
  <c r="BD577" i="2"/>
  <c r="BF577" i="2"/>
  <c r="K111" i="18" s="1"/>
  <c r="BH577" i="2"/>
  <c r="BD579" i="2"/>
  <c r="BD578" i="2"/>
  <c r="AQ584" i="2"/>
  <c r="AR584" i="2"/>
  <c r="AS584" i="2"/>
  <c r="AT584" i="2"/>
  <c r="AU584" i="2"/>
  <c r="AX584" i="2"/>
  <c r="AY584" i="2"/>
  <c r="AZ584" i="2" s="1"/>
  <c r="BD584" i="2"/>
  <c r="BF584" i="2"/>
  <c r="BH584" i="2"/>
  <c r="BH579" i="2"/>
  <c r="AQ578" i="2"/>
  <c r="AR578" i="2"/>
  <c r="AS578" i="2"/>
  <c r="AT578" i="2"/>
  <c r="AU578" i="2"/>
  <c r="AX578" i="2"/>
  <c r="AY578" i="2"/>
  <c r="AZ578" i="2" s="1"/>
  <c r="BF578" i="2"/>
  <c r="BH578" i="2"/>
  <c r="AQ579" i="2"/>
  <c r="AR579" i="2"/>
  <c r="AS579" i="2"/>
  <c r="AT579" i="2"/>
  <c r="AU579" i="2"/>
  <c r="AX579" i="2"/>
  <c r="AY579" i="2"/>
  <c r="AZ579" i="2" s="1"/>
  <c r="BF579" i="2"/>
  <c r="BB575" i="2" l="1"/>
  <c r="BB513" i="2"/>
  <c r="BB576" i="2"/>
  <c r="BB514" i="2"/>
  <c r="AX577" i="2"/>
  <c r="BA577" i="2" s="1"/>
  <c r="BE577" i="2"/>
  <c r="BE584" i="2"/>
  <c r="BA584" i="2"/>
  <c r="BA579" i="2"/>
  <c r="BE578" i="2"/>
  <c r="BA578" i="2"/>
  <c r="BE579" i="2"/>
  <c r="F4" i="25"/>
  <c r="L7" i="25"/>
  <c r="C10" i="7"/>
  <c r="D10" i="7"/>
  <c r="E10" i="7"/>
  <c r="F10" i="7"/>
  <c r="H10" i="7"/>
  <c r="R10" i="7" s="1"/>
  <c r="O10" i="7"/>
  <c r="Q10" i="7" s="1"/>
  <c r="P10" i="7"/>
  <c r="BB577" i="2" l="1"/>
  <c r="BB1036" i="2"/>
  <c r="AQ581" i="2"/>
  <c r="AR581" i="2"/>
  <c r="AS581" i="2"/>
  <c r="AT581" i="2"/>
  <c r="AU581" i="2"/>
  <c r="AX581" i="2"/>
  <c r="AY581" i="2"/>
  <c r="AZ581" i="2" s="1"/>
  <c r="BD581" i="2"/>
  <c r="BF581" i="2"/>
  <c r="BH581" i="2"/>
  <c r="AQ580" i="2"/>
  <c r="AR580" i="2"/>
  <c r="AS580" i="2"/>
  <c r="AT580" i="2"/>
  <c r="AU580" i="2"/>
  <c r="AX580" i="2"/>
  <c r="AY580" i="2"/>
  <c r="AZ580" i="2" s="1"/>
  <c r="BD580" i="2"/>
  <c r="BF580" i="2"/>
  <c r="BH580" i="2"/>
  <c r="BE581" i="2" l="1"/>
  <c r="BA581" i="2"/>
  <c r="BE580" i="2"/>
  <c r="BA580" i="2"/>
  <c r="AQ582" i="2" l="1"/>
  <c r="AR582" i="2"/>
  <c r="AS582" i="2"/>
  <c r="AT582" i="2"/>
  <c r="AU582" i="2"/>
  <c r="AX582" i="2"/>
  <c r="AY582" i="2"/>
  <c r="AZ582" i="2" s="1"/>
  <c r="BD582" i="2"/>
  <c r="BF582" i="2"/>
  <c r="K112" i="18" s="1"/>
  <c r="BH582" i="2"/>
  <c r="BA582" i="2" l="1"/>
  <c r="BB582" i="2" s="1"/>
  <c r="BE582" i="2"/>
  <c r="AQ585" i="2"/>
  <c r="AR585" i="2"/>
  <c r="AS585" i="2"/>
  <c r="AT585" i="2"/>
  <c r="AU585" i="2"/>
  <c r="AX585" i="2"/>
  <c r="AY585" i="2"/>
  <c r="AZ585" i="2" s="1"/>
  <c r="BD585" i="2"/>
  <c r="BF585" i="2"/>
  <c r="BH585" i="2"/>
  <c r="J17" i="19"/>
  <c r="I17" i="19" s="1"/>
  <c r="AQ600" i="2"/>
  <c r="AR600" i="2"/>
  <c r="AS600" i="2"/>
  <c r="AT600" i="2"/>
  <c r="AU600" i="2"/>
  <c r="AX600" i="2"/>
  <c r="AY600" i="2"/>
  <c r="AZ600" i="2" s="1"/>
  <c r="BD600" i="2"/>
  <c r="BF600" i="2"/>
  <c r="BH600" i="2"/>
  <c r="AQ586" i="2"/>
  <c r="AR586" i="2"/>
  <c r="AS586" i="2"/>
  <c r="AT586" i="2"/>
  <c r="AU586" i="2"/>
  <c r="AX586" i="2"/>
  <c r="AY586" i="2"/>
  <c r="AZ586" i="2" s="1"/>
  <c r="BD586" i="2"/>
  <c r="BF586" i="2"/>
  <c r="BH586" i="2"/>
  <c r="BA585" i="2" l="1"/>
  <c r="BA600" i="2"/>
  <c r="BE585" i="2"/>
  <c r="BE600" i="2"/>
  <c r="BA586" i="2"/>
  <c r="BE586" i="2"/>
  <c r="AQ587" i="2"/>
  <c r="AR587" i="2"/>
  <c r="AS587" i="2"/>
  <c r="AT587" i="2"/>
  <c r="AU587" i="2"/>
  <c r="AX587" i="2"/>
  <c r="AY587" i="2"/>
  <c r="AZ587" i="2" s="1"/>
  <c r="BD587" i="2"/>
  <c r="BE587" i="2"/>
  <c r="BF587" i="2"/>
  <c r="BH587" i="2"/>
  <c r="AQ583" i="2"/>
  <c r="AR583" i="2"/>
  <c r="AS583" i="2"/>
  <c r="AT583" i="2"/>
  <c r="AU583" i="2"/>
  <c r="AX583" i="2"/>
  <c r="AY583" i="2"/>
  <c r="AZ583" i="2" s="1"/>
  <c r="BD583" i="2"/>
  <c r="BF583" i="2"/>
  <c r="BH583" i="2"/>
  <c r="BH592" i="2"/>
  <c r="BD592" i="2"/>
  <c r="AQ592" i="2"/>
  <c r="AR592" i="2"/>
  <c r="AS592" i="2"/>
  <c r="AT592" i="2"/>
  <c r="AU592" i="2"/>
  <c r="AX592" i="2"/>
  <c r="AY592" i="2"/>
  <c r="AZ592" i="2" s="1"/>
  <c r="BF592" i="2"/>
  <c r="BA592" i="2" l="1"/>
  <c r="BA583" i="2"/>
  <c r="BA587" i="2"/>
  <c r="BE583" i="2"/>
  <c r="BE592" i="2"/>
  <c r="J18" i="19"/>
  <c r="I18" i="19" s="1"/>
  <c r="BH589" i="2" l="1"/>
  <c r="BD589" i="2"/>
  <c r="AQ589" i="2"/>
  <c r="AR589" i="2"/>
  <c r="AS589" i="2"/>
  <c r="AT589" i="2"/>
  <c r="AU589" i="2"/>
  <c r="AX589" i="2"/>
  <c r="AY589" i="2"/>
  <c r="AZ589" i="2" s="1"/>
  <c r="BF589" i="2"/>
  <c r="BA589" i="2" l="1"/>
  <c r="BE589" i="2"/>
  <c r="AQ588" i="2" l="1"/>
  <c r="AR588" i="2"/>
  <c r="AS588" i="2"/>
  <c r="AT588" i="2"/>
  <c r="AU588" i="2"/>
  <c r="AX588" i="2"/>
  <c r="AY588" i="2"/>
  <c r="AZ588" i="2" s="1"/>
  <c r="BD588" i="2"/>
  <c r="BF588" i="2"/>
  <c r="BH588" i="2"/>
  <c r="BA588" i="2" l="1"/>
  <c r="BE588" i="2"/>
  <c r="AQ593" i="2"/>
  <c r="AR593" i="2"/>
  <c r="AS593" i="2"/>
  <c r="AT593" i="2"/>
  <c r="AU593" i="2"/>
  <c r="AX593" i="2"/>
  <c r="AY593" i="2"/>
  <c r="AZ593" i="2" s="1"/>
  <c r="BD593" i="2"/>
  <c r="BF593" i="2"/>
  <c r="BH593" i="2"/>
  <c r="AQ594" i="2"/>
  <c r="AR594" i="2"/>
  <c r="AS594" i="2"/>
  <c r="AT594" i="2"/>
  <c r="AU594" i="2"/>
  <c r="AX594" i="2"/>
  <c r="AY594" i="2"/>
  <c r="AZ594" i="2" s="1"/>
  <c r="BD594" i="2"/>
  <c r="BF594" i="2"/>
  <c r="BH594" i="2"/>
  <c r="AQ597" i="2"/>
  <c r="AR597" i="2"/>
  <c r="AS597" i="2"/>
  <c r="AT597" i="2"/>
  <c r="AU597" i="2"/>
  <c r="AX597" i="2"/>
  <c r="AY597" i="2"/>
  <c r="AZ597" i="2" s="1"/>
  <c r="BD597" i="2"/>
  <c r="BF597" i="2"/>
  <c r="BH597" i="2"/>
  <c r="AQ598" i="2"/>
  <c r="AR598" i="2"/>
  <c r="AS598" i="2"/>
  <c r="AT598" i="2"/>
  <c r="AU598" i="2"/>
  <c r="AX598" i="2"/>
  <c r="AY598" i="2"/>
  <c r="AZ598" i="2" s="1"/>
  <c r="BD598" i="2"/>
  <c r="BF598" i="2"/>
  <c r="BH598" i="2"/>
  <c r="AQ595" i="2"/>
  <c r="AR595" i="2"/>
  <c r="AS595" i="2"/>
  <c r="AT595" i="2"/>
  <c r="AU595" i="2"/>
  <c r="AX595" i="2"/>
  <c r="AY595" i="2"/>
  <c r="AZ595" i="2" s="1"/>
  <c r="BD595" i="2"/>
  <c r="BF595" i="2"/>
  <c r="BH595" i="2"/>
  <c r="AQ596" i="2"/>
  <c r="AR596" i="2"/>
  <c r="AS596" i="2"/>
  <c r="AT596" i="2"/>
  <c r="AU596" i="2"/>
  <c r="AX596" i="2"/>
  <c r="AY596" i="2"/>
  <c r="AZ596" i="2" s="1"/>
  <c r="BD596" i="2"/>
  <c r="BF596" i="2"/>
  <c r="BH596" i="2"/>
  <c r="BE593" i="2" l="1"/>
  <c r="BA593" i="2"/>
  <c r="BE594" i="2"/>
  <c r="BA594" i="2"/>
  <c r="BE597" i="2"/>
  <c r="BA597" i="2"/>
  <c r="BE598" i="2"/>
  <c r="BA598" i="2"/>
  <c r="BE595" i="2"/>
  <c r="BA595" i="2"/>
  <c r="BE596" i="2"/>
  <c r="BA596" i="2"/>
  <c r="AQ611" i="2"/>
  <c r="AR611" i="2"/>
  <c r="AS611" i="2"/>
  <c r="AT611" i="2"/>
  <c r="AU611" i="2"/>
  <c r="AX611" i="2"/>
  <c r="AY611" i="2"/>
  <c r="AZ611" i="2" s="1"/>
  <c r="BD611" i="2"/>
  <c r="BF611" i="2"/>
  <c r="BH611" i="2"/>
  <c r="BE611" i="2" l="1"/>
  <c r="BA611" i="2"/>
  <c r="D4" i="21" l="1"/>
  <c r="G5" i="21"/>
  <c r="I10" i="21" s="1"/>
  <c r="E5" i="21"/>
  <c r="I6" i="21"/>
  <c r="I7" i="21"/>
  <c r="I5" i="21"/>
  <c r="AU599" i="2"/>
  <c r="AU602" i="2"/>
  <c r="AU603" i="2"/>
  <c r="AU601" i="2"/>
  <c r="AU604" i="2"/>
  <c r="AU606" i="2"/>
  <c r="AU607" i="2"/>
  <c r="AU605" i="2"/>
  <c r="AU609" i="2"/>
  <c r="AU610" i="2"/>
  <c r="AU613" i="2"/>
  <c r="AU612" i="2"/>
  <c r="AU614" i="2"/>
  <c r="AU615" i="2"/>
  <c r="AU616" i="2"/>
  <c r="AU617" i="2"/>
  <c r="AU618" i="2"/>
  <c r="AU619" i="2"/>
  <c r="AU621" i="2"/>
  <c r="AU620" i="2"/>
  <c r="AU622" i="2"/>
  <c r="AU623" i="2"/>
  <c r="AU624" i="2"/>
  <c r="AU625" i="2"/>
  <c r="AU626" i="2"/>
  <c r="AU627" i="2"/>
  <c r="AU628" i="2"/>
  <c r="AU629" i="2"/>
  <c r="AU631" i="2"/>
  <c r="AU632" i="2"/>
  <c r="AU633" i="2"/>
  <c r="AU636" i="2"/>
  <c r="AU638" i="2"/>
  <c r="AU639" i="2"/>
  <c r="AU640" i="2"/>
  <c r="AU641" i="2"/>
  <c r="AU642" i="2"/>
  <c r="AU643" i="2"/>
  <c r="AU645" i="2"/>
  <c r="AU646" i="2"/>
  <c r="AU647" i="2"/>
  <c r="AU648" i="2"/>
  <c r="AU649" i="2"/>
  <c r="AU651" i="2"/>
  <c r="AU652" i="2"/>
  <c r="AU653" i="2"/>
  <c r="AU655" i="2"/>
  <c r="AU654" i="2"/>
  <c r="AU656" i="2"/>
  <c r="AU657" i="2"/>
  <c r="AU658" i="2"/>
  <c r="AU659" i="2"/>
  <c r="AU661" i="2"/>
  <c r="AU660" i="2"/>
  <c r="AU662" i="2"/>
  <c r="AU663" i="2"/>
  <c r="AU664" i="2"/>
  <c r="AU665" i="2"/>
  <c r="AU667" i="2"/>
  <c r="AU668" i="2"/>
  <c r="AU669" i="2"/>
  <c r="AU671" i="2"/>
  <c r="AU672" i="2"/>
  <c r="AU673" i="2"/>
  <c r="AU674" i="2"/>
  <c r="AU675" i="2"/>
  <c r="AU676" i="2"/>
  <c r="AU677" i="2"/>
  <c r="AU678" i="2"/>
  <c r="AU679" i="2"/>
  <c r="AU680" i="2"/>
  <c r="AU681" i="2"/>
  <c r="AU682" i="2"/>
  <c r="AU683" i="2"/>
  <c r="AU685" i="2"/>
  <c r="AU686" i="2"/>
  <c r="AU687" i="2"/>
  <c r="AU688" i="2"/>
  <c r="AU689" i="2"/>
  <c r="AU690" i="2"/>
  <c r="AU691" i="2"/>
  <c r="AU692" i="2"/>
  <c r="AU693" i="2"/>
  <c r="AU695" i="2"/>
  <c r="AU696" i="2"/>
  <c r="AU697" i="2"/>
  <c r="AU698" i="2"/>
  <c r="AU694" i="2"/>
  <c r="AU699" i="2"/>
  <c r="AU700" i="2"/>
  <c r="AU701" i="2"/>
  <c r="AU702" i="2"/>
  <c r="AU703" i="2"/>
  <c r="AU704" i="2"/>
  <c r="AU707" i="2"/>
  <c r="AU708" i="2"/>
  <c r="AU710" i="2"/>
  <c r="AU711" i="2"/>
  <c r="AU712" i="2"/>
  <c r="AU713" i="2"/>
  <c r="AU714" i="2"/>
  <c r="AU715" i="2"/>
  <c r="AU716" i="2"/>
  <c r="AU717" i="2"/>
  <c r="AU718" i="2"/>
  <c r="AU719" i="2"/>
  <c r="AU720" i="2"/>
  <c r="AU721" i="2"/>
  <c r="AU722" i="2"/>
  <c r="AU723" i="2"/>
  <c r="AU724" i="2"/>
  <c r="AU725" i="2"/>
  <c r="AU726" i="2"/>
  <c r="AU727" i="2"/>
  <c r="AU728" i="2"/>
  <c r="AU729" i="2"/>
  <c r="AU730" i="2"/>
  <c r="AU731" i="2"/>
  <c r="AU732" i="2"/>
  <c r="AU733" i="2"/>
  <c r="AU734" i="2"/>
  <c r="AU735" i="2"/>
  <c r="AU736" i="2"/>
  <c r="AU737" i="2"/>
  <c r="AU738" i="2"/>
  <c r="AU739" i="2"/>
  <c r="AU740" i="2"/>
  <c r="AU741" i="2"/>
  <c r="AU742" i="2"/>
  <c r="AU743" i="2"/>
  <c r="AU744" i="2"/>
  <c r="AU745" i="2"/>
  <c r="AU746" i="2"/>
  <c r="AU747" i="2"/>
  <c r="AU748" i="2"/>
  <c r="AU749" i="2"/>
  <c r="AU750" i="2"/>
  <c r="AU751" i="2"/>
  <c r="AU752" i="2"/>
  <c r="AU753" i="2"/>
  <c r="AU754" i="2"/>
  <c r="AU755" i="2"/>
  <c r="AU756" i="2"/>
  <c r="AU757" i="2"/>
  <c r="AU758" i="2"/>
  <c r="AU759" i="2"/>
  <c r="AU760" i="2"/>
  <c r="AU761" i="2"/>
  <c r="AU762" i="2"/>
  <c r="AU763" i="2"/>
  <c r="AU764" i="2"/>
  <c r="AU765" i="2"/>
  <c r="AU766" i="2"/>
  <c r="AU767" i="2"/>
  <c r="AU768" i="2"/>
  <c r="AU769" i="2"/>
  <c r="AU770" i="2"/>
  <c r="AU771" i="2"/>
  <c r="AU772" i="2"/>
  <c r="AU773" i="2"/>
  <c r="AU774" i="2"/>
  <c r="AU775" i="2"/>
  <c r="AU776" i="2"/>
  <c r="AU777" i="2"/>
  <c r="AU778" i="2"/>
  <c r="AU779" i="2"/>
  <c r="AU780" i="2"/>
  <c r="AU781" i="2"/>
  <c r="AU782" i="2"/>
  <c r="AU783" i="2"/>
  <c r="AU784" i="2"/>
  <c r="AU785" i="2"/>
  <c r="AU786" i="2"/>
  <c r="AU787" i="2"/>
  <c r="AU788" i="2"/>
  <c r="AU789" i="2"/>
  <c r="AU790" i="2"/>
  <c r="AU791" i="2"/>
  <c r="AU792" i="2"/>
  <c r="AU793" i="2"/>
  <c r="AU794" i="2"/>
  <c r="AU795" i="2"/>
  <c r="AU796" i="2"/>
  <c r="AU797" i="2"/>
  <c r="AU798" i="2"/>
  <c r="AU799" i="2"/>
  <c r="AU801" i="2"/>
  <c r="AU802" i="2"/>
  <c r="AU803" i="2"/>
  <c r="AU804" i="2"/>
  <c r="AU805" i="2"/>
  <c r="AU806" i="2"/>
  <c r="AU807" i="2"/>
  <c r="AU808" i="2"/>
  <c r="AU809" i="2"/>
  <c r="AU810" i="2"/>
  <c r="AU811" i="2"/>
  <c r="AU812" i="2"/>
  <c r="AU813" i="2"/>
  <c r="AU814" i="2"/>
  <c r="AU815" i="2"/>
  <c r="AU816" i="2"/>
  <c r="AU817" i="2"/>
  <c r="AU818" i="2"/>
  <c r="AU819" i="2"/>
  <c r="AU820" i="2"/>
  <c r="AU821" i="2"/>
  <c r="AU822" i="2"/>
  <c r="AU823" i="2"/>
  <c r="AU824" i="2"/>
  <c r="AU825" i="2"/>
  <c r="AU826" i="2"/>
  <c r="AU827" i="2"/>
  <c r="AU828" i="2"/>
  <c r="AU829" i="2"/>
  <c r="AU830" i="2"/>
  <c r="AU831" i="2"/>
  <c r="AU832" i="2"/>
  <c r="AU833" i="2"/>
  <c r="AU834" i="2"/>
  <c r="AU835" i="2"/>
  <c r="AU836" i="2"/>
  <c r="AU837" i="2"/>
  <c r="AU838" i="2"/>
  <c r="AU839" i="2"/>
  <c r="AU840" i="2"/>
  <c r="AU841" i="2"/>
  <c r="AU842" i="2"/>
  <c r="AU843" i="2"/>
  <c r="AU844" i="2"/>
  <c r="AU845" i="2"/>
  <c r="AU846" i="2"/>
  <c r="AU847" i="2"/>
  <c r="AU848" i="2"/>
  <c r="AU849" i="2"/>
  <c r="AU850" i="2"/>
  <c r="AU851" i="2"/>
  <c r="AU852" i="2"/>
  <c r="AU853" i="2"/>
  <c r="AU854" i="2"/>
  <c r="AU855" i="2"/>
  <c r="AU856" i="2"/>
  <c r="AU857" i="2"/>
  <c r="AU858" i="2"/>
  <c r="AU859" i="2"/>
  <c r="AU860" i="2"/>
  <c r="AU861" i="2"/>
  <c r="AU862" i="2"/>
  <c r="AU863" i="2"/>
  <c r="AU864" i="2"/>
  <c r="AU865" i="2"/>
  <c r="AU866" i="2"/>
  <c r="AU867" i="2"/>
  <c r="AU868" i="2"/>
  <c r="AU869" i="2"/>
  <c r="AU870" i="2"/>
  <c r="AU871" i="2"/>
  <c r="AU872" i="2"/>
  <c r="AU873" i="2"/>
  <c r="AU874" i="2"/>
  <c r="AU875" i="2"/>
  <c r="AU876" i="2"/>
  <c r="AU877" i="2"/>
  <c r="AU878" i="2"/>
  <c r="AU879" i="2"/>
  <c r="AU880" i="2"/>
  <c r="AU881" i="2"/>
  <c r="AU882" i="2"/>
  <c r="AU883" i="2"/>
  <c r="AU884" i="2"/>
  <c r="AU885" i="2"/>
  <c r="AU886" i="2"/>
  <c r="AU887" i="2"/>
  <c r="AU888" i="2"/>
  <c r="AU889" i="2"/>
  <c r="AU890" i="2"/>
  <c r="AU891" i="2"/>
  <c r="AU892" i="2"/>
  <c r="AU893" i="2"/>
  <c r="AU894" i="2"/>
  <c r="AU895" i="2"/>
  <c r="AU896" i="2"/>
  <c r="AU897" i="2"/>
  <c r="AU898" i="2"/>
  <c r="AU899" i="2"/>
  <c r="AU900" i="2"/>
  <c r="AU901" i="2"/>
  <c r="AU902" i="2"/>
  <c r="AU903" i="2"/>
  <c r="AU904" i="2"/>
  <c r="AU905" i="2"/>
  <c r="AU906" i="2"/>
  <c r="AU907" i="2"/>
  <c r="AU908" i="2"/>
  <c r="AU909" i="2"/>
  <c r="AU910" i="2"/>
  <c r="AU911" i="2"/>
  <c r="AU912" i="2"/>
  <c r="AU913" i="2"/>
  <c r="AU914" i="2"/>
  <c r="AU915" i="2"/>
  <c r="AU916" i="2"/>
  <c r="AU917" i="2"/>
  <c r="AU918" i="2"/>
  <c r="AU919" i="2"/>
  <c r="AU920" i="2"/>
  <c r="AU921" i="2"/>
  <c r="AU922" i="2"/>
  <c r="AU923" i="2"/>
  <c r="AU924" i="2"/>
  <c r="AU925" i="2"/>
  <c r="AU926" i="2"/>
  <c r="AU927" i="2"/>
  <c r="AU928" i="2"/>
  <c r="AU929" i="2"/>
  <c r="AU930" i="2"/>
  <c r="AU931" i="2"/>
  <c r="AU932" i="2"/>
  <c r="AU933" i="2"/>
  <c r="AU934" i="2"/>
  <c r="AU935" i="2"/>
  <c r="AU936" i="2"/>
  <c r="AU937" i="2"/>
  <c r="AU938" i="2"/>
  <c r="AU939" i="2"/>
  <c r="AU941" i="2"/>
  <c r="AU942" i="2"/>
  <c r="AU943" i="2"/>
  <c r="AU944" i="2"/>
  <c r="AU945" i="2"/>
  <c r="AU946" i="2"/>
  <c r="AU947" i="2"/>
  <c r="AU948" i="2"/>
  <c r="AU949" i="2"/>
  <c r="AU950" i="2"/>
  <c r="AU951" i="2"/>
  <c r="AU952" i="2"/>
  <c r="AU953" i="2"/>
  <c r="AU954" i="2"/>
  <c r="AU955" i="2"/>
  <c r="AU956" i="2"/>
  <c r="AU957" i="2"/>
  <c r="AU958" i="2"/>
  <c r="AU959" i="2"/>
  <c r="AU960" i="2"/>
  <c r="AU961" i="2"/>
  <c r="AU962" i="2"/>
  <c r="AU963" i="2"/>
  <c r="AU964" i="2"/>
  <c r="AU965" i="2"/>
  <c r="AU966" i="2"/>
  <c r="AU967" i="2"/>
  <c r="AU968" i="2"/>
  <c r="AU969" i="2"/>
  <c r="AU970" i="2"/>
  <c r="AU971" i="2"/>
  <c r="AU972" i="2"/>
  <c r="AU973" i="2"/>
  <c r="AU974" i="2"/>
  <c r="AU975" i="2"/>
  <c r="AU976" i="2"/>
  <c r="AU977" i="2"/>
  <c r="AU978" i="2"/>
  <c r="AU979" i="2"/>
  <c r="AU980" i="2"/>
  <c r="AU981" i="2"/>
  <c r="AU982" i="2"/>
  <c r="AU983" i="2"/>
  <c r="AU984" i="2"/>
  <c r="AU985" i="2"/>
  <c r="AU986" i="2"/>
  <c r="AU987" i="2"/>
  <c r="AU988" i="2"/>
  <c r="AU989" i="2"/>
  <c r="AU990" i="2"/>
  <c r="AU991" i="2"/>
  <c r="AU992" i="2"/>
  <c r="AU993" i="2"/>
  <c r="AU994" i="2"/>
  <c r="AU995" i="2"/>
  <c r="AU996" i="2"/>
  <c r="AU997" i="2"/>
  <c r="AU998" i="2"/>
  <c r="AU999" i="2"/>
  <c r="AU1000" i="2"/>
  <c r="AU1001" i="2"/>
  <c r="AU1002" i="2"/>
  <c r="AU1003" i="2"/>
  <c r="AU1004" i="2"/>
  <c r="AU1005" i="2"/>
  <c r="AU1006" i="2"/>
  <c r="AU1007" i="2"/>
  <c r="AU1008" i="2"/>
  <c r="AU1009" i="2"/>
  <c r="AU1010" i="2"/>
  <c r="AU1011" i="2"/>
  <c r="AU1012" i="2"/>
  <c r="AU1013" i="2"/>
  <c r="AU1014" i="2"/>
  <c r="AU1015" i="2"/>
  <c r="AU1016" i="2"/>
  <c r="AU1017" i="2"/>
  <c r="AU1018" i="2"/>
  <c r="AU1019" i="2"/>
  <c r="AU1020" i="2"/>
  <c r="AU1021" i="2"/>
  <c r="AU1022" i="2"/>
  <c r="AU1023" i="2"/>
  <c r="AU1024" i="2"/>
  <c r="AU1025" i="2"/>
  <c r="AU1026" i="2"/>
  <c r="AU1027" i="2"/>
  <c r="AU1028" i="2"/>
  <c r="AU1029" i="2"/>
  <c r="AU1030" i="2"/>
  <c r="AU1031" i="2"/>
  <c r="AU1032" i="2"/>
  <c r="AU1033" i="2"/>
  <c r="AU1034" i="2"/>
  <c r="AU1035" i="2"/>
  <c r="AU1037" i="2"/>
  <c r="AU1038" i="2"/>
  <c r="AU1039" i="2"/>
  <c r="AU1040" i="2"/>
  <c r="AU1041" i="2"/>
  <c r="AU1042" i="2"/>
  <c r="AU1043" i="2"/>
  <c r="AU1044" i="2"/>
  <c r="AU1045" i="2"/>
  <c r="AU1046" i="2"/>
  <c r="AU1047" i="2"/>
  <c r="AU1048" i="2"/>
  <c r="AU1049" i="2"/>
  <c r="AU1050" i="2"/>
  <c r="AU1051" i="2"/>
  <c r="AU1052" i="2"/>
  <c r="AU1053" i="2"/>
  <c r="AU1054" i="2"/>
  <c r="AU1055" i="2"/>
  <c r="AU1056" i="2"/>
  <c r="AU1057" i="2"/>
  <c r="AU1058" i="2"/>
  <c r="AU1059" i="2"/>
  <c r="AU1060" i="2"/>
  <c r="AU1061" i="2"/>
  <c r="AU1062" i="2"/>
  <c r="AU1063" i="2"/>
  <c r="AU1064" i="2"/>
  <c r="AU1065" i="2"/>
  <c r="AU1066" i="2"/>
  <c r="AU1067" i="2"/>
  <c r="AU1068" i="2"/>
  <c r="AU1069" i="2"/>
  <c r="AU1070" i="2"/>
  <c r="AU1071" i="2"/>
  <c r="AU1072" i="2"/>
  <c r="AU1073" i="2"/>
  <c r="AU1074" i="2"/>
  <c r="AU1075" i="2"/>
  <c r="AU1076" i="2"/>
  <c r="AU1077" i="2"/>
  <c r="AU1078" i="2"/>
  <c r="AU1079" i="2"/>
  <c r="AU1080" i="2"/>
  <c r="AU1081" i="2"/>
  <c r="AU1082" i="2"/>
  <c r="AU1083" i="2"/>
  <c r="AU1084" i="2"/>
  <c r="AU1085" i="2"/>
  <c r="AU1086" i="2"/>
  <c r="AU1087" i="2"/>
  <c r="AU1088" i="2"/>
  <c r="AU1089" i="2"/>
  <c r="AU1090" i="2"/>
  <c r="AU1091" i="2"/>
  <c r="AU1092" i="2"/>
  <c r="AU1093" i="2"/>
  <c r="AU1094" i="2"/>
  <c r="AU1095" i="2"/>
  <c r="AU1096" i="2"/>
  <c r="AU1097" i="2"/>
  <c r="AU1098" i="2"/>
  <c r="AU1099" i="2"/>
  <c r="AU1100" i="2"/>
  <c r="AU1101" i="2"/>
  <c r="AU1102" i="2"/>
  <c r="AU1103" i="2"/>
  <c r="AU1104" i="2"/>
  <c r="AU1105" i="2"/>
  <c r="AU1106" i="2"/>
  <c r="AU1107" i="2"/>
  <c r="AU1108" i="2"/>
  <c r="AU1109" i="2"/>
  <c r="AU1110" i="2"/>
  <c r="AU1111" i="2"/>
  <c r="AU1112" i="2"/>
  <c r="AU1113" i="2"/>
  <c r="AU1114" i="2"/>
  <c r="AU1115" i="2"/>
  <c r="AU1116" i="2"/>
  <c r="AU1117" i="2"/>
  <c r="AU1118" i="2"/>
  <c r="AU1119" i="2"/>
  <c r="AU1120" i="2"/>
  <c r="AU1121" i="2"/>
  <c r="AU1122" i="2"/>
  <c r="AU1123" i="2"/>
  <c r="AU1124" i="2"/>
  <c r="AU1125" i="2"/>
  <c r="AU1126" i="2"/>
  <c r="AU1127" i="2"/>
  <c r="AU1128" i="2"/>
  <c r="AU1129" i="2"/>
  <c r="AU1130" i="2"/>
  <c r="AU1131" i="2"/>
  <c r="AU1132" i="2"/>
  <c r="AU1133" i="2"/>
  <c r="AU1134" i="2"/>
  <c r="AU1135" i="2"/>
  <c r="AU1136" i="2"/>
  <c r="AU1137" i="2"/>
  <c r="AU1138" i="2"/>
  <c r="AU1139" i="2"/>
  <c r="AU1140" i="2"/>
  <c r="AU1141" i="2"/>
  <c r="AU1142" i="2"/>
  <c r="AU1143" i="2"/>
  <c r="AU1144" i="2"/>
  <c r="AU1145" i="2"/>
  <c r="AU1146" i="2"/>
  <c r="AU1147" i="2"/>
  <c r="AU1148" i="2"/>
  <c r="AU1149" i="2"/>
  <c r="AU1150" i="2"/>
  <c r="AU1151" i="2"/>
  <c r="AU1152" i="2"/>
  <c r="AU1153" i="2"/>
  <c r="F8" i="21" l="1"/>
  <c r="F9" i="21"/>
  <c r="E7" i="21"/>
  <c r="G6" i="21"/>
  <c r="D8" i="21"/>
  <c r="D10" i="21"/>
  <c r="E6" i="21"/>
  <c r="F10" i="21"/>
  <c r="I8" i="21"/>
  <c r="I9" i="21"/>
  <c r="G7" i="21"/>
  <c r="D9" i="21"/>
  <c r="BH602" i="2" l="1"/>
  <c r="BD602" i="2"/>
  <c r="AQ602" i="2"/>
  <c r="AR602" i="2"/>
  <c r="AS602" i="2"/>
  <c r="AT602" i="2"/>
  <c r="AX602" i="2"/>
  <c r="AY602" i="2"/>
  <c r="AZ602" i="2" s="1"/>
  <c r="BF602" i="2"/>
  <c r="AQ604" i="2"/>
  <c r="AR604" i="2"/>
  <c r="AS604" i="2"/>
  <c r="AT604" i="2"/>
  <c r="AX604" i="2"/>
  <c r="AY604" i="2"/>
  <c r="AZ604" i="2" s="1"/>
  <c r="BD604" i="2"/>
  <c r="BF604" i="2"/>
  <c r="BH604" i="2"/>
  <c r="BA602" i="2" l="1"/>
  <c r="BE602" i="2"/>
  <c r="BA604" i="2"/>
  <c r="BE604" i="2"/>
  <c r="BD603" i="2"/>
  <c r="AQ599" i="2"/>
  <c r="AR599" i="2"/>
  <c r="AS599" i="2"/>
  <c r="AT599" i="2"/>
  <c r="AX599" i="2"/>
  <c r="AY599" i="2"/>
  <c r="AZ599" i="2" s="1"/>
  <c r="BD599" i="2"/>
  <c r="BF599" i="2"/>
  <c r="BH599" i="2"/>
  <c r="AQ603" i="2"/>
  <c r="AR603" i="2"/>
  <c r="AS603" i="2"/>
  <c r="AT603" i="2"/>
  <c r="AX603" i="2"/>
  <c r="AY603" i="2"/>
  <c r="AZ603" i="2" s="1"/>
  <c r="BF603" i="2"/>
  <c r="BH603" i="2"/>
  <c r="BA603" i="2" l="1"/>
  <c r="BE599" i="2"/>
  <c r="BA599" i="2"/>
  <c r="BB497" i="2" s="1"/>
  <c r="BE603" i="2"/>
  <c r="AQ638" i="2"/>
  <c r="AR638" i="2"/>
  <c r="AS638" i="2"/>
  <c r="AT638" i="2"/>
  <c r="AX638" i="2"/>
  <c r="AY638" i="2"/>
  <c r="AZ638" i="2" s="1"/>
  <c r="BD638" i="2"/>
  <c r="BF638" i="2"/>
  <c r="BH638" i="2"/>
  <c r="BB599" i="2" l="1"/>
  <c r="BB591" i="2"/>
  <c r="BA638" i="2"/>
  <c r="BE638" i="2"/>
  <c r="C9" i="23"/>
  <c r="D9" i="23"/>
  <c r="E9" i="23"/>
  <c r="F9" i="23"/>
  <c r="H9" i="23"/>
  <c r="R9" i="23" s="1"/>
  <c r="O9" i="23"/>
  <c r="P9" i="23"/>
  <c r="C8" i="23"/>
  <c r="D8" i="23"/>
  <c r="E8" i="23"/>
  <c r="F8" i="23"/>
  <c r="H8" i="23"/>
  <c r="R8" i="23" s="1"/>
  <c r="O8" i="23"/>
  <c r="P8" i="23"/>
  <c r="C7" i="23"/>
  <c r="D7" i="23"/>
  <c r="E7" i="23"/>
  <c r="F7" i="23"/>
  <c r="H7" i="23"/>
  <c r="R7" i="23" s="1"/>
  <c r="O7" i="23"/>
  <c r="P7" i="23"/>
  <c r="C6" i="23"/>
  <c r="D6" i="23"/>
  <c r="E6" i="23"/>
  <c r="F6" i="23"/>
  <c r="H6" i="23"/>
  <c r="R6" i="23" s="1"/>
  <c r="O6" i="23"/>
  <c r="P6" i="23"/>
  <c r="O5" i="23"/>
  <c r="P5" i="23"/>
  <c r="H5" i="23"/>
  <c r="R5" i="23" s="1"/>
  <c r="F5" i="23"/>
  <c r="E5" i="23"/>
  <c r="D5" i="23"/>
  <c r="C5" i="23"/>
  <c r="AQ601" i="2" l="1"/>
  <c r="AR601" i="2"/>
  <c r="AS601" i="2"/>
  <c r="AT601" i="2"/>
  <c r="AX601" i="2"/>
  <c r="AY601" i="2"/>
  <c r="AZ601" i="2" s="1"/>
  <c r="BD601" i="2"/>
  <c r="BF601" i="2"/>
  <c r="K113" i="18" s="1"/>
  <c r="BH601" i="2"/>
  <c r="BE601" i="2" l="1"/>
  <c r="BA601" i="2"/>
  <c r="BB601" i="2" s="1"/>
  <c r="AQ609" i="2"/>
  <c r="AR609" i="2"/>
  <c r="AS609" i="2"/>
  <c r="AT609" i="2"/>
  <c r="AX609" i="2"/>
  <c r="AY609" i="2"/>
  <c r="AZ609" i="2" s="1"/>
  <c r="BD609" i="2"/>
  <c r="BF609" i="2"/>
  <c r="BH609" i="2"/>
  <c r="BA609" i="2" l="1"/>
  <c r="BE609" i="2"/>
  <c r="J19" i="19"/>
  <c r="I19" i="19" s="1"/>
  <c r="AQ834" i="2"/>
  <c r="AR834" i="2"/>
  <c r="AS834" i="2"/>
  <c r="AT834" i="2"/>
  <c r="AX834" i="2"/>
  <c r="AY834" i="2"/>
  <c r="AZ834" i="2" s="1"/>
  <c r="BD834" i="2"/>
  <c r="BF834" i="2"/>
  <c r="BH834" i="2"/>
  <c r="BA834" i="2" l="1"/>
  <c r="BE834" i="2"/>
  <c r="BD721" i="2"/>
  <c r="AQ721" i="2"/>
  <c r="AR721" i="2"/>
  <c r="AS721" i="2"/>
  <c r="AT721" i="2"/>
  <c r="AX721" i="2"/>
  <c r="AY721" i="2"/>
  <c r="AZ721" i="2" s="1"/>
  <c r="BF721" i="2"/>
  <c r="BH721" i="2"/>
  <c r="AQ866" i="2"/>
  <c r="AR866" i="2"/>
  <c r="AS866" i="2"/>
  <c r="AT866" i="2"/>
  <c r="AX866" i="2"/>
  <c r="AY866" i="2"/>
  <c r="AZ866" i="2" s="1"/>
  <c r="BD866" i="2"/>
  <c r="BF866" i="2"/>
  <c r="BH866" i="2"/>
  <c r="BD607" i="2"/>
  <c r="BH606" i="2"/>
  <c r="BD606" i="2"/>
  <c r="AQ708" i="2"/>
  <c r="AR708" i="2"/>
  <c r="AS708" i="2"/>
  <c r="AT708" i="2"/>
  <c r="AX708" i="2"/>
  <c r="AY708" i="2"/>
  <c r="AZ708" i="2" s="1"/>
  <c r="BD708" i="2"/>
  <c r="BF708" i="2"/>
  <c r="BH708" i="2"/>
  <c r="AQ824" i="2"/>
  <c r="AR824" i="2"/>
  <c r="AS824" i="2"/>
  <c r="AT824" i="2"/>
  <c r="AX824" i="2"/>
  <c r="AY824" i="2"/>
  <c r="AZ824" i="2" s="1"/>
  <c r="BD824" i="2"/>
  <c r="BF824" i="2"/>
  <c r="BH824" i="2"/>
  <c r="AQ833" i="2"/>
  <c r="AR833" i="2"/>
  <c r="AS833" i="2"/>
  <c r="AT833" i="2"/>
  <c r="AX833" i="2"/>
  <c r="AY833" i="2"/>
  <c r="AZ833" i="2" s="1"/>
  <c r="BD833" i="2"/>
  <c r="BF833" i="2"/>
  <c r="BH833" i="2"/>
  <c r="AQ606" i="2"/>
  <c r="AR606" i="2"/>
  <c r="AS606" i="2"/>
  <c r="AT606" i="2"/>
  <c r="AX606" i="2"/>
  <c r="AY606" i="2"/>
  <c r="AZ606" i="2" s="1"/>
  <c r="BF606" i="2"/>
  <c r="AQ607" i="2"/>
  <c r="AR607" i="2"/>
  <c r="AS607" i="2"/>
  <c r="AT607" i="2"/>
  <c r="AX607" i="2"/>
  <c r="AY607" i="2"/>
  <c r="AZ607" i="2" s="1"/>
  <c r="BF607" i="2"/>
  <c r="BH607" i="2"/>
  <c r="BA866" i="2" l="1"/>
  <c r="BA721" i="2"/>
  <c r="BE721" i="2"/>
  <c r="BE866" i="2"/>
  <c r="BA824" i="2"/>
  <c r="BA708" i="2"/>
  <c r="BE708" i="2"/>
  <c r="BE824" i="2"/>
  <c r="BA833" i="2"/>
  <c r="BA606" i="2"/>
  <c r="BE833" i="2"/>
  <c r="BE606" i="2"/>
  <c r="BE607" i="2"/>
  <c r="BA607" i="2"/>
  <c r="O12" i="15" l="1"/>
  <c r="O11" i="15"/>
  <c r="O10" i="15"/>
  <c r="O9" i="15"/>
  <c r="J11" i="15"/>
  <c r="J10" i="15"/>
  <c r="J9" i="15"/>
  <c r="G9" i="15"/>
  <c r="D12" i="15"/>
  <c r="D11" i="15"/>
  <c r="D10" i="15"/>
  <c r="D9" i="15"/>
  <c r="D7" i="15"/>
  <c r="AQ605" i="2" l="1"/>
  <c r="AR605" i="2"/>
  <c r="AS605" i="2"/>
  <c r="AT605" i="2"/>
  <c r="AX605" i="2"/>
  <c r="AY605" i="2"/>
  <c r="AZ605" i="2" s="1"/>
  <c r="BD605" i="2"/>
  <c r="BF605" i="2"/>
  <c r="BH605" i="2"/>
  <c r="BE605" i="2" l="1"/>
  <c r="BA605" i="2"/>
  <c r="BB496" i="2" s="1"/>
  <c r="B39" i="22"/>
  <c r="K39" i="22" s="1"/>
  <c r="B38" i="22"/>
  <c r="K38" i="22" s="1"/>
  <c r="B37" i="22"/>
  <c r="K37" i="22" s="1"/>
  <c r="B36" i="22"/>
  <c r="K36" i="22" s="1"/>
  <c r="B35" i="22"/>
  <c r="K35" i="22" s="1"/>
  <c r="B34" i="22"/>
  <c r="K34" i="22" s="1"/>
  <c r="B33" i="22"/>
  <c r="K33" i="22" s="1"/>
  <c r="B32" i="22"/>
  <c r="K32" i="22" s="1"/>
  <c r="B31" i="22"/>
  <c r="K31" i="22" s="1"/>
  <c r="B30" i="22"/>
  <c r="K30" i="22" s="1"/>
  <c r="B29" i="22"/>
  <c r="K29" i="22" s="1"/>
  <c r="B28" i="22"/>
  <c r="K28" i="22" s="1"/>
  <c r="B27" i="22"/>
  <c r="K27" i="22" s="1"/>
  <c r="B26" i="22"/>
  <c r="K26" i="22" s="1"/>
  <c r="B25" i="22"/>
  <c r="K25" i="22" s="1"/>
  <c r="B24" i="22"/>
  <c r="K24" i="22" s="1"/>
  <c r="B23" i="22"/>
  <c r="K23" i="22" s="1"/>
  <c r="BB605" i="2" l="1"/>
  <c r="BB590" i="2"/>
  <c r="AQ610" i="2"/>
  <c r="AR610" i="2"/>
  <c r="AS610" i="2"/>
  <c r="AT610" i="2"/>
  <c r="AX610" i="2"/>
  <c r="AY610" i="2"/>
  <c r="AZ610" i="2" s="1"/>
  <c r="BD610" i="2"/>
  <c r="BF610" i="2"/>
  <c r="BH610" i="2"/>
  <c r="BE610" i="2" l="1"/>
  <c r="BA610" i="2"/>
  <c r="AQ613" i="2"/>
  <c r="AR613" i="2"/>
  <c r="AS613" i="2"/>
  <c r="AT613" i="2"/>
  <c r="AX613" i="2"/>
  <c r="AY613" i="2"/>
  <c r="AZ613" i="2" s="1"/>
  <c r="BD613" i="2"/>
  <c r="BF613" i="2"/>
  <c r="BH613" i="2"/>
  <c r="BE613" i="2" l="1"/>
  <c r="BA613" i="2"/>
  <c r="BD843" i="2" l="1"/>
  <c r="AQ843" i="2"/>
  <c r="AR843" i="2"/>
  <c r="AS843" i="2"/>
  <c r="AT843" i="2"/>
  <c r="AX843" i="2"/>
  <c r="AY843" i="2"/>
  <c r="AZ843" i="2" s="1"/>
  <c r="BF843" i="2"/>
  <c r="BH843" i="2"/>
  <c r="AQ907" i="2"/>
  <c r="AR907" i="2"/>
  <c r="AS907" i="2"/>
  <c r="AT907" i="2"/>
  <c r="AX907" i="2"/>
  <c r="AY907" i="2"/>
  <c r="AZ907" i="2" s="1"/>
  <c r="BD907" i="2"/>
  <c r="BF907" i="2"/>
  <c r="BH907" i="2"/>
  <c r="AQ949" i="2"/>
  <c r="AR949" i="2"/>
  <c r="AS949" i="2"/>
  <c r="AT949" i="2"/>
  <c r="AX949" i="2"/>
  <c r="AY949" i="2"/>
  <c r="AZ949" i="2" s="1"/>
  <c r="BD949" i="2"/>
  <c r="BF949" i="2"/>
  <c r="BH949" i="2"/>
  <c r="BD953" i="2"/>
  <c r="AQ950" i="2"/>
  <c r="AR950" i="2"/>
  <c r="AS950" i="2"/>
  <c r="AT950" i="2"/>
  <c r="AX950" i="2"/>
  <c r="AY950" i="2"/>
  <c r="AZ950" i="2" s="1"/>
  <c r="BD950" i="2"/>
  <c r="BF950" i="2"/>
  <c r="BH950" i="2"/>
  <c r="AQ951" i="2"/>
  <c r="AR951" i="2"/>
  <c r="AS951" i="2"/>
  <c r="AT951" i="2"/>
  <c r="AX951" i="2"/>
  <c r="AY951" i="2"/>
  <c r="AZ951" i="2" s="1"/>
  <c r="BD951" i="2"/>
  <c r="BF951" i="2"/>
  <c r="BH951" i="2"/>
  <c r="AQ908" i="2"/>
  <c r="AR908" i="2"/>
  <c r="AS908" i="2"/>
  <c r="AT908" i="2"/>
  <c r="AX908" i="2"/>
  <c r="AY908" i="2"/>
  <c r="AZ908" i="2" s="1"/>
  <c r="BD908" i="2"/>
  <c r="BF908" i="2"/>
  <c r="BH908" i="2"/>
  <c r="AQ719" i="2"/>
  <c r="AR719" i="2"/>
  <c r="AS719" i="2"/>
  <c r="AT719" i="2"/>
  <c r="AX719" i="2"/>
  <c r="AY719" i="2"/>
  <c r="AZ719" i="2" s="1"/>
  <c r="BD719" i="2"/>
  <c r="BF719" i="2"/>
  <c r="BH719" i="2"/>
  <c r="AQ844" i="2"/>
  <c r="AR844" i="2"/>
  <c r="AS844" i="2"/>
  <c r="AT844" i="2"/>
  <c r="AY844" i="2"/>
  <c r="AZ844" i="2" s="1"/>
  <c r="BD844" i="2"/>
  <c r="BF844" i="2"/>
  <c r="K128" i="18" s="1"/>
  <c r="BH844" i="2"/>
  <c r="AQ909" i="2"/>
  <c r="AR909" i="2"/>
  <c r="AS909" i="2"/>
  <c r="AT909" i="2"/>
  <c r="AX909" i="2"/>
  <c r="AY909" i="2"/>
  <c r="AZ909" i="2" s="1"/>
  <c r="BD909" i="2"/>
  <c r="BF909" i="2"/>
  <c r="BH909" i="2"/>
  <c r="AQ952" i="2"/>
  <c r="AR952" i="2"/>
  <c r="AS952" i="2"/>
  <c r="AT952" i="2"/>
  <c r="AX952" i="2"/>
  <c r="AY952" i="2"/>
  <c r="AZ952" i="2" s="1"/>
  <c r="BD952" i="2"/>
  <c r="BF952" i="2"/>
  <c r="BH952" i="2"/>
  <c r="AQ704" i="2"/>
  <c r="AR704" i="2"/>
  <c r="AS704" i="2"/>
  <c r="AT704" i="2"/>
  <c r="AY704" i="2"/>
  <c r="AZ704" i="2" s="1"/>
  <c r="BD704" i="2"/>
  <c r="BF704" i="2"/>
  <c r="K117" i="18" s="1"/>
  <c r="BH704" i="2"/>
  <c r="AQ953" i="2"/>
  <c r="AR953" i="2"/>
  <c r="AS953" i="2"/>
  <c r="AT953" i="2"/>
  <c r="AX953" i="2"/>
  <c r="AY953" i="2"/>
  <c r="AZ953" i="2" s="1"/>
  <c r="BF953" i="2"/>
  <c r="BH953" i="2"/>
  <c r="J8" i="23" l="1"/>
  <c r="AX704" i="2"/>
  <c r="BA704" i="2" s="1"/>
  <c r="K8" i="23"/>
  <c r="AX844" i="2"/>
  <c r="BA844" i="2" s="1"/>
  <c r="BE843" i="2"/>
  <c r="BA843" i="2"/>
  <c r="BE907" i="2"/>
  <c r="BA907" i="2"/>
  <c r="BE949" i="2"/>
  <c r="BA949" i="2"/>
  <c r="BE950" i="2"/>
  <c r="BA950" i="2"/>
  <c r="BE951" i="2"/>
  <c r="BA951" i="2"/>
  <c r="BE908" i="2"/>
  <c r="BA908" i="2"/>
  <c r="BE719" i="2"/>
  <c r="BA719" i="2"/>
  <c r="BE844" i="2"/>
  <c r="BA952" i="2"/>
  <c r="BE909" i="2"/>
  <c r="BA909" i="2"/>
  <c r="BE952" i="2"/>
  <c r="BE704" i="2"/>
  <c r="BE953" i="2"/>
  <c r="BA953" i="2"/>
  <c r="AQ612" i="2"/>
  <c r="AR612" i="2"/>
  <c r="AS612" i="2"/>
  <c r="AT612" i="2"/>
  <c r="AX612" i="2"/>
  <c r="AY612" i="2"/>
  <c r="AZ612" i="2" s="1"/>
  <c r="BD612" i="2"/>
  <c r="BF612" i="2"/>
  <c r="BH612" i="2"/>
  <c r="AQ677" i="2"/>
  <c r="BA612" i="2" l="1"/>
  <c r="BE612" i="2"/>
  <c r="BH616" i="2"/>
  <c r="BH615" i="2"/>
  <c r="BE616" i="2"/>
  <c r="BE615" i="2"/>
  <c r="AQ615" i="2"/>
  <c r="AR615" i="2"/>
  <c r="AS615" i="2"/>
  <c r="AT615" i="2"/>
  <c r="AY615" i="2"/>
  <c r="AZ615" i="2" s="1"/>
  <c r="BF615" i="2"/>
  <c r="AQ616" i="2"/>
  <c r="AR616" i="2"/>
  <c r="AS616" i="2"/>
  <c r="AT616" i="2"/>
  <c r="AY616" i="2"/>
  <c r="AZ616" i="2" s="1"/>
  <c r="BF616" i="2"/>
  <c r="J7" i="23" l="1"/>
  <c r="AX616" i="2"/>
  <c r="BA616" i="2" s="1"/>
  <c r="K7" i="23"/>
  <c r="AX615" i="2"/>
  <c r="BA615" i="2" s="1"/>
  <c r="BB163" i="2" s="1"/>
  <c r="BD615" i="2"/>
  <c r="BD616" i="2"/>
  <c r="BB951" i="2" l="1"/>
  <c r="BB224" i="2"/>
  <c r="BB908" i="2"/>
  <c r="BB615" i="2"/>
  <c r="BB719" i="2"/>
  <c r="AQ614" i="2"/>
  <c r="AR614" i="2"/>
  <c r="AS614" i="2"/>
  <c r="AT614" i="2"/>
  <c r="AY614" i="2"/>
  <c r="AZ614" i="2" s="1"/>
  <c r="BD614" i="2"/>
  <c r="BE614" i="2"/>
  <c r="BF614" i="2"/>
  <c r="BH614" i="2"/>
  <c r="I7" i="23" l="1"/>
  <c r="M7" i="23" s="1"/>
  <c r="N7" i="23" s="1"/>
  <c r="AX614" i="2"/>
  <c r="BA614" i="2" s="1"/>
  <c r="S7" i="23" l="1"/>
  <c r="C18" i="15"/>
  <c r="BH620" i="2" l="1"/>
  <c r="BH622" i="2"/>
  <c r="BH625" i="2"/>
  <c r="BH626" i="2"/>
  <c r="BD622" i="2"/>
  <c r="BD625" i="2"/>
  <c r="BD626" i="2"/>
  <c r="BD618" i="2"/>
  <c r="BH619" i="2"/>
  <c r="BH618" i="2"/>
  <c r="AQ617" i="2"/>
  <c r="AR617" i="2"/>
  <c r="AS617" i="2"/>
  <c r="AT617" i="2"/>
  <c r="AX617" i="2"/>
  <c r="AY617" i="2"/>
  <c r="AZ617" i="2" s="1"/>
  <c r="BD617" i="2"/>
  <c r="BF617" i="2"/>
  <c r="BH617" i="2"/>
  <c r="AQ618" i="2"/>
  <c r="AR618" i="2"/>
  <c r="AS618" i="2"/>
  <c r="AT618" i="2"/>
  <c r="AX618" i="2"/>
  <c r="AY618" i="2"/>
  <c r="AZ618" i="2" s="1"/>
  <c r="BF618" i="2"/>
  <c r="AQ619" i="2"/>
  <c r="AR619" i="2"/>
  <c r="AS619" i="2"/>
  <c r="AT619" i="2"/>
  <c r="AX619" i="2"/>
  <c r="AY619" i="2"/>
  <c r="AZ619" i="2" s="1"/>
  <c r="BD619" i="2"/>
  <c r="BF619" i="2"/>
  <c r="AQ621" i="2"/>
  <c r="AR621" i="2"/>
  <c r="AS621" i="2"/>
  <c r="AT621" i="2"/>
  <c r="AX621" i="2"/>
  <c r="AY621" i="2"/>
  <c r="AZ621" i="2" s="1"/>
  <c r="BD621" i="2"/>
  <c r="BF621" i="2"/>
  <c r="BH621" i="2"/>
  <c r="AQ620" i="2"/>
  <c r="AR620" i="2"/>
  <c r="AS620" i="2"/>
  <c r="AT620" i="2"/>
  <c r="AX620" i="2"/>
  <c r="AY620" i="2"/>
  <c r="AZ620" i="2" s="1"/>
  <c r="BD620" i="2"/>
  <c r="BF620" i="2"/>
  <c r="AQ622" i="2"/>
  <c r="AR622" i="2"/>
  <c r="AS622" i="2"/>
  <c r="AT622" i="2"/>
  <c r="AX622" i="2"/>
  <c r="AY622" i="2"/>
  <c r="AZ622" i="2" s="1"/>
  <c r="BF622" i="2"/>
  <c r="AQ623" i="2"/>
  <c r="AR623" i="2"/>
  <c r="AS623" i="2"/>
  <c r="AT623" i="2"/>
  <c r="AX623" i="2"/>
  <c r="AY623" i="2"/>
  <c r="AZ623" i="2" s="1"/>
  <c r="BD623" i="2"/>
  <c r="BF623" i="2"/>
  <c r="BH623" i="2"/>
  <c r="AQ624" i="2"/>
  <c r="AR624" i="2"/>
  <c r="AS624" i="2"/>
  <c r="AT624" i="2"/>
  <c r="AX624" i="2"/>
  <c r="AY624" i="2"/>
  <c r="AZ624" i="2" s="1"/>
  <c r="BE624" i="2"/>
  <c r="BD624" i="2"/>
  <c r="BF624" i="2"/>
  <c r="BH624" i="2"/>
  <c r="AQ625" i="2"/>
  <c r="AR625" i="2"/>
  <c r="AS625" i="2"/>
  <c r="AT625" i="2"/>
  <c r="AX625" i="2"/>
  <c r="AY625" i="2"/>
  <c r="AZ625" i="2" s="1"/>
  <c r="BF625" i="2"/>
  <c r="AQ626" i="2"/>
  <c r="AR626" i="2"/>
  <c r="AS626" i="2"/>
  <c r="AT626" i="2"/>
  <c r="AX626" i="2"/>
  <c r="AY626" i="2"/>
  <c r="AZ626" i="2" s="1"/>
  <c r="BF626" i="2"/>
  <c r="AQ627" i="2"/>
  <c r="AR627" i="2"/>
  <c r="AS627" i="2"/>
  <c r="AT627" i="2"/>
  <c r="AX627" i="2"/>
  <c r="AY627" i="2"/>
  <c r="AZ627" i="2" s="1"/>
  <c r="BE627" i="2"/>
  <c r="BF627" i="2"/>
  <c r="BH627" i="2"/>
  <c r="BE626" i="2" l="1"/>
  <c r="BD627" i="2"/>
  <c r="BE617" i="2"/>
  <c r="BA617" i="2"/>
  <c r="BE618" i="2"/>
  <c r="BA618" i="2"/>
  <c r="BE619" i="2"/>
  <c r="BA619" i="2"/>
  <c r="BE621" i="2"/>
  <c r="BA621" i="2"/>
  <c r="BE620" i="2"/>
  <c r="BA620" i="2"/>
  <c r="BE622" i="2"/>
  <c r="BA622" i="2"/>
  <c r="BE623" i="2"/>
  <c r="BA623" i="2"/>
  <c r="BA624" i="2"/>
  <c r="BE625" i="2"/>
  <c r="BA625" i="2"/>
  <c r="BA626" i="2"/>
  <c r="BA627" i="2"/>
  <c r="AQ628" i="2"/>
  <c r="AR628" i="2"/>
  <c r="AS628" i="2"/>
  <c r="AT628" i="2"/>
  <c r="AY628" i="2"/>
  <c r="AZ628" i="2" s="1"/>
  <c r="BD628" i="2"/>
  <c r="BF628" i="2"/>
  <c r="K115" i="18" s="1"/>
  <c r="BH628" i="2"/>
  <c r="AQ629" i="2"/>
  <c r="AR629" i="2"/>
  <c r="AS629" i="2"/>
  <c r="AT629" i="2"/>
  <c r="AX629" i="2"/>
  <c r="AY629" i="2"/>
  <c r="AZ629" i="2" s="1"/>
  <c r="BD629" i="2"/>
  <c r="BF629" i="2"/>
  <c r="BH629" i="2"/>
  <c r="AX628" i="2" l="1"/>
  <c r="BA628" i="2" s="1"/>
  <c r="BB628" i="2" s="1"/>
  <c r="BE629" i="2"/>
  <c r="BE628" i="2"/>
  <c r="BA629" i="2"/>
  <c r="BD648" i="2" l="1"/>
  <c r="BD660" i="2"/>
  <c r="BH645" i="2"/>
  <c r="BH646" i="2"/>
  <c r="BH647" i="2"/>
  <c r="BH649" i="2"/>
  <c r="BH652" i="2"/>
  <c r="BH658" i="2"/>
  <c r="BH632" i="2"/>
  <c r="BE631" i="2"/>
  <c r="AQ645" i="2"/>
  <c r="AR645" i="2"/>
  <c r="AS645" i="2"/>
  <c r="AT645" i="2"/>
  <c r="AX645" i="2"/>
  <c r="AY645" i="2"/>
  <c r="AZ645" i="2" s="1"/>
  <c r="BD645" i="2"/>
  <c r="BE645" i="2"/>
  <c r="BF645" i="2"/>
  <c r="AQ646" i="2"/>
  <c r="AR646" i="2"/>
  <c r="AS646" i="2"/>
  <c r="AT646" i="2"/>
  <c r="AX646" i="2"/>
  <c r="AY646" i="2"/>
  <c r="AZ646" i="2" s="1"/>
  <c r="BD646" i="2"/>
  <c r="BF646" i="2"/>
  <c r="AQ647" i="2"/>
  <c r="AR647" i="2"/>
  <c r="AS647" i="2"/>
  <c r="AT647" i="2"/>
  <c r="AX647" i="2"/>
  <c r="AY647" i="2"/>
  <c r="AZ647" i="2" s="1"/>
  <c r="BD647" i="2"/>
  <c r="BF647" i="2"/>
  <c r="AQ648" i="2"/>
  <c r="AR648" i="2"/>
  <c r="AS648" i="2"/>
  <c r="AT648" i="2"/>
  <c r="AX648" i="2"/>
  <c r="AY648" i="2"/>
  <c r="AZ648" i="2" s="1"/>
  <c r="BF648" i="2"/>
  <c r="BH648" i="2"/>
  <c r="AQ651" i="2"/>
  <c r="AR651" i="2"/>
  <c r="AS651" i="2"/>
  <c r="AT651" i="2"/>
  <c r="AX651" i="2"/>
  <c r="AY651" i="2"/>
  <c r="AZ651" i="2" s="1"/>
  <c r="BD651" i="2"/>
  <c r="BF651" i="2"/>
  <c r="BH651" i="2"/>
  <c r="AQ652" i="2"/>
  <c r="AR652" i="2"/>
  <c r="AS652" i="2"/>
  <c r="AT652" i="2"/>
  <c r="AX652" i="2"/>
  <c r="AY652" i="2"/>
  <c r="AZ652" i="2" s="1"/>
  <c r="BD652" i="2"/>
  <c r="BF652" i="2"/>
  <c r="AQ658" i="2"/>
  <c r="AR658" i="2"/>
  <c r="AS658" i="2"/>
  <c r="AT658" i="2"/>
  <c r="AX658" i="2"/>
  <c r="AY658" i="2"/>
  <c r="AZ658" i="2" s="1"/>
  <c r="BD658" i="2"/>
  <c r="BF658" i="2"/>
  <c r="AQ661" i="2"/>
  <c r="AR661" i="2"/>
  <c r="AS661" i="2"/>
  <c r="AT661" i="2"/>
  <c r="AX661" i="2"/>
  <c r="AY661" i="2"/>
  <c r="AZ661" i="2" s="1"/>
  <c r="BD661" i="2"/>
  <c r="BF661" i="2"/>
  <c r="BH661" i="2"/>
  <c r="AQ660" i="2"/>
  <c r="AR660" i="2"/>
  <c r="AS660" i="2"/>
  <c r="AT660" i="2"/>
  <c r="AX660" i="2"/>
  <c r="AY660" i="2"/>
  <c r="AZ660" i="2" s="1"/>
  <c r="BF660" i="2"/>
  <c r="BH660" i="2"/>
  <c r="AQ631" i="2"/>
  <c r="AR631" i="2"/>
  <c r="AS631" i="2"/>
  <c r="AT631" i="2"/>
  <c r="AX631" i="2"/>
  <c r="AY631" i="2"/>
  <c r="AZ631" i="2" s="1"/>
  <c r="BF631" i="2"/>
  <c r="BH631" i="2"/>
  <c r="AQ632" i="2"/>
  <c r="AR632" i="2"/>
  <c r="AS632" i="2"/>
  <c r="AT632" i="2"/>
  <c r="AX632" i="2"/>
  <c r="AY632" i="2"/>
  <c r="AZ632" i="2" s="1"/>
  <c r="BD632" i="2"/>
  <c r="BF632" i="2"/>
  <c r="K116" i="18" s="1"/>
  <c r="AQ649" i="2"/>
  <c r="AR649" i="2"/>
  <c r="AS649" i="2"/>
  <c r="AT649" i="2"/>
  <c r="AX649" i="2"/>
  <c r="AY649" i="2"/>
  <c r="AZ649" i="2" s="1"/>
  <c r="BD649" i="2"/>
  <c r="BE649" i="2"/>
  <c r="BF649" i="2"/>
  <c r="BD631" i="2" l="1"/>
  <c r="BA645" i="2"/>
  <c r="BA646" i="2"/>
  <c r="BE646" i="2"/>
  <c r="BA647" i="2"/>
  <c r="BE647" i="2"/>
  <c r="BA648" i="2"/>
  <c r="BE648" i="2"/>
  <c r="BA651" i="2"/>
  <c r="BE651" i="2"/>
  <c r="BA652" i="2"/>
  <c r="BE652" i="2"/>
  <c r="BA658" i="2"/>
  <c r="BE658" i="2"/>
  <c r="BA661" i="2"/>
  <c r="BE661" i="2"/>
  <c r="BA660" i="2"/>
  <c r="BE660" i="2"/>
  <c r="BA632" i="2"/>
  <c r="BB632" i="2" s="1"/>
  <c r="BA631" i="2"/>
  <c r="BA649" i="2"/>
  <c r="BE632" i="2"/>
  <c r="C29" i="12" l="1"/>
  <c r="K29" i="12" s="1"/>
  <c r="K10" i="7" l="1"/>
  <c r="K13" i="7"/>
  <c r="K6" i="23"/>
  <c r="K5" i="23"/>
  <c r="AX636" i="2"/>
  <c r="J10" i="7"/>
  <c r="J6" i="23"/>
  <c r="J5" i="23"/>
  <c r="BD959" i="2"/>
  <c r="BD1012" i="2"/>
  <c r="BH959" i="2"/>
  <c r="BH1012" i="2"/>
  <c r="BH636" i="2"/>
  <c r="BH633" i="2"/>
  <c r="BD636" i="2"/>
  <c r="BE633" i="2"/>
  <c r="AQ959" i="2"/>
  <c r="AR959" i="2"/>
  <c r="AS959" i="2"/>
  <c r="AT959" i="2"/>
  <c r="AX959" i="2"/>
  <c r="AY959" i="2"/>
  <c r="AZ959" i="2" s="1"/>
  <c r="BF959" i="2"/>
  <c r="K139" i="18" s="1"/>
  <c r="AQ1012" i="2"/>
  <c r="AR1012" i="2"/>
  <c r="AS1012" i="2"/>
  <c r="AT1012" i="2"/>
  <c r="AX1012" i="2"/>
  <c r="AY1012" i="2"/>
  <c r="AZ1012" i="2" s="1"/>
  <c r="BF1012" i="2"/>
  <c r="AQ633" i="2"/>
  <c r="AR633" i="2"/>
  <c r="AS633" i="2"/>
  <c r="AT633" i="2"/>
  <c r="AY633" i="2"/>
  <c r="AZ633" i="2" s="1"/>
  <c r="BF633" i="2"/>
  <c r="AQ636" i="2"/>
  <c r="AR636" i="2"/>
  <c r="AS636" i="2"/>
  <c r="AT636" i="2"/>
  <c r="AY636" i="2"/>
  <c r="AZ636" i="2" s="1"/>
  <c r="BF636" i="2"/>
  <c r="K9" i="23" l="1"/>
  <c r="J9" i="23"/>
  <c r="K11" i="23"/>
  <c r="J11" i="23"/>
  <c r="K9" i="7"/>
  <c r="AX633" i="2"/>
  <c r="BA633" i="2" s="1"/>
  <c r="BA1012" i="2"/>
  <c r="BE1012" i="2"/>
  <c r="BE959" i="2"/>
  <c r="BA959" i="2"/>
  <c r="BD633" i="2"/>
  <c r="BE636" i="2"/>
  <c r="BA636" i="2"/>
  <c r="AQ864" i="2"/>
  <c r="AR864" i="2"/>
  <c r="AS864" i="2"/>
  <c r="AT864" i="2"/>
  <c r="AX864" i="2"/>
  <c r="AY864" i="2"/>
  <c r="AZ864" i="2" s="1"/>
  <c r="BE864" i="2"/>
  <c r="BF864" i="2"/>
  <c r="K129" i="18" s="1"/>
  <c r="BH864" i="2"/>
  <c r="AQ865" i="2"/>
  <c r="AR865" i="2"/>
  <c r="AS865" i="2"/>
  <c r="AT865" i="2"/>
  <c r="AX865" i="2"/>
  <c r="AY865" i="2"/>
  <c r="AZ865" i="2" s="1"/>
  <c r="BE865" i="2"/>
  <c r="BF865" i="2"/>
  <c r="K130" i="18" s="1"/>
  <c r="BH865" i="2"/>
  <c r="AQ835" i="2"/>
  <c r="AR835" i="2"/>
  <c r="AS835" i="2"/>
  <c r="AT835" i="2"/>
  <c r="AX835" i="2"/>
  <c r="AY835" i="2"/>
  <c r="AZ835" i="2" s="1"/>
  <c r="BE835" i="2"/>
  <c r="BF835" i="2"/>
  <c r="K123" i="18" s="1"/>
  <c r="BH835" i="2"/>
  <c r="BB633" i="2" l="1"/>
  <c r="BB208" i="2"/>
  <c r="BB959" i="2"/>
  <c r="BB1012" i="2"/>
  <c r="BD865" i="2"/>
  <c r="BD864" i="2"/>
  <c r="BA864" i="2"/>
  <c r="BA865" i="2"/>
  <c r="BD835" i="2"/>
  <c r="BA835" i="2"/>
  <c r="AQ639" i="2" l="1"/>
  <c r="AR639" i="2"/>
  <c r="AS639" i="2"/>
  <c r="AT639" i="2"/>
  <c r="AX639" i="2"/>
  <c r="AY639" i="2"/>
  <c r="AZ639" i="2" s="1"/>
  <c r="BD639" i="2"/>
  <c r="BF639" i="2"/>
  <c r="BH639" i="2"/>
  <c r="BE639" i="2" l="1"/>
  <c r="BA639" i="2"/>
  <c r="P13" i="7"/>
  <c r="P22" i="7"/>
  <c r="P16" i="7"/>
  <c r="P11" i="7"/>
  <c r="P14" i="7"/>
  <c r="P12" i="7"/>
  <c r="P17" i="7"/>
  <c r="P18" i="7"/>
  <c r="P19" i="7"/>
  <c r="P26" i="7"/>
  <c r="P20" i="7"/>
  <c r="P33" i="7"/>
  <c r="P23" i="7"/>
  <c r="P24" i="7"/>
  <c r="P21" i="7"/>
  <c r="P25" i="7"/>
  <c r="P27" i="7"/>
  <c r="P28" i="7"/>
  <c r="P29" i="7"/>
  <c r="P30" i="7"/>
  <c r="P37" i="7"/>
  <c r="P43" i="7"/>
  <c r="P34" i="7"/>
  <c r="P5" i="7"/>
  <c r="P35" i="7"/>
  <c r="P32" i="7"/>
  <c r="P6" i="7"/>
  <c r="P36" i="7"/>
  <c r="P39" i="7"/>
  <c r="P31" i="7"/>
  <c r="P38" i="7"/>
  <c r="P15" i="7"/>
  <c r="P40" i="7"/>
  <c r="P41" i="7"/>
  <c r="P8" i="7"/>
  <c r="P42" i="7"/>
  <c r="P7" i="7"/>
  <c r="P44" i="7"/>
  <c r="P9" i="7"/>
  <c r="P45" i="7"/>
  <c r="AQ901" i="2"/>
  <c r="AR901" i="2"/>
  <c r="AS901" i="2"/>
  <c r="AT901" i="2"/>
  <c r="AX901" i="2"/>
  <c r="AY901" i="2"/>
  <c r="AZ901" i="2" s="1"/>
  <c r="BD901" i="2"/>
  <c r="BF901" i="2"/>
  <c r="BH901" i="2"/>
  <c r="AQ801" i="2"/>
  <c r="AR801" i="2"/>
  <c r="AS801" i="2"/>
  <c r="AT801" i="2"/>
  <c r="AX801" i="2"/>
  <c r="AY801" i="2"/>
  <c r="AZ801" i="2" s="1"/>
  <c r="BD801" i="2"/>
  <c r="BF801" i="2"/>
  <c r="BH801" i="2"/>
  <c r="BA901" i="2" l="1"/>
  <c r="BE901" i="2"/>
  <c r="BE801" i="2"/>
  <c r="BA801" i="2"/>
  <c r="BH640" i="2" l="1"/>
  <c r="BH641" i="2"/>
  <c r="BH642" i="2"/>
  <c r="BH643" i="2"/>
  <c r="BH653" i="2"/>
  <c r="BH655" i="2"/>
  <c r="BH654" i="2"/>
  <c r="BH656" i="2"/>
  <c r="BH657" i="2"/>
  <c r="BH659" i="2"/>
  <c r="BH662" i="2"/>
  <c r="BH663" i="2"/>
  <c r="BH664" i="2"/>
  <c r="BH665" i="2"/>
  <c r="BH667" i="2"/>
  <c r="BH668" i="2"/>
  <c r="BH669" i="2"/>
  <c r="BH671" i="2"/>
  <c r="BH672" i="2"/>
  <c r="BH674" i="2"/>
  <c r="BH675" i="2"/>
  <c r="BH676" i="2"/>
  <c r="BH673" i="2"/>
  <c r="BH677" i="2"/>
  <c r="BH678" i="2"/>
  <c r="BH679" i="2"/>
  <c r="BH680" i="2"/>
  <c r="BH681" i="2"/>
  <c r="BH682" i="2"/>
  <c r="BH683" i="2"/>
  <c r="BH685" i="2"/>
  <c r="BH686" i="2"/>
  <c r="BH687" i="2"/>
  <c r="BH688" i="2"/>
  <c r="BH689" i="2"/>
  <c r="BH690" i="2"/>
  <c r="BH691" i="2"/>
  <c r="BH692" i="2"/>
  <c r="BH693" i="2"/>
  <c r="BH695" i="2"/>
  <c r="BH696" i="2"/>
  <c r="BH697" i="2"/>
  <c r="BH698" i="2"/>
  <c r="BH694" i="2"/>
  <c r="BH699" i="2"/>
  <c r="BH700" i="2"/>
  <c r="BH701" i="2"/>
  <c r="BH702" i="2"/>
  <c r="BH703" i="2"/>
  <c r="BH707" i="2"/>
  <c r="BH711" i="2"/>
  <c r="BH712" i="2"/>
  <c r="BH713" i="2"/>
  <c r="BH710" i="2"/>
  <c r="BH714" i="2"/>
  <c r="BH715" i="2"/>
  <c r="BH716" i="2"/>
  <c r="BH717" i="2"/>
  <c r="BH718" i="2"/>
  <c r="BH722" i="2"/>
  <c r="BH720" i="2"/>
  <c r="BH723" i="2"/>
  <c r="BH724" i="2"/>
  <c r="BH725" i="2"/>
  <c r="BH726" i="2"/>
  <c r="BH727" i="2"/>
  <c r="BH728" i="2"/>
  <c r="BH729" i="2"/>
  <c r="BH731" i="2"/>
  <c r="BH730" i="2"/>
  <c r="BH732" i="2"/>
  <c r="BH733" i="2"/>
  <c r="BH734" i="2"/>
  <c r="BH735" i="2"/>
  <c r="BH736" i="2"/>
  <c r="BH737" i="2"/>
  <c r="BH738" i="2"/>
  <c r="BH740" i="2"/>
  <c r="BH741" i="2"/>
  <c r="BH742" i="2"/>
  <c r="BH743" i="2"/>
  <c r="BH744" i="2"/>
  <c r="BH745" i="2"/>
  <c r="BH746" i="2"/>
  <c r="BH747" i="2"/>
  <c r="BH748" i="2"/>
  <c r="BH749" i="2"/>
  <c r="BH750" i="2"/>
  <c r="BH751" i="2"/>
  <c r="BH752" i="2"/>
  <c r="BH753" i="2"/>
  <c r="BH754" i="2"/>
  <c r="BH755" i="2"/>
  <c r="BH756" i="2"/>
  <c r="BH757" i="2"/>
  <c r="BH758" i="2"/>
  <c r="BH759" i="2"/>
  <c r="BH739" i="2"/>
  <c r="BH761" i="2"/>
  <c r="BH760" i="2"/>
  <c r="BH762" i="2"/>
  <c r="BH763" i="2"/>
  <c r="BH764" i="2"/>
  <c r="BH765" i="2"/>
  <c r="BH766" i="2"/>
  <c r="BH767" i="2"/>
  <c r="BH768" i="2"/>
  <c r="BH769" i="2"/>
  <c r="BH770" i="2"/>
  <c r="BH771" i="2"/>
  <c r="BH772" i="2"/>
  <c r="BH773" i="2"/>
  <c r="BH774" i="2"/>
  <c r="BH775" i="2"/>
  <c r="BH776" i="2"/>
  <c r="BH777" i="2"/>
  <c r="BH778" i="2"/>
  <c r="BH779" i="2"/>
  <c r="BH780" i="2"/>
  <c r="BH782" i="2"/>
  <c r="BH781" i="2"/>
  <c r="BH783" i="2"/>
  <c r="BH784" i="2"/>
  <c r="BH785" i="2"/>
  <c r="BH786" i="2"/>
  <c r="BH787" i="2"/>
  <c r="BH788" i="2"/>
  <c r="BH789" i="2"/>
  <c r="BH790" i="2"/>
  <c r="BH791" i="2"/>
  <c r="BH792" i="2"/>
  <c r="BH793" i="2"/>
  <c r="BH794" i="2"/>
  <c r="BH795" i="2"/>
  <c r="BH796" i="2"/>
  <c r="BH797" i="2"/>
  <c r="BH798" i="2"/>
  <c r="BH799" i="2"/>
  <c r="BH802" i="2"/>
  <c r="BH803" i="2"/>
  <c r="BH804" i="2"/>
  <c r="BH805" i="2"/>
  <c r="BH807" i="2"/>
  <c r="BH808" i="2"/>
  <c r="BH809" i="2"/>
  <c r="BH810" i="2"/>
  <c r="BH806" i="2"/>
  <c r="BH811" i="2"/>
  <c r="BH812" i="2"/>
  <c r="BH813" i="2"/>
  <c r="BH814" i="2"/>
  <c r="BH815" i="2"/>
  <c r="BH816" i="2"/>
  <c r="BH817" i="2"/>
  <c r="BH818" i="2"/>
  <c r="BH819" i="2"/>
  <c r="BH820" i="2"/>
  <c r="BH821" i="2"/>
  <c r="BH822" i="2"/>
  <c r="BH823" i="2"/>
  <c r="BH825" i="2"/>
  <c r="BH826" i="2"/>
  <c r="BH827" i="2"/>
  <c r="BH828" i="2"/>
  <c r="BH829" i="2"/>
  <c r="BH830" i="2"/>
  <c r="BH831" i="2"/>
  <c r="BH832" i="2"/>
  <c r="BH836" i="2"/>
  <c r="BH837" i="2"/>
  <c r="BH838" i="2"/>
  <c r="BH839" i="2"/>
  <c r="BH840" i="2"/>
  <c r="BH841" i="2"/>
  <c r="BH842" i="2"/>
  <c r="BH845" i="2"/>
  <c r="BH846" i="2"/>
  <c r="BH847" i="2"/>
  <c r="BH848" i="2"/>
  <c r="BH849" i="2"/>
  <c r="BH850" i="2"/>
  <c r="BH851" i="2"/>
  <c r="BH852" i="2"/>
  <c r="BH853" i="2"/>
  <c r="BH854" i="2"/>
  <c r="BH855" i="2"/>
  <c r="BH856" i="2"/>
  <c r="BH857" i="2"/>
  <c r="BH858" i="2"/>
  <c r="BH859" i="2"/>
  <c r="BH860" i="2"/>
  <c r="BH861" i="2"/>
  <c r="BH862" i="2"/>
  <c r="BH863" i="2"/>
  <c r="BH867" i="2"/>
  <c r="BH868" i="2"/>
  <c r="BH869" i="2"/>
  <c r="BH870" i="2"/>
  <c r="BH871" i="2"/>
  <c r="BH872" i="2"/>
  <c r="BH873" i="2"/>
  <c r="BH874" i="2"/>
  <c r="BH875" i="2"/>
  <c r="BH876" i="2"/>
  <c r="BH877" i="2"/>
  <c r="BH878" i="2"/>
  <c r="BH879" i="2"/>
  <c r="BH880" i="2"/>
  <c r="BH881" i="2"/>
  <c r="BH882" i="2"/>
  <c r="BH883" i="2"/>
  <c r="BH884" i="2"/>
  <c r="BH885" i="2"/>
  <c r="BH886" i="2"/>
  <c r="BH887" i="2"/>
  <c r="BH888" i="2"/>
  <c r="BH889" i="2"/>
  <c r="BH892" i="2"/>
  <c r="BH893" i="2"/>
  <c r="BH894" i="2"/>
  <c r="BH921" i="2"/>
  <c r="BH895" i="2"/>
  <c r="BH896" i="2"/>
  <c r="BH897" i="2"/>
  <c r="BH898" i="2"/>
  <c r="BH899" i="2"/>
  <c r="BH900" i="2"/>
  <c r="BH902" i="2"/>
  <c r="BH903" i="2"/>
  <c r="BH904" i="2"/>
  <c r="BH905" i="2"/>
  <c r="BH906" i="2"/>
  <c r="BH910" i="2"/>
  <c r="BH911" i="2"/>
  <c r="BH912" i="2"/>
  <c r="BH913" i="2"/>
  <c r="BH914" i="2"/>
  <c r="BH915" i="2"/>
  <c r="BH916" i="2"/>
  <c r="BH917" i="2"/>
  <c r="BH918" i="2"/>
  <c r="BH919" i="2"/>
  <c r="BH920" i="2"/>
  <c r="BH922" i="2"/>
  <c r="BH923" i="2"/>
  <c r="BH924" i="2"/>
  <c r="BH925" i="2"/>
  <c r="BH926" i="2"/>
  <c r="BH927" i="2"/>
  <c r="BH928" i="2"/>
  <c r="BH929" i="2"/>
  <c r="BH930" i="2"/>
  <c r="BH931" i="2"/>
  <c r="BH932" i="2"/>
  <c r="BH933" i="2"/>
  <c r="BH934" i="2"/>
  <c r="BH935" i="2"/>
  <c r="BH936" i="2"/>
  <c r="BH937" i="2"/>
  <c r="BH938" i="2"/>
  <c r="BH939" i="2"/>
  <c r="BH941" i="2"/>
  <c r="BH942" i="2"/>
  <c r="BH943" i="2"/>
  <c r="BH944" i="2"/>
  <c r="BH945" i="2"/>
  <c r="BH946" i="2"/>
  <c r="BH947" i="2"/>
  <c r="BH948" i="2"/>
  <c r="BH954" i="2"/>
  <c r="BH890" i="2"/>
  <c r="BH955" i="2"/>
  <c r="BH956" i="2"/>
  <c r="BH957" i="2"/>
  <c r="BH958" i="2"/>
  <c r="BH960" i="2"/>
  <c r="BH961" i="2"/>
  <c r="BH962" i="2"/>
  <c r="BH963" i="2"/>
  <c r="BH964" i="2"/>
  <c r="BH965" i="2"/>
  <c r="BH966" i="2"/>
  <c r="BH891" i="2"/>
  <c r="BH967" i="2"/>
  <c r="BH968" i="2"/>
  <c r="BH969" i="2"/>
  <c r="BH970" i="2"/>
  <c r="BH971" i="2"/>
  <c r="BH972" i="2"/>
  <c r="BH973" i="2"/>
  <c r="BH974" i="2"/>
  <c r="BH975" i="2"/>
  <c r="BH976" i="2"/>
  <c r="BH977" i="2"/>
  <c r="BH978" i="2"/>
  <c r="BH979" i="2"/>
  <c r="BH980" i="2"/>
  <c r="BH981" i="2"/>
  <c r="BH982" i="2"/>
  <c r="BH983" i="2"/>
  <c r="BH984" i="2"/>
  <c r="BH985" i="2"/>
  <c r="BH986" i="2"/>
  <c r="BH987" i="2"/>
  <c r="BH988" i="2"/>
  <c r="BH989" i="2"/>
  <c r="BH990" i="2"/>
  <c r="BH991" i="2"/>
  <c r="BH992" i="2"/>
  <c r="BH993" i="2"/>
  <c r="BH994" i="2"/>
  <c r="BH995" i="2"/>
  <c r="BH996" i="2"/>
  <c r="BH1013" i="2"/>
  <c r="BH997" i="2"/>
  <c r="BH998" i="2"/>
  <c r="BH999" i="2"/>
  <c r="BH1000" i="2"/>
  <c r="BH1001" i="2"/>
  <c r="BH1002" i="2"/>
  <c r="BH1003" i="2"/>
  <c r="BH1004" i="2"/>
  <c r="BH1005" i="2"/>
  <c r="BH1006" i="2"/>
  <c r="BH1007" i="2"/>
  <c r="BH1008" i="2"/>
  <c r="BH1009" i="2"/>
  <c r="BH1010" i="2"/>
  <c r="BH1011" i="2"/>
  <c r="BH1014" i="2"/>
  <c r="BH1015" i="2"/>
  <c r="BH1016" i="2"/>
  <c r="BH1017" i="2"/>
  <c r="BH1018" i="2"/>
  <c r="BH1019" i="2"/>
  <c r="BH1020" i="2"/>
  <c r="BH1021" i="2"/>
  <c r="BH1022" i="2"/>
  <c r="BH1023" i="2"/>
  <c r="BH1024" i="2"/>
  <c r="BH1025" i="2"/>
  <c r="BH1026" i="2"/>
  <c r="BH1027" i="2"/>
  <c r="BH1028" i="2"/>
  <c r="BH1029" i="2"/>
  <c r="BH1030" i="2"/>
  <c r="BH1031" i="2"/>
  <c r="BH1032" i="2"/>
  <c r="BH1033" i="2"/>
  <c r="BH1034" i="2"/>
  <c r="BH1035" i="2"/>
  <c r="BH1037" i="2"/>
  <c r="BH1038" i="2"/>
  <c r="BH1039" i="2"/>
  <c r="BH1040" i="2"/>
  <c r="BH1041" i="2"/>
  <c r="BH1042" i="2"/>
  <c r="BH1043" i="2"/>
  <c r="BH1044" i="2"/>
  <c r="BH1045" i="2"/>
  <c r="BH1046" i="2"/>
  <c r="BH1047" i="2"/>
  <c r="BH1048" i="2"/>
  <c r="BH1049" i="2"/>
  <c r="BH1050" i="2"/>
  <c r="BH1051" i="2"/>
  <c r="BH1052" i="2"/>
  <c r="BH1053" i="2"/>
  <c r="BH1054" i="2"/>
  <c r="BH1055" i="2"/>
  <c r="BH1056" i="2"/>
  <c r="BH1057" i="2"/>
  <c r="BH1058" i="2"/>
  <c r="BH1059" i="2"/>
  <c r="BH1060" i="2"/>
  <c r="BH1061" i="2"/>
  <c r="BH1062" i="2"/>
  <c r="BH1063" i="2"/>
  <c r="BH1064" i="2"/>
  <c r="BH1065" i="2"/>
  <c r="BH1066" i="2"/>
  <c r="BH1067" i="2"/>
  <c r="BH1068" i="2"/>
  <c r="BH1069" i="2"/>
  <c r="BH1070" i="2"/>
  <c r="BH1071" i="2"/>
  <c r="BH1072" i="2"/>
  <c r="BH1073" i="2"/>
  <c r="BH1074" i="2"/>
  <c r="BH1075" i="2"/>
  <c r="BH1076" i="2"/>
  <c r="BH1077" i="2"/>
  <c r="BH1078" i="2"/>
  <c r="BH1079" i="2"/>
  <c r="BH1080" i="2"/>
  <c r="BH1081" i="2"/>
  <c r="BH1082" i="2"/>
  <c r="BH1083" i="2"/>
  <c r="BH1084" i="2"/>
  <c r="BH1085" i="2"/>
  <c r="BH1086" i="2"/>
  <c r="BH1087" i="2"/>
  <c r="BH1088" i="2"/>
  <c r="BH1089" i="2"/>
  <c r="BH1090" i="2"/>
  <c r="BH1091" i="2"/>
  <c r="BH1092" i="2"/>
  <c r="BH1093" i="2"/>
  <c r="BH1094" i="2"/>
  <c r="BH1095" i="2"/>
  <c r="BH1096" i="2"/>
  <c r="BH1097" i="2"/>
  <c r="BH1098" i="2"/>
  <c r="BH1099" i="2"/>
  <c r="BH1100" i="2"/>
  <c r="BH1101" i="2"/>
  <c r="BH1102" i="2"/>
  <c r="BH1103" i="2"/>
  <c r="BH1104" i="2"/>
  <c r="BH1105" i="2"/>
  <c r="BH1106" i="2"/>
  <c r="BH1107" i="2"/>
  <c r="BH1108" i="2"/>
  <c r="BH1109" i="2"/>
  <c r="BH1110" i="2"/>
  <c r="BH1111" i="2"/>
  <c r="BH1112" i="2"/>
  <c r="BH1113" i="2"/>
  <c r="BH1114" i="2"/>
  <c r="BH1115" i="2"/>
  <c r="BH1116" i="2"/>
  <c r="BH1117" i="2"/>
  <c r="BH1118" i="2"/>
  <c r="BH1119" i="2"/>
  <c r="BH1120" i="2"/>
  <c r="BH1121" i="2"/>
  <c r="BH1122" i="2"/>
  <c r="BH1123" i="2"/>
  <c r="BH1124" i="2"/>
  <c r="BH1125" i="2"/>
  <c r="BH1126" i="2"/>
  <c r="BH1127" i="2"/>
  <c r="BH1128" i="2"/>
  <c r="BH1129" i="2"/>
  <c r="BH1130" i="2"/>
  <c r="BH1131" i="2"/>
  <c r="BH1132" i="2"/>
  <c r="BH1133" i="2"/>
  <c r="BH1134" i="2"/>
  <c r="BH1135" i="2"/>
  <c r="BH1136" i="2"/>
  <c r="BH1137" i="2"/>
  <c r="BH1138" i="2"/>
  <c r="BH1139" i="2"/>
  <c r="BH1140" i="2"/>
  <c r="BH1141" i="2"/>
  <c r="BH1142" i="2"/>
  <c r="BH1143" i="2"/>
  <c r="BH1144" i="2"/>
  <c r="BH1145" i="2"/>
  <c r="BH1146" i="2"/>
  <c r="BH1147" i="2"/>
  <c r="BH1148" i="2"/>
  <c r="BH1149" i="2"/>
  <c r="BH1150" i="2"/>
  <c r="BH1151" i="2"/>
  <c r="BH1152" i="2"/>
  <c r="BH1153" i="2"/>
  <c r="D15" i="20" l="1"/>
  <c r="C6" i="20"/>
  <c r="J9" i="20"/>
  <c r="G29" i="20"/>
  <c r="G25" i="20"/>
  <c r="G21" i="20"/>
  <c r="G17" i="20"/>
  <c r="G13" i="20"/>
  <c r="G9" i="20"/>
  <c r="H29" i="20"/>
  <c r="H25" i="20"/>
  <c r="H21" i="20"/>
  <c r="H17" i="20"/>
  <c r="H13" i="20"/>
  <c r="H9" i="20"/>
  <c r="I29" i="20"/>
  <c r="I25" i="20"/>
  <c r="I21" i="20"/>
  <c r="I17" i="20"/>
  <c r="I13" i="20"/>
  <c r="I9" i="20"/>
  <c r="J29" i="20"/>
  <c r="J25" i="20"/>
  <c r="J21" i="20"/>
  <c r="J17" i="20"/>
  <c r="J13" i="20"/>
  <c r="G28" i="20"/>
  <c r="G24" i="20"/>
  <c r="G20" i="20"/>
  <c r="G16" i="20"/>
  <c r="G12" i="20"/>
  <c r="G8" i="20"/>
  <c r="H28" i="20"/>
  <c r="H24" i="20"/>
  <c r="H20" i="20"/>
  <c r="H16" i="20"/>
  <c r="H12" i="20"/>
  <c r="H8" i="20"/>
  <c r="I28" i="20"/>
  <c r="I24" i="20"/>
  <c r="I20" i="20"/>
  <c r="I16" i="20"/>
  <c r="I12" i="20"/>
  <c r="I8" i="20"/>
  <c r="J28" i="20"/>
  <c r="J24" i="20"/>
  <c r="J20" i="20"/>
  <c r="J16" i="20"/>
  <c r="J12" i="20"/>
  <c r="J8" i="20"/>
  <c r="G27" i="20"/>
  <c r="G23" i="20"/>
  <c r="G19" i="20"/>
  <c r="G15" i="20"/>
  <c r="G11" i="20"/>
  <c r="G7" i="20"/>
  <c r="H27" i="20"/>
  <c r="H23" i="20"/>
  <c r="H19" i="20"/>
  <c r="H15" i="20"/>
  <c r="H11" i="20"/>
  <c r="H7" i="20"/>
  <c r="I27" i="20"/>
  <c r="I23" i="20"/>
  <c r="I19" i="20"/>
  <c r="I15" i="20"/>
  <c r="I11" i="20"/>
  <c r="I7" i="20"/>
  <c r="J27" i="20"/>
  <c r="J23" i="20"/>
  <c r="J19" i="20"/>
  <c r="J15" i="20"/>
  <c r="J11" i="20"/>
  <c r="J7" i="20"/>
  <c r="G26" i="20"/>
  <c r="G22" i="20"/>
  <c r="G18" i="20"/>
  <c r="G14" i="20"/>
  <c r="G10" i="20"/>
  <c r="H26" i="20"/>
  <c r="H22" i="20"/>
  <c r="H18" i="20"/>
  <c r="H14" i="20"/>
  <c r="H10" i="20"/>
  <c r="H6" i="20"/>
  <c r="I26" i="20"/>
  <c r="I22" i="20"/>
  <c r="I18" i="20"/>
  <c r="I14" i="20"/>
  <c r="I10" i="20"/>
  <c r="I6" i="20"/>
  <c r="J26" i="20"/>
  <c r="J22" i="20"/>
  <c r="J18" i="20"/>
  <c r="J14" i="20"/>
  <c r="J10" i="20"/>
  <c r="F29" i="20"/>
  <c r="F25" i="20"/>
  <c r="F21" i="20"/>
  <c r="F17" i="20"/>
  <c r="E6" i="20"/>
  <c r="F28" i="20"/>
  <c r="F24" i="20"/>
  <c r="F20" i="20"/>
  <c r="F27" i="20"/>
  <c r="F23" i="20"/>
  <c r="F19" i="20"/>
  <c r="F26" i="20"/>
  <c r="F22" i="20"/>
  <c r="F18" i="20"/>
  <c r="D29" i="20"/>
  <c r="D25" i="20"/>
  <c r="D21" i="20"/>
  <c r="D17" i="20"/>
  <c r="D13" i="20"/>
  <c r="D9" i="20"/>
  <c r="E29" i="20"/>
  <c r="E25" i="20"/>
  <c r="E21" i="20"/>
  <c r="E17" i="20"/>
  <c r="E13" i="20"/>
  <c r="E9" i="20"/>
  <c r="D28" i="20"/>
  <c r="D24" i="20"/>
  <c r="D20" i="20"/>
  <c r="D16" i="20"/>
  <c r="D12" i="20"/>
  <c r="D8" i="20"/>
  <c r="E28" i="20"/>
  <c r="E24" i="20"/>
  <c r="E20" i="20"/>
  <c r="E16" i="20"/>
  <c r="E12" i="20"/>
  <c r="E8" i="20"/>
  <c r="D27" i="20"/>
  <c r="D23" i="20"/>
  <c r="D19" i="20"/>
  <c r="D11" i="20"/>
  <c r="D7" i="20"/>
  <c r="E27" i="20"/>
  <c r="E23" i="20"/>
  <c r="E19" i="20"/>
  <c r="E15" i="20"/>
  <c r="E11" i="20"/>
  <c r="E7" i="20"/>
  <c r="D26" i="20"/>
  <c r="D22" i="20"/>
  <c r="D18" i="20"/>
  <c r="D14" i="20"/>
  <c r="D10" i="20"/>
  <c r="D6" i="20"/>
  <c r="E26" i="20"/>
  <c r="E22" i="20"/>
  <c r="E18" i="20"/>
  <c r="E14" i="20"/>
  <c r="E10" i="20"/>
  <c r="C10" i="20"/>
  <c r="C14" i="20"/>
  <c r="C18" i="20"/>
  <c r="C22" i="20"/>
  <c r="C26" i="20"/>
  <c r="C7" i="20"/>
  <c r="C11" i="20"/>
  <c r="C15" i="20"/>
  <c r="C19" i="20"/>
  <c r="C23" i="20"/>
  <c r="C27" i="20"/>
  <c r="C29" i="20"/>
  <c r="C21" i="20"/>
  <c r="C13" i="20"/>
  <c r="C28" i="20"/>
  <c r="C20" i="20"/>
  <c r="C12" i="20"/>
  <c r="C25" i="20"/>
  <c r="C17" i="20"/>
  <c r="C9" i="20"/>
  <c r="C24" i="20"/>
  <c r="C16" i="20"/>
  <c r="C8" i="20"/>
  <c r="AQ770" i="2" l="1"/>
  <c r="AR770" i="2"/>
  <c r="AS770" i="2"/>
  <c r="AT770" i="2"/>
  <c r="AX770" i="2"/>
  <c r="AY770" i="2"/>
  <c r="AZ770" i="2" s="1"/>
  <c r="BE770" i="2"/>
  <c r="BF770" i="2"/>
  <c r="AQ771" i="2"/>
  <c r="AR771" i="2"/>
  <c r="F7" i="20" s="1"/>
  <c r="AS771" i="2"/>
  <c r="AT771" i="2"/>
  <c r="AX771" i="2"/>
  <c r="AY771" i="2"/>
  <c r="AZ771" i="2" s="1"/>
  <c r="BE771" i="2"/>
  <c r="BD771" i="2"/>
  <c r="BF771" i="2"/>
  <c r="C23" i="7"/>
  <c r="D23" i="7"/>
  <c r="E23" i="7"/>
  <c r="F23" i="7"/>
  <c r="H23" i="7"/>
  <c r="R23" i="7" s="1"/>
  <c r="O23" i="7"/>
  <c r="Q23" i="7" s="1"/>
  <c r="C39" i="7"/>
  <c r="D39" i="7"/>
  <c r="E39" i="7"/>
  <c r="F39" i="7"/>
  <c r="H39" i="7"/>
  <c r="R39" i="7" s="1"/>
  <c r="O39" i="7"/>
  <c r="Q39" i="7" s="1"/>
  <c r="BD770" i="2" l="1"/>
  <c r="BA770" i="2"/>
  <c r="BA771" i="2"/>
  <c r="BD642" i="2" l="1"/>
  <c r="BE641" i="2"/>
  <c r="AQ641" i="2"/>
  <c r="AR641" i="2"/>
  <c r="AS641" i="2"/>
  <c r="AT641" i="2"/>
  <c r="AX641" i="2"/>
  <c r="AY641" i="2"/>
  <c r="AZ641" i="2" s="1"/>
  <c r="BF641" i="2"/>
  <c r="AQ642" i="2"/>
  <c r="AR642" i="2"/>
  <c r="AS642" i="2"/>
  <c r="AT642" i="2"/>
  <c r="AX642" i="2"/>
  <c r="AY642" i="2"/>
  <c r="AZ642" i="2" s="1"/>
  <c r="BF642" i="2"/>
  <c r="BD641" i="2" l="1"/>
  <c r="BA641" i="2"/>
  <c r="BE642" i="2"/>
  <c r="BA642" i="2"/>
  <c r="AQ640" i="2"/>
  <c r="AR640" i="2"/>
  <c r="AS640" i="2"/>
  <c r="AT640" i="2"/>
  <c r="AX640" i="2"/>
  <c r="AY640" i="2"/>
  <c r="AZ640" i="2" s="1"/>
  <c r="BD640" i="2"/>
  <c r="BE640" i="2"/>
  <c r="BF640" i="2"/>
  <c r="BA640" i="2" l="1"/>
  <c r="AQ723" i="2" l="1"/>
  <c r="AQ643" i="2"/>
  <c r="J6" i="20" s="1"/>
  <c r="AR643" i="2"/>
  <c r="F6" i="20" s="1"/>
  <c r="AS643" i="2"/>
  <c r="AT643" i="2"/>
  <c r="AX643" i="2"/>
  <c r="G6" i="20" s="1"/>
  <c r="AY643" i="2"/>
  <c r="AZ643" i="2" s="1"/>
  <c r="BE643" i="2"/>
  <c r="BF643" i="2"/>
  <c r="J26" i="19"/>
  <c r="I26" i="19" s="1"/>
  <c r="J24" i="19"/>
  <c r="I24" i="19" s="1"/>
  <c r="J29" i="19"/>
  <c r="I29" i="19" s="1"/>
  <c r="J27" i="19"/>
  <c r="I27" i="19" s="1"/>
  <c r="J25" i="19"/>
  <c r="I25" i="19" s="1"/>
  <c r="J21" i="19"/>
  <c r="I21" i="19" s="1"/>
  <c r="J28" i="19"/>
  <c r="I28" i="19" s="1"/>
  <c r="J22" i="19"/>
  <c r="I22" i="19" s="1"/>
  <c r="J23" i="19"/>
  <c r="I23" i="19" s="1"/>
  <c r="J20" i="19"/>
  <c r="I20" i="19" s="1"/>
  <c r="J227" i="19"/>
  <c r="I227" i="19" s="1"/>
  <c r="J30" i="19"/>
  <c r="I30" i="19" s="1"/>
  <c r="J31" i="19"/>
  <c r="I31" i="19" s="1"/>
  <c r="J32" i="19"/>
  <c r="I32" i="19" s="1"/>
  <c r="J33" i="19"/>
  <c r="I33" i="19" s="1"/>
  <c r="J34" i="19"/>
  <c r="I34" i="19" s="1"/>
  <c r="J35" i="19"/>
  <c r="I35" i="19" s="1"/>
  <c r="J36" i="19"/>
  <c r="I36" i="19" s="1"/>
  <c r="J37" i="19"/>
  <c r="I37" i="19" s="1"/>
  <c r="J38" i="19"/>
  <c r="I38" i="19" s="1"/>
  <c r="J39" i="19"/>
  <c r="I39" i="19" s="1"/>
  <c r="J40" i="19"/>
  <c r="I40" i="19" s="1"/>
  <c r="J41" i="19"/>
  <c r="I41" i="19" s="1"/>
  <c r="J42" i="19"/>
  <c r="I42" i="19" s="1"/>
  <c r="J43" i="19"/>
  <c r="I43" i="19" s="1"/>
  <c r="J44" i="19"/>
  <c r="I44" i="19" s="1"/>
  <c r="J45" i="19"/>
  <c r="I45" i="19" s="1"/>
  <c r="J46" i="19"/>
  <c r="I46" i="19" s="1"/>
  <c r="J47" i="19"/>
  <c r="I47" i="19" s="1"/>
  <c r="J48" i="19"/>
  <c r="I48" i="19" s="1"/>
  <c r="J49" i="19"/>
  <c r="I49" i="19" s="1"/>
  <c r="J50" i="19"/>
  <c r="I50" i="19" s="1"/>
  <c r="J51" i="19"/>
  <c r="I51" i="19" s="1"/>
  <c r="J52" i="19"/>
  <c r="I52" i="19" s="1"/>
  <c r="J53" i="19"/>
  <c r="I53" i="19" s="1"/>
  <c r="J54" i="19"/>
  <c r="I54" i="19" s="1"/>
  <c r="J55" i="19"/>
  <c r="I55" i="19" s="1"/>
  <c r="J56" i="19"/>
  <c r="I56" i="19" s="1"/>
  <c r="J57" i="19"/>
  <c r="I57" i="19" s="1"/>
  <c r="J58" i="19"/>
  <c r="I58" i="19" s="1"/>
  <c r="J59" i="19"/>
  <c r="I59" i="19" s="1"/>
  <c r="J60" i="19"/>
  <c r="I60" i="19" s="1"/>
  <c r="J61" i="19"/>
  <c r="I61" i="19" s="1"/>
  <c r="J62" i="19"/>
  <c r="I62" i="19" s="1"/>
  <c r="J63" i="19"/>
  <c r="I63" i="19" s="1"/>
  <c r="J64" i="19"/>
  <c r="I64" i="19" s="1"/>
  <c r="J65" i="19"/>
  <c r="I65" i="19" s="1"/>
  <c r="J66" i="19"/>
  <c r="I66" i="19" s="1"/>
  <c r="J67" i="19"/>
  <c r="I67" i="19" s="1"/>
  <c r="J68" i="19"/>
  <c r="I68" i="19" s="1"/>
  <c r="J69" i="19"/>
  <c r="I69" i="19" s="1"/>
  <c r="J70" i="19"/>
  <c r="I70" i="19" s="1"/>
  <c r="J71" i="19"/>
  <c r="I71" i="19" s="1"/>
  <c r="J72" i="19"/>
  <c r="I72" i="19" s="1"/>
  <c r="J73" i="19"/>
  <c r="I73" i="19" s="1"/>
  <c r="J74" i="19"/>
  <c r="I74" i="19" s="1"/>
  <c r="J75" i="19"/>
  <c r="I75" i="19" s="1"/>
  <c r="J76" i="19"/>
  <c r="I76" i="19" s="1"/>
  <c r="J77" i="19"/>
  <c r="I77" i="19" s="1"/>
  <c r="J78" i="19"/>
  <c r="I78" i="19" s="1"/>
  <c r="J79" i="19"/>
  <c r="I79" i="19" s="1"/>
  <c r="J80" i="19"/>
  <c r="I80" i="19" s="1"/>
  <c r="J81" i="19"/>
  <c r="I81" i="19" s="1"/>
  <c r="J82" i="19"/>
  <c r="I82" i="19" s="1"/>
  <c r="J83" i="19"/>
  <c r="I83" i="19" s="1"/>
  <c r="J84" i="19"/>
  <c r="I84" i="19" s="1"/>
  <c r="J85" i="19"/>
  <c r="I85" i="19" s="1"/>
  <c r="J86" i="19"/>
  <c r="I86" i="19" s="1"/>
  <c r="J87" i="19"/>
  <c r="I87" i="19" s="1"/>
  <c r="J88" i="19"/>
  <c r="I88" i="19" s="1"/>
  <c r="J89" i="19"/>
  <c r="I89" i="19" s="1"/>
  <c r="J90" i="19"/>
  <c r="I90" i="19" s="1"/>
  <c r="J91" i="19"/>
  <c r="I91" i="19" s="1"/>
  <c r="J92" i="19"/>
  <c r="I92" i="19" s="1"/>
  <c r="J93" i="19"/>
  <c r="I93" i="19" s="1"/>
  <c r="J94" i="19"/>
  <c r="I94" i="19" s="1"/>
  <c r="J95" i="19"/>
  <c r="I95" i="19" s="1"/>
  <c r="J96" i="19"/>
  <c r="I96" i="19" s="1"/>
  <c r="J97" i="19"/>
  <c r="I97" i="19" s="1"/>
  <c r="J98" i="19"/>
  <c r="I98" i="19" s="1"/>
  <c r="J99" i="19"/>
  <c r="I99" i="19" s="1"/>
  <c r="J100" i="19"/>
  <c r="I100" i="19" s="1"/>
  <c r="J101" i="19"/>
  <c r="I101" i="19" s="1"/>
  <c r="J102" i="19"/>
  <c r="I102" i="19" s="1"/>
  <c r="J103" i="19"/>
  <c r="I103" i="19" s="1"/>
  <c r="J104" i="19"/>
  <c r="I104" i="19" s="1"/>
  <c r="J105" i="19"/>
  <c r="I105" i="19" s="1"/>
  <c r="J106" i="19"/>
  <c r="I106" i="19" s="1"/>
  <c r="J107" i="19"/>
  <c r="I107" i="19" s="1"/>
  <c r="J108" i="19"/>
  <c r="I108" i="19" s="1"/>
  <c r="J109" i="19"/>
  <c r="I109" i="19" s="1"/>
  <c r="J110" i="19"/>
  <c r="I110" i="19" s="1"/>
  <c r="J111" i="19"/>
  <c r="I111" i="19" s="1"/>
  <c r="J112" i="19"/>
  <c r="I112" i="19" s="1"/>
  <c r="J113" i="19"/>
  <c r="I113" i="19" s="1"/>
  <c r="J114" i="19"/>
  <c r="I114" i="19" s="1"/>
  <c r="J115" i="19"/>
  <c r="I115" i="19" s="1"/>
  <c r="J116" i="19"/>
  <c r="I116" i="19" s="1"/>
  <c r="J117" i="19"/>
  <c r="I117" i="19" s="1"/>
  <c r="J118" i="19"/>
  <c r="I118" i="19" s="1"/>
  <c r="J119" i="19"/>
  <c r="I119" i="19" s="1"/>
  <c r="J120" i="19"/>
  <c r="I120" i="19" s="1"/>
  <c r="J121" i="19"/>
  <c r="I121" i="19" s="1"/>
  <c r="J122" i="19"/>
  <c r="I122" i="19" s="1"/>
  <c r="J123" i="19"/>
  <c r="I123" i="19" s="1"/>
  <c r="J124" i="19"/>
  <c r="I124" i="19" s="1"/>
  <c r="J125" i="19"/>
  <c r="I125" i="19" s="1"/>
  <c r="J126" i="19"/>
  <c r="I126" i="19" s="1"/>
  <c r="J127" i="19"/>
  <c r="I127" i="19" s="1"/>
  <c r="J128" i="19"/>
  <c r="I128" i="19" s="1"/>
  <c r="J129" i="19"/>
  <c r="I129" i="19" s="1"/>
  <c r="J130" i="19"/>
  <c r="I130" i="19" s="1"/>
  <c r="J131" i="19"/>
  <c r="I131" i="19" s="1"/>
  <c r="J132" i="19"/>
  <c r="I132" i="19" s="1"/>
  <c r="J133" i="19"/>
  <c r="I133" i="19" s="1"/>
  <c r="J134" i="19"/>
  <c r="I134" i="19" s="1"/>
  <c r="J135" i="19"/>
  <c r="I135" i="19" s="1"/>
  <c r="J136" i="19"/>
  <c r="I136" i="19" s="1"/>
  <c r="J137" i="19"/>
  <c r="I137" i="19" s="1"/>
  <c r="J138" i="19"/>
  <c r="I138" i="19" s="1"/>
  <c r="J139" i="19"/>
  <c r="I139" i="19" s="1"/>
  <c r="J140" i="19"/>
  <c r="I140" i="19" s="1"/>
  <c r="J141" i="19"/>
  <c r="I141" i="19" s="1"/>
  <c r="J142" i="19"/>
  <c r="I142" i="19" s="1"/>
  <c r="J143" i="19"/>
  <c r="I143" i="19" s="1"/>
  <c r="J144" i="19"/>
  <c r="I144" i="19" s="1"/>
  <c r="J145" i="19"/>
  <c r="I145" i="19" s="1"/>
  <c r="J146" i="19"/>
  <c r="I146" i="19" s="1"/>
  <c r="J147" i="19"/>
  <c r="I147" i="19" s="1"/>
  <c r="J148" i="19"/>
  <c r="I148" i="19" s="1"/>
  <c r="J149" i="19"/>
  <c r="I149" i="19" s="1"/>
  <c r="J150" i="19"/>
  <c r="I150" i="19" s="1"/>
  <c r="J151" i="19"/>
  <c r="I151" i="19" s="1"/>
  <c r="J152" i="19"/>
  <c r="I152" i="19" s="1"/>
  <c r="J153" i="19"/>
  <c r="I153" i="19" s="1"/>
  <c r="J154" i="19"/>
  <c r="I154" i="19" s="1"/>
  <c r="J155" i="19"/>
  <c r="I155" i="19" s="1"/>
  <c r="J156" i="19"/>
  <c r="I156" i="19" s="1"/>
  <c r="J157" i="19"/>
  <c r="I157" i="19" s="1"/>
  <c r="J158" i="19"/>
  <c r="I158" i="19" s="1"/>
  <c r="J159" i="19"/>
  <c r="I159" i="19" s="1"/>
  <c r="J160" i="19"/>
  <c r="I160" i="19" s="1"/>
  <c r="J161" i="19"/>
  <c r="I161" i="19" s="1"/>
  <c r="J162" i="19"/>
  <c r="I162" i="19" s="1"/>
  <c r="J163" i="19"/>
  <c r="I163" i="19" s="1"/>
  <c r="J164" i="19"/>
  <c r="I164" i="19" s="1"/>
  <c r="J165" i="19"/>
  <c r="I165" i="19" s="1"/>
  <c r="J166" i="19"/>
  <c r="I166" i="19" s="1"/>
  <c r="J167" i="19"/>
  <c r="I167" i="19" s="1"/>
  <c r="J168" i="19"/>
  <c r="I168" i="19" s="1"/>
  <c r="J169" i="19"/>
  <c r="I169" i="19" s="1"/>
  <c r="J170" i="19"/>
  <c r="I170" i="19" s="1"/>
  <c r="J171" i="19"/>
  <c r="I171" i="19" s="1"/>
  <c r="J172" i="19"/>
  <c r="I172" i="19" s="1"/>
  <c r="J173" i="19"/>
  <c r="I173" i="19" s="1"/>
  <c r="J174" i="19"/>
  <c r="I174" i="19" s="1"/>
  <c r="J175" i="19"/>
  <c r="I175" i="19" s="1"/>
  <c r="J176" i="19"/>
  <c r="I176" i="19" s="1"/>
  <c r="J177" i="19"/>
  <c r="I177" i="19" s="1"/>
  <c r="J178" i="19"/>
  <c r="I178" i="19" s="1"/>
  <c r="J179" i="19"/>
  <c r="I179" i="19" s="1"/>
  <c r="J180" i="19"/>
  <c r="I180" i="19" s="1"/>
  <c r="J181" i="19"/>
  <c r="I181" i="19" s="1"/>
  <c r="J182" i="19"/>
  <c r="I182" i="19" s="1"/>
  <c r="J183" i="19"/>
  <c r="I183" i="19" s="1"/>
  <c r="J184" i="19"/>
  <c r="I184" i="19" s="1"/>
  <c r="J185" i="19"/>
  <c r="I185" i="19" s="1"/>
  <c r="J186" i="19"/>
  <c r="I186" i="19" s="1"/>
  <c r="J187" i="19"/>
  <c r="I187" i="19" s="1"/>
  <c r="J188" i="19"/>
  <c r="I188" i="19" s="1"/>
  <c r="J189" i="19"/>
  <c r="I189" i="19" s="1"/>
  <c r="J190" i="19"/>
  <c r="I190" i="19" s="1"/>
  <c r="J191" i="19"/>
  <c r="I191" i="19" s="1"/>
  <c r="J192" i="19"/>
  <c r="I192" i="19" s="1"/>
  <c r="J193" i="19"/>
  <c r="I193" i="19" s="1"/>
  <c r="J194" i="19"/>
  <c r="I194" i="19" s="1"/>
  <c r="J195" i="19"/>
  <c r="I195" i="19" s="1"/>
  <c r="J196" i="19"/>
  <c r="I196" i="19" s="1"/>
  <c r="J197" i="19"/>
  <c r="I197" i="19" s="1"/>
  <c r="J198" i="19"/>
  <c r="I198" i="19" s="1"/>
  <c r="J199" i="19"/>
  <c r="I199" i="19" s="1"/>
  <c r="J200" i="19"/>
  <c r="I200" i="19" s="1"/>
  <c r="J201" i="19"/>
  <c r="I201" i="19" s="1"/>
  <c r="J202" i="19"/>
  <c r="I202" i="19" s="1"/>
  <c r="J203" i="19"/>
  <c r="I203" i="19" s="1"/>
  <c r="J204" i="19"/>
  <c r="I204" i="19" s="1"/>
  <c r="J205" i="19"/>
  <c r="I205" i="19" s="1"/>
  <c r="J206" i="19"/>
  <c r="I206" i="19" s="1"/>
  <c r="J207" i="19"/>
  <c r="I207" i="19" s="1"/>
  <c r="J208" i="19"/>
  <c r="I208" i="19" s="1"/>
  <c r="J209" i="19"/>
  <c r="I209" i="19" s="1"/>
  <c r="J210" i="19"/>
  <c r="I210" i="19" s="1"/>
  <c r="J211" i="19"/>
  <c r="I211" i="19" s="1"/>
  <c r="J212" i="19"/>
  <c r="I212" i="19" s="1"/>
  <c r="J213" i="19"/>
  <c r="I213" i="19" s="1"/>
  <c r="J214" i="19"/>
  <c r="I214" i="19" s="1"/>
  <c r="J215" i="19"/>
  <c r="I215" i="19" s="1"/>
  <c r="J216" i="19"/>
  <c r="I216" i="19" s="1"/>
  <c r="J217" i="19"/>
  <c r="I217" i="19" s="1"/>
  <c r="J218" i="19"/>
  <c r="I218" i="19" s="1"/>
  <c r="J219" i="19"/>
  <c r="I219" i="19" s="1"/>
  <c r="J220" i="19"/>
  <c r="I220" i="19" s="1"/>
  <c r="J221" i="19"/>
  <c r="I221" i="19" s="1"/>
  <c r="J222" i="19"/>
  <c r="I222" i="19" s="1"/>
  <c r="J223" i="19"/>
  <c r="I223" i="19" s="1"/>
  <c r="J224" i="19"/>
  <c r="I224" i="19" s="1"/>
  <c r="J225" i="19"/>
  <c r="I225" i="19" s="1"/>
  <c r="J226" i="19"/>
  <c r="I226" i="19" s="1"/>
  <c r="BD643" i="2" l="1"/>
  <c r="BA643" i="2"/>
  <c r="K23" i="7" l="1"/>
  <c r="K39" i="7"/>
  <c r="J23" i="7" l="1"/>
  <c r="J39" i="7"/>
  <c r="BE906" i="2"/>
  <c r="AQ904" i="2"/>
  <c r="AR904" i="2"/>
  <c r="AS904" i="2"/>
  <c r="AT904" i="2"/>
  <c r="AX904" i="2"/>
  <c r="AY904" i="2"/>
  <c r="AZ904" i="2" s="1"/>
  <c r="BE904" i="2"/>
  <c r="BD904" i="2"/>
  <c r="BF904" i="2"/>
  <c r="AQ905" i="2"/>
  <c r="AR905" i="2"/>
  <c r="AS905" i="2"/>
  <c r="AT905" i="2"/>
  <c r="AX905" i="2"/>
  <c r="AY905" i="2"/>
  <c r="AZ905" i="2" s="1"/>
  <c r="BE905" i="2"/>
  <c r="BD905" i="2"/>
  <c r="BF905" i="2"/>
  <c r="AQ906" i="2"/>
  <c r="AR906" i="2"/>
  <c r="AS906" i="2"/>
  <c r="AT906" i="2"/>
  <c r="AX906" i="2"/>
  <c r="AY906" i="2"/>
  <c r="AZ906" i="2" s="1"/>
  <c r="BF906" i="2"/>
  <c r="BD906" i="2" l="1"/>
  <c r="BA904" i="2"/>
  <c r="BA905" i="2"/>
  <c r="BA906" i="2"/>
  <c r="AQ915" i="2"/>
  <c r="AR915" i="2"/>
  <c r="AS915" i="2"/>
  <c r="AT915" i="2"/>
  <c r="AX915" i="2"/>
  <c r="AY915" i="2"/>
  <c r="AZ915" i="2" s="1"/>
  <c r="BE915" i="2"/>
  <c r="BF915" i="2"/>
  <c r="AQ916" i="2"/>
  <c r="AR916" i="2"/>
  <c r="AS916" i="2"/>
  <c r="AT916" i="2"/>
  <c r="AX916" i="2"/>
  <c r="AY916" i="2"/>
  <c r="AZ916" i="2" s="1"/>
  <c r="BE916" i="2"/>
  <c r="BF916" i="2"/>
  <c r="BD916" i="2" l="1"/>
  <c r="BD915" i="2"/>
  <c r="BA915" i="2"/>
  <c r="BA916" i="2"/>
  <c r="AQ917" i="2"/>
  <c r="AR917" i="2"/>
  <c r="AS917" i="2"/>
  <c r="AT917" i="2"/>
  <c r="AX917" i="2"/>
  <c r="AY917" i="2"/>
  <c r="AZ917" i="2" s="1"/>
  <c r="BD917" i="2"/>
  <c r="BF917" i="2"/>
  <c r="AQ925" i="2"/>
  <c r="AR925" i="2"/>
  <c r="AS925" i="2"/>
  <c r="AT925" i="2"/>
  <c r="AX925" i="2"/>
  <c r="AY925" i="2"/>
  <c r="AZ925" i="2" s="1"/>
  <c r="BD925" i="2"/>
  <c r="BF925" i="2"/>
  <c r="AQ926" i="2"/>
  <c r="AR926" i="2"/>
  <c r="AS926" i="2"/>
  <c r="AT926" i="2"/>
  <c r="AX926" i="2"/>
  <c r="AY926" i="2"/>
  <c r="AZ926" i="2" s="1"/>
  <c r="BD926" i="2"/>
  <c r="BF926" i="2"/>
  <c r="AQ659" i="2"/>
  <c r="AR659" i="2"/>
  <c r="AS659" i="2"/>
  <c r="AT659" i="2"/>
  <c r="AX659" i="2"/>
  <c r="AY659" i="2"/>
  <c r="AZ659" i="2" s="1"/>
  <c r="BE659" i="2"/>
  <c r="BD659" i="2"/>
  <c r="BF659" i="2"/>
  <c r="BA917" i="2" l="1"/>
  <c r="BE917" i="2"/>
  <c r="BA925" i="2"/>
  <c r="BE925" i="2"/>
  <c r="BA926" i="2"/>
  <c r="BE926" i="2"/>
  <c r="BA659" i="2"/>
  <c r="AQ855" i="2"/>
  <c r="AR855" i="2"/>
  <c r="AS855" i="2"/>
  <c r="AT855" i="2"/>
  <c r="AX855" i="2"/>
  <c r="AY855" i="2"/>
  <c r="AZ855" i="2" s="1"/>
  <c r="BD855" i="2"/>
  <c r="BF855" i="2"/>
  <c r="AQ856" i="2"/>
  <c r="AR856" i="2"/>
  <c r="AS856" i="2"/>
  <c r="AT856" i="2"/>
  <c r="AX856" i="2"/>
  <c r="AY856" i="2"/>
  <c r="AZ856" i="2" s="1"/>
  <c r="BD856" i="2"/>
  <c r="BF856" i="2"/>
  <c r="AQ862" i="2"/>
  <c r="AR862" i="2"/>
  <c r="AS862" i="2"/>
  <c r="AT862" i="2"/>
  <c r="AX862" i="2"/>
  <c r="AY862" i="2"/>
  <c r="AZ862" i="2" s="1"/>
  <c r="BD862" i="2"/>
  <c r="BF862" i="2"/>
  <c r="AQ879" i="2"/>
  <c r="AQ870" i="2"/>
  <c r="AQ872" i="2"/>
  <c r="AQ873" i="2"/>
  <c r="AQ874" i="2"/>
  <c r="AQ875" i="2"/>
  <c r="AQ892" i="2"/>
  <c r="AR653" i="2"/>
  <c r="AQ802" i="2"/>
  <c r="AR802" i="2"/>
  <c r="AS802" i="2"/>
  <c r="AT802" i="2"/>
  <c r="AX802" i="2"/>
  <c r="AY802" i="2"/>
  <c r="AZ802" i="2" s="1"/>
  <c r="BD802" i="2"/>
  <c r="BF802" i="2"/>
  <c r="AQ823" i="2"/>
  <c r="AR823" i="2"/>
  <c r="AS823" i="2"/>
  <c r="AT823" i="2"/>
  <c r="AX823" i="2"/>
  <c r="AY823" i="2"/>
  <c r="AZ823" i="2" s="1"/>
  <c r="BE823" i="2"/>
  <c r="BF823" i="2"/>
  <c r="K122" i="18" s="1"/>
  <c r="BA855" i="2" l="1"/>
  <c r="BE855" i="2"/>
  <c r="BA856" i="2"/>
  <c r="BE856" i="2"/>
  <c r="BA862" i="2"/>
  <c r="BE862" i="2"/>
  <c r="BA802" i="2"/>
  <c r="BE802" i="2"/>
  <c r="BD823" i="2"/>
  <c r="BA823" i="2"/>
  <c r="BB856" i="2" l="1"/>
  <c r="BB467" i="2"/>
  <c r="BB855" i="2"/>
  <c r="BB468" i="2"/>
  <c r="BD654" i="2" l="1"/>
  <c r="BD655" i="2"/>
  <c r="BE653" i="2"/>
  <c r="AQ653" i="2"/>
  <c r="AS653" i="2"/>
  <c r="AT653" i="2"/>
  <c r="AY653" i="2"/>
  <c r="AZ653" i="2" s="1"/>
  <c r="BF653" i="2"/>
  <c r="AQ655" i="2"/>
  <c r="AR655" i="2"/>
  <c r="AS655" i="2"/>
  <c r="AT655" i="2"/>
  <c r="AY655" i="2"/>
  <c r="AZ655" i="2" s="1"/>
  <c r="BF655" i="2"/>
  <c r="AQ654" i="2"/>
  <c r="AR654" i="2"/>
  <c r="AS654" i="2"/>
  <c r="AT654" i="2"/>
  <c r="AY654" i="2"/>
  <c r="AZ654" i="2" s="1"/>
  <c r="BF654" i="2"/>
  <c r="AX655" i="2" l="1"/>
  <c r="BA655" i="2" s="1"/>
  <c r="AX653" i="2"/>
  <c r="BA653" i="2" s="1"/>
  <c r="AX654" i="2"/>
  <c r="BA654" i="2" s="1"/>
  <c r="BD653" i="2"/>
  <c r="BE655" i="2"/>
  <c r="BE654" i="2"/>
  <c r="BE663" i="2"/>
  <c r="BE657" i="2"/>
  <c r="AQ663" i="2"/>
  <c r="AR663" i="2"/>
  <c r="AS663" i="2"/>
  <c r="AT663" i="2"/>
  <c r="AX663" i="2"/>
  <c r="AY663" i="2"/>
  <c r="AZ663" i="2" s="1"/>
  <c r="BF663" i="2"/>
  <c r="AQ656" i="2"/>
  <c r="AR656" i="2"/>
  <c r="AS656" i="2"/>
  <c r="AT656" i="2"/>
  <c r="AY656" i="2"/>
  <c r="AZ656" i="2" s="1"/>
  <c r="BE656" i="2"/>
  <c r="BF656" i="2"/>
  <c r="AQ657" i="2"/>
  <c r="AR657" i="2"/>
  <c r="AS657" i="2"/>
  <c r="AT657" i="2"/>
  <c r="AY657" i="2"/>
  <c r="AZ657" i="2" s="1"/>
  <c r="BF657" i="2"/>
  <c r="AX656" i="2" l="1"/>
  <c r="BA656" i="2" s="1"/>
  <c r="AX657" i="2"/>
  <c r="BA657" i="2" s="1"/>
  <c r="BD663" i="2"/>
  <c r="BD656" i="2"/>
  <c r="BD657" i="2"/>
  <c r="BA663" i="2"/>
  <c r="AQ736" i="2" l="1"/>
  <c r="AQ741" i="2" l="1"/>
  <c r="AQ742" i="2"/>
  <c r="AQ743" i="2"/>
  <c r="AQ744" i="2"/>
  <c r="AQ745" i="2"/>
  <c r="AQ746" i="2"/>
  <c r="AQ747" i="2"/>
  <c r="AQ748" i="2"/>
  <c r="AQ749" i="2"/>
  <c r="AQ750" i="2"/>
  <c r="AQ751" i="2"/>
  <c r="AQ752" i="2"/>
  <c r="AQ753" i="2"/>
  <c r="AQ754" i="2"/>
  <c r="AQ755" i="2"/>
  <c r="AQ756" i="2"/>
  <c r="AQ757" i="2"/>
  <c r="AQ758" i="2"/>
  <c r="AQ759" i="2"/>
  <c r="AQ739" i="2"/>
  <c r="AQ790" i="2"/>
  <c r="AQ799" i="2"/>
  <c r="AR799" i="2"/>
  <c r="AS799" i="2"/>
  <c r="AT799" i="2"/>
  <c r="AY799" i="2"/>
  <c r="AZ799" i="2" s="1"/>
  <c r="BD799" i="2"/>
  <c r="BE799" i="2"/>
  <c r="BF799" i="2"/>
  <c r="AX799" i="2" l="1"/>
  <c r="BA799" i="2" s="1"/>
  <c r="AQ722" i="2"/>
  <c r="AR722" i="2"/>
  <c r="AS722" i="2"/>
  <c r="AT722" i="2"/>
  <c r="AY722" i="2"/>
  <c r="AZ722" i="2" s="1"/>
  <c r="BE722" i="2"/>
  <c r="BD722" i="2"/>
  <c r="BF722" i="2"/>
  <c r="K118" i="18" s="1"/>
  <c r="AQ720" i="2"/>
  <c r="AR720" i="2"/>
  <c r="AS720" i="2"/>
  <c r="AT720" i="2"/>
  <c r="AY720" i="2"/>
  <c r="AZ720" i="2" s="1"/>
  <c r="BE720" i="2"/>
  <c r="BF720" i="2"/>
  <c r="AX722" i="2" l="1"/>
  <c r="BA722" i="2" s="1"/>
  <c r="AX720" i="2"/>
  <c r="BA720" i="2" s="1"/>
  <c r="BD720" i="2"/>
  <c r="AQ674" i="2"/>
  <c r="BB907" i="2" l="1"/>
  <c r="BB843" i="2"/>
  <c r="BB722" i="2"/>
  <c r="I9" i="23" s="1"/>
  <c r="M9" i="23" s="1"/>
  <c r="BB949" i="2"/>
  <c r="H17" i="7"/>
  <c r="R17" i="7" s="1"/>
  <c r="H34" i="7"/>
  <c r="R34" i="7" s="1"/>
  <c r="H7" i="7"/>
  <c r="R7" i="7" s="1"/>
  <c r="H44" i="7"/>
  <c r="R44" i="7" s="1"/>
  <c r="H9" i="7"/>
  <c r="R9" i="7" s="1"/>
  <c r="H45" i="7"/>
  <c r="R45" i="7" s="1"/>
  <c r="H18" i="7"/>
  <c r="R18" i="7" s="1"/>
  <c r="H27" i="7"/>
  <c r="R27" i="7" s="1"/>
  <c r="H19" i="7"/>
  <c r="R19" i="7" s="1"/>
  <c r="H26" i="7"/>
  <c r="R26" i="7" s="1"/>
  <c r="H20" i="7"/>
  <c r="R20" i="7" s="1"/>
  <c r="H13" i="7"/>
  <c r="R13" i="7" s="1"/>
  <c r="H22" i="7"/>
  <c r="R22" i="7" s="1"/>
  <c r="H16" i="7"/>
  <c r="R16" i="7" s="1"/>
  <c r="H11" i="7"/>
  <c r="R11" i="7" s="1"/>
  <c r="H40" i="7"/>
  <c r="R40" i="7" s="1"/>
  <c r="H41" i="7"/>
  <c r="R41" i="7" s="1"/>
  <c r="H14" i="7"/>
  <c r="R14" i="7" s="1"/>
  <c r="H24" i="7"/>
  <c r="R24" i="7" s="1"/>
  <c r="H28" i="7"/>
  <c r="R28" i="7" s="1"/>
  <c r="H5" i="7"/>
  <c r="R5" i="7" s="1"/>
  <c r="H33" i="7"/>
  <c r="R33" i="7" s="1"/>
  <c r="H21" i="7"/>
  <c r="R21" i="7" s="1"/>
  <c r="H35" i="7"/>
  <c r="R35" i="7" s="1"/>
  <c r="H29" i="7"/>
  <c r="R29" i="7" s="1"/>
  <c r="H30" i="7"/>
  <c r="R30" i="7" s="1"/>
  <c r="H43" i="7"/>
  <c r="R43" i="7" s="1"/>
  <c r="H37" i="7"/>
  <c r="R37" i="7" s="1"/>
  <c r="H8" i="7"/>
  <c r="R8" i="7" s="1"/>
  <c r="H42" i="7"/>
  <c r="R42" i="7" s="1"/>
  <c r="H12" i="7"/>
  <c r="R12" i="7" s="1"/>
  <c r="H31" i="7"/>
  <c r="R31" i="7" s="1"/>
  <c r="H38" i="7"/>
  <c r="R38" i="7" s="1"/>
  <c r="H15" i="7"/>
  <c r="R15" i="7" s="1"/>
  <c r="H32" i="7"/>
  <c r="R32" i="7" s="1"/>
  <c r="H6" i="7"/>
  <c r="R6" i="7" s="1"/>
  <c r="H36" i="7"/>
  <c r="R36" i="7" s="1"/>
  <c r="H25" i="7"/>
  <c r="R25" i="7" s="1"/>
  <c r="F17" i="7"/>
  <c r="F34" i="7"/>
  <c r="BF662" i="2"/>
  <c r="BF664" i="2"/>
  <c r="BF665" i="2"/>
  <c r="BF667" i="2"/>
  <c r="BF668" i="2"/>
  <c r="BF669" i="2"/>
  <c r="BF671" i="2"/>
  <c r="BF672" i="2"/>
  <c r="BF674" i="2"/>
  <c r="BF675" i="2"/>
  <c r="BF676" i="2"/>
  <c r="BF673" i="2"/>
  <c r="BF677" i="2"/>
  <c r="BF678" i="2"/>
  <c r="BF679" i="2"/>
  <c r="BF680" i="2"/>
  <c r="BF681" i="2"/>
  <c r="BF682" i="2"/>
  <c r="BF683" i="2"/>
  <c r="BF685" i="2"/>
  <c r="BF686" i="2"/>
  <c r="BF687" i="2"/>
  <c r="BF688" i="2"/>
  <c r="BF689" i="2"/>
  <c r="BF690" i="2"/>
  <c r="BF691" i="2"/>
  <c r="BF692" i="2"/>
  <c r="BF693" i="2"/>
  <c r="BF695" i="2"/>
  <c r="BF696" i="2"/>
  <c r="BF697" i="2"/>
  <c r="BF698" i="2"/>
  <c r="BF694" i="2"/>
  <c r="BF699" i="2"/>
  <c r="BF700" i="2"/>
  <c r="BF701" i="2"/>
  <c r="BF702" i="2"/>
  <c r="BF703" i="2"/>
  <c r="BF707" i="2"/>
  <c r="BF711" i="2"/>
  <c r="BF712" i="2"/>
  <c r="BF713" i="2"/>
  <c r="BF710" i="2"/>
  <c r="BF714" i="2"/>
  <c r="BF715" i="2"/>
  <c r="BF716" i="2"/>
  <c r="BF717" i="2"/>
  <c r="BF718" i="2"/>
  <c r="BF723" i="2"/>
  <c r="BF724" i="2"/>
  <c r="BF725" i="2"/>
  <c r="BF726" i="2"/>
  <c r="BF727" i="2"/>
  <c r="BF728" i="2"/>
  <c r="BF729" i="2"/>
  <c r="K119" i="18" s="1"/>
  <c r="BF730" i="2"/>
  <c r="BF732" i="2"/>
  <c r="BF733" i="2"/>
  <c r="BF731" i="2"/>
  <c r="BF734" i="2"/>
  <c r="BF735" i="2"/>
  <c r="BF736" i="2"/>
  <c r="BF737" i="2"/>
  <c r="BF738" i="2"/>
  <c r="BF740" i="2"/>
  <c r="BF741" i="2"/>
  <c r="BF742" i="2"/>
  <c r="BF743" i="2"/>
  <c r="BF744" i="2"/>
  <c r="BF745" i="2"/>
  <c r="BF746" i="2"/>
  <c r="BF747" i="2"/>
  <c r="BF748" i="2"/>
  <c r="BF749" i="2"/>
  <c r="BF750" i="2"/>
  <c r="BF751" i="2"/>
  <c r="BF752" i="2"/>
  <c r="BF753" i="2"/>
  <c r="BF754" i="2"/>
  <c r="BF755" i="2"/>
  <c r="BF756" i="2"/>
  <c r="BF757" i="2"/>
  <c r="BF758" i="2"/>
  <c r="BF759" i="2"/>
  <c r="BF739" i="2"/>
  <c r="BF760" i="2"/>
  <c r="BF762" i="2"/>
  <c r="BF763" i="2"/>
  <c r="BF764" i="2"/>
  <c r="BF765" i="2"/>
  <c r="BF766" i="2"/>
  <c r="BF767" i="2"/>
  <c r="BF768" i="2"/>
  <c r="BF761" i="2"/>
  <c r="BF769" i="2"/>
  <c r="BF772" i="2"/>
  <c r="BF773" i="2"/>
  <c r="BF774" i="2"/>
  <c r="BF775" i="2"/>
  <c r="BF776" i="2"/>
  <c r="BF777" i="2"/>
  <c r="BF778" i="2"/>
  <c r="BF779" i="2"/>
  <c r="BF780" i="2"/>
  <c r="BF782" i="2"/>
  <c r="BF781" i="2"/>
  <c r="BF819" i="2"/>
  <c r="BF783" i="2"/>
  <c r="BF820" i="2"/>
  <c r="BF821" i="2"/>
  <c r="BF784" i="2"/>
  <c r="BF785" i="2"/>
  <c r="BF786" i="2"/>
  <c r="BF787" i="2"/>
  <c r="BF788" i="2"/>
  <c r="BF789" i="2"/>
  <c r="BF790" i="2"/>
  <c r="BF791" i="2"/>
  <c r="BF792" i="2"/>
  <c r="BF793" i="2"/>
  <c r="BF794" i="2"/>
  <c r="BF795" i="2"/>
  <c r="BF796" i="2"/>
  <c r="BF797" i="2"/>
  <c r="BF798" i="2"/>
  <c r="BF803" i="2"/>
  <c r="BF804" i="2"/>
  <c r="BF805" i="2"/>
  <c r="BF807" i="2"/>
  <c r="BF808" i="2"/>
  <c r="BF809" i="2"/>
  <c r="BF810" i="2"/>
  <c r="BF806" i="2"/>
  <c r="BF811" i="2"/>
  <c r="BF812" i="2"/>
  <c r="BF813" i="2"/>
  <c r="BF814" i="2"/>
  <c r="BF816" i="2"/>
  <c r="K120" i="18" s="1"/>
  <c r="BF817" i="2"/>
  <c r="K121" i="18" s="1"/>
  <c r="BF818" i="2"/>
  <c r="BF815" i="2"/>
  <c r="BF822" i="2"/>
  <c r="BF825" i="2"/>
  <c r="BF826" i="2"/>
  <c r="BF827" i="2"/>
  <c r="BF828" i="2"/>
  <c r="BF829" i="2"/>
  <c r="BF830" i="2"/>
  <c r="BF831" i="2"/>
  <c r="BF832" i="2"/>
  <c r="BF836" i="2"/>
  <c r="BF837" i="2"/>
  <c r="BF838" i="2"/>
  <c r="K124" i="18" s="1"/>
  <c r="BF839" i="2"/>
  <c r="K125" i="18" s="1"/>
  <c r="BF840" i="2"/>
  <c r="K126" i="18" s="1"/>
  <c r="BF841" i="2"/>
  <c r="K127" i="18" s="1"/>
  <c r="BF842" i="2"/>
  <c r="BF846" i="2"/>
  <c r="BF845" i="2"/>
  <c r="BF847" i="2"/>
  <c r="BF848" i="2"/>
  <c r="BF849" i="2"/>
  <c r="BF850" i="2"/>
  <c r="BF851" i="2"/>
  <c r="BF852" i="2"/>
  <c r="BF853" i="2"/>
  <c r="BF854" i="2"/>
  <c r="BF858" i="2"/>
  <c r="BF859" i="2"/>
  <c r="BF860" i="2"/>
  <c r="BF861" i="2"/>
  <c r="BF857" i="2"/>
  <c r="BF863" i="2"/>
  <c r="BF868" i="2"/>
  <c r="BF869" i="2"/>
  <c r="BF870" i="2"/>
  <c r="BF871" i="2"/>
  <c r="BF872" i="2"/>
  <c r="BF873" i="2"/>
  <c r="BF874" i="2"/>
  <c r="BF875" i="2"/>
  <c r="BF876" i="2"/>
  <c r="BF877" i="2"/>
  <c r="BF878" i="2"/>
  <c r="BF879" i="2"/>
  <c r="BF867" i="2"/>
  <c r="BF880" i="2"/>
  <c r="BF881" i="2"/>
  <c r="BF882" i="2"/>
  <c r="BF883" i="2"/>
  <c r="BF884" i="2"/>
  <c r="BF885" i="2"/>
  <c r="BF886" i="2"/>
  <c r="BF887" i="2"/>
  <c r="BF888" i="2"/>
  <c r="BF889" i="2"/>
  <c r="BF894" i="2"/>
  <c r="K131" i="18" s="1"/>
  <c r="BF921" i="2"/>
  <c r="K134" i="18" s="1"/>
  <c r="BF892" i="2"/>
  <c r="BF893" i="2"/>
  <c r="BF895" i="2"/>
  <c r="BF896" i="2"/>
  <c r="K132" i="18" s="1"/>
  <c r="BF897" i="2"/>
  <c r="K133" i="18" s="1"/>
  <c r="BF898" i="2"/>
  <c r="BF899" i="2"/>
  <c r="BF900" i="2"/>
  <c r="BF902" i="2"/>
  <c r="BF903" i="2"/>
  <c r="BF910" i="2"/>
  <c r="BF911" i="2"/>
  <c r="BF912" i="2"/>
  <c r="BF913" i="2"/>
  <c r="BF914" i="2"/>
  <c r="BF918" i="2"/>
  <c r="BF919" i="2"/>
  <c r="BF920" i="2"/>
  <c r="BF922" i="2"/>
  <c r="BF923" i="2"/>
  <c r="K135" i="18" s="1"/>
  <c r="BF924" i="2"/>
  <c r="BF927" i="2"/>
  <c r="BF928" i="2"/>
  <c r="BF929" i="2"/>
  <c r="BF930" i="2"/>
  <c r="BF931" i="2"/>
  <c r="BF932" i="2"/>
  <c r="BF933" i="2"/>
  <c r="BF934" i="2"/>
  <c r="BF935" i="2"/>
  <c r="BF936" i="2"/>
  <c r="K136" i="18" s="1"/>
  <c r="BF937" i="2"/>
  <c r="BF938" i="2"/>
  <c r="BF939" i="2"/>
  <c r="BF941" i="2"/>
  <c r="BF942" i="2"/>
  <c r="BF943" i="2"/>
  <c r="BF944" i="2"/>
  <c r="K137" i="18" s="1"/>
  <c r="BF945" i="2"/>
  <c r="BF946" i="2"/>
  <c r="BF947" i="2"/>
  <c r="BF948" i="2"/>
  <c r="BF954" i="2"/>
  <c r="BF890" i="2"/>
  <c r="BF955" i="2"/>
  <c r="BF956" i="2"/>
  <c r="K138" i="18" s="1"/>
  <c r="BF957" i="2"/>
  <c r="BF958" i="2"/>
  <c r="BF960" i="2"/>
  <c r="BF961" i="2"/>
  <c r="BF962" i="2"/>
  <c r="BF963" i="2"/>
  <c r="BF964" i="2"/>
  <c r="BF965" i="2"/>
  <c r="BF966" i="2"/>
  <c r="BF891" i="2"/>
  <c r="BF967" i="2"/>
  <c r="BF968" i="2"/>
  <c r="BF969" i="2"/>
  <c r="BF970" i="2"/>
  <c r="BF971" i="2"/>
  <c r="BF972" i="2"/>
  <c r="BF973" i="2"/>
  <c r="BF974" i="2"/>
  <c r="BF975" i="2"/>
  <c r="BF976" i="2"/>
  <c r="BF977" i="2"/>
  <c r="BF978" i="2"/>
  <c r="BF979" i="2"/>
  <c r="BF980" i="2"/>
  <c r="BF981" i="2"/>
  <c r="BF982" i="2"/>
  <c r="BF983" i="2"/>
  <c r="BF984" i="2"/>
  <c r="BF985" i="2"/>
  <c r="BF986" i="2"/>
  <c r="BF987" i="2"/>
  <c r="BF988" i="2"/>
  <c r="BF989" i="2"/>
  <c r="BF990" i="2"/>
  <c r="BF991" i="2"/>
  <c r="BF992" i="2"/>
  <c r="BF993" i="2"/>
  <c r="BF994" i="2"/>
  <c r="BF995" i="2"/>
  <c r="BF996" i="2"/>
  <c r="BF1013" i="2"/>
  <c r="BF997" i="2"/>
  <c r="BF998" i="2"/>
  <c r="BF999" i="2"/>
  <c r="BF1000" i="2"/>
  <c r="BF1001" i="2"/>
  <c r="BF1002" i="2"/>
  <c r="BF1003" i="2"/>
  <c r="BF1004" i="2"/>
  <c r="BF1005" i="2"/>
  <c r="BF1006" i="2"/>
  <c r="BF1007" i="2"/>
  <c r="BF1008" i="2"/>
  <c r="BF1009" i="2"/>
  <c r="BF1010" i="2"/>
  <c r="BF1011" i="2"/>
  <c r="BF1014" i="2"/>
  <c r="BF1015" i="2"/>
  <c r="BF1016" i="2"/>
  <c r="BF1017" i="2"/>
  <c r="BF1018" i="2"/>
  <c r="BF1019" i="2"/>
  <c r="K140" i="18" s="1"/>
  <c r="BF1020" i="2"/>
  <c r="BF1021" i="2"/>
  <c r="K141" i="18" s="1"/>
  <c r="BF1022" i="2"/>
  <c r="BF1023" i="2"/>
  <c r="BF1024" i="2"/>
  <c r="BF1025" i="2"/>
  <c r="K142" i="18" s="1"/>
  <c r="BF1026" i="2"/>
  <c r="BF1027" i="2"/>
  <c r="BF1028" i="2"/>
  <c r="BF1029" i="2"/>
  <c r="BF1030" i="2"/>
  <c r="BF1031" i="2"/>
  <c r="BF1032" i="2"/>
  <c r="BF1033" i="2"/>
  <c r="BF1034" i="2"/>
  <c r="BF1035" i="2"/>
  <c r="BF1037" i="2"/>
  <c r="BF1038" i="2"/>
  <c r="BF1039" i="2"/>
  <c r="BF1040" i="2"/>
  <c r="BF1041" i="2"/>
  <c r="BF1042" i="2"/>
  <c r="K143" i="18" s="1"/>
  <c r="BF1043" i="2"/>
  <c r="BF1044" i="2"/>
  <c r="BF1045" i="2"/>
  <c r="BF1046" i="2"/>
  <c r="K144" i="18" s="1"/>
  <c r="BF1047" i="2"/>
  <c r="BF1048" i="2"/>
  <c r="K145" i="18" s="1"/>
  <c r="BF1049" i="2"/>
  <c r="K146" i="18" s="1"/>
  <c r="BF1050" i="2"/>
  <c r="BF1051" i="2"/>
  <c r="BF1052" i="2"/>
  <c r="K147" i="18" s="1"/>
  <c r="BF1053" i="2"/>
  <c r="BF1054" i="2"/>
  <c r="BF1055" i="2"/>
  <c r="BF1056" i="2"/>
  <c r="BF1057" i="2"/>
  <c r="BF1058" i="2"/>
  <c r="K148" i="18" s="1"/>
  <c r="BF1059" i="2"/>
  <c r="BF1060" i="2"/>
  <c r="K149" i="18" s="1"/>
  <c r="BF1061" i="2"/>
  <c r="BF1062" i="2"/>
  <c r="K150" i="18" s="1"/>
  <c r="BF1063" i="2"/>
  <c r="BF1064" i="2"/>
  <c r="BF1065" i="2"/>
  <c r="BF1066" i="2"/>
  <c r="BF1067" i="2"/>
  <c r="K151" i="18" s="1"/>
  <c r="BF1068" i="2"/>
  <c r="BF1069" i="2"/>
  <c r="BF1070" i="2"/>
  <c r="K152" i="18" s="1"/>
  <c r="BF1071" i="2"/>
  <c r="K153" i="18" s="1"/>
  <c r="BF1072" i="2"/>
  <c r="BF1073" i="2"/>
  <c r="BF1074" i="2"/>
  <c r="K154" i="18" s="1"/>
  <c r="BF1075" i="2"/>
  <c r="K155" i="18" s="1"/>
  <c r="BF1076" i="2"/>
  <c r="K156" i="18" s="1"/>
  <c r="BF1077" i="2"/>
  <c r="K157" i="18" s="1"/>
  <c r="BF1078" i="2"/>
  <c r="K158" i="18" s="1"/>
  <c r="BF1079" i="2"/>
  <c r="BF1080" i="2"/>
  <c r="BF1081" i="2"/>
  <c r="BF1082" i="2"/>
  <c r="BF1083" i="2"/>
  <c r="BF1084" i="2"/>
  <c r="K159" i="18" s="1"/>
  <c r="BF1085" i="2"/>
  <c r="BF1086" i="2"/>
  <c r="K160" i="18" s="1"/>
  <c r="BF1087" i="2"/>
  <c r="BF1088" i="2"/>
  <c r="BF1089" i="2"/>
  <c r="BF1090" i="2"/>
  <c r="BF1091" i="2"/>
  <c r="BF1092" i="2"/>
  <c r="BF1093" i="2"/>
  <c r="BF1094" i="2"/>
  <c r="K161" i="18" s="1"/>
  <c r="BF1095" i="2"/>
  <c r="K162" i="18" s="1"/>
  <c r="BF1096" i="2"/>
  <c r="BF1097" i="2"/>
  <c r="K163" i="18" s="1"/>
  <c r="BF1098" i="2"/>
  <c r="BF1099" i="2"/>
  <c r="K164" i="18" s="1"/>
  <c r="BF1100" i="2"/>
  <c r="BF1101" i="2"/>
  <c r="BF1102" i="2"/>
  <c r="BF1103" i="2"/>
  <c r="K165" i="18" s="1"/>
  <c r="BF1104" i="2"/>
  <c r="BF1105" i="2"/>
  <c r="K166" i="18" s="1"/>
  <c r="BF1106" i="2"/>
  <c r="K167" i="18" s="1"/>
  <c r="BF1107" i="2"/>
  <c r="BF1108" i="2"/>
  <c r="BF1109" i="2"/>
  <c r="BF1110" i="2"/>
  <c r="BF1111" i="2"/>
  <c r="BF1112" i="2"/>
  <c r="BF1113" i="2"/>
  <c r="BF1114" i="2"/>
  <c r="BF1115" i="2"/>
  <c r="BF1116" i="2"/>
  <c r="BF1117" i="2"/>
  <c r="BF1118" i="2"/>
  <c r="BF1119" i="2"/>
  <c r="K168" i="18" s="1"/>
  <c r="BF1120" i="2"/>
  <c r="K169" i="18" s="1"/>
  <c r="BF1121" i="2"/>
  <c r="K170" i="18" s="1"/>
  <c r="BF1122" i="2"/>
  <c r="BF1123" i="2"/>
  <c r="K171" i="18" s="1"/>
  <c r="BF1124" i="2"/>
  <c r="BF1125" i="2"/>
  <c r="BF1126" i="2"/>
  <c r="BF1127" i="2"/>
  <c r="BF1128" i="2"/>
  <c r="K172" i="18" s="1"/>
  <c r="BF1129" i="2"/>
  <c r="BF1130" i="2"/>
  <c r="BF1131" i="2"/>
  <c r="BF1132" i="2"/>
  <c r="BF1133" i="2"/>
  <c r="BF1134" i="2"/>
  <c r="BF1135" i="2"/>
  <c r="BF1136" i="2"/>
  <c r="BF1137" i="2"/>
  <c r="BF1138" i="2"/>
  <c r="BF1139" i="2"/>
  <c r="BF1140" i="2"/>
  <c r="BF1141" i="2"/>
  <c r="BF1142" i="2"/>
  <c r="BF1143" i="2"/>
  <c r="BF1144" i="2"/>
  <c r="BF1145" i="2"/>
  <c r="BF1146" i="2"/>
  <c r="K173" i="18" s="1"/>
  <c r="BF1147" i="2"/>
  <c r="BF1148" i="2"/>
  <c r="K174" i="18" s="1"/>
  <c r="BF1149" i="2"/>
  <c r="BF1150" i="2"/>
  <c r="BF1151" i="2"/>
  <c r="BF1152" i="2"/>
  <c r="BF1153" i="2"/>
  <c r="N9" i="23" l="1"/>
  <c r="S9" i="23"/>
  <c r="BE668" i="2"/>
  <c r="BE669" i="2"/>
  <c r="BD677" i="2"/>
  <c r="BE665" i="2"/>
  <c r="BD664" i="2"/>
  <c r="AQ662" i="2"/>
  <c r="AR662" i="2"/>
  <c r="AS662" i="2"/>
  <c r="AT662" i="2"/>
  <c r="J20" i="7"/>
  <c r="AY662" i="2"/>
  <c r="AZ662" i="2" s="1"/>
  <c r="BD662" i="2"/>
  <c r="AQ664" i="2"/>
  <c r="AR664" i="2"/>
  <c r="AS664" i="2"/>
  <c r="AT664" i="2"/>
  <c r="AY664" i="2"/>
  <c r="AZ664" i="2" s="1"/>
  <c r="AQ665" i="2"/>
  <c r="AR665" i="2"/>
  <c r="AS665" i="2"/>
  <c r="AT665" i="2"/>
  <c r="AY665" i="2"/>
  <c r="AZ665" i="2" s="1"/>
  <c r="AQ668" i="2"/>
  <c r="AR668" i="2"/>
  <c r="AS668" i="2"/>
  <c r="AT668" i="2"/>
  <c r="AY668" i="2"/>
  <c r="AZ668" i="2" s="1"/>
  <c r="AQ669" i="2"/>
  <c r="AR669" i="2"/>
  <c r="AS669" i="2"/>
  <c r="AT669" i="2"/>
  <c r="AY669" i="2"/>
  <c r="AZ669" i="2" s="1"/>
  <c r="AR677" i="2"/>
  <c r="AS677" i="2"/>
  <c r="AT677" i="2"/>
  <c r="AY677" i="2"/>
  <c r="AZ677" i="2" s="1"/>
  <c r="J42" i="7" l="1"/>
  <c r="J6" i="7"/>
  <c r="J32" i="7"/>
  <c r="J8" i="7"/>
  <c r="AX677" i="2"/>
  <c r="BA677" i="2" s="1"/>
  <c r="AX669" i="2"/>
  <c r="BA669" i="2" s="1"/>
  <c r="AX668" i="2"/>
  <c r="BA668" i="2" s="1"/>
  <c r="AX665" i="2"/>
  <c r="BA665" i="2" s="1"/>
  <c r="AX664" i="2"/>
  <c r="BA664" i="2" s="1"/>
  <c r="AX662" i="2"/>
  <c r="BA662" i="2" s="1"/>
  <c r="BE677" i="2"/>
  <c r="BD665" i="2"/>
  <c r="BD668" i="2"/>
  <c r="BE662" i="2"/>
  <c r="BE664" i="2"/>
  <c r="BD669" i="2"/>
  <c r="BB612" i="2" l="1"/>
  <c r="BB608" i="2"/>
  <c r="BB677" i="2"/>
  <c r="K28" i="12"/>
  <c r="I11" i="23" l="1"/>
  <c r="M11" i="23" s="1"/>
  <c r="N11" i="23" s="1"/>
  <c r="C15" i="15"/>
  <c r="C16" i="15"/>
  <c r="C17" i="15"/>
  <c r="C19" i="15"/>
  <c r="C20" i="15"/>
  <c r="C21" i="15"/>
  <c r="C22" i="15"/>
  <c r="C23" i="15"/>
  <c r="C24" i="15"/>
  <c r="C25" i="15"/>
  <c r="C26" i="15"/>
  <c r="C27" i="15"/>
  <c r="C28" i="15"/>
  <c r="C29" i="15"/>
  <c r="C30" i="15"/>
  <c r="C31" i="15"/>
  <c r="C22" i="14"/>
  <c r="O22" i="14" s="1"/>
  <c r="C23" i="14"/>
  <c r="O23" i="14" s="1"/>
  <c r="C24" i="14"/>
  <c r="O24" i="14" s="1"/>
  <c r="C25" i="14"/>
  <c r="O25" i="14" s="1"/>
  <c r="C26" i="14"/>
  <c r="O26" i="14" s="1"/>
  <c r="C27" i="14"/>
  <c r="O27" i="14" s="1"/>
  <c r="C28" i="14"/>
  <c r="O28" i="14" s="1"/>
  <c r="C29" i="14"/>
  <c r="O29" i="14" s="1"/>
  <c r="C30" i="14"/>
  <c r="O30" i="14" s="1"/>
  <c r="C31" i="14"/>
  <c r="O31" i="14" s="1"/>
  <c r="C32" i="14"/>
  <c r="O32" i="14" s="1"/>
  <c r="C33" i="14"/>
  <c r="O33" i="14" s="1"/>
  <c r="C34" i="14"/>
  <c r="O34" i="14" s="1"/>
  <c r="C35" i="14"/>
  <c r="O35" i="14" s="1"/>
  <c r="C36" i="14"/>
  <c r="O36" i="14" s="1"/>
  <c r="C37" i="14"/>
  <c r="O37" i="14" s="1"/>
  <c r="C38" i="14"/>
  <c r="O38" i="14" s="1"/>
  <c r="C30" i="12"/>
  <c r="K30" i="12" s="1"/>
  <c r="C31" i="12"/>
  <c r="K31" i="12" s="1"/>
  <c r="C32" i="12"/>
  <c r="K32" i="12" s="1"/>
  <c r="C33" i="12"/>
  <c r="K33" i="12" s="1"/>
  <c r="C34" i="12"/>
  <c r="K34" i="12" s="1"/>
  <c r="C35" i="12"/>
  <c r="K35" i="12" s="1"/>
  <c r="C36" i="12"/>
  <c r="K36" i="12" s="1"/>
  <c r="C37" i="12"/>
  <c r="K37" i="12" s="1"/>
  <c r="C38" i="12"/>
  <c r="K38" i="12" s="1"/>
  <c r="C39" i="12"/>
  <c r="K39" i="12" s="1"/>
  <c r="C40" i="12"/>
  <c r="K40" i="12" s="1"/>
  <c r="C41" i="12"/>
  <c r="K41" i="12" s="1"/>
  <c r="C42" i="12"/>
  <c r="K42" i="12" s="1"/>
  <c r="C43" i="12"/>
  <c r="K43" i="12" s="1"/>
  <c r="C44" i="12"/>
  <c r="K44" i="12" s="1"/>
  <c r="S11" i="23" l="1"/>
  <c r="C17" i="7"/>
  <c r="O17" i="7"/>
  <c r="Q17" i="7" s="1"/>
  <c r="O34" i="7"/>
  <c r="Q34" i="7" s="1"/>
  <c r="O7" i="7"/>
  <c r="Q7" i="7" s="1"/>
  <c r="O44" i="7"/>
  <c r="Q44" i="7" s="1"/>
  <c r="O9" i="7"/>
  <c r="Q9" i="7" s="1"/>
  <c r="O45" i="7"/>
  <c r="Q45" i="7" s="1"/>
  <c r="O18" i="7"/>
  <c r="Q18" i="7" s="1"/>
  <c r="O27" i="7"/>
  <c r="Q27" i="7" s="1"/>
  <c r="O19" i="7"/>
  <c r="Q19" i="7" s="1"/>
  <c r="O26" i="7"/>
  <c r="O20" i="7"/>
  <c r="Q20" i="7" s="1"/>
  <c r="O13" i="7"/>
  <c r="O22" i="7"/>
  <c r="O16" i="7"/>
  <c r="O11" i="7"/>
  <c r="O40" i="7"/>
  <c r="Q40" i="7" s="1"/>
  <c r="O41" i="7"/>
  <c r="Q41" i="7" s="1"/>
  <c r="O14" i="7"/>
  <c r="Q14" i="7" s="1"/>
  <c r="O24" i="7"/>
  <c r="Q24" i="7" s="1"/>
  <c r="O28" i="7"/>
  <c r="Q28" i="7" s="1"/>
  <c r="O5" i="7"/>
  <c r="Q5" i="7" s="1"/>
  <c r="O33" i="7"/>
  <c r="Q33" i="7" s="1"/>
  <c r="O21" i="7"/>
  <c r="Q21" i="7" s="1"/>
  <c r="O35" i="7"/>
  <c r="Q35" i="7" s="1"/>
  <c r="O29" i="7"/>
  <c r="Q29" i="7" s="1"/>
  <c r="O30" i="7"/>
  <c r="Q30" i="7" s="1"/>
  <c r="O43" i="7"/>
  <c r="Q43" i="7" s="1"/>
  <c r="O37" i="7"/>
  <c r="Q37" i="7" s="1"/>
  <c r="O8" i="7"/>
  <c r="Q8" i="7" s="1"/>
  <c r="O42" i="7"/>
  <c r="Q42" i="7" s="1"/>
  <c r="O12" i="7"/>
  <c r="O31" i="7"/>
  <c r="Q31" i="7" s="1"/>
  <c r="O38" i="7"/>
  <c r="Q38" i="7" s="1"/>
  <c r="O15" i="7"/>
  <c r="Q15" i="7" s="1"/>
  <c r="O32" i="7"/>
  <c r="Q32" i="7" s="1"/>
  <c r="O6" i="7"/>
  <c r="Q6" i="7" s="1"/>
  <c r="O36" i="7"/>
  <c r="Q36" i="7" s="1"/>
  <c r="O25" i="7"/>
  <c r="Q25" i="7" s="1"/>
  <c r="BD674" i="2"/>
  <c r="BD678" i="2"/>
  <c r="BD691" i="2"/>
  <c r="BD696" i="2"/>
  <c r="BD713" i="2"/>
  <c r="BD716" i="2"/>
  <c r="BD733" i="2"/>
  <c r="BD736" i="2"/>
  <c r="BD749" i="2"/>
  <c r="BD753" i="2"/>
  <c r="BD765" i="2"/>
  <c r="BD761" i="2"/>
  <c r="BD781" i="2"/>
  <c r="BD820" i="2"/>
  <c r="BD793" i="2"/>
  <c r="BD797" i="2"/>
  <c r="BD813" i="2"/>
  <c r="BD818" i="2"/>
  <c r="BD838" i="2"/>
  <c r="BD842" i="2"/>
  <c r="BD859" i="2"/>
  <c r="BD863" i="2"/>
  <c r="BD876" i="2"/>
  <c r="BD879" i="2"/>
  <c r="BD883" i="2"/>
  <c r="BD886" i="2"/>
  <c r="BD921" i="2"/>
  <c r="BD895" i="2"/>
  <c r="BD900" i="2"/>
  <c r="BD910" i="2"/>
  <c r="BD918" i="2"/>
  <c r="BD922" i="2"/>
  <c r="BD927" i="2"/>
  <c r="BD930" i="2"/>
  <c r="BD933" i="2"/>
  <c r="BD934" i="2"/>
  <c r="BD937" i="2"/>
  <c r="BD938" i="2"/>
  <c r="BD942" i="2"/>
  <c r="BD943" i="2"/>
  <c r="BD946" i="2"/>
  <c r="BD947" i="2"/>
  <c r="BD890" i="2"/>
  <c r="BD955" i="2"/>
  <c r="BD958" i="2"/>
  <c r="BD962" i="2"/>
  <c r="BD963" i="2"/>
  <c r="BD966" i="2"/>
  <c r="BD891" i="2"/>
  <c r="BD969" i="2"/>
  <c r="BD970" i="2"/>
  <c r="BD973" i="2"/>
  <c r="BD974" i="2"/>
  <c r="BD977" i="2"/>
  <c r="BD978" i="2"/>
  <c r="BD981" i="2"/>
  <c r="BD982" i="2"/>
  <c r="BD985" i="2"/>
  <c r="BD986" i="2"/>
  <c r="BD989" i="2"/>
  <c r="BD990" i="2"/>
  <c r="BD993" i="2"/>
  <c r="BD994" i="2"/>
  <c r="BD1013" i="2"/>
  <c r="BD997" i="2"/>
  <c r="BD1000" i="2"/>
  <c r="BD1001" i="2"/>
  <c r="BD1004" i="2"/>
  <c r="BD1005" i="2"/>
  <c r="BD1008" i="2"/>
  <c r="BD1009" i="2"/>
  <c r="BD1014" i="2"/>
  <c r="BD1015" i="2"/>
  <c r="BD1018" i="2"/>
  <c r="BD1019" i="2"/>
  <c r="BD1022" i="2"/>
  <c r="BD1023" i="2"/>
  <c r="BD1026" i="2"/>
  <c r="BD1027" i="2"/>
  <c r="BD1030" i="2"/>
  <c r="BD1031" i="2"/>
  <c r="BD1034" i="2"/>
  <c r="BD1035" i="2"/>
  <c r="BE1037" i="2"/>
  <c r="BD1039" i="2"/>
  <c r="BD1040" i="2"/>
  <c r="BE1041" i="2"/>
  <c r="BD1043" i="2"/>
  <c r="BD1044" i="2"/>
  <c r="BD1047" i="2"/>
  <c r="BD1048" i="2"/>
  <c r="BD1051" i="2"/>
  <c r="BD1052" i="2"/>
  <c r="BE1053" i="2"/>
  <c r="BD1054" i="2"/>
  <c r="BD1055" i="2"/>
  <c r="BE1056" i="2"/>
  <c r="BD1058" i="2"/>
  <c r="BD1059" i="2"/>
  <c r="BD1062" i="2"/>
  <c r="BD1063" i="2"/>
  <c r="BD1066" i="2"/>
  <c r="BD1067" i="2"/>
  <c r="BE1068" i="2"/>
  <c r="BD1070" i="2"/>
  <c r="BD1071" i="2"/>
  <c r="BE1072" i="2"/>
  <c r="BD1074" i="2"/>
  <c r="BD1075" i="2"/>
  <c r="BD1078" i="2"/>
  <c r="BD1079" i="2"/>
  <c r="BD1082" i="2"/>
  <c r="BD1083" i="2"/>
  <c r="BE1084" i="2"/>
  <c r="BD1086" i="2"/>
  <c r="BD1087" i="2"/>
  <c r="BE1088" i="2"/>
  <c r="BD1090" i="2"/>
  <c r="BD1091" i="2"/>
  <c r="BD1094" i="2"/>
  <c r="BD1095" i="2"/>
  <c r="BD1098" i="2"/>
  <c r="BD1099" i="2"/>
  <c r="BE1100" i="2"/>
  <c r="BD1102" i="2"/>
  <c r="BD1103" i="2"/>
  <c r="BE1104" i="2"/>
  <c r="BD1106" i="2"/>
  <c r="BD1107" i="2"/>
  <c r="BD1110" i="2"/>
  <c r="BD1111" i="2"/>
  <c r="BD1114" i="2"/>
  <c r="BD1115" i="2"/>
  <c r="BE1116" i="2"/>
  <c r="BD1118" i="2"/>
  <c r="BD1119" i="2"/>
  <c r="BE1120" i="2"/>
  <c r="BD1122" i="2"/>
  <c r="BD1123" i="2"/>
  <c r="BD1126" i="2"/>
  <c r="BD1127" i="2"/>
  <c r="BD1130" i="2"/>
  <c r="BD1131" i="2"/>
  <c r="BE1132" i="2"/>
  <c r="BD1134" i="2"/>
  <c r="BD1135" i="2"/>
  <c r="BE1136" i="2"/>
  <c r="BD1138" i="2"/>
  <c r="BD1139" i="2"/>
  <c r="BE1140" i="2"/>
  <c r="BD1142" i="2"/>
  <c r="BD1143" i="2"/>
  <c r="BD1146" i="2"/>
  <c r="BD1147" i="2"/>
  <c r="BE1148" i="2"/>
  <c r="BD1150" i="2"/>
  <c r="BD1151" i="2"/>
  <c r="BE1152" i="2"/>
  <c r="Q10" i="23" l="1"/>
  <c r="Q11" i="7"/>
  <c r="Q11" i="23"/>
  <c r="Q12" i="7"/>
  <c r="Q5" i="23"/>
  <c r="Q16" i="7"/>
  <c r="Q9" i="23"/>
  <c r="Q26" i="7"/>
  <c r="Q6" i="23"/>
  <c r="Q22" i="7"/>
  <c r="Q8" i="23"/>
  <c r="Q13" i="7"/>
  <c r="Q7" i="23"/>
  <c r="BD1120" i="2"/>
  <c r="BE1143" i="2"/>
  <c r="BE1111" i="2"/>
  <c r="BE1079" i="2"/>
  <c r="BE1048" i="2"/>
  <c r="BE1015" i="2"/>
  <c r="BE982" i="2"/>
  <c r="BE947" i="2"/>
  <c r="BE886" i="2"/>
  <c r="BE820" i="2"/>
  <c r="BE716" i="2"/>
  <c r="BD1088" i="2"/>
  <c r="BE1135" i="2"/>
  <c r="BE1103" i="2"/>
  <c r="BE1071" i="2"/>
  <c r="BE1040" i="2"/>
  <c r="BE1005" i="2"/>
  <c r="BE974" i="2"/>
  <c r="BE938" i="2"/>
  <c r="BE863" i="2"/>
  <c r="BE781" i="2"/>
  <c r="BE713" i="2"/>
  <c r="BD1056" i="2"/>
  <c r="BE1127" i="2"/>
  <c r="BE1095" i="2"/>
  <c r="BE1063" i="2"/>
  <c r="BE1031" i="2"/>
  <c r="BE997" i="2"/>
  <c r="BE891" i="2"/>
  <c r="BE930" i="2"/>
  <c r="BE818" i="2"/>
  <c r="BE753" i="2"/>
  <c r="BE678" i="2"/>
  <c r="BD1148" i="2"/>
  <c r="BE1151" i="2"/>
  <c r="BE1119" i="2"/>
  <c r="BE1087" i="2"/>
  <c r="BE1055" i="2"/>
  <c r="BE1023" i="2"/>
  <c r="BE990" i="2"/>
  <c r="BE958" i="2"/>
  <c r="BE910" i="2"/>
  <c r="BE813" i="2"/>
  <c r="BE749" i="2"/>
  <c r="BE674" i="2"/>
  <c r="BD913" i="2"/>
  <c r="BE913" i="2"/>
  <c r="BD889" i="2"/>
  <c r="BE889" i="2"/>
  <c r="BD870" i="2"/>
  <c r="BE870" i="2"/>
  <c r="BD851" i="2"/>
  <c r="BE851" i="2"/>
  <c r="BD837" i="2"/>
  <c r="BE837" i="2"/>
  <c r="BD817" i="2"/>
  <c r="BE817" i="2"/>
  <c r="BD796" i="2"/>
  <c r="BE796" i="2"/>
  <c r="BD785" i="2"/>
  <c r="BE785" i="2"/>
  <c r="BD782" i="2"/>
  <c r="BE782" i="2"/>
  <c r="BD773" i="2"/>
  <c r="BE773" i="2"/>
  <c r="BD764" i="2"/>
  <c r="BE764" i="2"/>
  <c r="BD756" i="2"/>
  <c r="BE756" i="2"/>
  <c r="BD748" i="2"/>
  <c r="BE748" i="2"/>
  <c r="BD735" i="2"/>
  <c r="BE735" i="2"/>
  <c r="BD727" i="2"/>
  <c r="BE727" i="2"/>
  <c r="BD715" i="2"/>
  <c r="BE715" i="2"/>
  <c r="BD702" i="2"/>
  <c r="BE702" i="2"/>
  <c r="BD690" i="2"/>
  <c r="BE690" i="2"/>
  <c r="BD1153" i="2"/>
  <c r="BE1153" i="2"/>
  <c r="BD1149" i="2"/>
  <c r="BE1149" i="2"/>
  <c r="BD1145" i="2"/>
  <c r="BE1145" i="2"/>
  <c r="BD1141" i="2"/>
  <c r="BE1141" i="2"/>
  <c r="BD1137" i="2"/>
  <c r="BE1137" i="2"/>
  <c r="BD1133" i="2"/>
  <c r="BE1133" i="2"/>
  <c r="BD1129" i="2"/>
  <c r="BE1129" i="2"/>
  <c r="BD1125" i="2"/>
  <c r="BE1125" i="2"/>
  <c r="BD1121" i="2"/>
  <c r="BE1121" i="2"/>
  <c r="BD1117" i="2"/>
  <c r="BE1117" i="2"/>
  <c r="BD1113" i="2"/>
  <c r="BE1113" i="2"/>
  <c r="BD1109" i="2"/>
  <c r="BE1109" i="2"/>
  <c r="BD1105" i="2"/>
  <c r="BE1105" i="2"/>
  <c r="BD1101" i="2"/>
  <c r="BE1101" i="2"/>
  <c r="BD1097" i="2"/>
  <c r="BE1097" i="2"/>
  <c r="BD1093" i="2"/>
  <c r="BE1093" i="2"/>
  <c r="BD1089" i="2"/>
  <c r="BE1089" i="2"/>
  <c r="BD1085" i="2"/>
  <c r="BE1085" i="2"/>
  <c r="BD1081" i="2"/>
  <c r="BE1081" i="2"/>
  <c r="BD1077" i="2"/>
  <c r="BE1077" i="2"/>
  <c r="BD1073" i="2"/>
  <c r="BE1073" i="2"/>
  <c r="BD1069" i="2"/>
  <c r="BE1069" i="2"/>
  <c r="BD1065" i="2"/>
  <c r="BE1065" i="2"/>
  <c r="BD1061" i="2"/>
  <c r="BE1061" i="2"/>
  <c r="BD1057" i="2"/>
  <c r="BE1057" i="2"/>
  <c r="BD1050" i="2"/>
  <c r="BE1050" i="2"/>
  <c r="BD1046" i="2"/>
  <c r="BE1046" i="2"/>
  <c r="BD1042" i="2"/>
  <c r="BE1042" i="2"/>
  <c r="BD1038" i="2"/>
  <c r="BE1038" i="2"/>
  <c r="BD1033" i="2"/>
  <c r="BE1033" i="2"/>
  <c r="BD1029" i="2"/>
  <c r="BE1029" i="2"/>
  <c r="BD1025" i="2"/>
  <c r="BE1025" i="2"/>
  <c r="BD1021" i="2"/>
  <c r="BE1021" i="2"/>
  <c r="BD1017" i="2"/>
  <c r="BE1017" i="2"/>
  <c r="BD1011" i="2"/>
  <c r="BE1011" i="2"/>
  <c r="BD1007" i="2"/>
  <c r="BE1007" i="2"/>
  <c r="BD1003" i="2"/>
  <c r="BE1003" i="2"/>
  <c r="BD999" i="2"/>
  <c r="BE999" i="2"/>
  <c r="BD996" i="2"/>
  <c r="BE996" i="2"/>
  <c r="BD992" i="2"/>
  <c r="BE992" i="2"/>
  <c r="BD988" i="2"/>
  <c r="BE988" i="2"/>
  <c r="BD984" i="2"/>
  <c r="BE984" i="2"/>
  <c r="BD980" i="2"/>
  <c r="BE980" i="2"/>
  <c r="BD976" i="2"/>
  <c r="BE976" i="2"/>
  <c r="BD972" i="2"/>
  <c r="BE972" i="2"/>
  <c r="BD968" i="2"/>
  <c r="BE968" i="2"/>
  <c r="BD965" i="2"/>
  <c r="BE965" i="2"/>
  <c r="BD961" i="2"/>
  <c r="BE961" i="2"/>
  <c r="BD957" i="2"/>
  <c r="BE957" i="2"/>
  <c r="BD954" i="2"/>
  <c r="BE954" i="2"/>
  <c r="BD945" i="2"/>
  <c r="BE945" i="2"/>
  <c r="BD941" i="2"/>
  <c r="BE941" i="2"/>
  <c r="BD936" i="2"/>
  <c r="BE936" i="2"/>
  <c r="BD932" i="2"/>
  <c r="BE932" i="2"/>
  <c r="BD928" i="2"/>
  <c r="BE928" i="2"/>
  <c r="BD924" i="2"/>
  <c r="BE924" i="2"/>
  <c r="BD919" i="2"/>
  <c r="BE919" i="2"/>
  <c r="BD912" i="2"/>
  <c r="BE912" i="2"/>
  <c r="BD902" i="2"/>
  <c r="BE902" i="2"/>
  <c r="BD897" i="2"/>
  <c r="BE897" i="2"/>
  <c r="BD892" i="2"/>
  <c r="BE892" i="2"/>
  <c r="BD888" i="2"/>
  <c r="BE888" i="2"/>
  <c r="BD884" i="2"/>
  <c r="BE884" i="2"/>
  <c r="BD880" i="2"/>
  <c r="BE880" i="2"/>
  <c r="BD877" i="2"/>
  <c r="BE877" i="2"/>
  <c r="BD873" i="2"/>
  <c r="BE873" i="2"/>
  <c r="BD869" i="2"/>
  <c r="BE869" i="2"/>
  <c r="BD861" i="2"/>
  <c r="BE861" i="2"/>
  <c r="BD854" i="2"/>
  <c r="BE854" i="2"/>
  <c r="BD850" i="2"/>
  <c r="BE850" i="2"/>
  <c r="BD845" i="2"/>
  <c r="BE845" i="2"/>
  <c r="BD840" i="2"/>
  <c r="BE840" i="2"/>
  <c r="BD836" i="2"/>
  <c r="BE836" i="2"/>
  <c r="BD829" i="2"/>
  <c r="BE829" i="2"/>
  <c r="BD825" i="2"/>
  <c r="BE825" i="2"/>
  <c r="BD816" i="2"/>
  <c r="BE816" i="2"/>
  <c r="BD811" i="2"/>
  <c r="BE811" i="2"/>
  <c r="BD808" i="2"/>
  <c r="BE808" i="2"/>
  <c r="BD803" i="2"/>
  <c r="BE803" i="2"/>
  <c r="BD795" i="2"/>
  <c r="BE795" i="2"/>
  <c r="BD788" i="2"/>
  <c r="BE788" i="2"/>
  <c r="BD784" i="2"/>
  <c r="BE784" i="2"/>
  <c r="BD819" i="2"/>
  <c r="BE819" i="2"/>
  <c r="BD780" i="2"/>
  <c r="BE780" i="2"/>
  <c r="BD776" i="2"/>
  <c r="BE776" i="2"/>
  <c r="BD772" i="2"/>
  <c r="BE772" i="2"/>
  <c r="BD767" i="2"/>
  <c r="BE767" i="2"/>
  <c r="BD763" i="2"/>
  <c r="BE763" i="2"/>
  <c r="BD759" i="2"/>
  <c r="BE759" i="2"/>
  <c r="BD755" i="2"/>
  <c r="BE755" i="2"/>
  <c r="BD751" i="2"/>
  <c r="BE751" i="2"/>
  <c r="BD747" i="2"/>
  <c r="BE747" i="2"/>
  <c r="BD743" i="2"/>
  <c r="BE743" i="2"/>
  <c r="BD738" i="2"/>
  <c r="BE738" i="2"/>
  <c r="BD734" i="2"/>
  <c r="BE734" i="2"/>
  <c r="BD730" i="2"/>
  <c r="BE730" i="2"/>
  <c r="BD726" i="2"/>
  <c r="BE726" i="2"/>
  <c r="BD718" i="2"/>
  <c r="BE718" i="2"/>
  <c r="BD714" i="2"/>
  <c r="BE714" i="2"/>
  <c r="BD711" i="2"/>
  <c r="BE711" i="2"/>
  <c r="BD701" i="2"/>
  <c r="BE701" i="2"/>
  <c r="BD1140" i="2"/>
  <c r="BD1116" i="2"/>
  <c r="BD1084" i="2"/>
  <c r="BD1053" i="2"/>
  <c r="BE1150" i="2"/>
  <c r="BE1142" i="2"/>
  <c r="BE1134" i="2"/>
  <c r="BE1126" i="2"/>
  <c r="BE1118" i="2"/>
  <c r="BE1110" i="2"/>
  <c r="BE1102" i="2"/>
  <c r="BE1094" i="2"/>
  <c r="BE1086" i="2"/>
  <c r="BE1078" i="2"/>
  <c r="BE1070" i="2"/>
  <c r="BE1062" i="2"/>
  <c r="BE1054" i="2"/>
  <c r="BE1047" i="2"/>
  <c r="BE1039" i="2"/>
  <c r="BE1030" i="2"/>
  <c r="BE1022" i="2"/>
  <c r="BE1014" i="2"/>
  <c r="BE1004" i="2"/>
  <c r="BE1013" i="2"/>
  <c r="BE989" i="2"/>
  <c r="BE981" i="2"/>
  <c r="BE973" i="2"/>
  <c r="BE966" i="2"/>
  <c r="BE946" i="2"/>
  <c r="BE937" i="2"/>
  <c r="BE927" i="2"/>
  <c r="BE900" i="2"/>
  <c r="BE883" i="2"/>
  <c r="BE859" i="2"/>
  <c r="BD929" i="2"/>
  <c r="BE929" i="2"/>
  <c r="BD920" i="2"/>
  <c r="BE920" i="2"/>
  <c r="BD898" i="2"/>
  <c r="BE898" i="2"/>
  <c r="BD885" i="2"/>
  <c r="BE885" i="2"/>
  <c r="BD878" i="2"/>
  <c r="BE878" i="2"/>
  <c r="BD857" i="2"/>
  <c r="BE857" i="2"/>
  <c r="BD841" i="2"/>
  <c r="BE841" i="2"/>
  <c r="BD826" i="2"/>
  <c r="BE826" i="2"/>
  <c r="BD809" i="2"/>
  <c r="BE809" i="2"/>
  <c r="BD792" i="2"/>
  <c r="BE792" i="2"/>
  <c r="BE1144" i="2"/>
  <c r="BD1144" i="2"/>
  <c r="BE1128" i="2"/>
  <c r="BD1128" i="2"/>
  <c r="BE1112" i="2"/>
  <c r="BD1112" i="2"/>
  <c r="BE1092" i="2"/>
  <c r="BD1092" i="2"/>
  <c r="BE1076" i="2"/>
  <c r="BD1076" i="2"/>
  <c r="BE1064" i="2"/>
  <c r="BD1064" i="2"/>
  <c r="BE1049" i="2"/>
  <c r="BD1049" i="2"/>
  <c r="BD1032" i="2"/>
  <c r="BE1032" i="2"/>
  <c r="BD1028" i="2"/>
  <c r="BE1028" i="2"/>
  <c r="BD1024" i="2"/>
  <c r="BE1024" i="2"/>
  <c r="BD1020" i="2"/>
  <c r="BE1020" i="2"/>
  <c r="BD1016" i="2"/>
  <c r="BE1016" i="2"/>
  <c r="BD1010" i="2"/>
  <c r="BE1010" i="2"/>
  <c r="BD1006" i="2"/>
  <c r="BE1006" i="2"/>
  <c r="BD1002" i="2"/>
  <c r="BE1002" i="2"/>
  <c r="BD998" i="2"/>
  <c r="BE998" i="2"/>
  <c r="BD995" i="2"/>
  <c r="BE995" i="2"/>
  <c r="BD991" i="2"/>
  <c r="BE991" i="2"/>
  <c r="BD987" i="2"/>
  <c r="BE987" i="2"/>
  <c r="BD983" i="2"/>
  <c r="BE983" i="2"/>
  <c r="BD979" i="2"/>
  <c r="BE979" i="2"/>
  <c r="BD975" i="2"/>
  <c r="BE975" i="2"/>
  <c r="BD971" i="2"/>
  <c r="BE971" i="2"/>
  <c r="BD967" i="2"/>
  <c r="BE967" i="2"/>
  <c r="BD964" i="2"/>
  <c r="BE964" i="2"/>
  <c r="BD960" i="2"/>
  <c r="BE960" i="2"/>
  <c r="BD956" i="2"/>
  <c r="BE956" i="2"/>
  <c r="BD948" i="2"/>
  <c r="BE948" i="2"/>
  <c r="BD944" i="2"/>
  <c r="BE944" i="2"/>
  <c r="BD939" i="2"/>
  <c r="BE939" i="2"/>
  <c r="BD935" i="2"/>
  <c r="BE935" i="2"/>
  <c r="BD931" i="2"/>
  <c r="BE931" i="2"/>
  <c r="BD923" i="2"/>
  <c r="BE923" i="2"/>
  <c r="BD911" i="2"/>
  <c r="BE911" i="2"/>
  <c r="BD896" i="2"/>
  <c r="BE896" i="2"/>
  <c r="BD887" i="2"/>
  <c r="BE887" i="2"/>
  <c r="BD867" i="2"/>
  <c r="BE867" i="2"/>
  <c r="BD872" i="2"/>
  <c r="BE872" i="2"/>
  <c r="BD868" i="2"/>
  <c r="BE868" i="2"/>
  <c r="BD860" i="2"/>
  <c r="BE860" i="2"/>
  <c r="BD853" i="2"/>
  <c r="BE853" i="2"/>
  <c r="BD849" i="2"/>
  <c r="BE849" i="2"/>
  <c r="BD846" i="2"/>
  <c r="BE846" i="2"/>
  <c r="BD839" i="2"/>
  <c r="BE839" i="2"/>
  <c r="BD832" i="2"/>
  <c r="BE832" i="2"/>
  <c r="BD828" i="2"/>
  <c r="BE828" i="2"/>
  <c r="BD815" i="2"/>
  <c r="BE815" i="2"/>
  <c r="BD814" i="2"/>
  <c r="BE814" i="2"/>
  <c r="BD806" i="2"/>
  <c r="BE806" i="2"/>
  <c r="BD807" i="2"/>
  <c r="BE807" i="2"/>
  <c r="BD798" i="2"/>
  <c r="BE798" i="2"/>
  <c r="BD794" i="2"/>
  <c r="BE794" i="2"/>
  <c r="BD791" i="2"/>
  <c r="BE791" i="2"/>
  <c r="BD787" i="2"/>
  <c r="BE787" i="2"/>
  <c r="BD821" i="2"/>
  <c r="BE821" i="2"/>
  <c r="BD822" i="2"/>
  <c r="BE822" i="2"/>
  <c r="BD779" i="2"/>
  <c r="BE779" i="2"/>
  <c r="BD775" i="2"/>
  <c r="BE775" i="2"/>
  <c r="BD769" i="2"/>
  <c r="BE769" i="2"/>
  <c r="BD766" i="2"/>
  <c r="BE766" i="2"/>
  <c r="BD762" i="2"/>
  <c r="BE762" i="2"/>
  <c r="BD758" i="2"/>
  <c r="BE758" i="2"/>
  <c r="BD754" i="2"/>
  <c r="BE754" i="2"/>
  <c r="BD750" i="2"/>
  <c r="BE750" i="2"/>
  <c r="BD746" i="2"/>
  <c r="BE746" i="2"/>
  <c r="BD742" i="2"/>
  <c r="BE742" i="2"/>
  <c r="BD737" i="2"/>
  <c r="BE737" i="2"/>
  <c r="BD731" i="2"/>
  <c r="BE731" i="2"/>
  <c r="BD729" i="2"/>
  <c r="BE729" i="2"/>
  <c r="BD725" i="2"/>
  <c r="BE725" i="2"/>
  <c r="BD717" i="2"/>
  <c r="BE717" i="2"/>
  <c r="BD710" i="2"/>
  <c r="BE710" i="2"/>
  <c r="BD707" i="2"/>
  <c r="BE707" i="2"/>
  <c r="BD700" i="2"/>
  <c r="BE700" i="2"/>
  <c r="BD697" i="2"/>
  <c r="BE697" i="2"/>
  <c r="BD692" i="2"/>
  <c r="BE692" i="2"/>
  <c r="BD688" i="2"/>
  <c r="BE688" i="2"/>
  <c r="BD683" i="2"/>
  <c r="BE683" i="2"/>
  <c r="BD679" i="2"/>
  <c r="BE679" i="2"/>
  <c r="BD675" i="2"/>
  <c r="BE675" i="2"/>
  <c r="BD667" i="2"/>
  <c r="BE667" i="2"/>
  <c r="BD1136" i="2"/>
  <c r="BD1104" i="2"/>
  <c r="BD1072" i="2"/>
  <c r="BD1041" i="2"/>
  <c r="BE1147" i="2"/>
  <c r="BE1139" i="2"/>
  <c r="BE1131" i="2"/>
  <c r="BE1123" i="2"/>
  <c r="BE1115" i="2"/>
  <c r="BE1107" i="2"/>
  <c r="BE1099" i="2"/>
  <c r="BE1091" i="2"/>
  <c r="BE1083" i="2"/>
  <c r="BE1075" i="2"/>
  <c r="BE1067" i="2"/>
  <c r="BE1059" i="2"/>
  <c r="BE1052" i="2"/>
  <c r="BE1044" i="2"/>
  <c r="BE1035" i="2"/>
  <c r="BE1027" i="2"/>
  <c r="BE1019" i="2"/>
  <c r="BE1009" i="2"/>
  <c r="BE1001" i="2"/>
  <c r="BE994" i="2"/>
  <c r="BE986" i="2"/>
  <c r="BE978" i="2"/>
  <c r="BE970" i="2"/>
  <c r="BE963" i="2"/>
  <c r="BE955" i="2"/>
  <c r="BE943" i="2"/>
  <c r="BE934" i="2"/>
  <c r="BE922" i="2"/>
  <c r="BE895" i="2"/>
  <c r="BE879" i="2"/>
  <c r="BE842" i="2"/>
  <c r="BE797" i="2"/>
  <c r="BE761" i="2"/>
  <c r="BE736" i="2"/>
  <c r="BE696" i="2"/>
  <c r="BD903" i="2"/>
  <c r="BE903" i="2"/>
  <c r="BD893" i="2"/>
  <c r="BE893" i="2"/>
  <c r="BD881" i="2"/>
  <c r="BE881" i="2"/>
  <c r="BD874" i="2"/>
  <c r="BE874" i="2"/>
  <c r="BD858" i="2"/>
  <c r="BE858" i="2"/>
  <c r="BD847" i="2"/>
  <c r="BE847" i="2"/>
  <c r="BD830" i="2"/>
  <c r="BE830" i="2"/>
  <c r="BD812" i="2"/>
  <c r="BE812" i="2"/>
  <c r="BD804" i="2"/>
  <c r="BE804" i="2"/>
  <c r="BD789" i="2"/>
  <c r="BE789" i="2"/>
  <c r="BD783" i="2"/>
  <c r="BE783" i="2"/>
  <c r="BD777" i="2"/>
  <c r="BE777" i="2"/>
  <c r="BD768" i="2"/>
  <c r="BE768" i="2"/>
  <c r="BD739" i="2"/>
  <c r="BE739" i="2"/>
  <c r="BD752" i="2"/>
  <c r="BE752" i="2"/>
  <c r="BD744" i="2"/>
  <c r="BE744" i="2"/>
  <c r="BD740" i="2"/>
  <c r="BE740" i="2"/>
  <c r="BD732" i="2"/>
  <c r="BE732" i="2"/>
  <c r="BD723" i="2"/>
  <c r="BE723" i="2"/>
  <c r="BD712" i="2"/>
  <c r="BE712" i="2"/>
  <c r="BD694" i="2"/>
  <c r="BE694" i="2"/>
  <c r="BD695" i="2"/>
  <c r="BE695" i="2"/>
  <c r="BD686" i="2"/>
  <c r="BE686" i="2"/>
  <c r="BD681" i="2"/>
  <c r="BE681" i="2"/>
  <c r="BD673" i="2"/>
  <c r="BE673" i="2"/>
  <c r="BD672" i="2"/>
  <c r="BE672" i="2"/>
  <c r="BE1124" i="2"/>
  <c r="BD1124" i="2"/>
  <c r="BE1108" i="2"/>
  <c r="BD1108" i="2"/>
  <c r="BE1096" i="2"/>
  <c r="BD1096" i="2"/>
  <c r="BE1080" i="2"/>
  <c r="BD1080" i="2"/>
  <c r="BE1060" i="2"/>
  <c r="BD1060" i="2"/>
  <c r="BE1045" i="2"/>
  <c r="BD1045" i="2"/>
  <c r="BD914" i="2"/>
  <c r="BE914" i="2"/>
  <c r="BD899" i="2"/>
  <c r="BE899" i="2"/>
  <c r="BD894" i="2"/>
  <c r="BE894" i="2"/>
  <c r="BD882" i="2"/>
  <c r="BE882" i="2"/>
  <c r="BD875" i="2"/>
  <c r="BE875" i="2"/>
  <c r="BD871" i="2"/>
  <c r="BE871" i="2"/>
  <c r="BD852" i="2"/>
  <c r="BE852" i="2"/>
  <c r="BD848" i="2"/>
  <c r="BE848" i="2"/>
  <c r="BD831" i="2"/>
  <c r="BE831" i="2"/>
  <c r="BD827" i="2"/>
  <c r="BE827" i="2"/>
  <c r="BD810" i="2"/>
  <c r="BE810" i="2"/>
  <c r="BD805" i="2"/>
  <c r="BE805" i="2"/>
  <c r="BD790" i="2"/>
  <c r="BE790" i="2"/>
  <c r="BD786" i="2"/>
  <c r="BE786" i="2"/>
  <c r="BD778" i="2"/>
  <c r="BE778" i="2"/>
  <c r="BD774" i="2"/>
  <c r="BE774" i="2"/>
  <c r="BD760" i="2"/>
  <c r="BE760" i="2"/>
  <c r="BD757" i="2"/>
  <c r="BE757" i="2"/>
  <c r="BD745" i="2"/>
  <c r="BE745" i="2"/>
  <c r="BD741" i="2"/>
  <c r="BE741" i="2"/>
  <c r="BD728" i="2"/>
  <c r="BE728" i="2"/>
  <c r="BD724" i="2"/>
  <c r="BE724" i="2"/>
  <c r="BD703" i="2"/>
  <c r="BE703" i="2"/>
  <c r="BD699" i="2"/>
  <c r="BE699" i="2"/>
  <c r="BD687" i="2"/>
  <c r="BE687" i="2"/>
  <c r="BD682" i="2"/>
  <c r="BE682" i="2"/>
  <c r="BD1152" i="2"/>
  <c r="BD1132" i="2"/>
  <c r="BD1100" i="2"/>
  <c r="BD1068" i="2"/>
  <c r="BD1037" i="2"/>
  <c r="BE1146" i="2"/>
  <c r="BE1138" i="2"/>
  <c r="BE1130" i="2"/>
  <c r="BE1122" i="2"/>
  <c r="BE1114" i="2"/>
  <c r="BE1106" i="2"/>
  <c r="BE1098" i="2"/>
  <c r="BE1090" i="2"/>
  <c r="BE1082" i="2"/>
  <c r="BE1074" i="2"/>
  <c r="BE1066" i="2"/>
  <c r="BE1058" i="2"/>
  <c r="BE1051" i="2"/>
  <c r="BE1043" i="2"/>
  <c r="BE1034" i="2"/>
  <c r="BE1026" i="2"/>
  <c r="BE1018" i="2"/>
  <c r="BE1008" i="2"/>
  <c r="BE1000" i="2"/>
  <c r="BE993" i="2"/>
  <c r="BE985" i="2"/>
  <c r="BE977" i="2"/>
  <c r="BE969" i="2"/>
  <c r="BE962" i="2"/>
  <c r="BE890" i="2"/>
  <c r="BE942" i="2"/>
  <c r="BE933" i="2"/>
  <c r="BE918" i="2"/>
  <c r="BE921" i="2"/>
  <c r="BE876" i="2"/>
  <c r="BE838" i="2"/>
  <c r="BE793" i="2"/>
  <c r="BE765" i="2"/>
  <c r="BE733" i="2"/>
  <c r="BE691" i="2"/>
  <c r="BD698" i="2"/>
  <c r="BE698" i="2"/>
  <c r="BD693" i="2"/>
  <c r="BE693" i="2"/>
  <c r="BD689" i="2"/>
  <c r="BE689" i="2"/>
  <c r="BD685" i="2"/>
  <c r="BE685" i="2"/>
  <c r="BD680" i="2"/>
  <c r="BE680" i="2"/>
  <c r="BD676" i="2"/>
  <c r="BE676" i="2"/>
  <c r="BD671" i="2"/>
  <c r="BE671" i="2"/>
  <c r="BB998" i="2"/>
  <c r="BB1010" i="2"/>
  <c r="BB1024" i="2"/>
  <c r="BB1040" i="2"/>
  <c r="BB1045" i="2"/>
  <c r="BB1051" i="2"/>
  <c r="AY667" i="2"/>
  <c r="AZ667" i="2" s="1"/>
  <c r="AY671" i="2"/>
  <c r="AZ671" i="2" s="1"/>
  <c r="AY672" i="2"/>
  <c r="AZ672" i="2" s="1"/>
  <c r="AY674" i="2"/>
  <c r="AZ674" i="2" s="1"/>
  <c r="AY675" i="2"/>
  <c r="AZ675" i="2" s="1"/>
  <c r="AY676" i="2"/>
  <c r="AZ676" i="2" s="1"/>
  <c r="AY673" i="2"/>
  <c r="AZ673" i="2" s="1"/>
  <c r="AY678" i="2"/>
  <c r="AZ678" i="2" s="1"/>
  <c r="AY679" i="2"/>
  <c r="AZ679" i="2" s="1"/>
  <c r="AY680" i="2"/>
  <c r="AZ680" i="2" s="1"/>
  <c r="AY681" i="2"/>
  <c r="AZ681" i="2" s="1"/>
  <c r="AY682" i="2"/>
  <c r="AZ682" i="2" s="1"/>
  <c r="AY683" i="2"/>
  <c r="AZ683" i="2" s="1"/>
  <c r="AY685" i="2"/>
  <c r="AZ685" i="2" s="1"/>
  <c r="AY686" i="2"/>
  <c r="AZ686" i="2" s="1"/>
  <c r="AY687" i="2"/>
  <c r="AZ687" i="2" s="1"/>
  <c r="AY688" i="2"/>
  <c r="AZ688" i="2" s="1"/>
  <c r="AY689" i="2"/>
  <c r="AZ689" i="2" s="1"/>
  <c r="AY690" i="2"/>
  <c r="AZ690" i="2" s="1"/>
  <c r="AY691" i="2"/>
  <c r="AZ691" i="2" s="1"/>
  <c r="AY692" i="2"/>
  <c r="AZ692" i="2" s="1"/>
  <c r="AY693" i="2"/>
  <c r="AZ693" i="2" s="1"/>
  <c r="AY695" i="2"/>
  <c r="AZ695" i="2" s="1"/>
  <c r="AY696" i="2"/>
  <c r="AZ696" i="2" s="1"/>
  <c r="AY697" i="2"/>
  <c r="AZ697" i="2" s="1"/>
  <c r="AY698" i="2"/>
  <c r="AZ698" i="2" s="1"/>
  <c r="AY694" i="2"/>
  <c r="AZ694" i="2" s="1"/>
  <c r="AY699" i="2"/>
  <c r="AZ699" i="2" s="1"/>
  <c r="AY700" i="2"/>
  <c r="AZ700" i="2" s="1"/>
  <c r="AY701" i="2"/>
  <c r="AZ701" i="2" s="1"/>
  <c r="AY702" i="2"/>
  <c r="AZ702" i="2" s="1"/>
  <c r="AY703" i="2"/>
  <c r="AZ703" i="2" s="1"/>
  <c r="AY707" i="2"/>
  <c r="AZ707" i="2" s="1"/>
  <c r="AY711" i="2"/>
  <c r="AZ711" i="2" s="1"/>
  <c r="AY712" i="2"/>
  <c r="AZ712" i="2" s="1"/>
  <c r="AY713" i="2"/>
  <c r="AZ713" i="2" s="1"/>
  <c r="AY710" i="2"/>
  <c r="AZ710" i="2" s="1"/>
  <c r="AY714" i="2"/>
  <c r="AZ714" i="2" s="1"/>
  <c r="AY715" i="2"/>
  <c r="AZ715" i="2" s="1"/>
  <c r="AY716" i="2"/>
  <c r="AZ716" i="2" s="1"/>
  <c r="AY717" i="2"/>
  <c r="AZ717" i="2" s="1"/>
  <c r="AY718" i="2"/>
  <c r="AZ718" i="2" s="1"/>
  <c r="AY723" i="2"/>
  <c r="AZ723" i="2" s="1"/>
  <c r="AY724" i="2"/>
  <c r="AZ724" i="2" s="1"/>
  <c r="AY725" i="2"/>
  <c r="AZ725" i="2" s="1"/>
  <c r="AY726" i="2"/>
  <c r="AZ726" i="2" s="1"/>
  <c r="AY727" i="2"/>
  <c r="AZ727" i="2" s="1"/>
  <c r="AY728" i="2"/>
  <c r="AZ728" i="2" s="1"/>
  <c r="AY729" i="2"/>
  <c r="AZ729" i="2" s="1"/>
  <c r="AY730" i="2"/>
  <c r="AZ730" i="2" s="1"/>
  <c r="AY732" i="2"/>
  <c r="AZ732" i="2" s="1"/>
  <c r="AY733" i="2"/>
  <c r="AZ733" i="2" s="1"/>
  <c r="AY731" i="2"/>
  <c r="AZ731" i="2" s="1"/>
  <c r="AY734" i="2"/>
  <c r="AZ734" i="2" s="1"/>
  <c r="AY735" i="2"/>
  <c r="AZ735" i="2" s="1"/>
  <c r="AY736" i="2"/>
  <c r="AZ736" i="2" s="1"/>
  <c r="AY737" i="2"/>
  <c r="AZ737" i="2" s="1"/>
  <c r="AY738" i="2"/>
  <c r="AZ738" i="2" s="1"/>
  <c r="AY740" i="2"/>
  <c r="AZ740" i="2" s="1"/>
  <c r="AY741" i="2"/>
  <c r="AZ741" i="2" s="1"/>
  <c r="AY742" i="2"/>
  <c r="AZ742" i="2" s="1"/>
  <c r="AY743" i="2"/>
  <c r="AZ743" i="2" s="1"/>
  <c r="AY744" i="2"/>
  <c r="AZ744" i="2" s="1"/>
  <c r="AY745" i="2"/>
  <c r="AZ745" i="2" s="1"/>
  <c r="AY746" i="2"/>
  <c r="AZ746" i="2" s="1"/>
  <c r="AY747" i="2"/>
  <c r="AZ747" i="2" s="1"/>
  <c r="AY748" i="2"/>
  <c r="AZ748" i="2" s="1"/>
  <c r="AY749" i="2"/>
  <c r="AZ749" i="2" s="1"/>
  <c r="AY750" i="2"/>
  <c r="AZ750" i="2" s="1"/>
  <c r="AY751" i="2"/>
  <c r="AZ751" i="2" s="1"/>
  <c r="AY752" i="2"/>
  <c r="AZ752" i="2" s="1"/>
  <c r="AY753" i="2"/>
  <c r="AZ753" i="2" s="1"/>
  <c r="AY754" i="2"/>
  <c r="AZ754" i="2" s="1"/>
  <c r="AY755" i="2"/>
  <c r="AZ755" i="2" s="1"/>
  <c r="AY756" i="2"/>
  <c r="AZ756" i="2" s="1"/>
  <c r="AY757" i="2"/>
  <c r="AZ757" i="2" s="1"/>
  <c r="AY758" i="2"/>
  <c r="AZ758" i="2" s="1"/>
  <c r="AY759" i="2"/>
  <c r="AZ759" i="2" s="1"/>
  <c r="AY739" i="2"/>
  <c r="AZ739" i="2" s="1"/>
  <c r="AY760" i="2"/>
  <c r="AZ760" i="2" s="1"/>
  <c r="AY762" i="2"/>
  <c r="AZ762" i="2" s="1"/>
  <c r="AY763" i="2"/>
  <c r="AZ763" i="2" s="1"/>
  <c r="AY764" i="2"/>
  <c r="AZ764" i="2" s="1"/>
  <c r="AY765" i="2"/>
  <c r="AZ765" i="2" s="1"/>
  <c r="AY766" i="2"/>
  <c r="AZ766" i="2" s="1"/>
  <c r="AY767" i="2"/>
  <c r="AZ767" i="2" s="1"/>
  <c r="AY768" i="2"/>
  <c r="AZ768" i="2" s="1"/>
  <c r="AY761" i="2"/>
  <c r="AZ761" i="2" s="1"/>
  <c r="AY769" i="2"/>
  <c r="AZ769" i="2" s="1"/>
  <c r="AY772" i="2"/>
  <c r="AZ772" i="2" s="1"/>
  <c r="AY773" i="2"/>
  <c r="AZ773" i="2" s="1"/>
  <c r="AY774" i="2"/>
  <c r="AZ774" i="2" s="1"/>
  <c r="AY775" i="2"/>
  <c r="AZ775" i="2" s="1"/>
  <c r="AY776" i="2"/>
  <c r="AZ776" i="2" s="1"/>
  <c r="AY777" i="2"/>
  <c r="AZ777" i="2" s="1"/>
  <c r="AY778" i="2"/>
  <c r="AZ778" i="2" s="1"/>
  <c r="AY779" i="2"/>
  <c r="AZ779" i="2" s="1"/>
  <c r="AY780" i="2"/>
  <c r="AZ780" i="2" s="1"/>
  <c r="AY782" i="2"/>
  <c r="AZ782" i="2" s="1"/>
  <c r="AY781" i="2"/>
  <c r="AZ781" i="2" s="1"/>
  <c r="AY822" i="2"/>
  <c r="AZ822" i="2" s="1"/>
  <c r="AY819" i="2"/>
  <c r="AZ819" i="2" s="1"/>
  <c r="AY783" i="2"/>
  <c r="AZ783" i="2" s="1"/>
  <c r="AY820" i="2"/>
  <c r="AZ820" i="2" s="1"/>
  <c r="AY821" i="2"/>
  <c r="AZ821" i="2" s="1"/>
  <c r="AY784" i="2"/>
  <c r="AZ784" i="2" s="1"/>
  <c r="AY785" i="2"/>
  <c r="AZ785" i="2" s="1"/>
  <c r="AY786" i="2"/>
  <c r="AZ786" i="2" s="1"/>
  <c r="AY787" i="2"/>
  <c r="AZ787" i="2" s="1"/>
  <c r="AY788" i="2"/>
  <c r="AZ788" i="2" s="1"/>
  <c r="AY789" i="2"/>
  <c r="AZ789" i="2" s="1"/>
  <c r="AY790" i="2"/>
  <c r="AZ790" i="2" s="1"/>
  <c r="AY791" i="2"/>
  <c r="AZ791" i="2" s="1"/>
  <c r="AY792" i="2"/>
  <c r="AZ792" i="2" s="1"/>
  <c r="AY793" i="2"/>
  <c r="AZ793" i="2" s="1"/>
  <c r="AY794" i="2"/>
  <c r="AZ794" i="2" s="1"/>
  <c r="AY795" i="2"/>
  <c r="AZ795" i="2" s="1"/>
  <c r="AY796" i="2"/>
  <c r="AZ796" i="2" s="1"/>
  <c r="AY797" i="2"/>
  <c r="AZ797" i="2" s="1"/>
  <c r="AY798" i="2"/>
  <c r="AZ798" i="2" s="1"/>
  <c r="AY803" i="2"/>
  <c r="AZ803" i="2" s="1"/>
  <c r="AY804" i="2"/>
  <c r="AZ804" i="2" s="1"/>
  <c r="AY805" i="2"/>
  <c r="AZ805" i="2" s="1"/>
  <c r="AY807" i="2"/>
  <c r="AZ807" i="2" s="1"/>
  <c r="AY808" i="2"/>
  <c r="AZ808" i="2" s="1"/>
  <c r="AY809" i="2"/>
  <c r="AZ809" i="2" s="1"/>
  <c r="AY810" i="2"/>
  <c r="AZ810" i="2" s="1"/>
  <c r="AY806" i="2"/>
  <c r="AZ806" i="2" s="1"/>
  <c r="AY811" i="2"/>
  <c r="AZ811" i="2" s="1"/>
  <c r="AY812" i="2"/>
  <c r="AZ812" i="2" s="1"/>
  <c r="AY813" i="2"/>
  <c r="AZ813" i="2" s="1"/>
  <c r="AY814" i="2"/>
  <c r="AZ814" i="2" s="1"/>
  <c r="AY816" i="2"/>
  <c r="AZ816" i="2" s="1"/>
  <c r="AY817" i="2"/>
  <c r="AZ817" i="2" s="1"/>
  <c r="AY818" i="2"/>
  <c r="AZ818" i="2" s="1"/>
  <c r="AY815" i="2"/>
  <c r="AZ815" i="2" s="1"/>
  <c r="AY825" i="2"/>
  <c r="AZ825" i="2" s="1"/>
  <c r="AY826" i="2"/>
  <c r="AZ826" i="2" s="1"/>
  <c r="AY827" i="2"/>
  <c r="AZ827" i="2" s="1"/>
  <c r="AY828" i="2"/>
  <c r="AZ828" i="2" s="1"/>
  <c r="AY829" i="2"/>
  <c r="AZ829" i="2" s="1"/>
  <c r="AY830" i="2"/>
  <c r="AZ830" i="2" s="1"/>
  <c r="AY831" i="2"/>
  <c r="AZ831" i="2" s="1"/>
  <c r="AY832" i="2"/>
  <c r="AZ832" i="2" s="1"/>
  <c r="AY836" i="2"/>
  <c r="AZ836" i="2" s="1"/>
  <c r="AY837" i="2"/>
  <c r="AZ837" i="2" s="1"/>
  <c r="AY838" i="2"/>
  <c r="AZ838" i="2" s="1"/>
  <c r="AY839" i="2"/>
  <c r="AZ839" i="2" s="1"/>
  <c r="AY840" i="2"/>
  <c r="AZ840" i="2" s="1"/>
  <c r="AY841" i="2"/>
  <c r="AZ841" i="2" s="1"/>
  <c r="AY842" i="2"/>
  <c r="AZ842" i="2" s="1"/>
  <c r="AY846" i="2"/>
  <c r="AZ846" i="2" s="1"/>
  <c r="AY845" i="2"/>
  <c r="AZ845" i="2" s="1"/>
  <c r="AY847" i="2"/>
  <c r="AZ847" i="2" s="1"/>
  <c r="AY848" i="2"/>
  <c r="AZ848" i="2" s="1"/>
  <c r="AY849" i="2"/>
  <c r="AZ849" i="2" s="1"/>
  <c r="AY850" i="2"/>
  <c r="AZ850" i="2" s="1"/>
  <c r="AY851" i="2"/>
  <c r="AZ851" i="2" s="1"/>
  <c r="AY852" i="2"/>
  <c r="AZ852" i="2" s="1"/>
  <c r="AY853" i="2"/>
  <c r="AZ853" i="2" s="1"/>
  <c r="AY854" i="2"/>
  <c r="AZ854" i="2" s="1"/>
  <c r="AY858" i="2"/>
  <c r="AZ858" i="2" s="1"/>
  <c r="AY859" i="2"/>
  <c r="AZ859" i="2" s="1"/>
  <c r="AY860" i="2"/>
  <c r="AZ860" i="2" s="1"/>
  <c r="AY861" i="2"/>
  <c r="AZ861" i="2" s="1"/>
  <c r="AY857" i="2"/>
  <c r="AZ857" i="2" s="1"/>
  <c r="AY863" i="2"/>
  <c r="AZ863" i="2" s="1"/>
  <c r="AY868" i="2"/>
  <c r="AZ868" i="2" s="1"/>
  <c r="AY869" i="2"/>
  <c r="AZ869" i="2" s="1"/>
  <c r="AY870" i="2"/>
  <c r="AZ870" i="2" s="1"/>
  <c r="AY871" i="2"/>
  <c r="AZ871" i="2" s="1"/>
  <c r="AY872" i="2"/>
  <c r="AZ872" i="2" s="1"/>
  <c r="AY873" i="2"/>
  <c r="AZ873" i="2" s="1"/>
  <c r="AY874" i="2"/>
  <c r="AZ874" i="2" s="1"/>
  <c r="AY875" i="2"/>
  <c r="AZ875" i="2" s="1"/>
  <c r="AY876" i="2"/>
  <c r="AZ876" i="2" s="1"/>
  <c r="AY877" i="2"/>
  <c r="AZ877" i="2" s="1"/>
  <c r="AY878" i="2"/>
  <c r="AZ878" i="2" s="1"/>
  <c r="AY879" i="2"/>
  <c r="AZ879" i="2" s="1"/>
  <c r="AY867" i="2"/>
  <c r="AZ867" i="2" s="1"/>
  <c r="AY880" i="2"/>
  <c r="AZ880" i="2" s="1"/>
  <c r="AY881" i="2"/>
  <c r="AZ881" i="2" s="1"/>
  <c r="AY882" i="2"/>
  <c r="AZ882" i="2" s="1"/>
  <c r="AY883" i="2"/>
  <c r="AZ883" i="2" s="1"/>
  <c r="AY884" i="2"/>
  <c r="AZ884" i="2" s="1"/>
  <c r="AY885" i="2"/>
  <c r="AZ885" i="2" s="1"/>
  <c r="AY886" i="2"/>
  <c r="AZ886" i="2" s="1"/>
  <c r="AY887" i="2"/>
  <c r="AZ887" i="2" s="1"/>
  <c r="AY888" i="2"/>
  <c r="AZ888" i="2" s="1"/>
  <c r="AY889" i="2"/>
  <c r="AZ889" i="2" s="1"/>
  <c r="AY894" i="2"/>
  <c r="AZ894" i="2" s="1"/>
  <c r="AY921" i="2"/>
  <c r="AZ921" i="2" s="1"/>
  <c r="AY892" i="2"/>
  <c r="AZ892" i="2" s="1"/>
  <c r="AY893" i="2"/>
  <c r="AZ893" i="2" s="1"/>
  <c r="AY895" i="2"/>
  <c r="AZ895" i="2" s="1"/>
  <c r="AY896" i="2"/>
  <c r="AZ896" i="2" s="1"/>
  <c r="AY897" i="2"/>
  <c r="AZ897" i="2" s="1"/>
  <c r="AY898" i="2"/>
  <c r="AZ898" i="2" s="1"/>
  <c r="AY899" i="2"/>
  <c r="AZ899" i="2" s="1"/>
  <c r="AY900" i="2"/>
  <c r="AZ900" i="2" s="1"/>
  <c r="AY902" i="2"/>
  <c r="AZ902" i="2" s="1"/>
  <c r="AY903" i="2"/>
  <c r="AZ903" i="2" s="1"/>
  <c r="AY910" i="2"/>
  <c r="AZ910" i="2" s="1"/>
  <c r="AY911" i="2"/>
  <c r="AZ911" i="2" s="1"/>
  <c r="AY912" i="2"/>
  <c r="AZ912" i="2" s="1"/>
  <c r="AY913" i="2"/>
  <c r="AZ913" i="2" s="1"/>
  <c r="AY914" i="2"/>
  <c r="AZ914" i="2" s="1"/>
  <c r="AY918" i="2"/>
  <c r="AZ918" i="2" s="1"/>
  <c r="AY919" i="2"/>
  <c r="AZ919" i="2" s="1"/>
  <c r="AY920" i="2"/>
  <c r="AZ920" i="2" s="1"/>
  <c r="AY922" i="2"/>
  <c r="AZ922" i="2" s="1"/>
  <c r="AY923" i="2"/>
  <c r="AZ923" i="2" s="1"/>
  <c r="AY924" i="2"/>
  <c r="AZ924" i="2" s="1"/>
  <c r="AY927" i="2"/>
  <c r="AZ927" i="2" s="1"/>
  <c r="AY928" i="2"/>
  <c r="AZ928" i="2" s="1"/>
  <c r="AY929" i="2"/>
  <c r="AZ929" i="2" s="1"/>
  <c r="AY930" i="2"/>
  <c r="AZ930" i="2" s="1"/>
  <c r="AY931" i="2"/>
  <c r="AZ931" i="2" s="1"/>
  <c r="AY932" i="2"/>
  <c r="AZ932" i="2" s="1"/>
  <c r="AY933" i="2"/>
  <c r="AZ933" i="2" s="1"/>
  <c r="AY934" i="2"/>
  <c r="AZ934" i="2" s="1"/>
  <c r="AY935" i="2"/>
  <c r="AZ935" i="2" s="1"/>
  <c r="AY936" i="2"/>
  <c r="AZ936" i="2" s="1"/>
  <c r="AY937" i="2"/>
  <c r="AZ937" i="2" s="1"/>
  <c r="AY938" i="2"/>
  <c r="AZ938" i="2" s="1"/>
  <c r="AY939" i="2"/>
  <c r="AZ939" i="2" s="1"/>
  <c r="AY941" i="2"/>
  <c r="AZ941" i="2" s="1"/>
  <c r="AY942" i="2"/>
  <c r="AZ942" i="2" s="1"/>
  <c r="AY943" i="2"/>
  <c r="AZ943" i="2" s="1"/>
  <c r="AY944" i="2"/>
  <c r="AZ944" i="2" s="1"/>
  <c r="AY945" i="2"/>
  <c r="AZ945" i="2" s="1"/>
  <c r="AY946" i="2"/>
  <c r="AZ946" i="2" s="1"/>
  <c r="AY947" i="2"/>
  <c r="AZ947" i="2" s="1"/>
  <c r="AY948" i="2"/>
  <c r="AZ948" i="2" s="1"/>
  <c r="AY954" i="2"/>
  <c r="AZ954" i="2" s="1"/>
  <c r="AY890" i="2"/>
  <c r="AZ890" i="2" s="1"/>
  <c r="AY955" i="2"/>
  <c r="AZ955" i="2" s="1"/>
  <c r="AY956" i="2"/>
  <c r="AZ956" i="2" s="1"/>
  <c r="AY957" i="2"/>
  <c r="AZ957" i="2" s="1"/>
  <c r="AY958" i="2"/>
  <c r="AZ958" i="2" s="1"/>
  <c r="AY960" i="2"/>
  <c r="AZ960" i="2" s="1"/>
  <c r="AY961" i="2"/>
  <c r="AZ961" i="2" s="1"/>
  <c r="AY962" i="2"/>
  <c r="AZ962" i="2" s="1"/>
  <c r="AY963" i="2"/>
  <c r="AZ963" i="2" s="1"/>
  <c r="AY964" i="2"/>
  <c r="AZ964" i="2" s="1"/>
  <c r="AY965" i="2"/>
  <c r="AZ965" i="2" s="1"/>
  <c r="AY966" i="2"/>
  <c r="AZ966" i="2" s="1"/>
  <c r="AY891" i="2"/>
  <c r="AZ891" i="2" s="1"/>
  <c r="AY967" i="2"/>
  <c r="AZ967" i="2" s="1"/>
  <c r="AY968" i="2"/>
  <c r="AZ968" i="2" s="1"/>
  <c r="AY969" i="2"/>
  <c r="AZ969" i="2" s="1"/>
  <c r="AY970" i="2"/>
  <c r="AZ970" i="2" s="1"/>
  <c r="AY971" i="2"/>
  <c r="AZ971" i="2" s="1"/>
  <c r="AY972" i="2"/>
  <c r="AZ972" i="2" s="1"/>
  <c r="AY973" i="2"/>
  <c r="AZ973" i="2" s="1"/>
  <c r="AY974" i="2"/>
  <c r="AZ974" i="2" s="1"/>
  <c r="AY975" i="2"/>
  <c r="AZ975" i="2" s="1"/>
  <c r="AY976" i="2"/>
  <c r="AZ976" i="2" s="1"/>
  <c r="AY977" i="2"/>
  <c r="AZ977" i="2" s="1"/>
  <c r="AY978" i="2"/>
  <c r="AZ978" i="2" s="1"/>
  <c r="AY979" i="2"/>
  <c r="AZ979" i="2" s="1"/>
  <c r="AY980" i="2"/>
  <c r="AZ980" i="2" s="1"/>
  <c r="AY981" i="2"/>
  <c r="AZ981" i="2" s="1"/>
  <c r="AY982" i="2"/>
  <c r="AZ982" i="2" s="1"/>
  <c r="AY983" i="2"/>
  <c r="AZ983" i="2" s="1"/>
  <c r="AY984" i="2"/>
  <c r="AZ984" i="2" s="1"/>
  <c r="AY985" i="2"/>
  <c r="AZ985" i="2" s="1"/>
  <c r="AY986" i="2"/>
  <c r="AZ986" i="2" s="1"/>
  <c r="AY987" i="2"/>
  <c r="AZ987" i="2" s="1"/>
  <c r="AY988" i="2"/>
  <c r="AZ988" i="2" s="1"/>
  <c r="AY989" i="2"/>
  <c r="AZ989" i="2" s="1"/>
  <c r="AY990" i="2"/>
  <c r="AZ990" i="2" s="1"/>
  <c r="AY991" i="2"/>
  <c r="AZ991" i="2" s="1"/>
  <c r="AY992" i="2"/>
  <c r="AZ992" i="2" s="1"/>
  <c r="AY993" i="2"/>
  <c r="AZ993" i="2" s="1"/>
  <c r="AY994" i="2"/>
  <c r="AZ994" i="2" s="1"/>
  <c r="AY995" i="2"/>
  <c r="AZ995" i="2" s="1"/>
  <c r="AY996" i="2"/>
  <c r="AZ996" i="2" s="1"/>
  <c r="AY1013" i="2"/>
  <c r="AZ1013" i="2" s="1"/>
  <c r="AY997" i="2"/>
  <c r="AZ997" i="2" s="1"/>
  <c r="AY998" i="2"/>
  <c r="AZ998" i="2" s="1"/>
  <c r="AY999" i="2"/>
  <c r="AZ999" i="2" s="1"/>
  <c r="AY1000" i="2"/>
  <c r="AZ1000" i="2" s="1"/>
  <c r="AY1001" i="2"/>
  <c r="AZ1001" i="2" s="1"/>
  <c r="AY1002" i="2"/>
  <c r="AZ1002" i="2" s="1"/>
  <c r="AY1003" i="2"/>
  <c r="AZ1003" i="2" s="1"/>
  <c r="AY1004" i="2"/>
  <c r="AZ1004" i="2" s="1"/>
  <c r="AY1005" i="2"/>
  <c r="AZ1005" i="2" s="1"/>
  <c r="AY1006" i="2"/>
  <c r="AZ1006" i="2" s="1"/>
  <c r="AY1007" i="2"/>
  <c r="AZ1007" i="2" s="1"/>
  <c r="AY1008" i="2"/>
  <c r="AZ1008" i="2" s="1"/>
  <c r="AY1009" i="2"/>
  <c r="AZ1009" i="2" s="1"/>
  <c r="AY1010" i="2"/>
  <c r="AZ1010" i="2" s="1"/>
  <c r="AY1011" i="2"/>
  <c r="AZ1011" i="2" s="1"/>
  <c r="AY1014" i="2"/>
  <c r="AZ1014" i="2" s="1"/>
  <c r="AY1015" i="2"/>
  <c r="AZ1015" i="2" s="1"/>
  <c r="AY1016" i="2"/>
  <c r="AZ1016" i="2" s="1"/>
  <c r="AY1017" i="2"/>
  <c r="AZ1017" i="2" s="1"/>
  <c r="AY1018" i="2"/>
  <c r="AZ1018" i="2" s="1"/>
  <c r="AY1019" i="2"/>
  <c r="AZ1019" i="2" s="1"/>
  <c r="AY1020" i="2"/>
  <c r="AZ1020" i="2" s="1"/>
  <c r="AY1021" i="2"/>
  <c r="AZ1021" i="2" s="1"/>
  <c r="AY1022" i="2"/>
  <c r="AZ1022" i="2" s="1"/>
  <c r="AY1023" i="2"/>
  <c r="AZ1023" i="2" s="1"/>
  <c r="AY1024" i="2"/>
  <c r="AZ1024" i="2" s="1"/>
  <c r="AY1025" i="2"/>
  <c r="AZ1025" i="2" s="1"/>
  <c r="AY1026" i="2"/>
  <c r="AZ1026" i="2" s="1"/>
  <c r="AY1027" i="2"/>
  <c r="AZ1027" i="2" s="1"/>
  <c r="AY1028" i="2"/>
  <c r="AZ1028" i="2" s="1"/>
  <c r="AY1029" i="2"/>
  <c r="AZ1029" i="2" s="1"/>
  <c r="AY1030" i="2"/>
  <c r="AZ1030" i="2" s="1"/>
  <c r="AY1031" i="2"/>
  <c r="AZ1031" i="2" s="1"/>
  <c r="AY1032" i="2"/>
  <c r="AZ1032" i="2" s="1"/>
  <c r="AY1033" i="2"/>
  <c r="AZ1033" i="2" s="1"/>
  <c r="AY1034" i="2"/>
  <c r="AZ1034" i="2" s="1"/>
  <c r="AY1035" i="2"/>
  <c r="AZ1035" i="2" s="1"/>
  <c r="AY1037" i="2"/>
  <c r="AZ1037" i="2" s="1"/>
  <c r="AY1038" i="2"/>
  <c r="AZ1038" i="2" s="1"/>
  <c r="AY1039" i="2"/>
  <c r="AZ1039" i="2" s="1"/>
  <c r="AY1040" i="2"/>
  <c r="AZ1040" i="2" s="1"/>
  <c r="AY1041" i="2"/>
  <c r="AZ1041" i="2" s="1"/>
  <c r="AY1042" i="2"/>
  <c r="AZ1042" i="2" s="1"/>
  <c r="AY1043" i="2"/>
  <c r="AZ1043" i="2" s="1"/>
  <c r="AY1044" i="2"/>
  <c r="AZ1044" i="2" s="1"/>
  <c r="AY1045" i="2"/>
  <c r="AZ1045" i="2" s="1"/>
  <c r="AY1046" i="2"/>
  <c r="AZ1046" i="2" s="1"/>
  <c r="AY1047" i="2"/>
  <c r="AZ1047" i="2" s="1"/>
  <c r="AY1048" i="2"/>
  <c r="AZ1048" i="2" s="1"/>
  <c r="AY1049" i="2"/>
  <c r="AZ1049" i="2" s="1"/>
  <c r="AY1050" i="2"/>
  <c r="AZ1050" i="2" s="1"/>
  <c r="AY1051" i="2"/>
  <c r="AZ1051" i="2" s="1"/>
  <c r="AY1052" i="2"/>
  <c r="AZ1052" i="2" s="1"/>
  <c r="AY1053" i="2"/>
  <c r="AZ1053" i="2" s="1"/>
  <c r="AY1054" i="2"/>
  <c r="AZ1054" i="2" s="1"/>
  <c r="AY1055" i="2"/>
  <c r="AZ1055" i="2" s="1"/>
  <c r="AY1056" i="2"/>
  <c r="AZ1056" i="2" s="1"/>
  <c r="AY1057" i="2"/>
  <c r="AZ1057" i="2" s="1"/>
  <c r="AY1058" i="2"/>
  <c r="AZ1058" i="2" s="1"/>
  <c r="AY1059" i="2"/>
  <c r="AZ1059" i="2" s="1"/>
  <c r="AY1060" i="2"/>
  <c r="AZ1060" i="2" s="1"/>
  <c r="AY1061" i="2"/>
  <c r="AZ1061" i="2" s="1"/>
  <c r="AY1062" i="2"/>
  <c r="AZ1062" i="2" s="1"/>
  <c r="AY1063" i="2"/>
  <c r="AZ1063" i="2" s="1"/>
  <c r="AY1064" i="2"/>
  <c r="AZ1064" i="2" s="1"/>
  <c r="AY1065" i="2"/>
  <c r="AZ1065" i="2" s="1"/>
  <c r="AY1066" i="2"/>
  <c r="AZ1066" i="2" s="1"/>
  <c r="AY1067" i="2"/>
  <c r="AZ1067" i="2" s="1"/>
  <c r="AY1068" i="2"/>
  <c r="AZ1068" i="2" s="1"/>
  <c r="AY1069" i="2"/>
  <c r="AZ1069" i="2" s="1"/>
  <c r="AY1070" i="2"/>
  <c r="AZ1070" i="2" s="1"/>
  <c r="AY1071" i="2"/>
  <c r="AZ1071" i="2" s="1"/>
  <c r="AY1072" i="2"/>
  <c r="AZ1072" i="2" s="1"/>
  <c r="AY1073" i="2"/>
  <c r="AZ1073" i="2" s="1"/>
  <c r="AY1074" i="2"/>
  <c r="AZ1074" i="2" s="1"/>
  <c r="AY1075" i="2"/>
  <c r="AZ1075" i="2" s="1"/>
  <c r="AY1076" i="2"/>
  <c r="AZ1076" i="2" s="1"/>
  <c r="AY1077" i="2"/>
  <c r="AZ1077" i="2" s="1"/>
  <c r="AY1078" i="2"/>
  <c r="AZ1078" i="2" s="1"/>
  <c r="AY1079" i="2"/>
  <c r="AZ1079" i="2" s="1"/>
  <c r="AY1080" i="2"/>
  <c r="AZ1080" i="2" s="1"/>
  <c r="AY1081" i="2"/>
  <c r="AZ1081" i="2" s="1"/>
  <c r="AY1082" i="2"/>
  <c r="AZ1082" i="2" s="1"/>
  <c r="AY1083" i="2"/>
  <c r="AZ1083" i="2" s="1"/>
  <c r="AY1084" i="2"/>
  <c r="AZ1084" i="2" s="1"/>
  <c r="AY1085" i="2"/>
  <c r="AZ1085" i="2" s="1"/>
  <c r="AY1086" i="2"/>
  <c r="AZ1086" i="2" s="1"/>
  <c r="AY1087" i="2"/>
  <c r="AZ1087" i="2" s="1"/>
  <c r="AY1088" i="2"/>
  <c r="AZ1088" i="2" s="1"/>
  <c r="AY1089" i="2"/>
  <c r="AZ1089" i="2" s="1"/>
  <c r="AY1090" i="2"/>
  <c r="AZ1090" i="2" s="1"/>
  <c r="AY1091" i="2"/>
  <c r="AZ1091" i="2" s="1"/>
  <c r="AY1092" i="2"/>
  <c r="AZ1092" i="2" s="1"/>
  <c r="AY1093" i="2"/>
  <c r="AZ1093" i="2" s="1"/>
  <c r="AY1094" i="2"/>
  <c r="AZ1094" i="2" s="1"/>
  <c r="AY1095" i="2"/>
  <c r="AZ1095" i="2" s="1"/>
  <c r="AY1096" i="2"/>
  <c r="AZ1096" i="2" s="1"/>
  <c r="AY1097" i="2"/>
  <c r="AZ1097" i="2" s="1"/>
  <c r="AY1098" i="2"/>
  <c r="AZ1098" i="2" s="1"/>
  <c r="AY1099" i="2"/>
  <c r="AZ1099" i="2" s="1"/>
  <c r="AY1100" i="2"/>
  <c r="AZ1100" i="2" s="1"/>
  <c r="AY1101" i="2"/>
  <c r="AZ1101" i="2" s="1"/>
  <c r="AY1102" i="2"/>
  <c r="AZ1102" i="2" s="1"/>
  <c r="AY1103" i="2"/>
  <c r="AZ1103" i="2" s="1"/>
  <c r="AY1104" i="2"/>
  <c r="AZ1104" i="2" s="1"/>
  <c r="AY1105" i="2"/>
  <c r="AZ1105" i="2" s="1"/>
  <c r="AY1106" i="2"/>
  <c r="AZ1106" i="2" s="1"/>
  <c r="AY1107" i="2"/>
  <c r="AZ1107" i="2" s="1"/>
  <c r="AY1108" i="2"/>
  <c r="AZ1108" i="2" s="1"/>
  <c r="AY1109" i="2"/>
  <c r="AZ1109" i="2" s="1"/>
  <c r="AY1110" i="2"/>
  <c r="AZ1110" i="2" s="1"/>
  <c r="AY1111" i="2"/>
  <c r="AZ1111" i="2" s="1"/>
  <c r="AY1112" i="2"/>
  <c r="AZ1112" i="2" s="1"/>
  <c r="AY1113" i="2"/>
  <c r="AZ1113" i="2" s="1"/>
  <c r="AY1114" i="2"/>
  <c r="AZ1114" i="2" s="1"/>
  <c r="AY1115" i="2"/>
  <c r="AZ1115" i="2" s="1"/>
  <c r="AY1116" i="2"/>
  <c r="AZ1116" i="2" s="1"/>
  <c r="AY1117" i="2"/>
  <c r="AZ1117" i="2" s="1"/>
  <c r="AY1118" i="2"/>
  <c r="AZ1118" i="2" s="1"/>
  <c r="AY1119" i="2"/>
  <c r="AZ1119" i="2" s="1"/>
  <c r="AY1120" i="2"/>
  <c r="AZ1120" i="2" s="1"/>
  <c r="AY1121" i="2"/>
  <c r="AZ1121" i="2" s="1"/>
  <c r="AY1122" i="2"/>
  <c r="AZ1122" i="2" s="1"/>
  <c r="AY1123" i="2"/>
  <c r="AZ1123" i="2" s="1"/>
  <c r="AY1124" i="2"/>
  <c r="AZ1124" i="2" s="1"/>
  <c r="AY1125" i="2"/>
  <c r="AZ1125" i="2" s="1"/>
  <c r="AY1126" i="2"/>
  <c r="AZ1126" i="2" s="1"/>
  <c r="AY1127" i="2"/>
  <c r="AZ1127" i="2" s="1"/>
  <c r="AY1128" i="2"/>
  <c r="AZ1128" i="2" s="1"/>
  <c r="AY1129" i="2"/>
  <c r="AZ1129" i="2" s="1"/>
  <c r="AY1130" i="2"/>
  <c r="AZ1130" i="2" s="1"/>
  <c r="AY1131" i="2"/>
  <c r="AZ1131" i="2" s="1"/>
  <c r="AY1132" i="2"/>
  <c r="AZ1132" i="2" s="1"/>
  <c r="AY1133" i="2"/>
  <c r="AZ1133" i="2" s="1"/>
  <c r="AY1134" i="2"/>
  <c r="AZ1134" i="2" s="1"/>
  <c r="AY1135" i="2"/>
  <c r="AZ1135" i="2" s="1"/>
  <c r="AY1136" i="2"/>
  <c r="AZ1136" i="2" s="1"/>
  <c r="AY1137" i="2"/>
  <c r="AZ1137" i="2" s="1"/>
  <c r="AY1138" i="2"/>
  <c r="AZ1138" i="2" s="1"/>
  <c r="AY1139" i="2"/>
  <c r="AZ1139" i="2" s="1"/>
  <c r="AY1140" i="2"/>
  <c r="AZ1140" i="2" s="1"/>
  <c r="AY1141" i="2"/>
  <c r="AZ1141" i="2" s="1"/>
  <c r="AY1142" i="2"/>
  <c r="AZ1142" i="2" s="1"/>
  <c r="AY1143" i="2"/>
  <c r="AZ1143" i="2" s="1"/>
  <c r="AY1144" i="2"/>
  <c r="AZ1144" i="2" s="1"/>
  <c r="AY1145" i="2"/>
  <c r="AZ1145" i="2" s="1"/>
  <c r="AY1146" i="2"/>
  <c r="AZ1146" i="2" s="1"/>
  <c r="AY1147" i="2"/>
  <c r="AZ1147" i="2" s="1"/>
  <c r="AY1148" i="2"/>
  <c r="AZ1148" i="2" s="1"/>
  <c r="AY1149" i="2"/>
  <c r="AZ1149" i="2" s="1"/>
  <c r="AY1150" i="2"/>
  <c r="AZ1150" i="2" s="1"/>
  <c r="AY1151" i="2"/>
  <c r="AZ1151" i="2" s="1"/>
  <c r="AY1152" i="2"/>
  <c r="AZ1152" i="2" s="1"/>
  <c r="AY1153" i="2"/>
  <c r="AZ1153" i="2" s="1"/>
  <c r="I12" i="21" l="1"/>
  <c r="D30" i="10"/>
  <c r="I30" i="10"/>
  <c r="G29" i="10"/>
  <c r="E29" i="10"/>
  <c r="I29" i="10"/>
  <c r="F29" i="10"/>
  <c r="C30" i="10"/>
  <c r="E30" i="10"/>
  <c r="F30" i="10"/>
  <c r="G30" i="10"/>
  <c r="H29" i="10"/>
  <c r="C29" i="10"/>
  <c r="D29" i="10"/>
  <c r="H30" i="10"/>
  <c r="L31" i="25"/>
  <c r="J35" i="25"/>
  <c r="D9" i="25"/>
  <c r="H17" i="25"/>
  <c r="K22" i="25"/>
  <c r="I26" i="25"/>
  <c r="D32" i="25"/>
  <c r="D30" i="25"/>
  <c r="H26" i="25"/>
  <c r="J9" i="25"/>
  <c r="G13" i="25"/>
  <c r="B17" i="25"/>
  <c r="E21" i="25"/>
  <c r="L26" i="25"/>
  <c r="J30" i="25"/>
  <c r="G34" i="25"/>
  <c r="E18" i="25"/>
  <c r="E16" i="25"/>
  <c r="K21" i="25"/>
  <c r="I25" i="25"/>
  <c r="D29" i="25"/>
  <c r="C33" i="25"/>
  <c r="L8" i="25"/>
  <c r="J12" i="25"/>
  <c r="G16" i="25"/>
  <c r="C10" i="25"/>
  <c r="L25" i="25"/>
  <c r="J29" i="25"/>
  <c r="G33" i="25"/>
  <c r="C7" i="25"/>
  <c r="H11" i="25"/>
  <c r="K16" i="25"/>
  <c r="I20" i="25"/>
  <c r="D24" i="25"/>
  <c r="H28" i="25"/>
  <c r="H34" i="25"/>
  <c r="J11" i="25"/>
  <c r="G15" i="25"/>
  <c r="B19" i="25"/>
  <c r="E23" i="25"/>
  <c r="L28" i="25"/>
  <c r="J32" i="25"/>
  <c r="G36" i="25"/>
  <c r="E22" i="25"/>
  <c r="E20" i="25"/>
  <c r="K15" i="25"/>
  <c r="I19" i="25"/>
  <c r="D23" i="25"/>
  <c r="C27" i="25"/>
  <c r="H31" i="25"/>
  <c r="K36" i="25"/>
  <c r="G10" i="25"/>
  <c r="B30" i="25"/>
  <c r="B28" i="25"/>
  <c r="L27" i="25"/>
  <c r="J31" i="25"/>
  <c r="G35" i="25"/>
  <c r="H13" i="25"/>
  <c r="K18" i="25"/>
  <c r="I22" i="25"/>
  <c r="D26" i="25"/>
  <c r="H32" i="25"/>
  <c r="H30" i="25"/>
  <c r="K35" i="25"/>
  <c r="G9" i="25"/>
  <c r="B13" i="25"/>
  <c r="E17" i="25"/>
  <c r="L22" i="25"/>
  <c r="J26" i="25"/>
  <c r="G30" i="25"/>
  <c r="E10" i="25"/>
  <c r="E8" i="25"/>
  <c r="H12" i="25"/>
  <c r="K17" i="25"/>
  <c r="I21" i="25"/>
  <c r="D25" i="25"/>
  <c r="C29" i="25"/>
  <c r="H33" i="25"/>
  <c r="J8" i="25"/>
  <c r="G12" i="25"/>
  <c r="B34" i="25"/>
  <c r="B32" i="25"/>
  <c r="L21" i="25"/>
  <c r="J25" i="25"/>
  <c r="G29" i="25"/>
  <c r="B33" i="25"/>
  <c r="H7" i="25"/>
  <c r="K12" i="25"/>
  <c r="I16" i="25"/>
  <c r="D20" i="25"/>
  <c r="H20" i="25"/>
  <c r="H18" i="25"/>
  <c r="J7" i="25"/>
  <c r="G11" i="25"/>
  <c r="B15" i="25"/>
  <c r="E19" i="25"/>
  <c r="L24" i="25"/>
  <c r="J28" i="25"/>
  <c r="G32" i="25"/>
  <c r="E14" i="25"/>
  <c r="E12" i="25"/>
  <c r="K11" i="25"/>
  <c r="I15" i="25"/>
  <c r="D19" i="25"/>
  <c r="C23" i="25"/>
  <c r="H27" i="25"/>
  <c r="K32" i="25"/>
  <c r="I36" i="25"/>
  <c r="B22" i="25"/>
  <c r="B20" i="25"/>
  <c r="L23" i="25"/>
  <c r="J27" i="25"/>
  <c r="G31" i="25"/>
  <c r="B35" i="25"/>
  <c r="H9" i="25"/>
  <c r="K14" i="25"/>
  <c r="I18" i="25"/>
  <c r="D22" i="25"/>
  <c r="H24" i="25"/>
  <c r="H22" i="25"/>
  <c r="K31" i="25"/>
  <c r="I35" i="25"/>
  <c r="B9" i="25"/>
  <c r="E13" i="25"/>
  <c r="L18" i="25"/>
  <c r="J22" i="25"/>
  <c r="G26" i="25"/>
  <c r="C32" i="25"/>
  <c r="C30" i="25"/>
  <c r="K13" i="25"/>
  <c r="I17" i="25"/>
  <c r="D21" i="25"/>
  <c r="C25" i="25"/>
  <c r="H29" i="25"/>
  <c r="K34" i="25"/>
  <c r="G8" i="25"/>
  <c r="B26" i="25"/>
  <c r="B24" i="25"/>
  <c r="L17" i="25"/>
  <c r="J21" i="25"/>
  <c r="G25" i="25"/>
  <c r="B29" i="25"/>
  <c r="E33" i="25"/>
  <c r="K8" i="25"/>
  <c r="I12" i="25"/>
  <c r="H10" i="25"/>
  <c r="K33" i="25"/>
  <c r="G7" i="25"/>
  <c r="B11" i="25"/>
  <c r="E15" i="25"/>
  <c r="L20" i="25"/>
  <c r="J24" i="25"/>
  <c r="G28" i="25"/>
  <c r="C36" i="25"/>
  <c r="C34" i="25"/>
  <c r="K7" i="25"/>
  <c r="I11" i="25"/>
  <c r="D15" i="25"/>
  <c r="C19" i="25"/>
  <c r="H23" i="25"/>
  <c r="K28" i="25"/>
  <c r="I32" i="25"/>
  <c r="B14" i="25"/>
  <c r="B12" i="25"/>
  <c r="L19" i="25"/>
  <c r="J23" i="25"/>
  <c r="G27" i="25"/>
  <c r="B31" i="25"/>
  <c r="E35" i="25"/>
  <c r="K10" i="25"/>
  <c r="I14" i="25"/>
  <c r="D18" i="25"/>
  <c r="H16" i="25"/>
  <c r="H14" i="25"/>
  <c r="K27" i="25"/>
  <c r="I31" i="25"/>
  <c r="D35" i="25"/>
  <c r="E9" i="25"/>
  <c r="L14" i="25"/>
  <c r="J18" i="25"/>
  <c r="G22" i="25"/>
  <c r="C24" i="25"/>
  <c r="C22" i="25"/>
  <c r="K9" i="25"/>
  <c r="I13" i="25"/>
  <c r="D17" i="25"/>
  <c r="C21" i="25"/>
  <c r="H25" i="25"/>
  <c r="K30" i="25"/>
  <c r="I34" i="25"/>
  <c r="B18" i="25"/>
  <c r="B16" i="25"/>
  <c r="L13" i="25"/>
  <c r="J17" i="25"/>
  <c r="G21" i="25"/>
  <c r="B25" i="25"/>
  <c r="E29" i="25"/>
  <c r="L34" i="25"/>
  <c r="I8" i="25"/>
  <c r="D12" i="25"/>
  <c r="E34" i="25"/>
  <c r="E32" i="25"/>
  <c r="K29" i="25"/>
  <c r="I33" i="25"/>
  <c r="B7" i="25"/>
  <c r="E11" i="25"/>
  <c r="L16" i="25"/>
  <c r="J20" i="25"/>
  <c r="G24" i="25"/>
  <c r="C28" i="25"/>
  <c r="C26" i="25"/>
  <c r="L33" i="25"/>
  <c r="I7" i="25"/>
  <c r="D11" i="25"/>
  <c r="H19" i="25"/>
  <c r="K24" i="25"/>
  <c r="I28" i="25"/>
  <c r="D36" i="25"/>
  <c r="D34" i="25"/>
  <c r="D16" i="25"/>
  <c r="L15" i="25"/>
  <c r="J19" i="25"/>
  <c r="G23" i="25"/>
  <c r="B27" i="25"/>
  <c r="E31" i="25"/>
  <c r="L36" i="25"/>
  <c r="I10" i="25"/>
  <c r="D14" i="25"/>
  <c r="H8" i="25"/>
  <c r="E36" i="25"/>
  <c r="K23" i="25"/>
  <c r="I27" i="25"/>
  <c r="D31" i="25"/>
  <c r="C35" i="25"/>
  <c r="L10" i="25"/>
  <c r="J14" i="25"/>
  <c r="G18" i="25"/>
  <c r="L35" i="25"/>
  <c r="I9" i="25"/>
  <c r="D13" i="25"/>
  <c r="H21" i="25"/>
  <c r="K26" i="25"/>
  <c r="I30" i="25"/>
  <c r="B10" i="25"/>
  <c r="B8" i="25"/>
  <c r="L9" i="25"/>
  <c r="J13" i="25"/>
  <c r="G17" i="25"/>
  <c r="B21" i="25"/>
  <c r="E25" i="25"/>
  <c r="L30" i="25"/>
  <c r="J34" i="25"/>
  <c r="D8" i="25"/>
  <c r="E26" i="25"/>
  <c r="E24" i="25"/>
  <c r="K25" i="25"/>
  <c r="I29" i="25"/>
  <c r="D33" i="25"/>
  <c r="E7" i="25"/>
  <c r="L12" i="25"/>
  <c r="J16" i="25"/>
  <c r="G20" i="25"/>
  <c r="C20" i="25"/>
  <c r="L29" i="25"/>
  <c r="J33" i="25"/>
  <c r="D7" i="25"/>
  <c r="H15" i="25"/>
  <c r="K20" i="25"/>
  <c r="I24" i="25"/>
  <c r="D28" i="25"/>
  <c r="H36" i="25"/>
  <c r="L11" i="25"/>
  <c r="J15" i="25"/>
  <c r="G19" i="25"/>
  <c r="B23" i="25"/>
  <c r="E27" i="25"/>
  <c r="L32" i="25"/>
  <c r="J36" i="25"/>
  <c r="D10" i="25"/>
  <c r="E30" i="25"/>
  <c r="E28" i="25"/>
  <c r="K19" i="25"/>
  <c r="I23" i="25"/>
  <c r="D27" i="25"/>
  <c r="C31" i="25"/>
  <c r="H35" i="25"/>
  <c r="J10" i="25"/>
  <c r="G14" i="25"/>
  <c r="B36" i="25"/>
  <c r="E8" i="10"/>
  <c r="I16" i="21"/>
  <c r="C16" i="21"/>
  <c r="I38" i="21"/>
  <c r="C23" i="21"/>
  <c r="C18" i="21"/>
  <c r="E15" i="21"/>
  <c r="G20" i="21"/>
  <c r="C17" i="21"/>
  <c r="B41" i="21"/>
  <c r="E41" i="21"/>
  <c r="I39" i="21"/>
  <c r="E16" i="21"/>
  <c r="B30" i="21"/>
  <c r="I18" i="21"/>
  <c r="B23" i="21"/>
  <c r="G35" i="21"/>
  <c r="G21" i="21"/>
  <c r="G23" i="21"/>
  <c r="G36" i="21"/>
  <c r="B17" i="21"/>
  <c r="E29" i="21"/>
  <c r="E20" i="21"/>
  <c r="I35" i="21"/>
  <c r="E12" i="21"/>
  <c r="B39" i="21"/>
  <c r="I25" i="21"/>
  <c r="C37" i="21"/>
  <c r="E31" i="21"/>
  <c r="B21" i="21"/>
  <c r="B13" i="21"/>
  <c r="I17" i="21"/>
  <c r="I19" i="21"/>
  <c r="G28" i="21"/>
  <c r="G39" i="21"/>
  <c r="I33" i="21"/>
  <c r="C34" i="21"/>
  <c r="E40" i="21"/>
  <c r="G24" i="21"/>
  <c r="G31" i="21"/>
  <c r="I31" i="21"/>
  <c r="I40" i="21"/>
  <c r="C29" i="21"/>
  <c r="I14" i="21"/>
  <c r="I15" i="21"/>
  <c r="G41" i="21"/>
  <c r="B29" i="21"/>
  <c r="E35" i="21"/>
  <c r="B36" i="21"/>
  <c r="G12" i="21"/>
  <c r="E38" i="21"/>
  <c r="G13" i="21"/>
  <c r="E37" i="21"/>
  <c r="E24" i="21"/>
  <c r="E21" i="21"/>
  <c r="E32" i="21"/>
  <c r="B27" i="21"/>
  <c r="I21" i="21"/>
  <c r="B40" i="21"/>
  <c r="G14" i="21"/>
  <c r="C28" i="21"/>
  <c r="G25" i="21"/>
  <c r="E25" i="21"/>
  <c r="C14" i="21"/>
  <c r="I36" i="21"/>
  <c r="E36" i="21"/>
  <c r="G37" i="21"/>
  <c r="I37" i="21"/>
  <c r="G18" i="21"/>
  <c r="B35" i="21"/>
  <c r="B19" i="21"/>
  <c r="E33" i="21"/>
  <c r="B20" i="21"/>
  <c r="E23" i="21"/>
  <c r="C26" i="21"/>
  <c r="G15" i="21"/>
  <c r="E19" i="21"/>
  <c r="C30" i="21"/>
  <c r="G29" i="21"/>
  <c r="E34" i="21"/>
  <c r="B31" i="21"/>
  <c r="G27" i="21"/>
  <c r="C38" i="21"/>
  <c r="E13" i="21"/>
  <c r="G26" i="21"/>
  <c r="E28" i="21"/>
  <c r="G33" i="21"/>
  <c r="C36" i="21"/>
  <c r="I29" i="21"/>
  <c r="C31" i="21"/>
  <c r="I32" i="21"/>
  <c r="C32" i="21"/>
  <c r="I24" i="21"/>
  <c r="C24" i="21"/>
  <c r="G32" i="21"/>
  <c r="B18" i="21"/>
  <c r="B15" i="21"/>
  <c r="C40" i="21"/>
  <c r="C27" i="21"/>
  <c r="I41" i="21"/>
  <c r="G22" i="21"/>
  <c r="B38" i="21"/>
  <c r="E14" i="21"/>
  <c r="B14" i="21"/>
  <c r="B34" i="21"/>
  <c r="E39" i="21"/>
  <c r="E26" i="21"/>
  <c r="C35" i="21"/>
  <c r="C15" i="21"/>
  <c r="B16" i="21"/>
  <c r="B12" i="21"/>
  <c r="G16" i="21"/>
  <c r="B33" i="21"/>
  <c r="G34" i="21"/>
  <c r="E22" i="21"/>
  <c r="C25" i="21"/>
  <c r="G19" i="21"/>
  <c r="C13" i="21"/>
  <c r="I13" i="21"/>
  <c r="G38" i="21"/>
  <c r="G17" i="21"/>
  <c r="I26" i="21"/>
  <c r="C21" i="21"/>
  <c r="B24" i="21"/>
  <c r="I28" i="21"/>
  <c r="I23" i="21"/>
  <c r="C41" i="21"/>
  <c r="C20" i="21"/>
  <c r="B22" i="21"/>
  <c r="E27" i="21"/>
  <c r="B37" i="21"/>
  <c r="C22" i="21"/>
  <c r="G30" i="21"/>
  <c r="G40" i="21"/>
  <c r="C33" i="21"/>
  <c r="E18" i="21"/>
  <c r="E17" i="21"/>
  <c r="B28" i="21"/>
  <c r="B26" i="21"/>
  <c r="I30" i="21"/>
  <c r="C19" i="21"/>
  <c r="C12" i="21"/>
  <c r="E30" i="21"/>
  <c r="C39" i="21"/>
  <c r="B25" i="21"/>
  <c r="I34" i="21"/>
  <c r="B32" i="21"/>
  <c r="I20" i="21"/>
  <c r="I27" i="21"/>
  <c r="I22" i="21"/>
  <c r="F7" i="10"/>
  <c r="I27" i="10"/>
  <c r="D25" i="10"/>
  <c r="G8" i="10"/>
  <c r="I26" i="10"/>
  <c r="H28" i="10"/>
  <c r="G13" i="10"/>
  <c r="E11" i="10"/>
  <c r="H14" i="10"/>
  <c r="H16" i="10"/>
  <c r="F25" i="10"/>
  <c r="H23" i="10"/>
  <c r="I24" i="10"/>
  <c r="D23" i="10"/>
  <c r="I19" i="10"/>
  <c r="F22" i="10"/>
  <c r="D26" i="10"/>
  <c r="G16" i="10"/>
  <c r="F27" i="10"/>
  <c r="H25" i="10"/>
  <c r="I22" i="10"/>
  <c r="F17" i="10"/>
  <c r="H15" i="10"/>
  <c r="F14" i="10"/>
  <c r="G23" i="10"/>
  <c r="E21" i="10"/>
  <c r="F20" i="10"/>
  <c r="G10" i="10"/>
  <c r="F19" i="10"/>
  <c r="H17" i="10"/>
  <c r="G26" i="10"/>
  <c r="G28" i="10"/>
  <c r="F9" i="10"/>
  <c r="H7" i="10"/>
  <c r="G14" i="10"/>
  <c r="E28" i="10"/>
  <c r="E22" i="10"/>
  <c r="G25" i="10"/>
  <c r="E23" i="10"/>
  <c r="E16" i="10"/>
  <c r="E18" i="10"/>
  <c r="G15" i="10"/>
  <c r="E13" i="10"/>
  <c r="E12" i="10"/>
  <c r="F16" i="10"/>
  <c r="F11" i="10"/>
  <c r="H9" i="10"/>
  <c r="C7" i="10"/>
  <c r="G12" i="10"/>
  <c r="I21" i="10"/>
  <c r="H20" i="10"/>
  <c r="E20" i="10"/>
  <c r="G17" i="10"/>
  <c r="E15" i="10"/>
  <c r="H22" i="10"/>
  <c r="H24" i="10"/>
  <c r="G7" i="10"/>
  <c r="H27" i="10"/>
  <c r="H10" i="10"/>
  <c r="H26" i="10"/>
  <c r="I23" i="10"/>
  <c r="D21" i="10"/>
  <c r="F26" i="10"/>
  <c r="E26" i="10"/>
  <c r="H12" i="10"/>
  <c r="G9" i="10"/>
  <c r="E7" i="10"/>
  <c r="I28" i="10"/>
  <c r="H8" i="10"/>
  <c r="F21" i="10"/>
  <c r="H19" i="10"/>
  <c r="D24" i="10"/>
  <c r="F18" i="10"/>
  <c r="G27" i="10"/>
  <c r="E25" i="10"/>
  <c r="F28" i="10"/>
  <c r="G24" i="10"/>
  <c r="F23" i="10"/>
  <c r="H21" i="10"/>
  <c r="F13" i="10"/>
  <c r="H11" i="10"/>
  <c r="G22" i="10"/>
  <c r="D22" i="10"/>
  <c r="E27" i="10"/>
  <c r="F10" i="10"/>
  <c r="E24" i="10"/>
  <c r="G19" i="10"/>
  <c r="E17" i="10"/>
  <c r="F12" i="10"/>
  <c r="F24" i="10"/>
  <c r="F15" i="10"/>
  <c r="H13" i="10"/>
  <c r="G18" i="10"/>
  <c r="G20" i="10"/>
  <c r="D28" i="10"/>
  <c r="I25" i="10"/>
  <c r="D27" i="10"/>
  <c r="E14" i="10"/>
  <c r="G21" i="10"/>
  <c r="E19" i="10"/>
  <c r="E10" i="10"/>
  <c r="G11" i="10"/>
  <c r="E9" i="10"/>
  <c r="H18" i="10"/>
  <c r="F8" i="10"/>
  <c r="C9" i="10"/>
  <c r="C23" i="10"/>
  <c r="C8" i="10"/>
  <c r="C22" i="10"/>
  <c r="C18" i="10"/>
  <c r="C14" i="10"/>
  <c r="C28" i="10"/>
  <c r="C21" i="10"/>
  <c r="C17" i="10"/>
  <c r="C13" i="10"/>
  <c r="C27" i="10"/>
  <c r="C12" i="10"/>
  <c r="C26" i="10"/>
  <c r="C19" i="10"/>
  <c r="C15" i="10"/>
  <c r="C11" i="10"/>
  <c r="C25" i="10"/>
  <c r="C10" i="10"/>
  <c r="C24" i="10"/>
  <c r="C20" i="10"/>
  <c r="C16" i="10"/>
  <c r="D17" i="7"/>
  <c r="E17" i="7"/>
  <c r="C34" i="7"/>
  <c r="D34" i="7"/>
  <c r="E34" i="7"/>
  <c r="C7" i="7"/>
  <c r="D7" i="7"/>
  <c r="E7" i="7"/>
  <c r="F7" i="7"/>
  <c r="C44" i="7"/>
  <c r="D44" i="7"/>
  <c r="E44" i="7"/>
  <c r="F44" i="7"/>
  <c r="C9" i="7"/>
  <c r="D9" i="7"/>
  <c r="E9" i="7"/>
  <c r="F9" i="7"/>
  <c r="C45" i="7"/>
  <c r="D45" i="7"/>
  <c r="E45" i="7"/>
  <c r="F45" i="7"/>
  <c r="C18" i="7"/>
  <c r="D18" i="7"/>
  <c r="E18" i="7"/>
  <c r="F18" i="7"/>
  <c r="C27" i="7"/>
  <c r="D27" i="7"/>
  <c r="E27" i="7"/>
  <c r="F27" i="7"/>
  <c r="C19" i="7"/>
  <c r="D19" i="7"/>
  <c r="E19" i="7"/>
  <c r="F19" i="7"/>
  <c r="C26" i="7"/>
  <c r="D26" i="7"/>
  <c r="E26" i="7"/>
  <c r="F26" i="7"/>
  <c r="C20" i="7"/>
  <c r="D20" i="7"/>
  <c r="E20" i="7"/>
  <c r="F20" i="7"/>
  <c r="C13" i="7"/>
  <c r="D13" i="7"/>
  <c r="E13" i="7"/>
  <c r="F13" i="7"/>
  <c r="C22" i="7"/>
  <c r="D22" i="7"/>
  <c r="E22" i="7"/>
  <c r="F22" i="7"/>
  <c r="C16" i="7"/>
  <c r="D16" i="7"/>
  <c r="E16" i="7"/>
  <c r="F16" i="7"/>
  <c r="F11" i="7"/>
  <c r="C40" i="7"/>
  <c r="D40" i="7"/>
  <c r="E40" i="7"/>
  <c r="F40" i="7"/>
  <c r="C41" i="7"/>
  <c r="D41" i="7"/>
  <c r="E41" i="7"/>
  <c r="F41" i="7"/>
  <c r="C14" i="7"/>
  <c r="D14" i="7"/>
  <c r="E14" i="7"/>
  <c r="F14" i="7"/>
  <c r="C24" i="7"/>
  <c r="D24" i="7"/>
  <c r="E24" i="7"/>
  <c r="F24" i="7"/>
  <c r="C28" i="7"/>
  <c r="D28" i="7"/>
  <c r="E28" i="7"/>
  <c r="F28" i="7"/>
  <c r="C5" i="7"/>
  <c r="D5" i="7"/>
  <c r="E5" i="7"/>
  <c r="F5" i="7"/>
  <c r="C33" i="7"/>
  <c r="D33" i="7"/>
  <c r="E33" i="7"/>
  <c r="F33" i="7"/>
  <c r="C21" i="7"/>
  <c r="D21" i="7"/>
  <c r="E21" i="7"/>
  <c r="F21" i="7"/>
  <c r="C35" i="7"/>
  <c r="D35" i="7"/>
  <c r="E35" i="7"/>
  <c r="F35" i="7"/>
  <c r="C29" i="7"/>
  <c r="D29" i="7"/>
  <c r="E29" i="7"/>
  <c r="F29" i="7"/>
  <c r="C30" i="7"/>
  <c r="D30" i="7"/>
  <c r="E30" i="7"/>
  <c r="F30" i="7"/>
  <c r="C43" i="7"/>
  <c r="D43" i="7"/>
  <c r="E43" i="7"/>
  <c r="F43" i="7"/>
  <c r="C37" i="7"/>
  <c r="D37" i="7"/>
  <c r="E37" i="7"/>
  <c r="F37" i="7"/>
  <c r="C8" i="7"/>
  <c r="D8" i="7"/>
  <c r="E8" i="7"/>
  <c r="F8" i="7"/>
  <c r="C42" i="7"/>
  <c r="D42" i="7"/>
  <c r="E42" i="7"/>
  <c r="F42" i="7"/>
  <c r="C12" i="7"/>
  <c r="D12" i="7"/>
  <c r="E12" i="7"/>
  <c r="F12" i="7"/>
  <c r="C31" i="7"/>
  <c r="D31" i="7"/>
  <c r="E31" i="7"/>
  <c r="F31" i="7"/>
  <c r="C38" i="7"/>
  <c r="D38" i="7"/>
  <c r="E38" i="7"/>
  <c r="F38" i="7"/>
  <c r="C15" i="7"/>
  <c r="D15" i="7"/>
  <c r="E15" i="7"/>
  <c r="F15" i="7"/>
  <c r="C32" i="7"/>
  <c r="D32" i="7"/>
  <c r="E32" i="7"/>
  <c r="F32" i="7"/>
  <c r="C6" i="7"/>
  <c r="D6" i="7"/>
  <c r="E6" i="7"/>
  <c r="F6" i="7"/>
  <c r="C36" i="7"/>
  <c r="D36" i="7"/>
  <c r="E36" i="7"/>
  <c r="F36" i="7"/>
  <c r="C25" i="7"/>
  <c r="D25" i="7"/>
  <c r="E25" i="7"/>
  <c r="F25" i="7"/>
  <c r="F30" i="25" l="1"/>
  <c r="F36" i="25"/>
  <c r="F26" i="25"/>
  <c r="F29" i="25"/>
  <c r="F24" i="25"/>
  <c r="F32" i="25"/>
  <c r="F28" i="25"/>
  <c r="F34" i="25"/>
  <c r="F16" i="25"/>
  <c r="F7" i="25"/>
  <c r="F35" i="25"/>
  <c r="F13" i="25"/>
  <c r="F14" i="25"/>
  <c r="F19" i="25"/>
  <c r="F8" i="25"/>
  <c r="F20" i="25"/>
  <c r="F27" i="25"/>
  <c r="F25" i="25"/>
  <c r="F31" i="25"/>
  <c r="F11" i="25"/>
  <c r="F9" i="25"/>
  <c r="F15" i="25"/>
  <c r="F33" i="25"/>
  <c r="F12" i="25"/>
  <c r="F10" i="25"/>
  <c r="F17" i="25"/>
  <c r="F22" i="25"/>
  <c r="F23" i="25"/>
  <c r="F18" i="25"/>
  <c r="F21" i="25"/>
  <c r="AX723" i="2"/>
  <c r="BA723" i="2" s="1"/>
  <c r="AX724" i="2"/>
  <c r="BA724" i="2" s="1"/>
  <c r="AX725" i="2"/>
  <c r="BA725" i="2" s="1"/>
  <c r="AX731" i="2"/>
  <c r="BA731" i="2" s="1"/>
  <c r="AX789" i="2"/>
  <c r="BA789" i="2" s="1"/>
  <c r="AX790" i="2"/>
  <c r="BA790" i="2" s="1"/>
  <c r="AX791" i="2"/>
  <c r="BA791" i="2" s="1"/>
  <c r="AX842" i="2"/>
  <c r="BA842" i="2" s="1"/>
  <c r="AX846" i="2"/>
  <c r="BA846" i="2" s="1"/>
  <c r="AX858" i="2"/>
  <c r="BA858" i="2" s="1"/>
  <c r="AX859" i="2"/>
  <c r="AX860" i="2"/>
  <c r="BA860" i="2" s="1"/>
  <c r="AX861" i="2"/>
  <c r="BA861" i="2" s="1"/>
  <c r="AX880" i="2"/>
  <c r="BA880" i="2" s="1"/>
  <c r="AX881" i="2"/>
  <c r="BA881" i="2" s="1"/>
  <c r="AX882" i="2"/>
  <c r="AX883" i="2"/>
  <c r="BA883" i="2" s="1"/>
  <c r="AX884" i="2"/>
  <c r="BA884" i="2" s="1"/>
  <c r="AX885" i="2"/>
  <c r="BA885" i="2" s="1"/>
  <c r="AX886" i="2"/>
  <c r="BA886" i="2" s="1"/>
  <c r="AX887" i="2"/>
  <c r="BA887" i="2" s="1"/>
  <c r="AX888" i="2"/>
  <c r="BA888" i="2" s="1"/>
  <c r="AX889" i="2"/>
  <c r="AX895" i="2"/>
  <c r="BA895" i="2" s="1"/>
  <c r="AX900" i="2"/>
  <c r="BA900" i="2" s="1"/>
  <c r="AX902" i="2"/>
  <c r="BA902" i="2" s="1"/>
  <c r="AX903" i="2"/>
  <c r="BA903" i="2" s="1"/>
  <c r="AX920" i="2"/>
  <c r="BA920" i="2" s="1"/>
  <c r="AX930" i="2"/>
  <c r="BA930" i="2" s="1"/>
  <c r="AX931" i="2"/>
  <c r="BA931" i="2" s="1"/>
  <c r="AX941" i="2"/>
  <c r="BA941" i="2" s="1"/>
  <c r="AX942" i="2"/>
  <c r="BA942" i="2" s="1"/>
  <c r="AX943" i="2"/>
  <c r="BA943" i="2" s="1"/>
  <c r="AX944" i="2"/>
  <c r="BA944" i="2" s="1"/>
  <c r="BB944" i="2" s="1"/>
  <c r="AX954" i="2"/>
  <c r="AX890" i="2"/>
  <c r="BA890" i="2" s="1"/>
  <c r="AX960" i="2"/>
  <c r="BA960" i="2" s="1"/>
  <c r="AX961" i="2"/>
  <c r="BA961" i="2" s="1"/>
  <c r="AX962" i="2"/>
  <c r="BA962" i="2" s="1"/>
  <c r="AX963" i="2"/>
  <c r="BA963" i="2" s="1"/>
  <c r="AX964" i="2"/>
  <c r="BA964" i="2" s="1"/>
  <c r="AX965" i="2"/>
  <c r="BA965" i="2" s="1"/>
  <c r="AX966" i="2"/>
  <c r="BA966" i="2" s="1"/>
  <c r="AX891" i="2"/>
  <c r="BA891" i="2" s="1"/>
  <c r="AX971" i="2"/>
  <c r="BA971" i="2" s="1"/>
  <c r="AX975" i="2"/>
  <c r="AX976" i="2"/>
  <c r="BA976" i="2" s="1"/>
  <c r="AX977" i="2"/>
  <c r="BA977" i="2" s="1"/>
  <c r="AX978" i="2"/>
  <c r="AX979" i="2"/>
  <c r="C18" i="25" s="1"/>
  <c r="AX980" i="2"/>
  <c r="BA980" i="2" s="1"/>
  <c r="AX981" i="2"/>
  <c r="BA981" i="2" s="1"/>
  <c r="AX982" i="2"/>
  <c r="BA982" i="2" s="1"/>
  <c r="AX995" i="2"/>
  <c r="BA995" i="2" s="1"/>
  <c r="AX1002" i="2"/>
  <c r="BA1002" i="2" s="1"/>
  <c r="AX1003" i="2"/>
  <c r="AX1004" i="2"/>
  <c r="BA1004" i="2" s="1"/>
  <c r="AX1005" i="2"/>
  <c r="BA1005" i="2" s="1"/>
  <c r="AX1006" i="2"/>
  <c r="BA1006" i="2" s="1"/>
  <c r="AX1007" i="2"/>
  <c r="BA1007" i="2" s="1"/>
  <c r="AX1008" i="2"/>
  <c r="BA1008" i="2" s="1"/>
  <c r="AX1009" i="2"/>
  <c r="BA1009" i="2" s="1"/>
  <c r="AX1031" i="2"/>
  <c r="BA1031" i="2" s="1"/>
  <c r="AX1033" i="2"/>
  <c r="BA1033" i="2" s="1"/>
  <c r="AX1045" i="2"/>
  <c r="BA1045" i="2" s="1"/>
  <c r="AX1047" i="2"/>
  <c r="BA1047" i="2" s="1"/>
  <c r="AX1052" i="2"/>
  <c r="BA1052" i="2" s="1"/>
  <c r="BB1052" i="2" s="1"/>
  <c r="AX1074" i="2"/>
  <c r="BA1074" i="2" s="1"/>
  <c r="BB1074" i="2" s="1"/>
  <c r="AX1082" i="2"/>
  <c r="BA1082" i="2" s="1"/>
  <c r="AX1084" i="2"/>
  <c r="BA1084" i="2" s="1"/>
  <c r="AX1085" i="2"/>
  <c r="AX1087" i="2"/>
  <c r="BA1087" i="2" s="1"/>
  <c r="AX1100" i="2"/>
  <c r="BA1100" i="2" s="1"/>
  <c r="AX1101" i="2"/>
  <c r="BA1101" i="2" s="1"/>
  <c r="AX1102" i="2"/>
  <c r="BA1102" i="2" s="1"/>
  <c r="AX1138" i="2"/>
  <c r="K20" i="7"/>
  <c r="K28" i="7"/>
  <c r="K8" i="7"/>
  <c r="K42" i="7"/>
  <c r="K12" i="7"/>
  <c r="AX727" i="2"/>
  <c r="BA727" i="2" s="1"/>
  <c r="AX728" i="2"/>
  <c r="BA728" i="2" s="1"/>
  <c r="AX730" i="2"/>
  <c r="BA730" i="2" s="1"/>
  <c r="AX732" i="2"/>
  <c r="BA732" i="2" s="1"/>
  <c r="AX733" i="2"/>
  <c r="BA733" i="2" s="1"/>
  <c r="K38" i="7"/>
  <c r="AX737" i="2"/>
  <c r="BA737" i="2" s="1"/>
  <c r="AX738" i="2"/>
  <c r="BA738" i="2" s="1"/>
  <c r="K32" i="7"/>
  <c r="K6" i="7"/>
  <c r="AX760" i="2"/>
  <c r="AX762" i="2"/>
  <c r="BA762" i="2" s="1"/>
  <c r="AX763" i="2"/>
  <c r="BA763" i="2" s="1"/>
  <c r="AX764" i="2"/>
  <c r="BA764" i="2" s="1"/>
  <c r="AX765" i="2"/>
  <c r="BA765" i="2" s="1"/>
  <c r="AX766" i="2"/>
  <c r="BA766" i="2" s="1"/>
  <c r="AX767" i="2"/>
  <c r="BA767" i="2" s="1"/>
  <c r="AX768" i="2"/>
  <c r="AX773" i="2"/>
  <c r="AX774" i="2"/>
  <c r="BA774" i="2" s="1"/>
  <c r="AX775" i="2"/>
  <c r="BA775" i="2" s="1"/>
  <c r="AX776" i="2"/>
  <c r="BA776" i="2" s="1"/>
  <c r="AX777" i="2"/>
  <c r="AX778" i="2"/>
  <c r="BA778" i="2" s="1"/>
  <c r="AX779" i="2"/>
  <c r="BA779" i="2" s="1"/>
  <c r="AX782" i="2"/>
  <c r="BA782" i="2" s="1"/>
  <c r="AX781" i="2"/>
  <c r="BA781" i="2" s="1"/>
  <c r="AX822" i="2"/>
  <c r="BA822" i="2" s="1"/>
  <c r="AX819" i="2"/>
  <c r="BA819" i="2" s="1"/>
  <c r="AX783" i="2"/>
  <c r="AX820" i="2"/>
  <c r="BA820" i="2" s="1"/>
  <c r="AX821" i="2"/>
  <c r="BA821" i="2" s="1"/>
  <c r="AX784" i="2"/>
  <c r="BA784" i="2" s="1"/>
  <c r="AX785" i="2"/>
  <c r="BA785" i="2" s="1"/>
  <c r="AX786" i="2"/>
  <c r="BA786" i="2" s="1"/>
  <c r="AX803" i="2"/>
  <c r="BA803" i="2" s="1"/>
  <c r="AX807" i="2"/>
  <c r="BA807" i="2" s="1"/>
  <c r="AX808" i="2"/>
  <c r="AX809" i="2"/>
  <c r="AX810" i="2"/>
  <c r="BA810" i="2" s="1"/>
  <c r="AX806" i="2"/>
  <c r="AX811" i="2"/>
  <c r="BA811" i="2" s="1"/>
  <c r="AX812" i="2"/>
  <c r="BA812" i="2" s="1"/>
  <c r="AX813" i="2"/>
  <c r="BA813" i="2" s="1"/>
  <c r="AX818" i="2"/>
  <c r="BA818" i="2" s="1"/>
  <c r="AX840" i="2"/>
  <c r="BA840" i="2" s="1"/>
  <c r="BB915" i="2" s="1"/>
  <c r="AX845" i="2"/>
  <c r="BA845" i="2" s="1"/>
  <c r="AX851" i="2"/>
  <c r="BA851" i="2" s="1"/>
  <c r="AX852" i="2"/>
  <c r="BA852" i="2" s="1"/>
  <c r="AX853" i="2"/>
  <c r="BA853" i="2" s="1"/>
  <c r="AX857" i="2"/>
  <c r="BA857" i="2" s="1"/>
  <c r="AX893" i="2"/>
  <c r="BA893" i="2" s="1"/>
  <c r="AX899" i="2"/>
  <c r="BA899" i="2" s="1"/>
  <c r="AX910" i="2"/>
  <c r="BA910" i="2" s="1"/>
  <c r="AX913" i="2"/>
  <c r="BA913" i="2" s="1"/>
  <c r="AX914" i="2"/>
  <c r="BA914" i="2" s="1"/>
  <c r="AX918" i="2"/>
  <c r="BA918" i="2" s="1"/>
  <c r="AX919" i="2"/>
  <c r="BA919" i="2" s="1"/>
  <c r="AX927" i="2"/>
  <c r="BA927" i="2" s="1"/>
  <c r="AX928" i="2"/>
  <c r="BA928" i="2" s="1"/>
  <c r="AX929" i="2"/>
  <c r="BA929" i="2" s="1"/>
  <c r="AX932" i="2"/>
  <c r="BA932" i="2" s="1"/>
  <c r="AX937" i="2"/>
  <c r="BA937" i="2" s="1"/>
  <c r="AX938" i="2"/>
  <c r="BA938" i="2" s="1"/>
  <c r="AX939" i="2"/>
  <c r="BA939" i="2" s="1"/>
  <c r="AX946" i="2"/>
  <c r="BA946" i="2" s="1"/>
  <c r="AX947" i="2"/>
  <c r="BA947" i="2" s="1"/>
  <c r="AX948" i="2"/>
  <c r="BA948" i="2" s="1"/>
  <c r="AX974" i="2"/>
  <c r="BA974" i="2" s="1"/>
  <c r="AX983" i="2"/>
  <c r="BA983" i="2" s="1"/>
  <c r="AX985" i="2"/>
  <c r="BA985" i="2" s="1"/>
  <c r="AX986" i="2"/>
  <c r="BA986" i="2" s="1"/>
  <c r="AX987" i="2"/>
  <c r="BA987" i="2" s="1"/>
  <c r="AX988" i="2"/>
  <c r="BA988" i="2" s="1"/>
  <c r="AX989" i="2"/>
  <c r="BA989" i="2" s="1"/>
  <c r="AX990" i="2"/>
  <c r="BA990" i="2" s="1"/>
  <c r="AX991" i="2"/>
  <c r="BA991" i="2" s="1"/>
  <c r="AX992" i="2"/>
  <c r="BA992" i="2" s="1"/>
  <c r="AX994" i="2"/>
  <c r="BA994" i="2" s="1"/>
  <c r="AX996" i="2"/>
  <c r="BA996" i="2" s="1"/>
  <c r="AX1013" i="2"/>
  <c r="BA1013" i="2" s="1"/>
  <c r="AX997" i="2"/>
  <c r="BA997" i="2" s="1"/>
  <c r="AX999" i="2"/>
  <c r="BA999" i="2" s="1"/>
  <c r="AX1000" i="2"/>
  <c r="BA1000" i="2" s="1"/>
  <c r="AX1011" i="2"/>
  <c r="BA1011" i="2" s="1"/>
  <c r="AX1016" i="2"/>
  <c r="BA1016" i="2" s="1"/>
  <c r="AX1017" i="2"/>
  <c r="BA1017" i="2" s="1"/>
  <c r="AX1018" i="2"/>
  <c r="BA1018" i="2" s="1"/>
  <c r="AX1026" i="2"/>
  <c r="BA1026" i="2" s="1"/>
  <c r="AX1030" i="2"/>
  <c r="BA1030" i="2" s="1"/>
  <c r="AX1032" i="2"/>
  <c r="BA1032" i="2" s="1"/>
  <c r="AX1034" i="2"/>
  <c r="BA1034" i="2" s="1"/>
  <c r="AX1035" i="2"/>
  <c r="BA1035" i="2" s="1"/>
  <c r="AX1037" i="2"/>
  <c r="BA1037" i="2" s="1"/>
  <c r="AX1038" i="2"/>
  <c r="BA1038" i="2" s="1"/>
  <c r="AX1039" i="2"/>
  <c r="BA1039" i="2" s="1"/>
  <c r="AX1041" i="2"/>
  <c r="BA1041" i="2" s="1"/>
  <c r="AX1043" i="2"/>
  <c r="BA1043" i="2" s="1"/>
  <c r="AX1044" i="2"/>
  <c r="BA1044" i="2" s="1"/>
  <c r="AX1053" i="2"/>
  <c r="BA1053" i="2" s="1"/>
  <c r="AX1054" i="2"/>
  <c r="BA1054" i="2" s="1"/>
  <c r="AX1055" i="2"/>
  <c r="BA1055" i="2" s="1"/>
  <c r="AX1056" i="2"/>
  <c r="BA1056" i="2" s="1"/>
  <c r="AX1059" i="2"/>
  <c r="BA1059" i="2" s="1"/>
  <c r="AX1061" i="2"/>
  <c r="BA1061" i="2" s="1"/>
  <c r="AX1063" i="2"/>
  <c r="BA1063" i="2" s="1"/>
  <c r="AX1065" i="2"/>
  <c r="BA1065" i="2" s="1"/>
  <c r="AX1066" i="2"/>
  <c r="BA1066" i="2" s="1"/>
  <c r="AX1069" i="2"/>
  <c r="BA1069" i="2" s="1"/>
  <c r="AX1073" i="2"/>
  <c r="BA1073" i="2" s="1"/>
  <c r="AX1079" i="2"/>
  <c r="BA1079" i="2" s="1"/>
  <c r="AX1081" i="2"/>
  <c r="BA1081" i="2" s="1"/>
  <c r="AX1083" i="2"/>
  <c r="BA1083" i="2" s="1"/>
  <c r="AX1089" i="2"/>
  <c r="BA1089" i="2" s="1"/>
  <c r="AX1090" i="2"/>
  <c r="BA1090" i="2" s="1"/>
  <c r="AX1093" i="2"/>
  <c r="BA1093" i="2" s="1"/>
  <c r="AX1096" i="2"/>
  <c r="BA1096" i="2" s="1"/>
  <c r="AX1109" i="2"/>
  <c r="BA1109" i="2" s="1"/>
  <c r="AX1110" i="2"/>
  <c r="BA1110" i="2" s="1"/>
  <c r="AX1111" i="2"/>
  <c r="BA1111" i="2" s="1"/>
  <c r="AX1113" i="2"/>
  <c r="BA1113" i="2" s="1"/>
  <c r="AX1114" i="2"/>
  <c r="BA1114" i="2" s="1"/>
  <c r="AX1117" i="2"/>
  <c r="BA1117" i="2" s="1"/>
  <c r="AX1122" i="2"/>
  <c r="AX1124" i="2"/>
  <c r="BA1124" i="2" s="1"/>
  <c r="AX1129" i="2"/>
  <c r="BA1129" i="2" s="1"/>
  <c r="AX1131" i="2"/>
  <c r="BA1131" i="2" s="1"/>
  <c r="AX1134" i="2"/>
  <c r="BA1134" i="2" s="1"/>
  <c r="AX1136" i="2"/>
  <c r="BA1136" i="2" s="1"/>
  <c r="AX1137" i="2"/>
  <c r="BA1137" i="2" s="1"/>
  <c r="AX1139" i="2"/>
  <c r="BA1139" i="2" s="1"/>
  <c r="AX1140" i="2"/>
  <c r="BA1140" i="2" s="1"/>
  <c r="AX1141" i="2"/>
  <c r="BA1141" i="2" s="1"/>
  <c r="AX1142" i="2"/>
  <c r="BA1142" i="2" s="1"/>
  <c r="AX1143" i="2"/>
  <c r="BA1143" i="2" s="1"/>
  <c r="AX1144" i="2"/>
  <c r="BA1144" i="2" s="1"/>
  <c r="AX1150" i="2"/>
  <c r="AX1151" i="2"/>
  <c r="BA1151" i="2" s="1"/>
  <c r="AX1152" i="2"/>
  <c r="BA1152" i="2" s="1"/>
  <c r="AX1153" i="2"/>
  <c r="BA1153" i="2" s="1"/>
  <c r="J28" i="7"/>
  <c r="AX711" i="2"/>
  <c r="BA711" i="2" s="1"/>
  <c r="AX712" i="2"/>
  <c r="BA712" i="2" s="1"/>
  <c r="AX713" i="2"/>
  <c r="BA713" i="2" s="1"/>
  <c r="AX710" i="2"/>
  <c r="AX714" i="2"/>
  <c r="BA714" i="2" s="1"/>
  <c r="AX715" i="2"/>
  <c r="AX716" i="2"/>
  <c r="AX717" i="2"/>
  <c r="BA717" i="2" s="1"/>
  <c r="J12" i="7"/>
  <c r="J38" i="7"/>
  <c r="AX740" i="2"/>
  <c r="BA740" i="2" s="1"/>
  <c r="AX741" i="2"/>
  <c r="AX744" i="2"/>
  <c r="BA744" i="2" s="1"/>
  <c r="AX745" i="2"/>
  <c r="BA745" i="2" s="1"/>
  <c r="AX746" i="2"/>
  <c r="BA746" i="2" s="1"/>
  <c r="AX747" i="2"/>
  <c r="BA747" i="2" s="1"/>
  <c r="AX748" i="2"/>
  <c r="BA748" i="2" s="1"/>
  <c r="AX749" i="2"/>
  <c r="BA749" i="2" s="1"/>
  <c r="AX750" i="2"/>
  <c r="BA750" i="2" s="1"/>
  <c r="AX751" i="2"/>
  <c r="AX752" i="2"/>
  <c r="BA752" i="2" s="1"/>
  <c r="AX753" i="2"/>
  <c r="BA753" i="2" s="1"/>
  <c r="AX754" i="2"/>
  <c r="BA754" i="2" s="1"/>
  <c r="AX755" i="2"/>
  <c r="BA755" i="2" s="1"/>
  <c r="AX756" i="2"/>
  <c r="BA756" i="2" s="1"/>
  <c r="AX757" i="2"/>
  <c r="BA757" i="2" s="1"/>
  <c r="AX758" i="2"/>
  <c r="BA758" i="2" s="1"/>
  <c r="AX759" i="2"/>
  <c r="BA759" i="2" s="1"/>
  <c r="AX739" i="2"/>
  <c r="BA739" i="2" s="1"/>
  <c r="AX769" i="2"/>
  <c r="BA769" i="2" s="1"/>
  <c r="AX798" i="2"/>
  <c r="BA798" i="2" s="1"/>
  <c r="AX829" i="2"/>
  <c r="BA829" i="2" s="1"/>
  <c r="AX830" i="2"/>
  <c r="BA830" i="2" s="1"/>
  <c r="AX836" i="2"/>
  <c r="BA836" i="2" s="1"/>
  <c r="AX837" i="2"/>
  <c r="BA837" i="2" s="1"/>
  <c r="AX863" i="2"/>
  <c r="BA863" i="2" s="1"/>
  <c r="AX868" i="2"/>
  <c r="BA868" i="2" s="1"/>
  <c r="AX869" i="2"/>
  <c r="AX870" i="2"/>
  <c r="BA870" i="2" s="1"/>
  <c r="AX871" i="2"/>
  <c r="BA871" i="2" s="1"/>
  <c r="AX872" i="2"/>
  <c r="BA872" i="2" s="1"/>
  <c r="AX873" i="2"/>
  <c r="BA873" i="2" s="1"/>
  <c r="AX874" i="2"/>
  <c r="BA874" i="2" s="1"/>
  <c r="AX875" i="2"/>
  <c r="AX876" i="2"/>
  <c r="BA876" i="2" s="1"/>
  <c r="AX877" i="2"/>
  <c r="BA877" i="2" s="1"/>
  <c r="AX878" i="2"/>
  <c r="BA878" i="2" s="1"/>
  <c r="AX879" i="2"/>
  <c r="BA879" i="2" s="1"/>
  <c r="AX898" i="2"/>
  <c r="BA898" i="2" s="1"/>
  <c r="AX911" i="2"/>
  <c r="BA911" i="2" s="1"/>
  <c r="AX912" i="2"/>
  <c r="BA912" i="2" s="1"/>
  <c r="AX922" i="2"/>
  <c r="BA922" i="2" s="1"/>
  <c r="AX935" i="2"/>
  <c r="BA935" i="2" s="1"/>
  <c r="AX957" i="2"/>
  <c r="BA957" i="2" s="1"/>
  <c r="AX968" i="2"/>
  <c r="BA968" i="2" s="1"/>
  <c r="AX972" i="2"/>
  <c r="BA972" i="2" s="1"/>
  <c r="AX993" i="2"/>
  <c r="BA993" i="2" s="1"/>
  <c r="AX998" i="2"/>
  <c r="BA998" i="2" s="1"/>
  <c r="AX1010" i="2"/>
  <c r="BA1010" i="2" s="1"/>
  <c r="AX1020" i="2"/>
  <c r="BA1020" i="2" s="1"/>
  <c r="AX1024" i="2"/>
  <c r="BA1024" i="2" s="1"/>
  <c r="AX1027" i="2"/>
  <c r="BA1027" i="2" s="1"/>
  <c r="AX1028" i="2"/>
  <c r="BA1028" i="2" s="1"/>
  <c r="AX1029" i="2"/>
  <c r="BA1029" i="2" s="1"/>
  <c r="AX1040" i="2"/>
  <c r="BA1040" i="2" s="1"/>
  <c r="AX1051" i="2"/>
  <c r="BA1051" i="2" s="1"/>
  <c r="AX1057" i="2"/>
  <c r="BA1057" i="2" s="1"/>
  <c r="AX1080" i="2"/>
  <c r="BA1080" i="2" s="1"/>
  <c r="AX1088" i="2"/>
  <c r="BA1088" i="2" s="1"/>
  <c r="AX1098" i="2"/>
  <c r="BA1098" i="2" s="1"/>
  <c r="AX1104" i="2"/>
  <c r="BA1104" i="2" s="1"/>
  <c r="AX1107" i="2"/>
  <c r="AX1108" i="2"/>
  <c r="BA1108" i="2" s="1"/>
  <c r="AX1112" i="2"/>
  <c r="BA1112" i="2" s="1"/>
  <c r="AX1115" i="2"/>
  <c r="BA1115" i="2" s="1"/>
  <c r="AX1116" i="2"/>
  <c r="BA1116" i="2" s="1"/>
  <c r="AX1118" i="2"/>
  <c r="AX1123" i="2"/>
  <c r="BA1123" i="2" s="1"/>
  <c r="AX1125" i="2"/>
  <c r="BA1125" i="2" s="1"/>
  <c r="AX1126" i="2"/>
  <c r="BA1126" i="2" s="1"/>
  <c r="AX1127" i="2"/>
  <c r="BA1127" i="2" s="1"/>
  <c r="AX1130" i="2"/>
  <c r="BA1130" i="2" s="1"/>
  <c r="AX1132" i="2"/>
  <c r="BA1132" i="2" s="1"/>
  <c r="AX1133" i="2"/>
  <c r="BA1133" i="2" s="1"/>
  <c r="AX1135" i="2"/>
  <c r="BA1135" i="2" s="1"/>
  <c r="AX1145" i="2"/>
  <c r="BA1145" i="2" s="1"/>
  <c r="AX1147" i="2"/>
  <c r="AX1149" i="2"/>
  <c r="BA1149" i="2" s="1"/>
  <c r="BB17" i="2" l="1"/>
  <c r="BB78" i="2"/>
  <c r="BB42" i="2"/>
  <c r="BA979" i="2"/>
  <c r="C17" i="25"/>
  <c r="BA715" i="2"/>
  <c r="BA808" i="2"/>
  <c r="C16" i="25"/>
  <c r="C15" i="25"/>
  <c r="BB57" i="2"/>
  <c r="BB26" i="2"/>
  <c r="BB29" i="2"/>
  <c r="BB79" i="2"/>
  <c r="BB90" i="2"/>
  <c r="BB91" i="2"/>
  <c r="BB130" i="2"/>
  <c r="BB131" i="2"/>
  <c r="BB127" i="2"/>
  <c r="BB138" i="2"/>
  <c r="BB137" i="2"/>
  <c r="BB149" i="2"/>
  <c r="BB176" i="2"/>
  <c r="BB175" i="2"/>
  <c r="BB192" i="2"/>
  <c r="BA1003" i="2"/>
  <c r="D20" i="10"/>
  <c r="BA751" i="2"/>
  <c r="D19" i="10"/>
  <c r="BB261" i="2"/>
  <c r="BB350" i="2"/>
  <c r="BB340" i="2"/>
  <c r="BB308" i="2"/>
  <c r="BB341" i="2"/>
  <c r="BB265" i="2"/>
  <c r="I46" i="7" s="1"/>
  <c r="M46" i="7" s="1"/>
  <c r="N46" i="7" s="1"/>
  <c r="BB264" i="2"/>
  <c r="BB299" i="2"/>
  <c r="BB298" i="2"/>
  <c r="BB367" i="2"/>
  <c r="BB320" i="2"/>
  <c r="BB709" i="2"/>
  <c r="BB374" i="2"/>
  <c r="BB1027" i="2"/>
  <c r="BB416" i="2"/>
  <c r="BB434" i="2"/>
  <c r="BB455" i="2"/>
  <c r="BB431" i="2"/>
  <c r="BB508" i="2"/>
  <c r="BB493" i="2"/>
  <c r="BB499" i="2"/>
  <c r="BB515" i="2"/>
  <c r="BA889" i="2"/>
  <c r="BA783" i="2"/>
  <c r="D16" i="10"/>
  <c r="BA875" i="2"/>
  <c r="D17" i="10"/>
  <c r="BA954" i="2"/>
  <c r="BB637" i="2"/>
  <c r="BB544" i="2"/>
  <c r="BB568" i="2"/>
  <c r="BA710" i="2"/>
  <c r="C9" i="25"/>
  <c r="BA806" i="2"/>
  <c r="C12" i="25"/>
  <c r="BA760" i="2"/>
  <c r="C11" i="25"/>
  <c r="BB580" i="2"/>
  <c r="BB585" i="2"/>
  <c r="BB593" i="2"/>
  <c r="BA975" i="2"/>
  <c r="D15" i="10"/>
  <c r="BB607" i="2"/>
  <c r="D12" i="10"/>
  <c r="BA859" i="2"/>
  <c r="BA777" i="2"/>
  <c r="BA741" i="2"/>
  <c r="BB649" i="2"/>
  <c r="BB660" i="2"/>
  <c r="BB658" i="2"/>
  <c r="BB865" i="2"/>
  <c r="BB835" i="2"/>
  <c r="BB664" i="2"/>
  <c r="BB770" i="2"/>
  <c r="BB643" i="2"/>
  <c r="J31" i="7"/>
  <c r="J30" i="7"/>
  <c r="J14" i="7"/>
  <c r="J13" i="7"/>
  <c r="J9" i="7"/>
  <c r="AX1091" i="2"/>
  <c r="BA1091" i="2" s="1"/>
  <c r="K15" i="7"/>
  <c r="K37" i="7"/>
  <c r="K35" i="7"/>
  <c r="K16" i="7"/>
  <c r="K18" i="7"/>
  <c r="K7" i="7"/>
  <c r="J36" i="7"/>
  <c r="J33" i="7"/>
  <c r="J40" i="7"/>
  <c r="J19" i="7"/>
  <c r="J17" i="7"/>
  <c r="J29" i="7"/>
  <c r="J5" i="7"/>
  <c r="J11" i="7"/>
  <c r="J27" i="7"/>
  <c r="J44" i="7"/>
  <c r="J25" i="7"/>
  <c r="K43" i="7"/>
  <c r="K21" i="7"/>
  <c r="K24" i="7"/>
  <c r="K41" i="7"/>
  <c r="K22" i="7"/>
  <c r="K26" i="7"/>
  <c r="K45" i="7"/>
  <c r="K34" i="7"/>
  <c r="J15" i="7"/>
  <c r="J37" i="7"/>
  <c r="J35" i="7"/>
  <c r="J16" i="7"/>
  <c r="J18" i="7"/>
  <c r="J7" i="7"/>
  <c r="K36" i="7"/>
  <c r="K31" i="7"/>
  <c r="K30" i="7"/>
  <c r="K33" i="7"/>
  <c r="K14" i="7"/>
  <c r="K40" i="7"/>
  <c r="K19" i="7"/>
  <c r="K17" i="7"/>
  <c r="J43" i="7"/>
  <c r="J21" i="7"/>
  <c r="J24" i="7"/>
  <c r="J41" i="7"/>
  <c r="J22" i="7"/>
  <c r="J26" i="7"/>
  <c r="J45" i="7"/>
  <c r="J34" i="7"/>
  <c r="AX1092" i="2"/>
  <c r="BA1092" i="2" s="1"/>
  <c r="AX1068" i="2"/>
  <c r="BA1068" i="2" s="1"/>
  <c r="K29" i="7"/>
  <c r="K5" i="7"/>
  <c r="K11" i="7"/>
  <c r="K27" i="7"/>
  <c r="K44" i="7"/>
  <c r="K25" i="7"/>
  <c r="BB669" i="2"/>
  <c r="AX1021" i="2"/>
  <c r="BA1021" i="2" s="1"/>
  <c r="BB1021" i="2" s="1"/>
  <c r="AX743" i="2"/>
  <c r="BA743" i="2" s="1"/>
  <c r="BB533" i="2" s="1"/>
  <c r="AX1025" i="2"/>
  <c r="BA1025" i="2" s="1"/>
  <c r="BB1025" i="2" s="1"/>
  <c r="AX924" i="2"/>
  <c r="BA924" i="2" s="1"/>
  <c r="AX923" i="2"/>
  <c r="BA923" i="2" s="1"/>
  <c r="BB1029" i="2" s="1"/>
  <c r="AX921" i="2"/>
  <c r="BA921" i="2" s="1"/>
  <c r="BB921" i="2" s="1"/>
  <c r="AX832" i="2"/>
  <c r="BA832" i="2" s="1"/>
  <c r="BB331" i="2" s="1"/>
  <c r="AX814" i="2"/>
  <c r="BA814" i="2" s="1"/>
  <c r="BB397" i="2" s="1"/>
  <c r="AX742" i="2"/>
  <c r="BA742" i="2" s="1"/>
  <c r="BB549" i="2" s="1"/>
  <c r="AX729" i="2"/>
  <c r="BA729" i="2" s="1"/>
  <c r="AX707" i="2"/>
  <c r="BA707" i="2" s="1"/>
  <c r="BB387" i="2" s="1"/>
  <c r="AX936" i="2"/>
  <c r="BA936" i="2" s="1"/>
  <c r="BB936" i="2" s="1"/>
  <c r="AX816" i="2"/>
  <c r="BA816" i="2" s="1"/>
  <c r="BB816" i="2" s="1"/>
  <c r="AX956" i="2"/>
  <c r="BA956" i="2" s="1"/>
  <c r="BB995" i="2" s="1"/>
  <c r="AX1048" i="2"/>
  <c r="BA1048" i="2" s="1"/>
  <c r="AX1019" i="2"/>
  <c r="BA1019" i="2" s="1"/>
  <c r="BB1020" i="2" s="1"/>
  <c r="AX894" i="2"/>
  <c r="BA894" i="2" s="1"/>
  <c r="BB894" i="2" s="1"/>
  <c r="AX831" i="2"/>
  <c r="BA831" i="2" s="1"/>
  <c r="AX761" i="2"/>
  <c r="BA761" i="2" s="1"/>
  <c r="BB329" i="2" s="1"/>
  <c r="AX1046" i="2"/>
  <c r="BA1046" i="2" s="1"/>
  <c r="BB1046" i="2" s="1"/>
  <c r="AX1148" i="2"/>
  <c r="BA1148" i="2" s="1"/>
  <c r="BB1148" i="2" s="1"/>
  <c r="AX1064" i="2"/>
  <c r="BA1064" i="2" s="1"/>
  <c r="AX1103" i="2"/>
  <c r="BA1103" i="2" s="1"/>
  <c r="BB1145" i="2" s="1"/>
  <c r="AX1062" i="2"/>
  <c r="BA1062" i="2" s="1"/>
  <c r="BB1062" i="2" s="1"/>
  <c r="AX847" i="2"/>
  <c r="BA847" i="2" s="1"/>
  <c r="BB704" i="2" s="1"/>
  <c r="AX826" i="2"/>
  <c r="BA826" i="2" s="1"/>
  <c r="AX817" i="2"/>
  <c r="BA817" i="2" s="1"/>
  <c r="BB817" i="2" s="1"/>
  <c r="BB668" i="2"/>
  <c r="BA869" i="2"/>
  <c r="BA773" i="2"/>
  <c r="BA882" i="2"/>
  <c r="BA1138" i="2"/>
  <c r="BA1150" i="2"/>
  <c r="BA1122" i="2"/>
  <c r="BA1085" i="2"/>
  <c r="BA1147" i="2"/>
  <c r="BA1107" i="2"/>
  <c r="BA1118" i="2"/>
  <c r="BA809" i="2"/>
  <c r="BA768" i="2"/>
  <c r="BA716" i="2"/>
  <c r="BA978" i="2"/>
  <c r="BB1149" i="2"/>
  <c r="BB1115" i="2"/>
  <c r="BB1126" i="2"/>
  <c r="BB1087" i="2"/>
  <c r="BB1096" i="2"/>
  <c r="BB1112" i="2"/>
  <c r="BB1135" i="2"/>
  <c r="BB1143" i="2"/>
  <c r="BB1104" i="2"/>
  <c r="BB971" i="2"/>
  <c r="BB957" i="2"/>
  <c r="BB981" i="2"/>
  <c r="BB711" i="2"/>
  <c r="BB767" i="2"/>
  <c r="BB810" i="2"/>
  <c r="BB1125" i="2"/>
  <c r="BB1133" i="2"/>
  <c r="BB1137" i="2"/>
  <c r="BB1098" i="2"/>
  <c r="BB1114" i="2"/>
  <c r="BB1108" i="2"/>
  <c r="BB1084" i="2"/>
  <c r="BB1152" i="2"/>
  <c r="BB791" i="2"/>
  <c r="BB727" i="2"/>
  <c r="BB724" i="2"/>
  <c r="BB837" i="2"/>
  <c r="BB836" i="2"/>
  <c r="BB1123" i="2"/>
  <c r="BB740" i="2"/>
  <c r="BB1004" i="2"/>
  <c r="BB766" i="2"/>
  <c r="BB712" i="2"/>
  <c r="BB811" i="2"/>
  <c r="BB982" i="2"/>
  <c r="AX1119" i="2"/>
  <c r="BA1119" i="2" s="1"/>
  <c r="BB1119" i="2" s="1"/>
  <c r="AX1099" i="2"/>
  <c r="BA1099" i="2" s="1"/>
  <c r="AX1095" i="2"/>
  <c r="BA1095" i="2" s="1"/>
  <c r="BB1095" i="2" s="1"/>
  <c r="AX1075" i="2"/>
  <c r="BA1075" i="2" s="1"/>
  <c r="AX1071" i="2"/>
  <c r="BA1071" i="2" s="1"/>
  <c r="AX1067" i="2"/>
  <c r="BA1067" i="2" s="1"/>
  <c r="AX1023" i="2"/>
  <c r="BA1023" i="2" s="1"/>
  <c r="BB616" i="2" s="1"/>
  <c r="AX1015" i="2"/>
  <c r="BA1015" i="2" s="1"/>
  <c r="AX1001" i="2"/>
  <c r="BA1001" i="2" s="1"/>
  <c r="BB303" i="2" s="1"/>
  <c r="AX970" i="2"/>
  <c r="BA970" i="2" s="1"/>
  <c r="BB314" i="2" s="1"/>
  <c r="AX958" i="2"/>
  <c r="BA958" i="2" s="1"/>
  <c r="BB239" i="2" s="1"/>
  <c r="AX955" i="2"/>
  <c r="BA955" i="2" s="1"/>
  <c r="BB235" i="2" s="1"/>
  <c r="AX934" i="2"/>
  <c r="BA934" i="2" s="1"/>
  <c r="BB189" i="2" s="1"/>
  <c r="AX848" i="2"/>
  <c r="BA848" i="2" s="1"/>
  <c r="AX838" i="2"/>
  <c r="BA838" i="2" s="1"/>
  <c r="BB838" i="2" s="1"/>
  <c r="AX827" i="2"/>
  <c r="BA827" i="2" s="1"/>
  <c r="BB358" i="2" s="1"/>
  <c r="AX805" i="2"/>
  <c r="BA805" i="2" s="1"/>
  <c r="BB490" i="2" s="1"/>
  <c r="AX797" i="2"/>
  <c r="BA797" i="2" s="1"/>
  <c r="AX793" i="2"/>
  <c r="BA793" i="2" s="1"/>
  <c r="BB399" i="2" s="1"/>
  <c r="AX736" i="2"/>
  <c r="BA736" i="2" s="1"/>
  <c r="BB481" i="2" s="1"/>
  <c r="AX703" i="2"/>
  <c r="BA703" i="2" s="1"/>
  <c r="BB503" i="2" s="1"/>
  <c r="AX699" i="2"/>
  <c r="BA699" i="2" s="1"/>
  <c r="AX696" i="2"/>
  <c r="BA696" i="2" s="1"/>
  <c r="BB670" i="2" s="1"/>
  <c r="AX691" i="2"/>
  <c r="BA691" i="2" s="1"/>
  <c r="BB476" i="2" s="1"/>
  <c r="AX687" i="2"/>
  <c r="BA687" i="2" s="1"/>
  <c r="BB474" i="2" s="1"/>
  <c r="AX682" i="2"/>
  <c r="AX678" i="2"/>
  <c r="BA678" i="2" s="1"/>
  <c r="BB588" i="2" s="1"/>
  <c r="AX674" i="2"/>
  <c r="BA674" i="2" s="1"/>
  <c r="BB296" i="2" s="1"/>
  <c r="AX1146" i="2"/>
  <c r="BA1146" i="2" s="1"/>
  <c r="BB1146" i="2" s="1"/>
  <c r="AX1106" i="2"/>
  <c r="BA1106" i="2" s="1"/>
  <c r="BB1106" i="2" s="1"/>
  <c r="AX1094" i="2"/>
  <c r="BA1094" i="2" s="1"/>
  <c r="AX1086" i="2"/>
  <c r="BA1086" i="2" s="1"/>
  <c r="BB1086" i="2" s="1"/>
  <c r="AX1078" i="2"/>
  <c r="BA1078" i="2" s="1"/>
  <c r="AX1070" i="2"/>
  <c r="BA1070" i="2" s="1"/>
  <c r="AX1058" i="2"/>
  <c r="BA1058" i="2" s="1"/>
  <c r="AX1022" i="2"/>
  <c r="BA1022" i="2" s="1"/>
  <c r="AX1014" i="2"/>
  <c r="BA1014" i="2" s="1"/>
  <c r="AX973" i="2"/>
  <c r="BA973" i="2" s="1"/>
  <c r="BB232" i="2" s="1"/>
  <c r="AX969" i="2"/>
  <c r="BA969" i="2" s="1"/>
  <c r="AX933" i="2"/>
  <c r="BA933" i="2" s="1"/>
  <c r="BB290" i="2" s="1"/>
  <c r="AX841" i="2"/>
  <c r="BA841" i="2" s="1"/>
  <c r="AX804" i="2"/>
  <c r="BA804" i="2" s="1"/>
  <c r="BB489" i="2" s="1"/>
  <c r="AX796" i="2"/>
  <c r="BA796" i="2" s="1"/>
  <c r="BB338" i="2" s="1"/>
  <c r="AX792" i="2"/>
  <c r="BA792" i="2" s="1"/>
  <c r="BB466" i="2" s="1"/>
  <c r="AX735" i="2"/>
  <c r="BA735" i="2" s="1"/>
  <c r="BB309" i="2" s="1"/>
  <c r="AX702" i="2"/>
  <c r="BA702" i="2" s="1"/>
  <c r="BB603" i="2" s="1"/>
  <c r="AX694" i="2"/>
  <c r="BA694" i="2" s="1"/>
  <c r="BB563" i="2" s="1"/>
  <c r="AX695" i="2"/>
  <c r="BA695" i="2" s="1"/>
  <c r="BB592" i="2" s="1"/>
  <c r="AX690" i="2"/>
  <c r="D7" i="10" s="1"/>
  <c r="AX686" i="2"/>
  <c r="BA686" i="2" s="1"/>
  <c r="BB482" i="2" s="1"/>
  <c r="AX681" i="2"/>
  <c r="BA681" i="2" s="1"/>
  <c r="BB552" i="2" s="1"/>
  <c r="AX673" i="2"/>
  <c r="AX672" i="2"/>
  <c r="BA672" i="2" s="1"/>
  <c r="BB520" i="2" s="1"/>
  <c r="AX1121" i="2"/>
  <c r="BA1121" i="2" s="1"/>
  <c r="BB1121" i="2" s="1"/>
  <c r="AX1105" i="2"/>
  <c r="BA1105" i="2" s="1"/>
  <c r="BB1105" i="2" s="1"/>
  <c r="AX1097" i="2"/>
  <c r="BA1097" i="2" s="1"/>
  <c r="BB1097" i="2" s="1"/>
  <c r="AX1077" i="2"/>
  <c r="BA1077" i="2" s="1"/>
  <c r="BB1077" i="2" s="1"/>
  <c r="AX1050" i="2"/>
  <c r="BA1050" i="2" s="1"/>
  <c r="AX1042" i="2"/>
  <c r="BA1042" i="2" s="1"/>
  <c r="BB1042" i="2" s="1"/>
  <c r="AX984" i="2"/>
  <c r="BA984" i="2" s="1"/>
  <c r="AX945" i="2"/>
  <c r="BA945" i="2" s="1"/>
  <c r="BB373" i="2" s="1"/>
  <c r="AX897" i="2"/>
  <c r="BA897" i="2" s="1"/>
  <c r="AX892" i="2"/>
  <c r="BA892" i="2" s="1"/>
  <c r="BB419" i="2" s="1"/>
  <c r="AX854" i="2"/>
  <c r="BA854" i="2" s="1"/>
  <c r="AX850" i="2"/>
  <c r="BA850" i="2" s="1"/>
  <c r="AX825" i="2"/>
  <c r="BA825" i="2" s="1"/>
  <c r="BB396" i="2" s="1"/>
  <c r="AX795" i="2"/>
  <c r="BA795" i="2" s="1"/>
  <c r="BB244" i="2" s="1"/>
  <c r="AX788" i="2"/>
  <c r="BA788" i="2" s="1"/>
  <c r="AX780" i="2"/>
  <c r="BA780" i="2" s="1"/>
  <c r="AX772" i="2"/>
  <c r="BA772" i="2" s="1"/>
  <c r="BB517" i="2" s="1"/>
  <c r="AX734" i="2"/>
  <c r="BA734" i="2" s="1"/>
  <c r="BB485" i="2" s="1"/>
  <c r="AX726" i="2"/>
  <c r="BA726" i="2" s="1"/>
  <c r="BB555" i="2" s="1"/>
  <c r="AX718" i="2"/>
  <c r="BA718" i="2" s="1"/>
  <c r="BB531" i="2" s="1"/>
  <c r="AX701" i="2"/>
  <c r="BA701" i="2" s="1"/>
  <c r="BB381" i="2" s="1"/>
  <c r="AX698" i="2"/>
  <c r="BA698" i="2" s="1"/>
  <c r="BB573" i="2" s="1"/>
  <c r="AX693" i="2"/>
  <c r="BA693" i="2" s="1"/>
  <c r="BB550" i="2" s="1"/>
  <c r="AX689" i="2"/>
  <c r="BA689" i="2" s="1"/>
  <c r="BB562" i="2" s="1"/>
  <c r="AX685" i="2"/>
  <c r="BA685" i="2" s="1"/>
  <c r="BB428" i="2" s="1"/>
  <c r="AX680" i="2"/>
  <c r="BA680" i="2" s="1"/>
  <c r="BB523" i="2" s="1"/>
  <c r="AX676" i="2"/>
  <c r="C14" i="25" s="1"/>
  <c r="AX671" i="2"/>
  <c r="BA671" i="2" s="1"/>
  <c r="BB574" i="2" s="1"/>
  <c r="AX1128" i="2"/>
  <c r="BA1128" i="2" s="1"/>
  <c r="AX1120" i="2"/>
  <c r="BA1120" i="2" s="1"/>
  <c r="AX1076" i="2"/>
  <c r="BA1076" i="2" s="1"/>
  <c r="AX1072" i="2"/>
  <c r="BA1072" i="2" s="1"/>
  <c r="AX1060" i="2"/>
  <c r="BA1060" i="2" s="1"/>
  <c r="AX1049" i="2"/>
  <c r="BA1049" i="2" s="1"/>
  <c r="AX967" i="2"/>
  <c r="BA967" i="2" s="1"/>
  <c r="BB238" i="2" s="1"/>
  <c r="AX896" i="2"/>
  <c r="BA896" i="2" s="1"/>
  <c r="AX867" i="2"/>
  <c r="BA867" i="2" s="1"/>
  <c r="BB313" i="2" s="1"/>
  <c r="AX849" i="2"/>
  <c r="BA849" i="2" s="1"/>
  <c r="AX839" i="2"/>
  <c r="BA839" i="2" s="1"/>
  <c r="BB839" i="2" s="1"/>
  <c r="AX828" i="2"/>
  <c r="BA828" i="2" s="1"/>
  <c r="BB104" i="2" s="1"/>
  <c r="AX815" i="2"/>
  <c r="BA815" i="2" s="1"/>
  <c r="BB250" i="2" s="1"/>
  <c r="AX794" i="2"/>
  <c r="BA794" i="2" s="1"/>
  <c r="BB47" i="2" s="1"/>
  <c r="AX787" i="2"/>
  <c r="BA787" i="2" s="1"/>
  <c r="AX700" i="2"/>
  <c r="BA700" i="2" s="1"/>
  <c r="BB506" i="2" s="1"/>
  <c r="AX697" i="2"/>
  <c r="BA697" i="2" s="1"/>
  <c r="BB500" i="2" s="1"/>
  <c r="AX692" i="2"/>
  <c r="BA692" i="2" s="1"/>
  <c r="BB528" i="2" s="1"/>
  <c r="AX688" i="2"/>
  <c r="BA688" i="2" s="1"/>
  <c r="BB540" i="2" s="1"/>
  <c r="AX683" i="2"/>
  <c r="BA683" i="2" s="1"/>
  <c r="AX679" i="2"/>
  <c r="BA679" i="2" s="1"/>
  <c r="BB504" i="2" s="1"/>
  <c r="AX675" i="2"/>
  <c r="BA675" i="2" s="1"/>
  <c r="BB272" i="2" s="1"/>
  <c r="AX667" i="2"/>
  <c r="BA667" i="2" s="1"/>
  <c r="AT667" i="2"/>
  <c r="AT671" i="2"/>
  <c r="AT672" i="2"/>
  <c r="AT674" i="2"/>
  <c r="AT675" i="2"/>
  <c r="AT676" i="2"/>
  <c r="AT673" i="2"/>
  <c r="AT678" i="2"/>
  <c r="AT679" i="2"/>
  <c r="AT680" i="2"/>
  <c r="AT681" i="2"/>
  <c r="AT682" i="2"/>
  <c r="AT683" i="2"/>
  <c r="AT685" i="2"/>
  <c r="AT686" i="2"/>
  <c r="AT687" i="2"/>
  <c r="AT688" i="2"/>
  <c r="AT689" i="2"/>
  <c r="AT690" i="2"/>
  <c r="AT691" i="2"/>
  <c r="AT692" i="2"/>
  <c r="AT693" i="2"/>
  <c r="AT695" i="2"/>
  <c r="AT696" i="2"/>
  <c r="AT697" i="2"/>
  <c r="AT698" i="2"/>
  <c r="AT694" i="2"/>
  <c r="AT699" i="2"/>
  <c r="AT700" i="2"/>
  <c r="AT701" i="2"/>
  <c r="AT702" i="2"/>
  <c r="AT703" i="2"/>
  <c r="AT707" i="2"/>
  <c r="AT711" i="2"/>
  <c r="AT712" i="2"/>
  <c r="AT713" i="2"/>
  <c r="AT710" i="2"/>
  <c r="AT714" i="2"/>
  <c r="AT715" i="2"/>
  <c r="AT716" i="2"/>
  <c r="AT717" i="2"/>
  <c r="AT718" i="2"/>
  <c r="AT723" i="2"/>
  <c r="AT724" i="2"/>
  <c r="AT725" i="2"/>
  <c r="AT726" i="2"/>
  <c r="AT727" i="2"/>
  <c r="AT728" i="2"/>
  <c r="AT729" i="2"/>
  <c r="AT730" i="2"/>
  <c r="AT732" i="2"/>
  <c r="AT733" i="2"/>
  <c r="AT731" i="2"/>
  <c r="AT734" i="2"/>
  <c r="AT735" i="2"/>
  <c r="AT736" i="2"/>
  <c r="AT737" i="2"/>
  <c r="AT738" i="2"/>
  <c r="AT740" i="2"/>
  <c r="AT741" i="2"/>
  <c r="AT742" i="2"/>
  <c r="AT743" i="2"/>
  <c r="AT744" i="2"/>
  <c r="AT745" i="2"/>
  <c r="AT746" i="2"/>
  <c r="AT747" i="2"/>
  <c r="AT748" i="2"/>
  <c r="AT749" i="2"/>
  <c r="AT750" i="2"/>
  <c r="AT751" i="2"/>
  <c r="AT752" i="2"/>
  <c r="AT753" i="2"/>
  <c r="AT754" i="2"/>
  <c r="AT755" i="2"/>
  <c r="AT756" i="2"/>
  <c r="AT757" i="2"/>
  <c r="AT758" i="2"/>
  <c r="AT759" i="2"/>
  <c r="AT739" i="2"/>
  <c r="AT760" i="2"/>
  <c r="AT762" i="2"/>
  <c r="AT763" i="2"/>
  <c r="AT764" i="2"/>
  <c r="AT765" i="2"/>
  <c r="AT766" i="2"/>
  <c r="AT767" i="2"/>
  <c r="AT768" i="2"/>
  <c r="AT761" i="2"/>
  <c r="AT769" i="2"/>
  <c r="AT772" i="2"/>
  <c r="AT773" i="2"/>
  <c r="AT774" i="2"/>
  <c r="AT775" i="2"/>
  <c r="AT776" i="2"/>
  <c r="AT777" i="2"/>
  <c r="AT778" i="2"/>
  <c r="AT779" i="2"/>
  <c r="AT780" i="2"/>
  <c r="AT782" i="2"/>
  <c r="AT781" i="2"/>
  <c r="AT822" i="2"/>
  <c r="AT819" i="2"/>
  <c r="AT783" i="2"/>
  <c r="AT820" i="2"/>
  <c r="AT821" i="2"/>
  <c r="AT784" i="2"/>
  <c r="AT785" i="2"/>
  <c r="AT786" i="2"/>
  <c r="AT787" i="2"/>
  <c r="AT788" i="2"/>
  <c r="AT789" i="2"/>
  <c r="AT790" i="2"/>
  <c r="AT791" i="2"/>
  <c r="AT792" i="2"/>
  <c r="AT793" i="2"/>
  <c r="AT794" i="2"/>
  <c r="AT795" i="2"/>
  <c r="AT796" i="2"/>
  <c r="AT797" i="2"/>
  <c r="AT798" i="2"/>
  <c r="AT803" i="2"/>
  <c r="AT804" i="2"/>
  <c r="AT805" i="2"/>
  <c r="AT807" i="2"/>
  <c r="AT808" i="2"/>
  <c r="AT809" i="2"/>
  <c r="AT810" i="2"/>
  <c r="AT806" i="2"/>
  <c r="AT811" i="2"/>
  <c r="AT812" i="2"/>
  <c r="AT813" i="2"/>
  <c r="AT814" i="2"/>
  <c r="AT816" i="2"/>
  <c r="AT817" i="2"/>
  <c r="AT818" i="2"/>
  <c r="AT815" i="2"/>
  <c r="AT825" i="2"/>
  <c r="AT826" i="2"/>
  <c r="AT827" i="2"/>
  <c r="AT828" i="2"/>
  <c r="AT829" i="2"/>
  <c r="AT830" i="2"/>
  <c r="AT831" i="2"/>
  <c r="AT832" i="2"/>
  <c r="AT836" i="2"/>
  <c r="AT837" i="2"/>
  <c r="AT838" i="2"/>
  <c r="AT839" i="2"/>
  <c r="AT840" i="2"/>
  <c r="AT841" i="2"/>
  <c r="AT842" i="2"/>
  <c r="AT846" i="2"/>
  <c r="AT845" i="2"/>
  <c r="AT847" i="2"/>
  <c r="AT848" i="2"/>
  <c r="AT849" i="2"/>
  <c r="AT850" i="2"/>
  <c r="AT851" i="2"/>
  <c r="AT852" i="2"/>
  <c r="AT853" i="2"/>
  <c r="AT854" i="2"/>
  <c r="AT858" i="2"/>
  <c r="AT859" i="2"/>
  <c r="AT860" i="2"/>
  <c r="AT861" i="2"/>
  <c r="AT857" i="2"/>
  <c r="AT863" i="2"/>
  <c r="AT868" i="2"/>
  <c r="AT869" i="2"/>
  <c r="AT870" i="2"/>
  <c r="AT871" i="2"/>
  <c r="AT872" i="2"/>
  <c r="AT873" i="2"/>
  <c r="AT874" i="2"/>
  <c r="AT875" i="2"/>
  <c r="AT876" i="2"/>
  <c r="AT877" i="2"/>
  <c r="AT878" i="2"/>
  <c r="AT879" i="2"/>
  <c r="AT867" i="2"/>
  <c r="AT880" i="2"/>
  <c r="AT881" i="2"/>
  <c r="AT882" i="2"/>
  <c r="AT883" i="2"/>
  <c r="AT884" i="2"/>
  <c r="AT885" i="2"/>
  <c r="AT886" i="2"/>
  <c r="AT887" i="2"/>
  <c r="AT888" i="2"/>
  <c r="AT889" i="2"/>
  <c r="AT894" i="2"/>
  <c r="AT921" i="2"/>
  <c r="AT892" i="2"/>
  <c r="AT893" i="2"/>
  <c r="AT895" i="2"/>
  <c r="AT896" i="2"/>
  <c r="AT897" i="2"/>
  <c r="AT898" i="2"/>
  <c r="AT899" i="2"/>
  <c r="AT900" i="2"/>
  <c r="AT902" i="2"/>
  <c r="AT903" i="2"/>
  <c r="AT910" i="2"/>
  <c r="AT911" i="2"/>
  <c r="AT912" i="2"/>
  <c r="AT913" i="2"/>
  <c r="AT914" i="2"/>
  <c r="AT918" i="2"/>
  <c r="AT919" i="2"/>
  <c r="AT920" i="2"/>
  <c r="AT922" i="2"/>
  <c r="AT923" i="2"/>
  <c r="AT924" i="2"/>
  <c r="AT927" i="2"/>
  <c r="AT928" i="2"/>
  <c r="AT929" i="2"/>
  <c r="AT930" i="2"/>
  <c r="AT931" i="2"/>
  <c r="AT932" i="2"/>
  <c r="AT933" i="2"/>
  <c r="AT934" i="2"/>
  <c r="AT935" i="2"/>
  <c r="AT936" i="2"/>
  <c r="AT937" i="2"/>
  <c r="AT938" i="2"/>
  <c r="AT939" i="2"/>
  <c r="AT941" i="2"/>
  <c r="AT942" i="2"/>
  <c r="AT943" i="2"/>
  <c r="AT944" i="2"/>
  <c r="AT945" i="2"/>
  <c r="AT946" i="2"/>
  <c r="AT947" i="2"/>
  <c r="AT948" i="2"/>
  <c r="AT954" i="2"/>
  <c r="AT890" i="2"/>
  <c r="AT955" i="2"/>
  <c r="AT956" i="2"/>
  <c r="AT957" i="2"/>
  <c r="AT958" i="2"/>
  <c r="AT960" i="2"/>
  <c r="AT961" i="2"/>
  <c r="AT962" i="2"/>
  <c r="AT963" i="2"/>
  <c r="AT964" i="2"/>
  <c r="AT965" i="2"/>
  <c r="AT966" i="2"/>
  <c r="AT891" i="2"/>
  <c r="AT967" i="2"/>
  <c r="AT968" i="2"/>
  <c r="AT969" i="2"/>
  <c r="AT970" i="2"/>
  <c r="AT971" i="2"/>
  <c r="AT972" i="2"/>
  <c r="AT973" i="2"/>
  <c r="AT974" i="2"/>
  <c r="AT975" i="2"/>
  <c r="AT976" i="2"/>
  <c r="AT977" i="2"/>
  <c r="AT978" i="2"/>
  <c r="AT979" i="2"/>
  <c r="AT980" i="2"/>
  <c r="AT981" i="2"/>
  <c r="AT982" i="2"/>
  <c r="AT983" i="2"/>
  <c r="AT984" i="2"/>
  <c r="AT985" i="2"/>
  <c r="AT986" i="2"/>
  <c r="AT987" i="2"/>
  <c r="AT988" i="2"/>
  <c r="AT989" i="2"/>
  <c r="AT990" i="2"/>
  <c r="AT991" i="2"/>
  <c r="AT992" i="2"/>
  <c r="AT993" i="2"/>
  <c r="AT994" i="2"/>
  <c r="AT995" i="2"/>
  <c r="AT996" i="2"/>
  <c r="AT1013" i="2"/>
  <c r="AT997" i="2"/>
  <c r="AT998" i="2"/>
  <c r="AT999" i="2"/>
  <c r="AT1000" i="2"/>
  <c r="AT1001" i="2"/>
  <c r="AT1002" i="2"/>
  <c r="AT1003" i="2"/>
  <c r="AT1004" i="2"/>
  <c r="AT1005" i="2"/>
  <c r="AT1006" i="2"/>
  <c r="AT1007" i="2"/>
  <c r="AT1008" i="2"/>
  <c r="AT1009" i="2"/>
  <c r="AT1010" i="2"/>
  <c r="AT1011" i="2"/>
  <c r="AT1014" i="2"/>
  <c r="AT1015" i="2"/>
  <c r="AT1016" i="2"/>
  <c r="AT1017" i="2"/>
  <c r="AT1018" i="2"/>
  <c r="AT1019" i="2"/>
  <c r="AT1020" i="2"/>
  <c r="AT1021" i="2"/>
  <c r="AT1022" i="2"/>
  <c r="AT1023" i="2"/>
  <c r="AT1024" i="2"/>
  <c r="AT1025" i="2"/>
  <c r="AT1026" i="2"/>
  <c r="AT1027" i="2"/>
  <c r="AT1028" i="2"/>
  <c r="AT1029" i="2"/>
  <c r="AT1030" i="2"/>
  <c r="AT1031" i="2"/>
  <c r="AT1032" i="2"/>
  <c r="AT1033" i="2"/>
  <c r="AT1034" i="2"/>
  <c r="AT1035" i="2"/>
  <c r="AT1037" i="2"/>
  <c r="AT1038" i="2"/>
  <c r="AT1039" i="2"/>
  <c r="AT1040" i="2"/>
  <c r="AT1041" i="2"/>
  <c r="AT1042" i="2"/>
  <c r="AT1043" i="2"/>
  <c r="AT1044" i="2"/>
  <c r="AT1045" i="2"/>
  <c r="AT1046" i="2"/>
  <c r="AT1047" i="2"/>
  <c r="AT1048" i="2"/>
  <c r="AT1049" i="2"/>
  <c r="AT1050" i="2"/>
  <c r="AT1051" i="2"/>
  <c r="AT1052" i="2"/>
  <c r="AT1053" i="2"/>
  <c r="AT1054" i="2"/>
  <c r="AT1055" i="2"/>
  <c r="AT1056" i="2"/>
  <c r="AT1057" i="2"/>
  <c r="AT1058" i="2"/>
  <c r="AT1059" i="2"/>
  <c r="AT1060" i="2"/>
  <c r="AT1061" i="2"/>
  <c r="AT1062" i="2"/>
  <c r="AT1063" i="2"/>
  <c r="AT1064" i="2"/>
  <c r="AT1065" i="2"/>
  <c r="AT1066" i="2"/>
  <c r="AT1067" i="2"/>
  <c r="AT1068" i="2"/>
  <c r="AT1069" i="2"/>
  <c r="AT1070" i="2"/>
  <c r="AT1071" i="2"/>
  <c r="AT1072" i="2"/>
  <c r="AT1073" i="2"/>
  <c r="AT1074" i="2"/>
  <c r="AT1075" i="2"/>
  <c r="AT1076" i="2"/>
  <c r="AT1077" i="2"/>
  <c r="AT1078" i="2"/>
  <c r="AT1079" i="2"/>
  <c r="AT1080" i="2"/>
  <c r="AT1081" i="2"/>
  <c r="AT1082" i="2"/>
  <c r="AT1083" i="2"/>
  <c r="AT1084" i="2"/>
  <c r="AT1085" i="2"/>
  <c r="AT1086" i="2"/>
  <c r="AT1087" i="2"/>
  <c r="AT1088" i="2"/>
  <c r="AT1089" i="2"/>
  <c r="AT1090" i="2"/>
  <c r="AT1091" i="2"/>
  <c r="AT1092" i="2"/>
  <c r="AT1093" i="2"/>
  <c r="AT1094" i="2"/>
  <c r="AT1095" i="2"/>
  <c r="AT1096" i="2"/>
  <c r="AT1097" i="2"/>
  <c r="AT1098" i="2"/>
  <c r="AT1099" i="2"/>
  <c r="AT1100" i="2"/>
  <c r="AT1101" i="2"/>
  <c r="AT1102" i="2"/>
  <c r="AT1103" i="2"/>
  <c r="AT1104" i="2"/>
  <c r="AT1105" i="2"/>
  <c r="AT1106" i="2"/>
  <c r="AT1107" i="2"/>
  <c r="AT1108" i="2"/>
  <c r="AT1109" i="2"/>
  <c r="AT1110" i="2"/>
  <c r="AT1111" i="2"/>
  <c r="AT1112" i="2"/>
  <c r="AT1113" i="2"/>
  <c r="AT1114" i="2"/>
  <c r="AT1115" i="2"/>
  <c r="AT1116" i="2"/>
  <c r="AT1117" i="2"/>
  <c r="AT1118" i="2"/>
  <c r="AT1119" i="2"/>
  <c r="AT1120" i="2"/>
  <c r="AT1121" i="2"/>
  <c r="AT1122" i="2"/>
  <c r="AT1123" i="2"/>
  <c r="AT1124" i="2"/>
  <c r="AT1125" i="2"/>
  <c r="AT1126" i="2"/>
  <c r="AT1127" i="2"/>
  <c r="AT1128" i="2"/>
  <c r="AT1129" i="2"/>
  <c r="AT1130" i="2"/>
  <c r="AT1131" i="2"/>
  <c r="AT1132" i="2"/>
  <c r="AT1133" i="2"/>
  <c r="AT1134" i="2"/>
  <c r="AT1135" i="2"/>
  <c r="AT1136" i="2"/>
  <c r="AT1137" i="2"/>
  <c r="AT1138" i="2"/>
  <c r="AT1139" i="2"/>
  <c r="AT1140" i="2"/>
  <c r="AT1141" i="2"/>
  <c r="AT1142" i="2"/>
  <c r="AT1143" i="2"/>
  <c r="AT1144" i="2"/>
  <c r="AT1145" i="2"/>
  <c r="AT1146" i="2"/>
  <c r="AT1147" i="2"/>
  <c r="AT1148" i="2"/>
  <c r="AT1149" i="2"/>
  <c r="AT1150" i="2"/>
  <c r="AT1151" i="2"/>
  <c r="AT1152" i="2"/>
  <c r="AT1153" i="2"/>
  <c r="AS667" i="2"/>
  <c r="AS671" i="2"/>
  <c r="AS672" i="2"/>
  <c r="AS674" i="2"/>
  <c r="AS675" i="2"/>
  <c r="AS676" i="2"/>
  <c r="AS673" i="2"/>
  <c r="AS678" i="2"/>
  <c r="AS679" i="2"/>
  <c r="AS680" i="2"/>
  <c r="AS681" i="2"/>
  <c r="AS682" i="2"/>
  <c r="AS683" i="2"/>
  <c r="AS685" i="2"/>
  <c r="AS686" i="2"/>
  <c r="AS687" i="2"/>
  <c r="AS688" i="2"/>
  <c r="AS689" i="2"/>
  <c r="AS690" i="2"/>
  <c r="AS691" i="2"/>
  <c r="AS692" i="2"/>
  <c r="AS693" i="2"/>
  <c r="AS695" i="2"/>
  <c r="AS696" i="2"/>
  <c r="AS697" i="2"/>
  <c r="AS698" i="2"/>
  <c r="AS694" i="2"/>
  <c r="AS699" i="2"/>
  <c r="AS700" i="2"/>
  <c r="AS701" i="2"/>
  <c r="AS702" i="2"/>
  <c r="AS703" i="2"/>
  <c r="AS707" i="2"/>
  <c r="AS711" i="2"/>
  <c r="AS712" i="2"/>
  <c r="AS713" i="2"/>
  <c r="AS710" i="2"/>
  <c r="AS714" i="2"/>
  <c r="AS715" i="2"/>
  <c r="AS716" i="2"/>
  <c r="AS717" i="2"/>
  <c r="AS718" i="2"/>
  <c r="AS723" i="2"/>
  <c r="AS724" i="2"/>
  <c r="AS725" i="2"/>
  <c r="AS726" i="2"/>
  <c r="AS727" i="2"/>
  <c r="AS728" i="2"/>
  <c r="AS729" i="2"/>
  <c r="AS730" i="2"/>
  <c r="AS732" i="2"/>
  <c r="AS733" i="2"/>
  <c r="AS731" i="2"/>
  <c r="AS734" i="2"/>
  <c r="AS735" i="2"/>
  <c r="AS736" i="2"/>
  <c r="AS737" i="2"/>
  <c r="AS738" i="2"/>
  <c r="AS740" i="2"/>
  <c r="AS741" i="2"/>
  <c r="AS742" i="2"/>
  <c r="AS743" i="2"/>
  <c r="AS744" i="2"/>
  <c r="AS745" i="2"/>
  <c r="AS746" i="2"/>
  <c r="AS747" i="2"/>
  <c r="AS748" i="2"/>
  <c r="AS749" i="2"/>
  <c r="AS750" i="2"/>
  <c r="AS751" i="2"/>
  <c r="AS752" i="2"/>
  <c r="AS753" i="2"/>
  <c r="AS754" i="2"/>
  <c r="AS755" i="2"/>
  <c r="AS756" i="2"/>
  <c r="AS757" i="2"/>
  <c r="AS758" i="2"/>
  <c r="AS759" i="2"/>
  <c r="AS739" i="2"/>
  <c r="AS760" i="2"/>
  <c r="AS762" i="2"/>
  <c r="AS763" i="2"/>
  <c r="AS764" i="2"/>
  <c r="AS765" i="2"/>
  <c r="AS766" i="2"/>
  <c r="AS767" i="2"/>
  <c r="AS768" i="2"/>
  <c r="AS761" i="2"/>
  <c r="AS769" i="2"/>
  <c r="AS772" i="2"/>
  <c r="AS773" i="2"/>
  <c r="AS774" i="2"/>
  <c r="AS775" i="2"/>
  <c r="AS776" i="2"/>
  <c r="AS777" i="2"/>
  <c r="AS778" i="2"/>
  <c r="AS779" i="2"/>
  <c r="AS780" i="2"/>
  <c r="AS782" i="2"/>
  <c r="AS781" i="2"/>
  <c r="AS822" i="2"/>
  <c r="AS819" i="2"/>
  <c r="AS783" i="2"/>
  <c r="AS820" i="2"/>
  <c r="AS821" i="2"/>
  <c r="AS784" i="2"/>
  <c r="AS785" i="2"/>
  <c r="AS786" i="2"/>
  <c r="AS787" i="2"/>
  <c r="AS788" i="2"/>
  <c r="AS789" i="2"/>
  <c r="AS790" i="2"/>
  <c r="AS791" i="2"/>
  <c r="AS792" i="2"/>
  <c r="AS793" i="2"/>
  <c r="AS794" i="2"/>
  <c r="AS795" i="2"/>
  <c r="AS796" i="2"/>
  <c r="AS797" i="2"/>
  <c r="AS798" i="2"/>
  <c r="AS803" i="2"/>
  <c r="AS804" i="2"/>
  <c r="AS805" i="2"/>
  <c r="AS807" i="2"/>
  <c r="AS808" i="2"/>
  <c r="AS809" i="2"/>
  <c r="AS810" i="2"/>
  <c r="AS806" i="2"/>
  <c r="AS811" i="2"/>
  <c r="AS812" i="2"/>
  <c r="AS813" i="2"/>
  <c r="AS814" i="2"/>
  <c r="AS816" i="2"/>
  <c r="AS817" i="2"/>
  <c r="AS818" i="2"/>
  <c r="AS815" i="2"/>
  <c r="AS825" i="2"/>
  <c r="AS826" i="2"/>
  <c r="AS827" i="2"/>
  <c r="AS828" i="2"/>
  <c r="AS829" i="2"/>
  <c r="AS830" i="2"/>
  <c r="AS831" i="2"/>
  <c r="AS832" i="2"/>
  <c r="AS836" i="2"/>
  <c r="AS837" i="2"/>
  <c r="AS838" i="2"/>
  <c r="AS839" i="2"/>
  <c r="AS840" i="2"/>
  <c r="AS841" i="2"/>
  <c r="AS842" i="2"/>
  <c r="AS846" i="2"/>
  <c r="AS845" i="2"/>
  <c r="AS847" i="2"/>
  <c r="AS848" i="2"/>
  <c r="AS849" i="2"/>
  <c r="AS850" i="2"/>
  <c r="AS851" i="2"/>
  <c r="AS852" i="2"/>
  <c r="AS853" i="2"/>
  <c r="AS854" i="2"/>
  <c r="AS858" i="2"/>
  <c r="AS859" i="2"/>
  <c r="AS860" i="2"/>
  <c r="AS861" i="2"/>
  <c r="AS857" i="2"/>
  <c r="AS863" i="2"/>
  <c r="AS868" i="2"/>
  <c r="AS869" i="2"/>
  <c r="AS870" i="2"/>
  <c r="AS871" i="2"/>
  <c r="AS872" i="2"/>
  <c r="AS873" i="2"/>
  <c r="AS874" i="2"/>
  <c r="AS875" i="2"/>
  <c r="AS876" i="2"/>
  <c r="AS877" i="2"/>
  <c r="AS878" i="2"/>
  <c r="AS879" i="2"/>
  <c r="AS867" i="2"/>
  <c r="AS880" i="2"/>
  <c r="AS881" i="2"/>
  <c r="AS882" i="2"/>
  <c r="AS883" i="2"/>
  <c r="AS884" i="2"/>
  <c r="AS885" i="2"/>
  <c r="AS886" i="2"/>
  <c r="AS887" i="2"/>
  <c r="AS888" i="2"/>
  <c r="AS889" i="2"/>
  <c r="AS894" i="2"/>
  <c r="AS921" i="2"/>
  <c r="AS892" i="2"/>
  <c r="AS893" i="2"/>
  <c r="AS895" i="2"/>
  <c r="AS896" i="2"/>
  <c r="AS897" i="2"/>
  <c r="AS898" i="2"/>
  <c r="AS899" i="2"/>
  <c r="AS900" i="2"/>
  <c r="AS902" i="2"/>
  <c r="AS903" i="2"/>
  <c r="AS910" i="2"/>
  <c r="AS911" i="2"/>
  <c r="AS912" i="2"/>
  <c r="AS913" i="2"/>
  <c r="AS914" i="2"/>
  <c r="AS918" i="2"/>
  <c r="AS919" i="2"/>
  <c r="AS920" i="2"/>
  <c r="AS922" i="2"/>
  <c r="AS923" i="2"/>
  <c r="AS924" i="2"/>
  <c r="AS927" i="2"/>
  <c r="AS928" i="2"/>
  <c r="AS929" i="2"/>
  <c r="AS930" i="2"/>
  <c r="AS931" i="2"/>
  <c r="AS932" i="2"/>
  <c r="AS933" i="2"/>
  <c r="AS934" i="2"/>
  <c r="AS935" i="2"/>
  <c r="AS936" i="2"/>
  <c r="AS937" i="2"/>
  <c r="AS938" i="2"/>
  <c r="AS939" i="2"/>
  <c r="AS941" i="2"/>
  <c r="AS942" i="2"/>
  <c r="AS943" i="2"/>
  <c r="AS944" i="2"/>
  <c r="AS945" i="2"/>
  <c r="AS946" i="2"/>
  <c r="AS947" i="2"/>
  <c r="AS948" i="2"/>
  <c r="AS954" i="2"/>
  <c r="AS890" i="2"/>
  <c r="AS955" i="2"/>
  <c r="AS956" i="2"/>
  <c r="AS957" i="2"/>
  <c r="AS958" i="2"/>
  <c r="AS960" i="2"/>
  <c r="AS961" i="2"/>
  <c r="AS962" i="2"/>
  <c r="AS963" i="2"/>
  <c r="AS964" i="2"/>
  <c r="AS965" i="2"/>
  <c r="AS966" i="2"/>
  <c r="AS891" i="2"/>
  <c r="AS967" i="2"/>
  <c r="AS968" i="2"/>
  <c r="AS969" i="2"/>
  <c r="AS970" i="2"/>
  <c r="AS971" i="2"/>
  <c r="AS972" i="2"/>
  <c r="AS973" i="2"/>
  <c r="AS974" i="2"/>
  <c r="AS975" i="2"/>
  <c r="AS976" i="2"/>
  <c r="AS977" i="2"/>
  <c r="AS978" i="2"/>
  <c r="AS979" i="2"/>
  <c r="AS980" i="2"/>
  <c r="AS981" i="2"/>
  <c r="AS982" i="2"/>
  <c r="AS983" i="2"/>
  <c r="AS984" i="2"/>
  <c r="AS985" i="2"/>
  <c r="AS986" i="2"/>
  <c r="AS987" i="2"/>
  <c r="AS988" i="2"/>
  <c r="AS989" i="2"/>
  <c r="AS990" i="2"/>
  <c r="AS991" i="2"/>
  <c r="AS992" i="2"/>
  <c r="AS993" i="2"/>
  <c r="AS994" i="2"/>
  <c r="AS995" i="2"/>
  <c r="AS996" i="2"/>
  <c r="AS1013" i="2"/>
  <c r="AS997" i="2"/>
  <c r="AS998" i="2"/>
  <c r="AS999" i="2"/>
  <c r="AS1000" i="2"/>
  <c r="AS1001" i="2"/>
  <c r="AS1002" i="2"/>
  <c r="AS1003" i="2"/>
  <c r="AS1004" i="2"/>
  <c r="AS1005" i="2"/>
  <c r="AS1006" i="2"/>
  <c r="AS1007" i="2"/>
  <c r="AS1008" i="2"/>
  <c r="AS1009" i="2"/>
  <c r="AS1010" i="2"/>
  <c r="AS1011" i="2"/>
  <c r="AS1014" i="2"/>
  <c r="AS1015" i="2"/>
  <c r="AS1016" i="2"/>
  <c r="AS1017" i="2"/>
  <c r="AS1018" i="2"/>
  <c r="AS1019" i="2"/>
  <c r="AS1020" i="2"/>
  <c r="AS1021" i="2"/>
  <c r="AS1022" i="2"/>
  <c r="AS1023" i="2"/>
  <c r="AS1024" i="2"/>
  <c r="AS1025" i="2"/>
  <c r="AS1026" i="2"/>
  <c r="AS1027" i="2"/>
  <c r="AS1028" i="2"/>
  <c r="AS1029" i="2"/>
  <c r="AS1030" i="2"/>
  <c r="AS1031" i="2"/>
  <c r="AS1032" i="2"/>
  <c r="AS1033" i="2"/>
  <c r="AS1034" i="2"/>
  <c r="AS1035" i="2"/>
  <c r="AS1037" i="2"/>
  <c r="AS1038" i="2"/>
  <c r="AS1039" i="2"/>
  <c r="AS1040" i="2"/>
  <c r="AS1041" i="2"/>
  <c r="AS1042" i="2"/>
  <c r="AS1043" i="2"/>
  <c r="AS1044" i="2"/>
  <c r="AS1045" i="2"/>
  <c r="AS1046" i="2"/>
  <c r="AS1047" i="2"/>
  <c r="AS1048" i="2"/>
  <c r="AS1049" i="2"/>
  <c r="AS1050" i="2"/>
  <c r="AS1051" i="2"/>
  <c r="AS1052" i="2"/>
  <c r="AS1053" i="2"/>
  <c r="AS1054" i="2"/>
  <c r="AS1055" i="2"/>
  <c r="AS1056" i="2"/>
  <c r="AS1057" i="2"/>
  <c r="AS1058" i="2"/>
  <c r="AS1059" i="2"/>
  <c r="AS1060" i="2"/>
  <c r="AS1061" i="2"/>
  <c r="AS1062" i="2"/>
  <c r="AS1063" i="2"/>
  <c r="AS1064" i="2"/>
  <c r="AS1065" i="2"/>
  <c r="AS1066" i="2"/>
  <c r="AS1067" i="2"/>
  <c r="AS1068" i="2"/>
  <c r="AS1069" i="2"/>
  <c r="AS1070" i="2"/>
  <c r="AS1071" i="2"/>
  <c r="AS1072" i="2"/>
  <c r="AS1073" i="2"/>
  <c r="AS1074" i="2"/>
  <c r="AS1075" i="2"/>
  <c r="AS1076" i="2"/>
  <c r="AS1077" i="2"/>
  <c r="AS1078" i="2"/>
  <c r="AS1079" i="2"/>
  <c r="AS1080" i="2"/>
  <c r="AS1081" i="2"/>
  <c r="AS1082" i="2"/>
  <c r="AS1083" i="2"/>
  <c r="AS1084" i="2"/>
  <c r="AS1085" i="2"/>
  <c r="AS1086" i="2"/>
  <c r="AS1087" i="2"/>
  <c r="AS1088" i="2"/>
  <c r="AS1089" i="2"/>
  <c r="AS1090" i="2"/>
  <c r="AS1091" i="2"/>
  <c r="AS1092" i="2"/>
  <c r="AS1093" i="2"/>
  <c r="AS1094" i="2"/>
  <c r="AS1095" i="2"/>
  <c r="AS1096" i="2"/>
  <c r="AS1097" i="2"/>
  <c r="AS1098" i="2"/>
  <c r="AS1099" i="2"/>
  <c r="AS1100" i="2"/>
  <c r="AS1101" i="2"/>
  <c r="AS1102" i="2"/>
  <c r="AS1103" i="2"/>
  <c r="AS1104" i="2"/>
  <c r="AS1105" i="2"/>
  <c r="AS1106" i="2"/>
  <c r="AS1107" i="2"/>
  <c r="AS1108" i="2"/>
  <c r="AS1109" i="2"/>
  <c r="AS1110" i="2"/>
  <c r="AS1111" i="2"/>
  <c r="AS1112" i="2"/>
  <c r="AS1113" i="2"/>
  <c r="AS1114" i="2"/>
  <c r="AS1115" i="2"/>
  <c r="AS1116" i="2"/>
  <c r="AS1117" i="2"/>
  <c r="AS1118" i="2"/>
  <c r="AS1119" i="2"/>
  <c r="AS1120" i="2"/>
  <c r="AS1121" i="2"/>
  <c r="AS1122" i="2"/>
  <c r="AS1123" i="2"/>
  <c r="AS1124" i="2"/>
  <c r="AS1125" i="2"/>
  <c r="AS1126" i="2"/>
  <c r="AS1127" i="2"/>
  <c r="AS1128" i="2"/>
  <c r="AS1129" i="2"/>
  <c r="AS1130" i="2"/>
  <c r="AS1131" i="2"/>
  <c r="AS1132" i="2"/>
  <c r="AS1133" i="2"/>
  <c r="AS1134" i="2"/>
  <c r="AS1135" i="2"/>
  <c r="AS1136" i="2"/>
  <c r="AS1137" i="2"/>
  <c r="AS1138" i="2"/>
  <c r="AS1139" i="2"/>
  <c r="AS1140" i="2"/>
  <c r="AS1141" i="2"/>
  <c r="AS1142" i="2"/>
  <c r="AS1143" i="2"/>
  <c r="AS1144" i="2"/>
  <c r="AS1145" i="2"/>
  <c r="AS1146" i="2"/>
  <c r="AS1147" i="2"/>
  <c r="AS1148" i="2"/>
  <c r="AS1149" i="2"/>
  <c r="AS1150" i="2"/>
  <c r="AS1151" i="2"/>
  <c r="AS1152" i="2"/>
  <c r="AS1153" i="2"/>
  <c r="AR667" i="2"/>
  <c r="AR671" i="2"/>
  <c r="AR672" i="2"/>
  <c r="AR674" i="2"/>
  <c r="AR675" i="2"/>
  <c r="AR676" i="2"/>
  <c r="AR673" i="2"/>
  <c r="AR678" i="2"/>
  <c r="AR679" i="2"/>
  <c r="AR680" i="2"/>
  <c r="AR681" i="2"/>
  <c r="AR682" i="2"/>
  <c r="AR683" i="2"/>
  <c r="AR685" i="2"/>
  <c r="AR686" i="2"/>
  <c r="AR687" i="2"/>
  <c r="AR688" i="2"/>
  <c r="AR689" i="2"/>
  <c r="AR690" i="2"/>
  <c r="AR691" i="2"/>
  <c r="AR692" i="2"/>
  <c r="AR693" i="2"/>
  <c r="AR695" i="2"/>
  <c r="AR696" i="2"/>
  <c r="AR697" i="2"/>
  <c r="AR698" i="2"/>
  <c r="AR694" i="2"/>
  <c r="AR699" i="2"/>
  <c r="AR700" i="2"/>
  <c r="AR701" i="2"/>
  <c r="AR702" i="2"/>
  <c r="AR703" i="2"/>
  <c r="AR707" i="2"/>
  <c r="AR711" i="2"/>
  <c r="AR712" i="2"/>
  <c r="AR713" i="2"/>
  <c r="AR710" i="2"/>
  <c r="AR714" i="2"/>
  <c r="AR715" i="2"/>
  <c r="AR716" i="2"/>
  <c r="AR717" i="2"/>
  <c r="AR718" i="2"/>
  <c r="AR723" i="2"/>
  <c r="AR724" i="2"/>
  <c r="AR725" i="2"/>
  <c r="AR726" i="2"/>
  <c r="AR727" i="2"/>
  <c r="AR728" i="2"/>
  <c r="AR729" i="2"/>
  <c r="AR730" i="2"/>
  <c r="AR732" i="2"/>
  <c r="AR733" i="2"/>
  <c r="AR731" i="2"/>
  <c r="AR734" i="2"/>
  <c r="AR735" i="2"/>
  <c r="AR736" i="2"/>
  <c r="AR737" i="2"/>
  <c r="AR738" i="2"/>
  <c r="AR740" i="2"/>
  <c r="AR741" i="2"/>
  <c r="AR742" i="2"/>
  <c r="AR743" i="2"/>
  <c r="AR744" i="2"/>
  <c r="AR745" i="2"/>
  <c r="AR746" i="2"/>
  <c r="AR747" i="2"/>
  <c r="AR748" i="2"/>
  <c r="AR749" i="2"/>
  <c r="AR750" i="2"/>
  <c r="AR751" i="2"/>
  <c r="AR752" i="2"/>
  <c r="AR753" i="2"/>
  <c r="AR754" i="2"/>
  <c r="AR755" i="2"/>
  <c r="AR756" i="2"/>
  <c r="AR757" i="2"/>
  <c r="AR758" i="2"/>
  <c r="AR759" i="2"/>
  <c r="AR739" i="2"/>
  <c r="AR760" i="2"/>
  <c r="AR762" i="2"/>
  <c r="AR763" i="2"/>
  <c r="AR764" i="2"/>
  <c r="AR765" i="2"/>
  <c r="AR766" i="2"/>
  <c r="AR767" i="2"/>
  <c r="AR768" i="2"/>
  <c r="AR761" i="2"/>
  <c r="AR769" i="2"/>
  <c r="AR772" i="2"/>
  <c r="F8" i="20" s="1"/>
  <c r="AR773" i="2"/>
  <c r="F9" i="20" s="1"/>
  <c r="AR774" i="2"/>
  <c r="F10" i="20" s="1"/>
  <c r="AR775" i="2"/>
  <c r="F11" i="20" s="1"/>
  <c r="AR776" i="2"/>
  <c r="F12" i="20" s="1"/>
  <c r="AR777" i="2"/>
  <c r="F13" i="20" s="1"/>
  <c r="AR778" i="2"/>
  <c r="F14" i="20" s="1"/>
  <c r="AR779" i="2"/>
  <c r="F15" i="20" s="1"/>
  <c r="AR780" i="2"/>
  <c r="F16" i="20" s="1"/>
  <c r="AR782" i="2"/>
  <c r="AR781" i="2"/>
  <c r="AR822" i="2"/>
  <c r="AR819" i="2"/>
  <c r="AR783" i="2"/>
  <c r="AR820" i="2"/>
  <c r="AR821" i="2"/>
  <c r="AR784" i="2"/>
  <c r="AR785" i="2"/>
  <c r="AR786" i="2"/>
  <c r="AR787" i="2"/>
  <c r="AR788" i="2"/>
  <c r="AR789" i="2"/>
  <c r="AR790" i="2"/>
  <c r="AR791" i="2"/>
  <c r="AR792" i="2"/>
  <c r="AR793" i="2"/>
  <c r="AR794" i="2"/>
  <c r="AR795" i="2"/>
  <c r="AR796" i="2"/>
  <c r="AR797" i="2"/>
  <c r="AR798" i="2"/>
  <c r="AR803" i="2"/>
  <c r="AR804" i="2"/>
  <c r="AR805" i="2"/>
  <c r="AR807" i="2"/>
  <c r="AR808" i="2"/>
  <c r="AR809" i="2"/>
  <c r="AR810" i="2"/>
  <c r="AR806" i="2"/>
  <c r="AR811" i="2"/>
  <c r="AR812" i="2"/>
  <c r="AR813" i="2"/>
  <c r="AR814" i="2"/>
  <c r="AR816" i="2"/>
  <c r="AR817" i="2"/>
  <c r="AR818" i="2"/>
  <c r="AR815" i="2"/>
  <c r="AR825" i="2"/>
  <c r="AR826" i="2"/>
  <c r="AR827" i="2"/>
  <c r="AR828" i="2"/>
  <c r="AR829" i="2"/>
  <c r="AR830" i="2"/>
  <c r="AR831" i="2"/>
  <c r="AR832" i="2"/>
  <c r="AR836" i="2"/>
  <c r="AR837" i="2"/>
  <c r="AR838" i="2"/>
  <c r="AR839" i="2"/>
  <c r="AR840" i="2"/>
  <c r="AR841" i="2"/>
  <c r="AR842" i="2"/>
  <c r="AR846" i="2"/>
  <c r="AR845" i="2"/>
  <c r="AR847" i="2"/>
  <c r="AR848" i="2"/>
  <c r="AR849" i="2"/>
  <c r="AR850" i="2"/>
  <c r="AR851" i="2"/>
  <c r="AR852" i="2"/>
  <c r="AR853" i="2"/>
  <c r="AR854" i="2"/>
  <c r="AR858" i="2"/>
  <c r="AR859" i="2"/>
  <c r="AR860" i="2"/>
  <c r="AR861" i="2"/>
  <c r="AR857" i="2"/>
  <c r="AR863" i="2"/>
  <c r="AR868" i="2"/>
  <c r="AR869" i="2"/>
  <c r="AR870" i="2"/>
  <c r="AR871" i="2"/>
  <c r="AR872" i="2"/>
  <c r="AR873" i="2"/>
  <c r="AR874" i="2"/>
  <c r="AR875" i="2"/>
  <c r="AR876" i="2"/>
  <c r="AR877" i="2"/>
  <c r="AR878" i="2"/>
  <c r="AR879" i="2"/>
  <c r="AR867" i="2"/>
  <c r="AR880" i="2"/>
  <c r="AR881" i="2"/>
  <c r="AR882" i="2"/>
  <c r="AR883" i="2"/>
  <c r="AR884" i="2"/>
  <c r="AR885" i="2"/>
  <c r="AR886" i="2"/>
  <c r="AR887" i="2"/>
  <c r="AR888" i="2"/>
  <c r="AR889" i="2"/>
  <c r="AR894" i="2"/>
  <c r="AR921" i="2"/>
  <c r="AR892" i="2"/>
  <c r="AR893" i="2"/>
  <c r="AR895" i="2"/>
  <c r="AR896" i="2"/>
  <c r="AR897" i="2"/>
  <c r="AR898" i="2"/>
  <c r="AR899" i="2"/>
  <c r="AR900" i="2"/>
  <c r="AR902" i="2"/>
  <c r="AR903" i="2"/>
  <c r="AR910" i="2"/>
  <c r="AR911" i="2"/>
  <c r="AR912" i="2"/>
  <c r="AR913" i="2"/>
  <c r="AR914" i="2"/>
  <c r="AR918" i="2"/>
  <c r="AR919" i="2"/>
  <c r="AR920" i="2"/>
  <c r="AR922" i="2"/>
  <c r="AR923" i="2"/>
  <c r="AR924" i="2"/>
  <c r="AR927" i="2"/>
  <c r="AR928" i="2"/>
  <c r="AR929" i="2"/>
  <c r="AR930" i="2"/>
  <c r="AR931" i="2"/>
  <c r="AR932" i="2"/>
  <c r="AR933" i="2"/>
  <c r="AR934" i="2"/>
  <c r="AR935" i="2"/>
  <c r="AR936" i="2"/>
  <c r="AR937" i="2"/>
  <c r="AR938" i="2"/>
  <c r="AR939" i="2"/>
  <c r="AR941" i="2"/>
  <c r="AR942" i="2"/>
  <c r="AR943" i="2"/>
  <c r="AR944" i="2"/>
  <c r="AR945" i="2"/>
  <c r="AR946" i="2"/>
  <c r="AR947" i="2"/>
  <c r="AR948" i="2"/>
  <c r="AR954" i="2"/>
  <c r="AR890" i="2"/>
  <c r="AR955" i="2"/>
  <c r="AR956" i="2"/>
  <c r="AR957" i="2"/>
  <c r="AR958" i="2"/>
  <c r="AR960" i="2"/>
  <c r="AR961" i="2"/>
  <c r="AR962" i="2"/>
  <c r="AR963" i="2"/>
  <c r="AR964" i="2"/>
  <c r="AR965" i="2"/>
  <c r="AR966" i="2"/>
  <c r="AR891" i="2"/>
  <c r="AR967" i="2"/>
  <c r="AR968" i="2"/>
  <c r="AR969" i="2"/>
  <c r="AR970" i="2"/>
  <c r="AR971" i="2"/>
  <c r="AR972" i="2"/>
  <c r="AR973" i="2"/>
  <c r="AR974" i="2"/>
  <c r="AR975" i="2"/>
  <c r="AR976" i="2"/>
  <c r="AR977" i="2"/>
  <c r="AR978" i="2"/>
  <c r="AR979" i="2"/>
  <c r="AR980" i="2"/>
  <c r="AR981" i="2"/>
  <c r="AR982" i="2"/>
  <c r="AR983" i="2"/>
  <c r="AR984" i="2"/>
  <c r="AR985" i="2"/>
  <c r="AR986" i="2"/>
  <c r="AR987" i="2"/>
  <c r="AR988" i="2"/>
  <c r="AR989" i="2"/>
  <c r="AR990" i="2"/>
  <c r="AR991" i="2"/>
  <c r="AR992" i="2"/>
  <c r="AR993" i="2"/>
  <c r="AR994" i="2"/>
  <c r="AR995" i="2"/>
  <c r="AR996" i="2"/>
  <c r="AR1013" i="2"/>
  <c r="AR997" i="2"/>
  <c r="AR998" i="2"/>
  <c r="AR999" i="2"/>
  <c r="AR1000" i="2"/>
  <c r="AR1001" i="2"/>
  <c r="AR1002" i="2"/>
  <c r="AR1003" i="2"/>
  <c r="AR1004" i="2"/>
  <c r="AR1005" i="2"/>
  <c r="AR1006" i="2"/>
  <c r="AR1007" i="2"/>
  <c r="AR1008" i="2"/>
  <c r="AR1009" i="2"/>
  <c r="AR1010" i="2"/>
  <c r="AR1011" i="2"/>
  <c r="AR1014" i="2"/>
  <c r="AR1015" i="2"/>
  <c r="AR1016" i="2"/>
  <c r="AR1017" i="2"/>
  <c r="AR1018" i="2"/>
  <c r="AR1019" i="2"/>
  <c r="AR1020" i="2"/>
  <c r="AR1021" i="2"/>
  <c r="AR1022" i="2"/>
  <c r="AR1023" i="2"/>
  <c r="AR1024" i="2"/>
  <c r="AR1025" i="2"/>
  <c r="AR1026" i="2"/>
  <c r="AR1027" i="2"/>
  <c r="AR1028" i="2"/>
  <c r="AR1029" i="2"/>
  <c r="AR1030" i="2"/>
  <c r="AR1031" i="2"/>
  <c r="AR1032" i="2"/>
  <c r="AR1033" i="2"/>
  <c r="AR1034" i="2"/>
  <c r="AR1035" i="2"/>
  <c r="AR1037" i="2"/>
  <c r="AR1038" i="2"/>
  <c r="AR1039" i="2"/>
  <c r="AR1040" i="2"/>
  <c r="AR1041" i="2"/>
  <c r="AR1042" i="2"/>
  <c r="AR1043" i="2"/>
  <c r="AR1044" i="2"/>
  <c r="AR1045" i="2"/>
  <c r="AR1046" i="2"/>
  <c r="AR1047" i="2"/>
  <c r="AR1048" i="2"/>
  <c r="AR1049" i="2"/>
  <c r="AR1050" i="2"/>
  <c r="AR1051" i="2"/>
  <c r="AR1052" i="2"/>
  <c r="AR1053" i="2"/>
  <c r="AR1054" i="2"/>
  <c r="AR1055" i="2"/>
  <c r="AR1056" i="2"/>
  <c r="AR1057" i="2"/>
  <c r="AR1058" i="2"/>
  <c r="AR1059" i="2"/>
  <c r="AR1060" i="2"/>
  <c r="AR1061" i="2"/>
  <c r="AR1062" i="2"/>
  <c r="AR1063" i="2"/>
  <c r="AR1064" i="2"/>
  <c r="AR1065" i="2"/>
  <c r="AR1066" i="2"/>
  <c r="AR1067" i="2"/>
  <c r="AR1068" i="2"/>
  <c r="AR1069" i="2"/>
  <c r="AR1070" i="2"/>
  <c r="AR1071" i="2"/>
  <c r="AR1072" i="2"/>
  <c r="AR1073" i="2"/>
  <c r="AR1074" i="2"/>
  <c r="AR1075" i="2"/>
  <c r="AR1076" i="2"/>
  <c r="AR1077" i="2"/>
  <c r="AR1078" i="2"/>
  <c r="AR1079" i="2"/>
  <c r="AR1080" i="2"/>
  <c r="AR1081" i="2"/>
  <c r="AR1082" i="2"/>
  <c r="AR1083" i="2"/>
  <c r="AR1084" i="2"/>
  <c r="AR1085" i="2"/>
  <c r="AR1086" i="2"/>
  <c r="AR1087" i="2"/>
  <c r="AR1088" i="2"/>
  <c r="AR1089" i="2"/>
  <c r="AR1090" i="2"/>
  <c r="AR1091" i="2"/>
  <c r="AR1092" i="2"/>
  <c r="AR1093" i="2"/>
  <c r="AR1094" i="2"/>
  <c r="AR1095" i="2"/>
  <c r="AR1096" i="2"/>
  <c r="AR1097" i="2"/>
  <c r="AR1098" i="2"/>
  <c r="AR1099" i="2"/>
  <c r="AR1100" i="2"/>
  <c r="AR1101" i="2"/>
  <c r="AR1102" i="2"/>
  <c r="AR1103" i="2"/>
  <c r="AR1104" i="2"/>
  <c r="AR1105" i="2"/>
  <c r="AR1106" i="2"/>
  <c r="AR1107" i="2"/>
  <c r="AR1108" i="2"/>
  <c r="AR1109" i="2"/>
  <c r="AR1110" i="2"/>
  <c r="AR1111" i="2"/>
  <c r="AR1112" i="2"/>
  <c r="AR1113" i="2"/>
  <c r="AR1114" i="2"/>
  <c r="AR1115" i="2"/>
  <c r="AR1116" i="2"/>
  <c r="AR1117" i="2"/>
  <c r="AR1118" i="2"/>
  <c r="AR1119" i="2"/>
  <c r="AR1120" i="2"/>
  <c r="AR1121" i="2"/>
  <c r="AR1122" i="2"/>
  <c r="AR1123" i="2"/>
  <c r="AR1124" i="2"/>
  <c r="AR1125" i="2"/>
  <c r="AR1126" i="2"/>
  <c r="AR1127" i="2"/>
  <c r="AR1128" i="2"/>
  <c r="AR1129" i="2"/>
  <c r="AR1130" i="2"/>
  <c r="AR1131" i="2"/>
  <c r="AR1132" i="2"/>
  <c r="AR1133" i="2"/>
  <c r="AR1134" i="2"/>
  <c r="AR1135" i="2"/>
  <c r="AR1136" i="2"/>
  <c r="AR1137" i="2"/>
  <c r="AR1138" i="2"/>
  <c r="AR1139" i="2"/>
  <c r="AR1140" i="2"/>
  <c r="AR1141" i="2"/>
  <c r="AR1142" i="2"/>
  <c r="AR1143" i="2"/>
  <c r="AR1144" i="2"/>
  <c r="AR1145" i="2"/>
  <c r="AR1146" i="2"/>
  <c r="AR1147" i="2"/>
  <c r="AR1148" i="2"/>
  <c r="AR1149" i="2"/>
  <c r="AR1150" i="2"/>
  <c r="AR1151" i="2"/>
  <c r="AR1152" i="2"/>
  <c r="AR1153" i="2"/>
  <c r="BB12" i="2" l="1"/>
  <c r="BB13" i="2"/>
  <c r="BB8" i="2"/>
  <c r="BB9" i="2"/>
  <c r="BB10" i="2"/>
  <c r="BB11" i="2"/>
  <c r="BB7" i="2"/>
  <c r="BB216" i="2"/>
  <c r="BB14" i="2"/>
  <c r="BB15" i="2"/>
  <c r="BB16" i="2"/>
  <c r="BB19" i="2"/>
  <c r="BB18" i="2"/>
  <c r="BB122" i="2"/>
  <c r="BB800" i="2"/>
  <c r="BB307" i="2"/>
  <c r="BB123" i="2"/>
  <c r="BB70" i="2"/>
  <c r="BB67" i="2"/>
  <c r="BB43" i="2"/>
  <c r="I47" i="7"/>
  <c r="M47" i="7" s="1"/>
  <c r="S47" i="7" s="1"/>
  <c r="BB69" i="2"/>
  <c r="BB108" i="2"/>
  <c r="BB44" i="2"/>
  <c r="BB154" i="2"/>
  <c r="BB68" i="2"/>
  <c r="BA676" i="2"/>
  <c r="BB271" i="2" s="1"/>
  <c r="C13" i="25"/>
  <c r="BB20" i="2"/>
  <c r="BB48" i="2"/>
  <c r="BB64" i="2"/>
  <c r="BB49" i="2"/>
  <c r="BB27" i="2"/>
  <c r="BB111" i="2"/>
  <c r="BB30" i="2"/>
  <c r="BB28" i="2"/>
  <c r="BB31" i="2"/>
  <c r="BB37" i="2"/>
  <c r="BB21" i="2"/>
  <c r="BB22" i="2"/>
  <c r="BB23" i="2"/>
  <c r="BB32" i="2"/>
  <c r="BB24" i="2"/>
  <c r="BB25" i="2"/>
  <c r="BB34" i="2"/>
  <c r="BB35" i="2"/>
  <c r="BB36" i="2"/>
  <c r="BB33" i="2"/>
  <c r="BB40" i="2"/>
  <c r="BB41" i="2"/>
  <c r="BB50" i="2"/>
  <c r="BB58" i="2"/>
  <c r="BB59" i="2"/>
  <c r="BB60" i="2"/>
  <c r="BB46" i="2"/>
  <c r="BB38" i="2"/>
  <c r="BB51" i="2"/>
  <c r="BB71" i="2"/>
  <c r="BB80" i="2"/>
  <c r="BB81" i="2"/>
  <c r="BB65" i="2"/>
  <c r="BB66" i="2"/>
  <c r="BB75" i="2"/>
  <c r="BB76" i="2"/>
  <c r="BB73" i="2"/>
  <c r="BB77" i="2"/>
  <c r="BB140" i="2"/>
  <c r="BB139" i="2"/>
  <c r="BB126" i="2"/>
  <c r="BB72" i="2"/>
  <c r="BB101" i="2"/>
  <c r="BB102" i="2"/>
  <c r="BB52" i="2"/>
  <c r="BB53" i="2"/>
  <c r="BB54" i="2"/>
  <c r="BB55" i="2"/>
  <c r="BB56" i="2"/>
  <c r="BB103" i="2"/>
  <c r="BB63" i="2"/>
  <c r="BB85" i="2"/>
  <c r="BB74" i="2"/>
  <c r="BB107" i="2"/>
  <c r="BB105" i="2"/>
  <c r="BB100" i="2"/>
  <c r="BB86" i="2"/>
  <c r="BB87" i="2"/>
  <c r="BB82" i="2"/>
  <c r="BB83" i="2"/>
  <c r="BB84" i="2"/>
  <c r="BB88" i="2"/>
  <c r="BB197" i="2"/>
  <c r="BB109" i="2"/>
  <c r="BB110" i="2"/>
  <c r="BB92" i="2"/>
  <c r="BB99" i="2"/>
  <c r="BB93" i="2"/>
  <c r="BB94" i="2"/>
  <c r="BB95" i="2"/>
  <c r="BB96" i="2"/>
  <c r="BB106" i="2"/>
  <c r="BB97" i="2"/>
  <c r="BB935" i="2"/>
  <c r="BB112" i="2"/>
  <c r="BB120" i="2"/>
  <c r="BB146" i="2"/>
  <c r="BB143" i="2"/>
  <c r="BB135" i="2"/>
  <c r="BB169" i="2"/>
  <c r="BB113" i="2"/>
  <c r="BB114" i="2"/>
  <c r="BB115" i="2"/>
  <c r="BB116" i="2"/>
  <c r="BB117" i="2"/>
  <c r="BB118" i="2"/>
  <c r="BB119" i="2"/>
  <c r="BB159" i="2"/>
  <c r="BB160" i="2"/>
  <c r="BB121" i="2"/>
  <c r="BB147" i="2"/>
  <c r="BB132" i="2"/>
  <c r="BB124" i="2"/>
  <c r="BB141" i="2"/>
  <c r="BB142" i="2"/>
  <c r="BB166" i="2"/>
  <c r="BB125" i="2"/>
  <c r="BB128" i="2"/>
  <c r="BB129" i="2"/>
  <c r="BB134" i="2"/>
  <c r="BB144" i="2"/>
  <c r="BB145" i="2"/>
  <c r="BB151" i="2"/>
  <c r="BB153" i="2"/>
  <c r="BB152" i="2"/>
  <c r="BB150" i="2"/>
  <c r="BB164" i="2"/>
  <c r="BB161" i="2"/>
  <c r="BB323" i="2"/>
  <c r="BB324" i="2"/>
  <c r="BB268" i="2"/>
  <c r="BB336" i="2"/>
  <c r="BB337" i="2"/>
  <c r="BB162" i="2"/>
  <c r="BB155" i="2"/>
  <c r="BB156" i="2"/>
  <c r="BB157" i="2"/>
  <c r="BB158" i="2"/>
  <c r="BB165" i="2"/>
  <c r="BB187" i="2"/>
  <c r="BB188" i="2"/>
  <c r="BB182" i="2"/>
  <c r="BB181" i="2"/>
  <c r="BB170" i="2"/>
  <c r="BB171" i="2"/>
  <c r="BB178" i="2"/>
  <c r="BB179" i="2"/>
  <c r="BB180" i="2"/>
  <c r="BB172" i="2"/>
  <c r="BB174" i="2"/>
  <c r="BB173" i="2"/>
  <c r="BB185" i="2"/>
  <c r="BB385" i="2"/>
  <c r="BB940" i="2"/>
  <c r="BB537" i="2"/>
  <c r="BB195" i="2"/>
  <c r="BB780" i="2"/>
  <c r="BB194" i="2"/>
  <c r="BB850" i="2"/>
  <c r="BB1015" i="2"/>
  <c r="BB183" i="2"/>
  <c r="BB184" i="2"/>
  <c r="BB190" i="2"/>
  <c r="BB191" i="2"/>
  <c r="BB229" i="2"/>
  <c r="BB202" i="2"/>
  <c r="BB198" i="2"/>
  <c r="BB199" i="2"/>
  <c r="BB203" i="2"/>
  <c r="BB200" i="2"/>
  <c r="BB201" i="2"/>
  <c r="BB243" i="2"/>
  <c r="BB321" i="2"/>
  <c r="BB225" i="2"/>
  <c r="BB204" i="2"/>
  <c r="BB226" i="2"/>
  <c r="BB205" i="2"/>
  <c r="BB211" i="2"/>
  <c r="BB212" i="2"/>
  <c r="BB209" i="2"/>
  <c r="BB213" i="2"/>
  <c r="BB206" i="2"/>
  <c r="BB207" i="2"/>
  <c r="BB258" i="2"/>
  <c r="BB214" i="2"/>
  <c r="BB215" i="2"/>
  <c r="BB237" i="2"/>
  <c r="BB210" i="2"/>
  <c r="BB220" i="2"/>
  <c r="BB221" i="2"/>
  <c r="BB222" i="2"/>
  <c r="BB227" i="2"/>
  <c r="BB228" i="2"/>
  <c r="BB219" i="2"/>
  <c r="BB223" i="2"/>
  <c r="BB230" i="2"/>
  <c r="BB231" i="2"/>
  <c r="BB315" i="2"/>
  <c r="BB316" i="2"/>
  <c r="BB292" i="2"/>
  <c r="BB293" i="2"/>
  <c r="BB233" i="2"/>
  <c r="BB234" i="2"/>
  <c r="BB620" i="2"/>
  <c r="BB312" i="2"/>
  <c r="BB352" i="2"/>
  <c r="BB444" i="2"/>
  <c r="BB353" i="2"/>
  <c r="BB354" i="2"/>
  <c r="BB343" i="2"/>
  <c r="D18" i="10"/>
  <c r="BB240" i="2"/>
  <c r="BB241" i="2"/>
  <c r="BB236" i="2"/>
  <c r="BB242" i="2"/>
  <c r="BB322" i="2"/>
  <c r="BB453" i="2"/>
  <c r="BB325" i="2"/>
  <c r="BB253" i="2"/>
  <c r="BB245" i="2"/>
  <c r="BB248" i="2"/>
  <c r="BB289" i="2"/>
  <c r="BB355" i="2"/>
  <c r="BB356" i="2"/>
  <c r="BB262" i="2"/>
  <c r="BB330" i="2"/>
  <c r="BB332" i="2"/>
  <c r="BB345" i="2"/>
  <c r="BB357" i="2"/>
  <c r="BB281" i="2"/>
  <c r="BB326" i="2"/>
  <c r="BB254" i="2"/>
  <c r="BB351" i="2"/>
  <c r="BB429" i="2"/>
  <c r="BB255" i="2"/>
  <c r="BB249" i="2"/>
  <c r="BB251" i="2"/>
  <c r="BB252" i="2"/>
  <c r="BB256" i="2"/>
  <c r="BB259" i="2"/>
  <c r="BB656" i="2"/>
  <c r="BB257" i="2"/>
  <c r="BB260" i="2"/>
  <c r="BB406" i="2"/>
  <c r="S46" i="7"/>
  <c r="BB413" i="2"/>
  <c r="BB282" i="2"/>
  <c r="BB267" i="2"/>
  <c r="BB266" i="2"/>
  <c r="BB283" i="2"/>
  <c r="BB297" i="2"/>
  <c r="BB273" i="2"/>
  <c r="BB359" i="2"/>
  <c r="BB274" i="2"/>
  <c r="BB445" i="2"/>
  <c r="BB275" i="2"/>
  <c r="BB454" i="2"/>
  <c r="BB294" i="2"/>
  <c r="BB277" i="2"/>
  <c r="BB295" i="2"/>
  <c r="BB284" i="2"/>
  <c r="BB280" i="2"/>
  <c r="BB285" i="2"/>
  <c r="BB279" i="2"/>
  <c r="BB286" i="2"/>
  <c r="BB278" i="2"/>
  <c r="BB366" i="2"/>
  <c r="BB368" i="2"/>
  <c r="BB288" i="2"/>
  <c r="BB302" i="2"/>
  <c r="BB301" i="2"/>
  <c r="BB304" i="2"/>
  <c r="BB305" i="2"/>
  <c r="BB306" i="2"/>
  <c r="BB310" i="2"/>
  <c r="BB317" i="2"/>
  <c r="BB311" i="2"/>
  <c r="BB344" i="2"/>
  <c r="BB318" i="2"/>
  <c r="BB319" i="2"/>
  <c r="BB327" i="2"/>
  <c r="BB854" i="2"/>
  <c r="BB333" i="2"/>
  <c r="BB334" i="2"/>
  <c r="BB335" i="2"/>
  <c r="BB328" i="2"/>
  <c r="BB449" i="2"/>
  <c r="BB369" i="2"/>
  <c r="BB424" i="2"/>
  <c r="BB372" i="2"/>
  <c r="BB339" i="2"/>
  <c r="BB342" i="2"/>
  <c r="BB346" i="2"/>
  <c r="BB347" i="2"/>
  <c r="BB363" i="2"/>
  <c r="BB360" i="2"/>
  <c r="BB361" i="2"/>
  <c r="BB362" i="2"/>
  <c r="BB376" i="2"/>
  <c r="D13" i="10"/>
  <c r="BB365" i="2"/>
  <c r="BB364" i="2"/>
  <c r="BB432" i="2"/>
  <c r="BB375" i="2"/>
  <c r="BB377" i="2"/>
  <c r="BB378" i="2"/>
  <c r="BB379" i="2"/>
  <c r="BB380" i="2"/>
  <c r="BB452" i="2"/>
  <c r="BB384" i="2"/>
  <c r="BB794" i="2"/>
  <c r="BB402" i="2"/>
  <c r="BB464" i="2"/>
  <c r="BB797" i="2"/>
  <c r="BB463" i="2"/>
  <c r="BB465" i="2"/>
  <c r="BB382" i="2"/>
  <c r="BB386" i="2"/>
  <c r="BB388" i="2"/>
  <c r="BB1031" i="2"/>
  <c r="BB390" i="2"/>
  <c r="BB398" i="2"/>
  <c r="BB423" i="2"/>
  <c r="BB394" i="2"/>
  <c r="BB395" i="2"/>
  <c r="BB1064" i="2"/>
  <c r="BB1014" i="2"/>
  <c r="BB401" i="2"/>
  <c r="BB403" i="2"/>
  <c r="BB443" i="2"/>
  <c r="BB414" i="2"/>
  <c r="BB440" i="2"/>
  <c r="BB420" i="2"/>
  <c r="BB545" i="2"/>
  <c r="BB412" i="2"/>
  <c r="BB433" i="2"/>
  <c r="BB425" i="2"/>
  <c r="BB407" i="2"/>
  <c r="BB480" i="2"/>
  <c r="BB408" i="2"/>
  <c r="BB409" i="2"/>
  <c r="BB829" i="2"/>
  <c r="BB446" i="2"/>
  <c r="BB853" i="2"/>
  <c r="BB447" i="2"/>
  <c r="BB938" i="2"/>
  <c r="BB448" i="2"/>
  <c r="BB417" i="2"/>
  <c r="BB418" i="2"/>
  <c r="BB906" i="2"/>
  <c r="BB450" i="2"/>
  <c r="BB904" i="2"/>
  <c r="BB451" i="2"/>
  <c r="BB799" i="2"/>
  <c r="BB439" i="2"/>
  <c r="BB796" i="2"/>
  <c r="BB470" i="2"/>
  <c r="BB421" i="2"/>
  <c r="BB426" i="2"/>
  <c r="BB422" i="2"/>
  <c r="BB427" i="2"/>
  <c r="BB795" i="2"/>
  <c r="BB471" i="2"/>
  <c r="BB456" i="2"/>
  <c r="D11" i="10"/>
  <c r="BB436" i="2"/>
  <c r="BB437" i="2"/>
  <c r="BB438" i="2"/>
  <c r="BB441" i="2"/>
  <c r="BB457" i="2"/>
  <c r="BB458" i="2"/>
  <c r="BB459" i="2"/>
  <c r="BB488" i="2"/>
  <c r="BB460" i="2"/>
  <c r="BB461" i="2"/>
  <c r="BB462" i="2"/>
  <c r="BB469" i="2"/>
  <c r="BB472" i="2"/>
  <c r="BB473" i="2"/>
  <c r="BB475" i="2"/>
  <c r="BB594" i="2"/>
  <c r="BB479" i="2"/>
  <c r="BB492" i="2"/>
  <c r="BB483" i="2"/>
  <c r="BB484" i="2"/>
  <c r="BB486" i="2"/>
  <c r="BB495" i="2"/>
  <c r="BB498" i="2"/>
  <c r="BB556" i="2"/>
  <c r="BB502" i="2"/>
  <c r="BB543" i="2"/>
  <c r="BB505" i="2"/>
  <c r="BB501" i="2"/>
  <c r="BB512" i="2"/>
  <c r="BB548" i="2"/>
  <c r="BB521" i="2"/>
  <c r="BB645" i="2"/>
  <c r="BB511" i="2"/>
  <c r="BA682" i="2"/>
  <c r="BB89" i="2" s="1"/>
  <c r="D14" i="10"/>
  <c r="BB516" i="2"/>
  <c r="BB519" i="2"/>
  <c r="BB522" i="2"/>
  <c r="BB617" i="2"/>
  <c r="BB526" i="2"/>
  <c r="BB527" i="2"/>
  <c r="BB524" i="2"/>
  <c r="BB525" i="2"/>
  <c r="BB539" i="2"/>
  <c r="BB639" i="2"/>
  <c r="BB530" i="2"/>
  <c r="BB618" i="2"/>
  <c r="BB529" i="2"/>
  <c r="BB619" i="2"/>
  <c r="BB532" i="2"/>
  <c r="BB625" i="2"/>
  <c r="BB535" i="2"/>
  <c r="BB581" i="2"/>
  <c r="BB536" i="2"/>
  <c r="BB613" i="2"/>
  <c r="BB553" i="2"/>
  <c r="BB541" i="2"/>
  <c r="BB623" i="2"/>
  <c r="BB542" i="2"/>
  <c r="BB777" i="2"/>
  <c r="BB624" i="2"/>
  <c r="BB546" i="2"/>
  <c r="BB622" i="2"/>
  <c r="BB547" i="2"/>
  <c r="BB641" i="2"/>
  <c r="BB554" i="2"/>
  <c r="BB597" i="2"/>
  <c r="BB551" i="2"/>
  <c r="BB626" i="2"/>
  <c r="BB558" i="2"/>
  <c r="BB565" i="2"/>
  <c r="BB564" i="2"/>
  <c r="BB566" i="2"/>
  <c r="BB567" i="2"/>
  <c r="BB609" i="2"/>
  <c r="BB569" i="2"/>
  <c r="BB600" i="2"/>
  <c r="BB570" i="2"/>
  <c r="BB611" i="2"/>
  <c r="BB571" i="2"/>
  <c r="BB583" i="2"/>
  <c r="BB572" i="2"/>
  <c r="BB859" i="2"/>
  <c r="BB596" i="2"/>
  <c r="BB793" i="2"/>
  <c r="BB584" i="2"/>
  <c r="BB579" i="2"/>
  <c r="BB578" i="2"/>
  <c r="BA673" i="2"/>
  <c r="C8" i="25"/>
  <c r="BB741" i="2"/>
  <c r="BB621" i="2"/>
  <c r="BB587" i="2"/>
  <c r="BB589" i="2"/>
  <c r="BB646" i="2"/>
  <c r="BB598" i="2"/>
  <c r="BB651" i="2"/>
  <c r="BB595" i="2"/>
  <c r="BB708" i="2"/>
  <c r="BB602" i="2"/>
  <c r="BB636" i="2"/>
  <c r="BB604" i="2"/>
  <c r="D10" i="10"/>
  <c r="D9" i="10"/>
  <c r="BB640" i="2"/>
  <c r="BB638" i="2"/>
  <c r="BB665" i="2"/>
  <c r="BB833" i="2"/>
  <c r="BB824" i="2"/>
  <c r="D8" i="10"/>
  <c r="BB950" i="2"/>
  <c r="BB909" i="2"/>
  <c r="BB844" i="2"/>
  <c r="BB1022" i="2"/>
  <c r="BB952" i="2"/>
  <c r="BB986" i="2"/>
  <c r="BB847" i="2"/>
  <c r="BB953" i="2"/>
  <c r="I8" i="23" s="1"/>
  <c r="M8" i="23" s="1"/>
  <c r="BB648" i="2"/>
  <c r="BB901" i="2"/>
  <c r="BB614" i="2"/>
  <c r="BB661" i="2"/>
  <c r="BB627" i="2"/>
  <c r="BB659" i="2"/>
  <c r="BB629" i="2"/>
  <c r="BB742" i="2"/>
  <c r="BB631" i="2"/>
  <c r="I32" i="7"/>
  <c r="M32" i="7" s="1"/>
  <c r="BB864" i="2"/>
  <c r="BB792" i="2"/>
  <c r="BB801" i="2"/>
  <c r="BB743" i="2"/>
  <c r="BB771" i="2"/>
  <c r="BB654" i="2"/>
  <c r="BB642" i="2"/>
  <c r="BB1113" i="2"/>
  <c r="BB931" i="2"/>
  <c r="BB905" i="2"/>
  <c r="BB896" i="2"/>
  <c r="BB916" i="2"/>
  <c r="BB897" i="2"/>
  <c r="BB917" i="2"/>
  <c r="BB814" i="2"/>
  <c r="BB925" i="2"/>
  <c r="BB943" i="2"/>
  <c r="BB926" i="2"/>
  <c r="BB862" i="2"/>
  <c r="BB996" i="2"/>
  <c r="BB802" i="2"/>
  <c r="BB788" i="2"/>
  <c r="BB823" i="2"/>
  <c r="BB779" i="2"/>
  <c r="BB923" i="2"/>
  <c r="BB1053" i="2"/>
  <c r="I8" i="7"/>
  <c r="M8" i="7" s="1"/>
  <c r="N8" i="7" s="1"/>
  <c r="BB787" i="2"/>
  <c r="BB653" i="2"/>
  <c r="BB663" i="2"/>
  <c r="BB655" i="2"/>
  <c r="BB895" i="2"/>
  <c r="BB922" i="2"/>
  <c r="BB956" i="2"/>
  <c r="BB1057" i="2"/>
  <c r="BB966" i="2"/>
  <c r="BB1019" i="2"/>
  <c r="BB851" i="2"/>
  <c r="BB939" i="2"/>
  <c r="BB924" i="2"/>
  <c r="BB1140" i="2"/>
  <c r="BB941" i="2"/>
  <c r="BB1023" i="2"/>
  <c r="BB720" i="2"/>
  <c r="BB769" i="2"/>
  <c r="I42" i="7"/>
  <c r="M42" i="7" s="1"/>
  <c r="N42" i="7" s="1"/>
  <c r="BB1132" i="2"/>
  <c r="BB1103" i="2"/>
  <c r="BB1127" i="2"/>
  <c r="BB731" i="2"/>
  <c r="BB937" i="2"/>
  <c r="BB919" i="2"/>
  <c r="BB803" i="2"/>
  <c r="BB1059" i="2"/>
  <c r="BB942" i="2"/>
  <c r="BB1018" i="2"/>
  <c r="BB842" i="2"/>
  <c r="BB707" i="2"/>
  <c r="BB826" i="2"/>
  <c r="BB761" i="2"/>
  <c r="BB830" i="2"/>
  <c r="BB1048" i="2"/>
  <c r="BB900" i="2"/>
  <c r="BB852" i="2"/>
  <c r="BB832" i="2"/>
  <c r="BB1033" i="2"/>
  <c r="BB1092" i="2"/>
  <c r="BB1013" i="2"/>
  <c r="BB840" i="2"/>
  <c r="BB729" i="2"/>
  <c r="BB1028" i="2"/>
  <c r="BB963" i="2"/>
  <c r="BB1072" i="2"/>
  <c r="BB1085" i="2"/>
  <c r="BB1118" i="2"/>
  <c r="BB1107" i="2"/>
  <c r="BB1150" i="2"/>
  <c r="BB1122" i="2"/>
  <c r="BB1138" i="2"/>
  <c r="BB1147" i="2"/>
  <c r="BA690" i="2"/>
  <c r="BB912" i="2"/>
  <c r="BB1032" i="2"/>
  <c r="BB989" i="2"/>
  <c r="BB914" i="2"/>
  <c r="BB946" i="2"/>
  <c r="BB831" i="2"/>
  <c r="BB929" i="2"/>
  <c r="BB667" i="2"/>
  <c r="BB773" i="2"/>
  <c r="BB869" i="2"/>
  <c r="BB882" i="2"/>
  <c r="BB688" i="2"/>
  <c r="BB858" i="2"/>
  <c r="BB749" i="2"/>
  <c r="BB675" i="2"/>
  <c r="BB762" i="2"/>
  <c r="BB812" i="2"/>
  <c r="BB714" i="2"/>
  <c r="BB976" i="2"/>
  <c r="BB692" i="2"/>
  <c r="BB798" i="2"/>
  <c r="BB846" i="2"/>
  <c r="BB818" i="2"/>
  <c r="BB918" i="2"/>
  <c r="BB913" i="2"/>
  <c r="BB920" i="2"/>
  <c r="BB892" i="2"/>
  <c r="BB679" i="2"/>
  <c r="BB860" i="2"/>
  <c r="I27" i="7" s="1"/>
  <c r="BB786" i="2"/>
  <c r="BB745" i="2"/>
  <c r="BB697" i="2"/>
  <c r="BB750" i="2"/>
  <c r="BB964" i="2"/>
  <c r="BB778" i="2"/>
  <c r="BB815" i="2"/>
  <c r="BB911" i="2"/>
  <c r="BB1041" i="2"/>
  <c r="BB857" i="2"/>
  <c r="BB1047" i="2"/>
  <c r="BB899" i="2"/>
  <c r="BB867" i="2"/>
  <c r="BB988" i="2"/>
  <c r="BB1065" i="2"/>
  <c r="BB932" i="2"/>
  <c r="BB1060" i="2"/>
  <c r="BB1091" i="2"/>
  <c r="BB1128" i="2"/>
  <c r="BB1139" i="2"/>
  <c r="BB748" i="2"/>
  <c r="BB1008" i="2"/>
  <c r="BB685" i="2"/>
  <c r="BB960" i="2"/>
  <c r="BB701" i="2"/>
  <c r="I30" i="7" s="1"/>
  <c r="M30" i="7" s="1"/>
  <c r="N30" i="7" s="1"/>
  <c r="BB757" i="2"/>
  <c r="BB883" i="2"/>
  <c r="BB870" i="2"/>
  <c r="BB772" i="2"/>
  <c r="BB927" i="2"/>
  <c r="BB825" i="2"/>
  <c r="BB930" i="2"/>
  <c r="BB746" i="2"/>
  <c r="BB686" i="2"/>
  <c r="BB1005" i="2"/>
  <c r="BB754" i="2"/>
  <c r="BB702" i="2"/>
  <c r="BB962" i="2"/>
  <c r="BB804" i="2"/>
  <c r="BB990" i="2"/>
  <c r="BB1083" i="2"/>
  <c r="BB1080" i="2"/>
  <c r="BB1016" i="2"/>
  <c r="BB973" i="2"/>
  <c r="BB999" i="2"/>
  <c r="BB1153" i="2"/>
  <c r="BB1070" i="2"/>
  <c r="BB1102" i="2"/>
  <c r="BB759" i="2"/>
  <c r="BB699" i="2"/>
  <c r="BB774" i="2"/>
  <c r="BB954" i="2"/>
  <c r="BB902" i="2"/>
  <c r="BB848" i="2"/>
  <c r="BB863" i="2"/>
  <c r="BB1030" i="2"/>
  <c r="BB1061" i="2"/>
  <c r="BB992" i="2"/>
  <c r="BB1044" i="2"/>
  <c r="BB970" i="2"/>
  <c r="BB1090" i="2"/>
  <c r="BB1067" i="2"/>
  <c r="BB1110" i="2"/>
  <c r="BB1099" i="2"/>
  <c r="BB1124" i="2"/>
  <c r="BB683" i="2"/>
  <c r="BB997" i="2"/>
  <c r="BB700" i="2"/>
  <c r="BB1002" i="2"/>
  <c r="BB755" i="2"/>
  <c r="BB828" i="2"/>
  <c r="BB928" i="2"/>
  <c r="BB744" i="2"/>
  <c r="BB671" i="2"/>
  <c r="BB1009" i="2"/>
  <c r="BB776" i="2"/>
  <c r="BB717" i="2"/>
  <c r="BB807" i="2"/>
  <c r="BB977" i="2"/>
  <c r="BB689" i="2"/>
  <c r="I40" i="7" s="1"/>
  <c r="M40" i="7" s="1"/>
  <c r="N40" i="7" s="1"/>
  <c r="BB765" i="2"/>
  <c r="BB725" i="2"/>
  <c r="BB718" i="2"/>
  <c r="BB790" i="2"/>
  <c r="BB1000" i="2"/>
  <c r="BB945" i="2"/>
  <c r="BB1017" i="2"/>
  <c r="BB1011" i="2"/>
  <c r="BB737" i="2"/>
  <c r="BB672" i="2"/>
  <c r="BB785" i="2"/>
  <c r="BB884" i="2"/>
  <c r="BB873" i="2"/>
  <c r="BB758" i="2"/>
  <c r="BB821" i="2"/>
  <c r="BB735" i="2"/>
  <c r="BB861" i="2"/>
  <c r="BB841" i="2"/>
  <c r="BB898" i="2"/>
  <c r="BB910" i="2"/>
  <c r="BB1078" i="2"/>
  <c r="BB1100" i="2"/>
  <c r="BB1006" i="2"/>
  <c r="BB747" i="2"/>
  <c r="BB687" i="2"/>
  <c r="BB756" i="2"/>
  <c r="BB961" i="2"/>
  <c r="BB703" i="2"/>
  <c r="BB991" i="2"/>
  <c r="BB1081" i="2"/>
  <c r="BB805" i="2"/>
  <c r="BB1082" i="2"/>
  <c r="BB948" i="2"/>
  <c r="BB987" i="2"/>
  <c r="BB985" i="2"/>
  <c r="BB1039" i="2"/>
  <c r="BB1069" i="2"/>
  <c r="BB934" i="2"/>
  <c r="BB1056" i="2"/>
  <c r="BB1001" i="2"/>
  <c r="BB1038" i="2"/>
  <c r="BB1109" i="2"/>
  <c r="BB1071" i="2"/>
  <c r="BB967" i="2"/>
  <c r="BB983" i="2"/>
  <c r="BB1026" i="2"/>
  <c r="BB968" i="2"/>
  <c r="BB1073" i="2"/>
  <c r="BB984" i="2"/>
  <c r="BB1050" i="2"/>
  <c r="BB695" i="2"/>
  <c r="BB752" i="2"/>
  <c r="BB1007" i="2"/>
  <c r="BB933" i="2"/>
  <c r="BB947" i="2"/>
  <c r="BB1066" i="2"/>
  <c r="BB1079" i="2"/>
  <c r="BB994" i="2"/>
  <c r="BB764" i="2"/>
  <c r="BB980" i="2"/>
  <c r="BB674" i="2"/>
  <c r="BB713" i="2"/>
  <c r="BB813" i="2"/>
  <c r="BB723" i="2"/>
  <c r="BB789" i="2"/>
  <c r="BB691" i="2"/>
  <c r="BB728" i="2"/>
  <c r="BB876" i="2"/>
  <c r="BB888" i="2"/>
  <c r="BB820" i="2"/>
  <c r="BB736" i="2"/>
  <c r="BB893" i="2"/>
  <c r="BB845" i="2"/>
  <c r="BB827" i="2"/>
  <c r="BB974" i="2"/>
  <c r="BB1035" i="2"/>
  <c r="BB1055" i="2"/>
  <c r="BB955" i="2"/>
  <c r="BB1093" i="2"/>
  <c r="BB1075" i="2"/>
  <c r="BB1116" i="2"/>
  <c r="BB1144" i="2"/>
  <c r="BB1088" i="2"/>
  <c r="BB1131" i="2"/>
  <c r="BB1117" i="2"/>
  <c r="BB1129" i="2"/>
  <c r="BB1141" i="2"/>
  <c r="BB1076" i="2"/>
  <c r="BB979" i="2"/>
  <c r="BB715" i="2"/>
  <c r="BB763" i="2"/>
  <c r="BB676" i="2"/>
  <c r="BB808" i="2"/>
  <c r="BB868" i="2"/>
  <c r="BB693" i="2"/>
  <c r="BB880" i="2"/>
  <c r="BB822" i="2"/>
  <c r="BB872" i="2"/>
  <c r="BB881" i="2"/>
  <c r="BB726" i="2"/>
  <c r="BB849" i="2"/>
  <c r="BB903" i="2"/>
  <c r="BB1049" i="2"/>
  <c r="BB1068" i="2"/>
  <c r="BB1089" i="2"/>
  <c r="BB1130" i="2"/>
  <c r="BB1142" i="2"/>
  <c r="BB1136" i="2"/>
  <c r="BB1120" i="2"/>
  <c r="BB878" i="2"/>
  <c r="BB890" i="2"/>
  <c r="BB680" i="2"/>
  <c r="BB819" i="2"/>
  <c r="BB733" i="2"/>
  <c r="BB775" i="2"/>
  <c r="BB698" i="2"/>
  <c r="BB965" i="2"/>
  <c r="BB753" i="2"/>
  <c r="BB782" i="2"/>
  <c r="BB734" i="2"/>
  <c r="BB871" i="2"/>
  <c r="BB891" i="2"/>
  <c r="BB887" i="2"/>
  <c r="BB681" i="2"/>
  <c r="BB738" i="2"/>
  <c r="BB784" i="2"/>
  <c r="BB877" i="2"/>
  <c r="BB694" i="2"/>
  <c r="BB874" i="2"/>
  <c r="BB885" i="2"/>
  <c r="BB1037" i="2"/>
  <c r="BB969" i="2"/>
  <c r="BB993" i="2"/>
  <c r="BB1043" i="2"/>
  <c r="BB1054" i="2"/>
  <c r="BB972" i="2"/>
  <c r="BB1058" i="2"/>
  <c r="BB1134" i="2"/>
  <c r="BB1111" i="2"/>
  <c r="BB1151" i="2"/>
  <c r="BB1101" i="2"/>
  <c r="BB1094" i="2"/>
  <c r="BB739" i="2"/>
  <c r="BB730" i="2"/>
  <c r="BB781" i="2"/>
  <c r="BB879" i="2"/>
  <c r="BB886" i="2"/>
  <c r="BB678" i="2"/>
  <c r="BB751" i="2"/>
  <c r="BB1003" i="2"/>
  <c r="BB696" i="2"/>
  <c r="BB1034" i="2"/>
  <c r="BB1063" i="2"/>
  <c r="BB958" i="2"/>
  <c r="AQ780" i="2"/>
  <c r="AQ787" i="2"/>
  <c r="AQ788" i="2"/>
  <c r="AQ804" i="2"/>
  <c r="AQ805" i="2"/>
  <c r="AQ847" i="2"/>
  <c r="AQ848" i="2"/>
  <c r="AQ849" i="2"/>
  <c r="AQ850" i="2"/>
  <c r="AQ863" i="2"/>
  <c r="AQ902" i="2"/>
  <c r="AQ903" i="2"/>
  <c r="AQ986" i="2"/>
  <c r="AQ990" i="2"/>
  <c r="AQ991" i="2"/>
  <c r="AQ1010" i="2"/>
  <c r="AQ1015" i="2"/>
  <c r="AQ1022" i="2"/>
  <c r="AQ1023" i="2"/>
  <c r="AQ1080" i="2"/>
  <c r="AQ1081" i="2"/>
  <c r="AQ1082" i="2"/>
  <c r="AQ1083" i="2"/>
  <c r="AQ792" i="2"/>
  <c r="AQ793" i="2"/>
  <c r="AQ794" i="2"/>
  <c r="AQ795" i="2"/>
  <c r="AQ796" i="2"/>
  <c r="AQ797" i="2"/>
  <c r="AQ1042" i="2"/>
  <c r="BB411" i="2" l="1"/>
  <c r="BB560" i="2"/>
  <c r="BB148" i="2"/>
  <c r="BB168" i="2"/>
  <c r="BB300" i="2"/>
  <c r="BB291" i="2"/>
  <c r="N47" i="7"/>
  <c r="BB62" i="2"/>
  <c r="BB45" i="2"/>
  <c r="I5" i="23"/>
  <c r="M5" i="23" s="1"/>
  <c r="N5" i="23" s="1"/>
  <c r="BB263" i="2"/>
  <c r="BB133" i="2"/>
  <c r="BB177" i="2"/>
  <c r="BB167" i="2"/>
  <c r="BB270" i="2"/>
  <c r="BB269" i="2"/>
  <c r="I10" i="7"/>
  <c r="M10" i="7" s="1"/>
  <c r="N10" i="7" s="1"/>
  <c r="BB682" i="2"/>
  <c r="BB276" i="2"/>
  <c r="BB875" i="2"/>
  <c r="BB889" i="2"/>
  <c r="BB732" i="2"/>
  <c r="I36" i="7"/>
  <c r="M36" i="7" s="1"/>
  <c r="N36" i="7" s="1"/>
  <c r="I6" i="7"/>
  <c r="M6" i="7" s="1"/>
  <c r="N6" i="7" s="1"/>
  <c r="S32" i="7"/>
  <c r="N32" i="7"/>
  <c r="BB538" i="2"/>
  <c r="BB442" i="2"/>
  <c r="BB559" i="2"/>
  <c r="BB410" i="2"/>
  <c r="BB561" i="2"/>
  <c r="BB435" i="2"/>
  <c r="BB721" i="2"/>
  <c r="BB657" i="2"/>
  <c r="BB647" i="2"/>
  <c r="BB586" i="2"/>
  <c r="I18" i="7"/>
  <c r="M18" i="7" s="1"/>
  <c r="I26" i="7"/>
  <c r="M26" i="7" s="1"/>
  <c r="I19" i="7"/>
  <c r="M19" i="7" s="1"/>
  <c r="BB690" i="2"/>
  <c r="BB806" i="2"/>
  <c r="I7" i="7"/>
  <c r="M7" i="7" s="1"/>
  <c r="BB662" i="2"/>
  <c r="BB783" i="2"/>
  <c r="BB534" i="2"/>
  <c r="BB652" i="2"/>
  <c r="BB491" i="2"/>
  <c r="I29" i="7"/>
  <c r="M29" i="7" s="1"/>
  <c r="N29" i="7" s="1"/>
  <c r="I43" i="7"/>
  <c r="M43" i="7" s="1"/>
  <c r="BB760" i="2"/>
  <c r="BB710" i="2"/>
  <c r="BB866" i="2"/>
  <c r="BB673" i="2"/>
  <c r="BB606" i="2"/>
  <c r="BB975" i="2"/>
  <c r="BB834" i="2"/>
  <c r="N8" i="23"/>
  <c r="S8" i="23"/>
  <c r="I21" i="7"/>
  <c r="M21" i="7" s="1"/>
  <c r="N21" i="7" s="1"/>
  <c r="I31" i="7"/>
  <c r="M31" i="7" s="1"/>
  <c r="N31" i="7" s="1"/>
  <c r="I33" i="7"/>
  <c r="M33" i="7" s="1"/>
  <c r="N33" i="7" s="1"/>
  <c r="I9" i="7"/>
  <c r="M9" i="7" s="1"/>
  <c r="N9" i="7" s="1"/>
  <c r="I16" i="7"/>
  <c r="M16" i="7" s="1"/>
  <c r="N16" i="7" s="1"/>
  <c r="I34" i="7"/>
  <c r="M34" i="7" s="1"/>
  <c r="I35" i="7"/>
  <c r="M35" i="7" s="1"/>
  <c r="N35" i="7" s="1"/>
  <c r="I5" i="7"/>
  <c r="M5" i="7" s="1"/>
  <c r="N5" i="7" s="1"/>
  <c r="M27" i="7"/>
  <c r="I11" i="7"/>
  <c r="M11" i="7" s="1"/>
  <c r="N11" i="7" s="1"/>
  <c r="I25" i="7"/>
  <c r="M25" i="7" s="1"/>
  <c r="N25" i="7" s="1"/>
  <c r="I6" i="23"/>
  <c r="M6" i="23" s="1"/>
  <c r="S6" i="23" s="1"/>
  <c r="I28" i="7"/>
  <c r="M28" i="7" s="1"/>
  <c r="N28" i="7" s="1"/>
  <c r="I14" i="7"/>
  <c r="M14" i="7" s="1"/>
  <c r="N14" i="7" s="1"/>
  <c r="I15" i="7"/>
  <c r="M15" i="7" s="1"/>
  <c r="N15" i="7" s="1"/>
  <c r="I24" i="7"/>
  <c r="M24" i="7" s="1"/>
  <c r="I37" i="7"/>
  <c r="M37" i="7" s="1"/>
  <c r="I38" i="7"/>
  <c r="M38" i="7" s="1"/>
  <c r="N38" i="7" s="1"/>
  <c r="I22" i="7"/>
  <c r="M22" i="7" s="1"/>
  <c r="N22" i="7" s="1"/>
  <c r="I44" i="7"/>
  <c r="M44" i="7" s="1"/>
  <c r="BB768" i="2"/>
  <c r="BB610" i="2"/>
  <c r="I23" i="7"/>
  <c r="M23" i="7" s="1"/>
  <c r="N23" i="7" s="1"/>
  <c r="I12" i="7"/>
  <c r="M12" i="7" s="1"/>
  <c r="N12" i="7" s="1"/>
  <c r="S8" i="7"/>
  <c r="S40" i="7"/>
  <c r="S30" i="7"/>
  <c r="S42" i="7"/>
  <c r="I13" i="7"/>
  <c r="M13" i="7" s="1"/>
  <c r="N13" i="7" s="1"/>
  <c r="I39" i="7"/>
  <c r="M39" i="7" s="1"/>
  <c r="N39" i="7" s="1"/>
  <c r="I17" i="7"/>
  <c r="M17" i="7" s="1"/>
  <c r="N17" i="7" s="1"/>
  <c r="BB978" i="2"/>
  <c r="BB716" i="2"/>
  <c r="BB809" i="2"/>
  <c r="AQ707" i="2"/>
  <c r="AQ731" i="2"/>
  <c r="AQ761" i="2"/>
  <c r="AQ769" i="2"/>
  <c r="AQ803" i="2"/>
  <c r="AQ814" i="2"/>
  <c r="AQ815" i="2"/>
  <c r="AQ825" i="2"/>
  <c r="AQ826" i="2"/>
  <c r="AQ827" i="2"/>
  <c r="AQ828" i="2"/>
  <c r="AQ829" i="2"/>
  <c r="AQ830" i="2"/>
  <c r="AQ831" i="2"/>
  <c r="AQ832" i="2"/>
  <c r="AQ842" i="2"/>
  <c r="AQ845" i="2"/>
  <c r="AQ851" i="2"/>
  <c r="AQ852" i="2"/>
  <c r="AQ853" i="2"/>
  <c r="AQ854" i="2"/>
  <c r="AQ857" i="2"/>
  <c r="AQ867" i="2"/>
  <c r="AQ893" i="2"/>
  <c r="AQ899" i="2"/>
  <c r="AQ900" i="2"/>
  <c r="AQ911" i="2"/>
  <c r="AQ912" i="2"/>
  <c r="AQ913" i="2"/>
  <c r="AQ914" i="2"/>
  <c r="AQ918" i="2"/>
  <c r="AQ919" i="2"/>
  <c r="AQ920" i="2"/>
  <c r="AQ927" i="2"/>
  <c r="AQ928" i="2"/>
  <c r="AQ929" i="2"/>
  <c r="AQ930" i="2"/>
  <c r="AQ931" i="2"/>
  <c r="AQ932" i="2"/>
  <c r="AQ933" i="2"/>
  <c r="AQ934" i="2"/>
  <c r="AQ937" i="2"/>
  <c r="AQ938" i="2"/>
  <c r="AQ939" i="2"/>
  <c r="AQ941" i="2"/>
  <c r="AQ942" i="2"/>
  <c r="AQ943" i="2"/>
  <c r="AQ945" i="2"/>
  <c r="AQ946" i="2"/>
  <c r="AQ947" i="2"/>
  <c r="AQ948" i="2"/>
  <c r="AQ955" i="2"/>
  <c r="AQ958" i="2"/>
  <c r="AQ967" i="2"/>
  <c r="AQ968" i="2"/>
  <c r="AQ969" i="2"/>
  <c r="AQ970" i="2"/>
  <c r="AQ972" i="2"/>
  <c r="AQ973" i="2"/>
  <c r="AQ974" i="2"/>
  <c r="AQ983" i="2"/>
  <c r="AQ984" i="2"/>
  <c r="AQ985" i="2"/>
  <c r="AQ987" i="2"/>
  <c r="AQ988" i="2"/>
  <c r="AQ989" i="2"/>
  <c r="AQ992" i="2"/>
  <c r="AQ993" i="2"/>
  <c r="AQ994" i="2"/>
  <c r="AQ999" i="2"/>
  <c r="AQ1000" i="2"/>
  <c r="AQ1001" i="2"/>
  <c r="AQ1011" i="2"/>
  <c r="AQ1014" i="2"/>
  <c r="AQ1016" i="2"/>
  <c r="AQ1017" i="2"/>
  <c r="AQ1018" i="2"/>
  <c r="AQ1026" i="2"/>
  <c r="AQ1030" i="2"/>
  <c r="AQ1031" i="2"/>
  <c r="AQ1032" i="2"/>
  <c r="AQ1033" i="2"/>
  <c r="AQ1034" i="2"/>
  <c r="AQ1035" i="2"/>
  <c r="AQ1037" i="2"/>
  <c r="AQ1038" i="2"/>
  <c r="AQ1039" i="2"/>
  <c r="AQ1041" i="2"/>
  <c r="AQ1043" i="2"/>
  <c r="AQ1044" i="2"/>
  <c r="AQ1047" i="2"/>
  <c r="AQ1050" i="2"/>
  <c r="AQ1054" i="2"/>
  <c r="AQ1055" i="2"/>
  <c r="AQ1056" i="2"/>
  <c r="AQ1061" i="2"/>
  <c r="I17" i="10" s="1"/>
  <c r="AQ1063" i="2"/>
  <c r="AQ1064" i="2"/>
  <c r="AQ1065" i="2"/>
  <c r="AQ1066" i="2"/>
  <c r="AQ1069" i="2"/>
  <c r="AQ1072" i="2"/>
  <c r="AQ1073" i="2"/>
  <c r="AQ1079" i="2"/>
  <c r="S5" i="23" l="1"/>
  <c r="S10" i="7"/>
  <c r="I45" i="7"/>
  <c r="M45" i="7" s="1"/>
  <c r="N45" i="7" s="1"/>
  <c r="S36" i="7"/>
  <c r="S6" i="7"/>
  <c r="S44" i="7"/>
  <c r="N44" i="7"/>
  <c r="S37" i="7"/>
  <c r="N37" i="7"/>
  <c r="S24" i="7"/>
  <c r="N24" i="7"/>
  <c r="S27" i="7"/>
  <c r="N27" i="7"/>
  <c r="S34" i="7"/>
  <c r="N34" i="7"/>
  <c r="S43" i="7"/>
  <c r="N43" i="7"/>
  <c r="S7" i="7"/>
  <c r="N7" i="7"/>
  <c r="S19" i="7"/>
  <c r="N19" i="7"/>
  <c r="S26" i="7"/>
  <c r="N26" i="7"/>
  <c r="S18" i="7"/>
  <c r="N18" i="7"/>
  <c r="I20" i="7"/>
  <c r="M20" i="7" s="1"/>
  <c r="S29" i="7"/>
  <c r="S14" i="7"/>
  <c r="S28" i="7"/>
  <c r="S21" i="7"/>
  <c r="S16" i="7"/>
  <c r="S22" i="7"/>
  <c r="S31" i="7"/>
  <c r="S33" i="7"/>
  <c r="S38" i="7"/>
  <c r="S15" i="7"/>
  <c r="S11" i="7"/>
  <c r="S35" i="7"/>
  <c r="S5" i="7"/>
  <c r="S9" i="7"/>
  <c r="N6" i="23"/>
  <c r="I41" i="7"/>
  <c r="M41" i="7" s="1"/>
  <c r="S23" i="7"/>
  <c r="S12" i="7"/>
  <c r="S13" i="7"/>
  <c r="S17" i="7"/>
  <c r="S25" i="7"/>
  <c r="S39" i="7"/>
  <c r="AQ691" i="2"/>
  <c r="AQ718" i="2"/>
  <c r="AQ724" i="2"/>
  <c r="AQ725" i="2"/>
  <c r="AQ728" i="2"/>
  <c r="AQ729" i="2"/>
  <c r="AQ789" i="2"/>
  <c r="AQ791" i="2"/>
  <c r="AQ836" i="2"/>
  <c r="AQ837" i="2"/>
  <c r="AQ838" i="2"/>
  <c r="AQ839" i="2"/>
  <c r="AQ840" i="2"/>
  <c r="AQ841" i="2"/>
  <c r="AQ895" i="2"/>
  <c r="AQ896" i="2"/>
  <c r="AQ897" i="2"/>
  <c r="AQ898" i="2"/>
  <c r="AQ910" i="2"/>
  <c r="AQ996" i="2"/>
  <c r="AQ1013" i="2"/>
  <c r="AQ1048" i="2"/>
  <c r="AQ1049" i="2"/>
  <c r="AQ1053" i="2"/>
  <c r="AQ1058" i="2"/>
  <c r="AQ1059" i="2"/>
  <c r="AQ1060" i="2"/>
  <c r="AQ1067" i="2"/>
  <c r="AQ1068" i="2"/>
  <c r="AQ1070" i="2"/>
  <c r="AQ1071" i="2"/>
  <c r="AQ1075" i="2"/>
  <c r="AQ1076" i="2"/>
  <c r="AQ1077" i="2"/>
  <c r="AQ1078" i="2"/>
  <c r="AQ1084" i="2"/>
  <c r="AQ1085" i="2"/>
  <c r="AQ1086" i="2"/>
  <c r="AQ1087" i="2"/>
  <c r="AQ1088" i="2"/>
  <c r="AQ1089" i="2"/>
  <c r="AQ1090" i="2"/>
  <c r="AQ1091" i="2"/>
  <c r="AQ1092" i="2"/>
  <c r="AQ1093" i="2"/>
  <c r="AQ1094" i="2"/>
  <c r="AQ1095" i="2"/>
  <c r="AQ1096" i="2"/>
  <c r="AQ1097" i="2"/>
  <c r="AQ1098" i="2"/>
  <c r="AQ1099" i="2"/>
  <c r="AQ1100" i="2"/>
  <c r="AQ1101" i="2"/>
  <c r="AQ1102" i="2"/>
  <c r="AQ1103" i="2"/>
  <c r="AQ1104" i="2"/>
  <c r="AQ1105" i="2"/>
  <c r="AQ1106" i="2"/>
  <c r="AQ1107" i="2"/>
  <c r="AQ1108" i="2"/>
  <c r="AQ1109" i="2"/>
  <c r="AQ1110" i="2"/>
  <c r="AQ1111" i="2"/>
  <c r="AQ1112" i="2"/>
  <c r="AQ1113" i="2"/>
  <c r="AQ1114" i="2"/>
  <c r="AQ1115" i="2"/>
  <c r="AQ1116" i="2"/>
  <c r="AQ1117" i="2"/>
  <c r="AQ1118" i="2"/>
  <c r="AQ1119" i="2"/>
  <c r="AQ1120" i="2"/>
  <c r="AQ1121" i="2"/>
  <c r="AQ1122" i="2"/>
  <c r="AQ1123" i="2"/>
  <c r="AQ1124" i="2"/>
  <c r="AQ1125" i="2"/>
  <c r="AQ1126" i="2"/>
  <c r="AQ1127" i="2"/>
  <c r="AQ1128" i="2"/>
  <c r="AQ1129" i="2"/>
  <c r="AQ1130" i="2"/>
  <c r="AQ1131" i="2"/>
  <c r="AQ1132" i="2"/>
  <c r="AQ1133" i="2"/>
  <c r="AQ1134" i="2"/>
  <c r="AQ1135" i="2"/>
  <c r="AQ1136" i="2"/>
  <c r="AQ1137" i="2"/>
  <c r="AQ1138" i="2"/>
  <c r="AQ1139" i="2"/>
  <c r="AQ1140" i="2"/>
  <c r="AQ1141" i="2"/>
  <c r="AQ1142" i="2"/>
  <c r="AQ1143" i="2"/>
  <c r="AQ1144" i="2"/>
  <c r="AQ1145" i="2"/>
  <c r="AQ1146" i="2"/>
  <c r="AQ1147" i="2"/>
  <c r="AQ1148" i="2"/>
  <c r="AQ1149" i="2"/>
  <c r="AQ1150" i="2"/>
  <c r="AQ1151" i="2"/>
  <c r="AQ1152" i="2"/>
  <c r="AQ1153" i="2"/>
  <c r="AQ667" i="2"/>
  <c r="AQ671" i="2"/>
  <c r="AQ672" i="2"/>
  <c r="AQ675" i="2"/>
  <c r="AQ676" i="2"/>
  <c r="AQ673" i="2"/>
  <c r="AQ678" i="2"/>
  <c r="AQ679" i="2"/>
  <c r="AQ680" i="2"/>
  <c r="AQ681" i="2"/>
  <c r="AQ682" i="2"/>
  <c r="I14" i="10" s="1"/>
  <c r="AQ683" i="2"/>
  <c r="AQ685" i="2"/>
  <c r="AQ686" i="2"/>
  <c r="AQ687" i="2"/>
  <c r="AQ688" i="2"/>
  <c r="AQ689" i="2"/>
  <c r="AQ690" i="2"/>
  <c r="I7" i="10" s="1"/>
  <c r="AQ692" i="2"/>
  <c r="AQ693" i="2"/>
  <c r="AQ695" i="2"/>
  <c r="AQ696" i="2"/>
  <c r="AQ697" i="2"/>
  <c r="AQ698" i="2"/>
  <c r="AQ694" i="2"/>
  <c r="AQ699" i="2"/>
  <c r="AQ700" i="2"/>
  <c r="AQ701" i="2"/>
  <c r="AQ702" i="2"/>
  <c r="AQ703" i="2"/>
  <c r="AQ711" i="2"/>
  <c r="AQ712" i="2"/>
  <c r="AQ713" i="2"/>
  <c r="AQ710" i="2"/>
  <c r="AQ714" i="2"/>
  <c r="AQ715" i="2"/>
  <c r="AQ716" i="2"/>
  <c r="I8" i="10" s="1"/>
  <c r="AQ717" i="2"/>
  <c r="AQ726" i="2"/>
  <c r="AQ730" i="2"/>
  <c r="AQ732" i="2"/>
  <c r="AQ733" i="2"/>
  <c r="AQ734" i="2"/>
  <c r="AQ735" i="2"/>
  <c r="AQ737" i="2"/>
  <c r="AQ738" i="2"/>
  <c r="AQ740" i="2"/>
  <c r="AQ760" i="2"/>
  <c r="AQ762" i="2"/>
  <c r="AQ764" i="2"/>
  <c r="AQ765" i="2"/>
  <c r="AQ766" i="2"/>
  <c r="AQ767" i="2"/>
  <c r="AQ768" i="2"/>
  <c r="AQ772" i="2"/>
  <c r="AQ773" i="2"/>
  <c r="AQ774" i="2"/>
  <c r="AQ775" i="2"/>
  <c r="AQ776" i="2"/>
  <c r="AQ777" i="2"/>
  <c r="AQ778" i="2"/>
  <c r="AQ779" i="2"/>
  <c r="AQ782" i="2"/>
  <c r="AQ781" i="2"/>
  <c r="AQ822" i="2"/>
  <c r="AQ819" i="2"/>
  <c r="AQ783" i="2"/>
  <c r="AQ820" i="2"/>
  <c r="AQ821" i="2"/>
  <c r="AQ784" i="2"/>
  <c r="AQ785" i="2"/>
  <c r="AQ786" i="2"/>
  <c r="AQ798" i="2"/>
  <c r="AQ807" i="2"/>
  <c r="AQ808" i="2"/>
  <c r="AQ809" i="2"/>
  <c r="AQ810" i="2"/>
  <c r="AQ806" i="2"/>
  <c r="AQ811" i="2"/>
  <c r="AQ812" i="2"/>
  <c r="AQ813" i="2"/>
  <c r="AQ816" i="2"/>
  <c r="AQ817" i="2"/>
  <c r="AQ818" i="2"/>
  <c r="AQ846" i="2"/>
  <c r="AQ858" i="2"/>
  <c r="AQ859" i="2"/>
  <c r="AQ860" i="2"/>
  <c r="AQ861" i="2"/>
  <c r="AQ868" i="2"/>
  <c r="AQ869" i="2"/>
  <c r="AQ871" i="2"/>
  <c r="AQ876" i="2"/>
  <c r="AQ877" i="2"/>
  <c r="AQ878" i="2"/>
  <c r="AQ880" i="2"/>
  <c r="AQ881" i="2"/>
  <c r="AQ882" i="2"/>
  <c r="AQ883" i="2"/>
  <c r="AQ884" i="2"/>
  <c r="AQ885" i="2"/>
  <c r="AQ886" i="2"/>
  <c r="AQ887" i="2"/>
  <c r="AQ888" i="2"/>
  <c r="AQ889" i="2"/>
  <c r="I18" i="10" s="1"/>
  <c r="AQ894" i="2"/>
  <c r="AQ921" i="2"/>
  <c r="AQ922" i="2"/>
  <c r="AQ923" i="2"/>
  <c r="AQ924" i="2"/>
  <c r="AQ935" i="2"/>
  <c r="AQ936" i="2"/>
  <c r="AQ944" i="2"/>
  <c r="AQ954" i="2"/>
  <c r="I13" i="10" s="1"/>
  <c r="AQ890" i="2"/>
  <c r="AQ956" i="2"/>
  <c r="AQ957" i="2"/>
  <c r="AQ960" i="2"/>
  <c r="AQ961" i="2"/>
  <c r="AQ962" i="2"/>
  <c r="AQ963" i="2"/>
  <c r="AQ964" i="2"/>
  <c r="AQ965" i="2"/>
  <c r="AQ966" i="2"/>
  <c r="AQ891" i="2"/>
  <c r="AQ971" i="2"/>
  <c r="AQ975" i="2"/>
  <c r="I15" i="10" s="1"/>
  <c r="AQ976" i="2"/>
  <c r="AQ977" i="2"/>
  <c r="AQ978" i="2"/>
  <c r="AQ979" i="2"/>
  <c r="AQ980" i="2"/>
  <c r="AQ981" i="2"/>
  <c r="AQ982" i="2"/>
  <c r="AQ995" i="2"/>
  <c r="AQ997" i="2"/>
  <c r="AQ998" i="2"/>
  <c r="AQ1002" i="2"/>
  <c r="AQ1003" i="2"/>
  <c r="I20" i="10" s="1"/>
  <c r="AQ1004" i="2"/>
  <c r="AQ1005" i="2"/>
  <c r="AQ1006" i="2"/>
  <c r="AQ1007" i="2"/>
  <c r="AQ1008" i="2"/>
  <c r="AQ1009" i="2"/>
  <c r="AQ1019" i="2"/>
  <c r="AQ1020" i="2"/>
  <c r="AQ1021" i="2"/>
  <c r="AQ1024" i="2"/>
  <c r="AQ1025" i="2"/>
  <c r="AQ1027" i="2"/>
  <c r="AQ1028" i="2"/>
  <c r="AQ1029" i="2"/>
  <c r="AQ1040" i="2"/>
  <c r="AQ1045" i="2"/>
  <c r="AQ1046" i="2"/>
  <c r="AQ1051" i="2"/>
  <c r="AQ1052" i="2"/>
  <c r="AQ1057" i="2"/>
  <c r="AQ1062" i="2"/>
  <c r="AQ1074" i="2"/>
  <c r="S45" i="7" l="1"/>
  <c r="S41" i="7"/>
  <c r="N41" i="7"/>
  <c r="S20" i="7"/>
  <c r="N20" i="7"/>
  <c r="I16" i="10"/>
  <c r="I9" i="10"/>
  <c r="I11" i="10"/>
  <c r="I12" i="10"/>
  <c r="I1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GAMER</author>
  </authors>
  <commentList>
    <comment ref="E14" authorId="0" shapeId="0" xr:uid="{00000000-0006-0000-0500-000001000000}">
      <text>
        <r>
          <rPr>
            <b/>
            <sz val="9"/>
            <color indexed="81"/>
            <rFont val="Tahoma"/>
            <family val="2"/>
          </rPr>
          <t>GAMER:</t>
        </r>
        <r>
          <rPr>
            <sz val="9"/>
            <color indexed="81"/>
            <rFont val="Tahoma"/>
            <family val="2"/>
          </rPr>
          <t xml:space="preserve">
ULTIMO PACTADO CON SAN FERNANDO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EGENER</author>
    <author>GAMER</author>
    <author>Fanny PC 01</author>
    <author>LABORATORIO FII</author>
  </authors>
  <commentList>
    <comment ref="L4" authorId="0" shapeId="0" xr:uid="{00000000-0006-0000-0900-000001000000}">
      <text>
        <r>
          <rPr>
            <b/>
            <sz val="9"/>
            <color indexed="81"/>
            <rFont val="Tahoma"/>
            <family val="2"/>
          </rPr>
          <t>EGENER:</t>
        </r>
        <r>
          <rPr>
            <sz val="9"/>
            <color indexed="81"/>
            <rFont val="Tahoma"/>
            <family val="2"/>
          </rPr>
          <t xml:space="preserve">
PONEDORAS H17 : ACTUALIZADO 05/06/2020
PL-810: ACTUALIZADO 28/12/2020 (OPERA)
PL-807: ACTUALIZADO 13/01/2021 (OPERA)
PL-806: ACTUALIZADO 18/01/2021 (OPERA)
PL-805: ACTUALIZADO 13/01/2021 (OPERA)
PL-804: ACTUALIZADO 28/12/2020 (OPERA)
PL-801: ACTUALIZADO 26/12/2020 (OPERA)
PL-503: ACTUALIZADO 12/05/2020
PL-502: ACTUALIZADO 25/03/2020</t>
        </r>
      </text>
    </comment>
    <comment ref="B5" authorId="1" shapeId="0" xr:uid="{00000000-0006-0000-0900-000002000000}">
      <text>
        <r>
          <rPr>
            <b/>
            <sz val="9"/>
            <color indexed="81"/>
            <rFont val="Tahoma"/>
            <family val="2"/>
          </rPr>
          <t>GAMER:</t>
        </r>
        <r>
          <rPr>
            <sz val="9"/>
            <color indexed="81"/>
            <rFont val="Tahoma"/>
            <family val="2"/>
          </rPr>
          <t xml:space="preserve">
grupo 2</t>
        </r>
      </text>
    </comment>
    <comment ref="G5" authorId="1" shapeId="0" xr:uid="{00000000-0006-0000-0900-000003000000}">
      <text>
        <r>
          <rPr>
            <b/>
            <sz val="9"/>
            <color indexed="81"/>
            <rFont val="Tahoma"/>
            <family val="2"/>
          </rPr>
          <t>GAMER:</t>
        </r>
        <r>
          <rPr>
            <sz val="9"/>
            <color indexed="81"/>
            <rFont val="Tahoma"/>
            <family val="2"/>
          </rPr>
          <t xml:space="preserve">
-Ingreso al taller 10-10-2020</t>
        </r>
      </text>
    </comment>
    <comment ref="N5" authorId="1" shapeId="0" xr:uid="{00000000-0006-0000-0900-000004000000}">
      <text>
        <r>
          <rPr>
            <b/>
            <sz val="9"/>
            <color indexed="81"/>
            <rFont val="Tahoma"/>
            <family val="2"/>
          </rPr>
          <t>GAMER:</t>
        </r>
        <r>
          <rPr>
            <sz val="9"/>
            <color indexed="81"/>
            <rFont val="Tahoma"/>
            <family val="2"/>
          </rPr>
          <t xml:space="preserve">
REALIZAR 2160</t>
        </r>
      </text>
    </comment>
    <comment ref="P5" authorId="1" shapeId="0" xr:uid="{00000000-0006-0000-0900-000005000000}">
      <text>
        <r>
          <rPr>
            <b/>
            <sz val="9"/>
            <color indexed="81"/>
            <rFont val="Tahoma"/>
            <family val="2"/>
          </rPr>
          <t>GAMER:</t>
        </r>
        <r>
          <rPr>
            <sz val="9"/>
            <color indexed="81"/>
            <rFont val="Tahoma"/>
            <family val="2"/>
          </rPr>
          <t xml:space="preserve">
A LA ESPERA DE SER TRASLADO AL TALLER</t>
        </r>
      </text>
    </comment>
    <comment ref="G6" authorId="1" shapeId="0" xr:uid="{00000000-0006-0000-0900-000006000000}">
      <text>
        <r>
          <rPr>
            <b/>
            <sz val="9"/>
            <color indexed="81"/>
            <rFont val="Tahoma"/>
            <family val="2"/>
          </rPr>
          <t>GAMER:</t>
        </r>
        <r>
          <rPr>
            <sz val="9"/>
            <color indexed="81"/>
            <rFont val="Tahoma"/>
            <family val="2"/>
          </rPr>
          <t xml:space="preserve">
-Ingreso al taller 10/10/2020</t>
        </r>
      </text>
    </comment>
    <comment ref="K6" authorId="1" shapeId="0" xr:uid="{00000000-0006-0000-0900-000007000000}">
      <text>
        <r>
          <rPr>
            <b/>
            <sz val="9"/>
            <color indexed="81"/>
            <rFont val="Tahoma"/>
            <family val="2"/>
          </rPr>
          <t>GAMER:</t>
        </r>
        <r>
          <rPr>
            <sz val="9"/>
            <color indexed="81"/>
            <rFont val="Tahoma"/>
            <family val="2"/>
          </rPr>
          <t xml:space="preserve">
MANT6 26/06/2020 2254.3
MANT5 02/06/2020 1960.8
MANT4 14/04/2020 1646.1
MANT3 11/03/2020 1239.4
MANT2 20/01/2020 783
MANT1 19/11/2020 373.4</t>
        </r>
      </text>
    </comment>
    <comment ref="N6" authorId="1" shapeId="0" xr:uid="{00000000-0006-0000-0900-000008000000}">
      <text>
        <r>
          <rPr>
            <b/>
            <sz val="9"/>
            <color indexed="81"/>
            <rFont val="Tahoma"/>
            <family val="2"/>
          </rPr>
          <t>GAMER:</t>
        </r>
        <r>
          <rPr>
            <sz val="9"/>
            <color indexed="81"/>
            <rFont val="Tahoma"/>
            <family val="2"/>
          </rPr>
          <t xml:space="preserve">
HACER A LAS 1910 HR</t>
        </r>
      </text>
    </comment>
    <comment ref="P6" authorId="1" shapeId="0" xr:uid="{00000000-0006-0000-0900-000009000000}">
      <text>
        <r>
          <rPr>
            <b/>
            <sz val="9"/>
            <color indexed="81"/>
            <rFont val="Tahoma"/>
            <family val="2"/>
          </rPr>
          <t>GAMER:</t>
        </r>
        <r>
          <rPr>
            <sz val="9"/>
            <color indexed="81"/>
            <rFont val="Tahoma"/>
            <family val="2"/>
          </rPr>
          <t xml:space="preserve">
GRUPO CON FUGA DE ACEITE</t>
        </r>
      </text>
    </comment>
    <comment ref="B7" authorId="1" shapeId="0" xr:uid="{00000000-0006-0000-0900-00000A000000}">
      <text>
        <r>
          <rPr>
            <b/>
            <sz val="9"/>
            <color indexed="81"/>
            <rFont val="Tahoma"/>
            <family val="2"/>
          </rPr>
          <t>GAMER:</t>
        </r>
        <r>
          <rPr>
            <sz val="9"/>
            <color indexed="81"/>
            <rFont val="Tahoma"/>
            <family val="2"/>
          </rPr>
          <t xml:space="preserve">
GRUPO 3</t>
        </r>
      </text>
    </comment>
    <comment ref="G7" authorId="1" shapeId="0" xr:uid="{00000000-0006-0000-0900-00000B000000}">
      <text>
        <r>
          <rPr>
            <b/>
            <sz val="9"/>
            <color indexed="81"/>
            <rFont val="Tahoma"/>
            <family val="2"/>
          </rPr>
          <t>GAMER:</t>
        </r>
        <r>
          <rPr>
            <sz val="9"/>
            <color indexed="81"/>
            <rFont val="Tahoma"/>
            <family val="2"/>
          </rPr>
          <t xml:space="preserve">
-Ingreso al taller 24/10/2020</t>
        </r>
      </text>
    </comment>
    <comment ref="B8" authorId="1" shapeId="0" xr:uid="{00000000-0006-0000-0900-00000C000000}">
      <text>
        <r>
          <rPr>
            <b/>
            <sz val="9"/>
            <color indexed="81"/>
            <rFont val="Tahoma"/>
            <family val="2"/>
          </rPr>
          <t>GAMER:</t>
        </r>
        <r>
          <rPr>
            <sz val="9"/>
            <color indexed="81"/>
            <rFont val="Tahoma"/>
            <family val="2"/>
          </rPr>
          <t xml:space="preserve">
GRUPO 3</t>
        </r>
      </text>
    </comment>
    <comment ref="G8" authorId="1" shapeId="0" xr:uid="{00000000-0006-0000-0900-00000D000000}">
      <text>
        <r>
          <rPr>
            <b/>
            <sz val="9"/>
            <color indexed="81"/>
            <rFont val="Tahoma"/>
            <family val="2"/>
          </rPr>
          <t>GAMER:</t>
        </r>
        <r>
          <rPr>
            <sz val="9"/>
            <color indexed="81"/>
            <rFont val="Tahoma"/>
            <family val="2"/>
          </rPr>
          <t xml:space="preserve">
-Ingreso al taller 24/10/2020</t>
        </r>
      </text>
    </comment>
    <comment ref="B9" authorId="1" shapeId="0" xr:uid="{00000000-0006-0000-0900-00000E000000}">
      <text>
        <r>
          <rPr>
            <b/>
            <sz val="9"/>
            <color indexed="81"/>
            <rFont val="Tahoma"/>
            <family val="2"/>
          </rPr>
          <t>GAMER:</t>
        </r>
        <r>
          <rPr>
            <sz val="9"/>
            <color indexed="81"/>
            <rFont val="Tahoma"/>
            <family val="2"/>
          </rPr>
          <t xml:space="preserve">
GRUPO 1</t>
        </r>
      </text>
    </comment>
    <comment ref="G9" authorId="1" shapeId="0" xr:uid="{00000000-0006-0000-0900-00000F000000}">
      <text>
        <r>
          <rPr>
            <b/>
            <sz val="9"/>
            <color indexed="81"/>
            <rFont val="Tahoma"/>
            <family val="2"/>
          </rPr>
          <t>GAMER:</t>
        </r>
        <r>
          <rPr>
            <sz val="9"/>
            <color indexed="81"/>
            <rFont val="Tahoma"/>
            <family val="2"/>
          </rPr>
          <t xml:space="preserve">
-Ingreso al taller 24/10/2020</t>
        </r>
      </text>
    </comment>
    <comment ref="K10" authorId="1" shapeId="0" xr:uid="{00000000-0006-0000-0900-000010000000}">
      <text>
        <r>
          <rPr>
            <b/>
            <sz val="9"/>
            <color indexed="81"/>
            <rFont val="Tahoma"/>
            <family val="2"/>
          </rPr>
          <t xml:space="preserve">PONDORAS H17:
</t>
        </r>
        <r>
          <rPr>
            <sz val="9"/>
            <color indexed="81"/>
            <rFont val="Tahoma"/>
            <family val="2"/>
          </rPr>
          <t xml:space="preserve">17/07/2020 MANT7 1799.4
10/06/2020 MANT6 1496.8
11/05/2020 MANT5 1156.1
07/04/2020 MANT4 914.1
21/02/2020 MANT3 649.9
07/01/2020 MANT2 349.9
16/10/2020 MANT1 51.2
</t>
        </r>
      </text>
    </comment>
    <comment ref="K11" authorId="1" shapeId="0" xr:uid="{00000000-0006-0000-0900-000011000000}">
      <text>
        <r>
          <rPr>
            <b/>
            <sz val="9"/>
            <color indexed="81"/>
            <rFont val="Tahoma"/>
            <family val="2"/>
          </rPr>
          <t>GAMER:</t>
        </r>
        <r>
          <rPr>
            <sz val="9"/>
            <color indexed="81"/>
            <rFont val="Tahoma"/>
            <family val="2"/>
          </rPr>
          <t xml:space="preserve">
MANT2 06/02/2020 521.6
MANT1 09/01/2020 197.9</t>
        </r>
      </text>
    </comment>
    <comment ref="N11" authorId="1" shapeId="0" xr:uid="{00000000-0006-0000-0900-000012000000}">
      <text>
        <r>
          <rPr>
            <b/>
            <sz val="9"/>
            <color indexed="81"/>
            <rFont val="Tahoma"/>
            <family val="2"/>
          </rPr>
          <t>GAMER:</t>
        </r>
        <r>
          <rPr>
            <sz val="9"/>
            <color indexed="81"/>
            <rFont val="Tahoma"/>
            <family val="2"/>
          </rPr>
          <t xml:space="preserve">
No se realiza por que  G.E. se encuentra fuera de servicio</t>
        </r>
      </text>
    </comment>
    <comment ref="P11" authorId="1" shapeId="0" xr:uid="{00000000-0006-0000-0900-000013000000}">
      <text>
        <r>
          <rPr>
            <b/>
            <sz val="9"/>
            <color indexed="81"/>
            <rFont val="Tahoma"/>
            <family val="2"/>
          </rPr>
          <t>GAMER:</t>
        </r>
        <r>
          <rPr>
            <sz val="9"/>
            <color indexed="81"/>
            <rFont val="Tahoma"/>
            <family val="2"/>
          </rPr>
          <t xml:space="preserve">
A la espera de su traslado a taller</t>
        </r>
      </text>
    </comment>
    <comment ref="B12" authorId="1" shapeId="0" xr:uid="{00000000-0006-0000-0900-000014000000}">
      <text>
        <r>
          <rPr>
            <b/>
            <sz val="9"/>
            <color indexed="81"/>
            <rFont val="Tahoma"/>
            <family val="2"/>
          </rPr>
          <t>GAMER:</t>
        </r>
        <r>
          <rPr>
            <sz val="9"/>
            <color indexed="81"/>
            <rFont val="Tahoma"/>
            <family val="2"/>
          </rPr>
          <t xml:space="preserve">
GRUPO 4</t>
        </r>
      </text>
    </comment>
    <comment ref="K12" authorId="1" shapeId="0" xr:uid="{00000000-0006-0000-0900-000015000000}">
      <text>
        <r>
          <rPr>
            <b/>
            <sz val="9"/>
            <color indexed="81"/>
            <rFont val="Tahoma"/>
            <family val="2"/>
          </rPr>
          <t>PREVENTIVOS:</t>
        </r>
        <r>
          <rPr>
            <sz val="9"/>
            <color indexed="81"/>
            <rFont val="Tahoma"/>
            <family val="2"/>
          </rPr>
          <t xml:space="preserve">
MANT7 23/10/2020 2129.8
MANT6 06/07/2020 1821.2
MANT5 10/06/2020 1571.3
MANT4 11/05/2020 1214.2
MANT3 21/01/2020 853
MANT2 29/11/2019 390
MANT1 15/10/2019 60.5
Tiene un mant. menos</t>
        </r>
      </text>
    </comment>
    <comment ref="K13" authorId="1" shapeId="0" xr:uid="{00000000-0006-0000-0900-000016000000}">
      <text>
        <r>
          <rPr>
            <b/>
            <sz val="9"/>
            <color indexed="81"/>
            <rFont val="Tahoma"/>
            <family val="2"/>
          </rPr>
          <t>PREVENTIVOS:</t>
        </r>
        <r>
          <rPr>
            <sz val="9"/>
            <color indexed="81"/>
            <rFont val="Tahoma"/>
            <family val="2"/>
          </rPr>
          <t xml:space="preserve">
MANT6 24/10/2020 1869.9
MANT5 25/08/2020 1498.7
MANT4 23/07/2020 1209.4
MANT3 05/06/2020 818.2
MANT2 18/04/2020 505.5
MANT1 09/01/2020 105.9</t>
        </r>
      </text>
    </comment>
    <comment ref="K14" authorId="1" shapeId="0" xr:uid="{00000000-0006-0000-0900-000017000000}">
      <text>
        <r>
          <rPr>
            <b/>
            <sz val="9"/>
            <color indexed="81"/>
            <rFont val="Tahoma"/>
            <family val="2"/>
          </rPr>
          <t>PREVENTIVOS:</t>
        </r>
        <r>
          <rPr>
            <sz val="9"/>
            <color indexed="81"/>
            <rFont val="Tahoma"/>
            <family val="2"/>
          </rPr>
          <t xml:space="preserve">
MANT7 20/08/2020 1956.5
MANT6 06/07/2020 1721.6
MANT5 10/06/2020 1459.5
MANT4 11/05/2020 1157.4
MANT3 26/03/2020 816.9
MANT2 04/03/2020 456.0
MANT1 04/01/2020 115.4</t>
        </r>
      </text>
    </comment>
    <comment ref="N14" authorId="1" shapeId="0" xr:uid="{00000000-0006-0000-0900-000018000000}">
      <text>
        <r>
          <rPr>
            <b/>
            <sz val="9"/>
            <color indexed="81"/>
            <rFont val="Tahoma"/>
            <family val="2"/>
          </rPr>
          <t>GAMER:</t>
        </r>
        <r>
          <rPr>
            <sz val="9"/>
            <color indexed="81"/>
            <rFont val="Tahoma"/>
            <family val="2"/>
          </rPr>
          <t xml:space="preserve">
REALIZAR 1410 HR</t>
        </r>
      </text>
    </comment>
    <comment ref="G15" authorId="2" shapeId="0" xr:uid="{00000000-0006-0000-0900-000019000000}">
      <text>
        <r>
          <rPr>
            <b/>
            <sz val="9"/>
            <color indexed="81"/>
            <rFont val="Tahoma"/>
            <family val="2"/>
          </rPr>
          <t>NOTA:
el traslado se realizo el 25/01/2020</t>
        </r>
      </text>
    </comment>
    <comment ref="K15" authorId="1" shapeId="0" xr:uid="{00000000-0006-0000-0900-00001A000000}">
      <text>
        <r>
          <rPr>
            <b/>
            <sz val="9"/>
            <color indexed="81"/>
            <rFont val="Tahoma"/>
            <family val="2"/>
          </rPr>
          <t>GAMER:</t>
        </r>
        <r>
          <rPr>
            <sz val="9"/>
            <color indexed="81"/>
            <rFont val="Tahoma"/>
            <family val="2"/>
          </rPr>
          <t xml:space="preserve">
MANT6 23/10/2020 1926.9
MANT5 01/10/2020 1691.8
MANT4 11/05/2020 1296.1
MANT3 04/03/2020 1008.6
MANT2 27/11/2019 517.6
MANT1 15/10/2019 112.4</t>
        </r>
      </text>
    </comment>
    <comment ref="N15" authorId="1" shapeId="0" xr:uid="{00000000-0006-0000-0900-00001B000000}">
      <text>
        <r>
          <rPr>
            <b/>
            <sz val="9"/>
            <color indexed="81"/>
            <rFont val="Tahoma"/>
            <family val="2"/>
          </rPr>
          <t>GAMER:</t>
        </r>
        <r>
          <rPr>
            <sz val="9"/>
            <color indexed="81"/>
            <rFont val="Tahoma"/>
            <family val="2"/>
          </rPr>
          <t xml:space="preserve">
REALIZAR 1550 HR</t>
        </r>
      </text>
    </comment>
    <comment ref="G16" authorId="1" shapeId="0" xr:uid="{00000000-0006-0000-0900-00001C000000}">
      <text>
        <r>
          <rPr>
            <b/>
            <sz val="9"/>
            <color indexed="81"/>
            <rFont val="Tahoma"/>
            <family val="2"/>
          </rPr>
          <t>GAMER:</t>
        </r>
        <r>
          <rPr>
            <sz val="9"/>
            <color indexed="81"/>
            <rFont val="Tahoma"/>
            <family val="2"/>
          </rPr>
          <t xml:space="preserve">
-Ingreso al taller 10/10/2020</t>
        </r>
      </text>
    </comment>
    <comment ref="K16" authorId="1" shapeId="0" xr:uid="{00000000-0006-0000-0900-00001D000000}">
      <text>
        <r>
          <rPr>
            <b/>
            <sz val="9"/>
            <color indexed="81"/>
            <rFont val="Tahoma"/>
            <family val="2"/>
          </rPr>
          <t>PREVENTIVOS:</t>
        </r>
        <r>
          <rPr>
            <sz val="9"/>
            <color indexed="81"/>
            <rFont val="Tahoma"/>
            <family val="2"/>
          </rPr>
          <t xml:space="preserve">
MANT3 08/04/2020 941.5
MANT2 19/02/2020 520.9
MANT1 09/01/2020 132.4
</t>
        </r>
      </text>
    </comment>
    <comment ref="N16" authorId="1" shapeId="0" xr:uid="{00000000-0006-0000-0900-00001E000000}">
      <text>
        <r>
          <rPr>
            <b/>
            <sz val="9"/>
            <color indexed="81"/>
            <rFont val="Tahoma"/>
            <family val="2"/>
          </rPr>
          <t>GAMER:</t>
        </r>
        <r>
          <rPr>
            <sz val="9"/>
            <color indexed="81"/>
            <rFont val="Tahoma"/>
            <family val="2"/>
          </rPr>
          <t xml:space="preserve">
REALIZAR 1200 HR</t>
        </r>
      </text>
    </comment>
    <comment ref="P16" authorId="1" shapeId="0" xr:uid="{00000000-0006-0000-0900-00001F000000}">
      <text>
        <r>
          <rPr>
            <b/>
            <sz val="9"/>
            <color indexed="81"/>
            <rFont val="Tahoma"/>
            <family val="2"/>
          </rPr>
          <t>GAMER:</t>
        </r>
        <r>
          <rPr>
            <sz val="9"/>
            <color indexed="81"/>
            <rFont val="Tahoma"/>
            <family val="2"/>
          </rPr>
          <t xml:space="preserve">
FALLA DEL MOTOR</t>
        </r>
      </text>
    </comment>
    <comment ref="B17" authorId="1" shapeId="0" xr:uid="{00000000-0006-0000-0900-000020000000}">
      <text>
        <r>
          <rPr>
            <b/>
            <sz val="9"/>
            <color indexed="81"/>
            <rFont val="Tahoma"/>
            <family val="2"/>
          </rPr>
          <t>GAMER:</t>
        </r>
        <r>
          <rPr>
            <sz val="9"/>
            <color indexed="81"/>
            <rFont val="Tahoma"/>
            <family val="2"/>
          </rPr>
          <t xml:space="preserve">
GRUPO 1</t>
        </r>
      </text>
    </comment>
    <comment ref="K17" authorId="1" shapeId="0" xr:uid="{00000000-0006-0000-0900-000021000000}">
      <text>
        <r>
          <rPr>
            <b/>
            <sz val="9"/>
            <color indexed="81"/>
            <rFont val="Tahoma"/>
            <family val="2"/>
          </rPr>
          <t>PREVENTIVOS:</t>
        </r>
        <r>
          <rPr>
            <sz val="9"/>
            <color indexed="81"/>
            <rFont val="Tahoma"/>
            <family val="2"/>
          </rPr>
          <t xml:space="preserve">
MANT8 28/10/2020 2404.2
MANT7 13/08/2020 2024.8
MANT6 25/06/2020 1613.9
MANT5 26/05/2020 1347.3
MANT4 11/04/2020 1069.0
MANT3 13/03/2020 761.9
MANT2 14/01/2020 370.1
MANT1 19/11/2019 45.3</t>
        </r>
      </text>
    </comment>
    <comment ref="N17" authorId="1" shapeId="0" xr:uid="{00000000-0006-0000-0900-000022000000}">
      <text>
        <r>
          <rPr>
            <b/>
            <sz val="9"/>
            <color indexed="81"/>
            <rFont val="Tahoma"/>
            <family val="2"/>
          </rPr>
          <t>GAMER:</t>
        </r>
        <r>
          <rPr>
            <sz val="9"/>
            <color indexed="81"/>
            <rFont val="Tahoma"/>
            <family val="2"/>
          </rPr>
          <t xml:space="preserve">
REALIZAR 1600 HR</t>
        </r>
      </text>
    </comment>
    <comment ref="B18" authorId="1" shapeId="0" xr:uid="{00000000-0006-0000-0900-000023000000}">
      <text>
        <r>
          <rPr>
            <b/>
            <sz val="9"/>
            <color indexed="81"/>
            <rFont val="Tahoma"/>
            <family val="2"/>
          </rPr>
          <t>GAMER:</t>
        </r>
        <r>
          <rPr>
            <sz val="9"/>
            <color indexed="81"/>
            <rFont val="Tahoma"/>
            <family val="2"/>
          </rPr>
          <t xml:space="preserve">
GRUPO 4</t>
        </r>
      </text>
    </comment>
    <comment ref="K18" authorId="1" shapeId="0" xr:uid="{00000000-0006-0000-0900-000024000000}">
      <text>
        <r>
          <rPr>
            <b/>
            <sz val="9"/>
            <color indexed="81"/>
            <rFont val="Tahoma"/>
            <family val="2"/>
          </rPr>
          <t>PREVENTIVOS:</t>
        </r>
        <r>
          <rPr>
            <sz val="9"/>
            <color indexed="81"/>
            <rFont val="Tahoma"/>
            <family val="2"/>
          </rPr>
          <t xml:space="preserve">
MANT7 17/11/2020 2074.3
MANT6 01/09/2020 1770.9
MANT5 08/04/2020 1565.4
MANT4 06/03/2020 1222.8
MANT3 10/01/2020 817.2
MANT2 28/11/2019 427.6
MANT1 18/11/2019 49.1</t>
        </r>
      </text>
    </comment>
    <comment ref="N18" authorId="1" shapeId="0" xr:uid="{00000000-0006-0000-0900-000025000000}">
      <text>
        <r>
          <rPr>
            <b/>
            <sz val="9"/>
            <color indexed="81"/>
            <rFont val="Tahoma"/>
            <family val="2"/>
          </rPr>
          <t>GAMER:</t>
        </r>
        <r>
          <rPr>
            <sz val="9"/>
            <color indexed="81"/>
            <rFont val="Tahoma"/>
            <family val="2"/>
          </rPr>
          <t xml:space="preserve">
REALIZAR 1850 HR</t>
        </r>
      </text>
    </comment>
    <comment ref="B19" authorId="1" shapeId="0" xr:uid="{00000000-0006-0000-0900-000026000000}">
      <text>
        <r>
          <rPr>
            <b/>
            <sz val="9"/>
            <color indexed="81"/>
            <rFont val="Tahoma"/>
            <family val="2"/>
          </rPr>
          <t>GAMER:</t>
        </r>
        <r>
          <rPr>
            <sz val="9"/>
            <color indexed="81"/>
            <rFont val="Tahoma"/>
            <family val="2"/>
          </rPr>
          <t xml:space="preserve">
GRUPO 6</t>
        </r>
      </text>
    </comment>
    <comment ref="K19" authorId="1" shapeId="0" xr:uid="{00000000-0006-0000-0900-000027000000}">
      <text>
        <r>
          <rPr>
            <b/>
            <sz val="9"/>
            <color indexed="81"/>
            <rFont val="Tahoma"/>
            <family val="2"/>
          </rPr>
          <t xml:space="preserve">PREVENTIVOS:
</t>
        </r>
        <r>
          <rPr>
            <sz val="9"/>
            <color indexed="81"/>
            <rFont val="Tahoma"/>
            <family val="2"/>
          </rPr>
          <t>MANT8 13/11/2020 3113.9
MANT7 03/09/2020 2865.4
MANT6 21/05/2020 1995.0
MANT5 12/04/2020 1719.8
MANT4 13/03/2020 1402.9
MANT3 10/01/2020 870.1
MANT2 28/11/2019 522.3
MANT1 15/10/2019 79.6</t>
        </r>
      </text>
    </comment>
    <comment ref="B20" authorId="1" shapeId="0" xr:uid="{00000000-0006-0000-0900-000028000000}">
      <text>
        <r>
          <rPr>
            <b/>
            <sz val="9"/>
            <color indexed="81"/>
            <rFont val="Tahoma"/>
            <family val="2"/>
          </rPr>
          <t>GAMER:</t>
        </r>
        <r>
          <rPr>
            <sz val="9"/>
            <color indexed="81"/>
            <rFont val="Tahoma"/>
            <family val="2"/>
          </rPr>
          <t xml:space="preserve">
GRUPO 3</t>
        </r>
      </text>
    </comment>
    <comment ref="K20" authorId="1" shapeId="0" xr:uid="{00000000-0006-0000-0900-000029000000}">
      <text>
        <r>
          <rPr>
            <b/>
            <sz val="9"/>
            <color indexed="81"/>
            <rFont val="Tahoma"/>
            <family val="2"/>
          </rPr>
          <t>PREVENTIVOS:</t>
        </r>
        <r>
          <rPr>
            <sz val="9"/>
            <color indexed="81"/>
            <rFont val="Tahoma"/>
            <family val="2"/>
          </rPr>
          <t xml:space="preserve">
MANT7 17/11/2020 2134.0
MANT6 15/08/2020 1813.6
MANT5 02/04/2020 1592.6
MANT4 24/01/2020 1189
MANT3 10/01/2020 933.8
MANT2 28/11/2019 482.8
MANT1 08/11/2019 79.9</t>
        </r>
      </text>
    </comment>
    <comment ref="B21" authorId="1" shapeId="0" xr:uid="{00000000-0006-0000-0900-00002A000000}">
      <text>
        <r>
          <rPr>
            <b/>
            <sz val="9"/>
            <color indexed="81"/>
            <rFont val="Tahoma"/>
            <family val="2"/>
          </rPr>
          <t>EGENER:</t>
        </r>
        <r>
          <rPr>
            <sz val="9"/>
            <color indexed="81"/>
            <rFont val="Tahoma"/>
            <family val="2"/>
          </rPr>
          <t xml:space="preserve">
Se realizo cambio de motor 03/12/2019
GRUPO 5</t>
        </r>
      </text>
    </comment>
    <comment ref="G21" authorId="3" shapeId="0" xr:uid="{00000000-0006-0000-0900-00002B000000}">
      <text>
        <r>
          <rPr>
            <sz val="9"/>
            <color indexed="81"/>
            <rFont val="Tahoma"/>
            <family val="2"/>
          </rPr>
          <t xml:space="preserve">TRASLADO:
No registra fecha de traslado, Fue traido del  PL-806
</t>
        </r>
      </text>
    </comment>
    <comment ref="K21" authorId="1" shapeId="0" xr:uid="{00000000-0006-0000-0900-00002C000000}">
      <text>
        <r>
          <rPr>
            <b/>
            <sz val="9"/>
            <color indexed="81"/>
            <rFont val="Tahoma"/>
            <family val="2"/>
          </rPr>
          <t>PREVENTIVOS:</t>
        </r>
        <r>
          <rPr>
            <sz val="9"/>
            <color indexed="81"/>
            <rFont val="Tahoma"/>
            <family val="2"/>
          </rPr>
          <t xml:space="preserve">
MANT7 01/09/2020 1914.6
MANT6 28/07/2020 1596.4
MANT5 20/06/2020 1308.8
MANT4 21/05/2020 1022.8
MANT3 24/04/2020 753.6
MANT2 12/03/2020 526.7
MANT1 03/01/2020 99.1</t>
        </r>
      </text>
    </comment>
    <comment ref="N21" authorId="1" shapeId="0" xr:uid="{00000000-0006-0000-0900-00002D000000}">
      <text>
        <r>
          <rPr>
            <b/>
            <sz val="9"/>
            <color indexed="81"/>
            <rFont val="Tahoma"/>
            <family val="2"/>
          </rPr>
          <t>GAMER:</t>
        </r>
        <r>
          <rPr>
            <sz val="9"/>
            <color indexed="81"/>
            <rFont val="Tahoma"/>
            <family val="2"/>
          </rPr>
          <t xml:space="preserve">
REALIZAR 1290</t>
        </r>
      </text>
    </comment>
    <comment ref="P21" authorId="0" shapeId="0" xr:uid="{00000000-0006-0000-0900-00002E000000}">
      <text>
        <r>
          <rPr>
            <b/>
            <sz val="9"/>
            <color indexed="81"/>
            <rFont val="Tahoma"/>
            <family val="2"/>
          </rPr>
          <t>EGENER:</t>
        </r>
        <r>
          <rPr>
            <sz val="9"/>
            <color indexed="81"/>
            <rFont val="Tahoma"/>
            <family val="2"/>
          </rPr>
          <t xml:space="preserve">
FALLA EN EL REGULADOR DE GAS</t>
        </r>
      </text>
    </comment>
    <comment ref="K22" authorId="1" shapeId="0" xr:uid="{00000000-0006-0000-0900-00002F000000}">
      <text>
        <r>
          <rPr>
            <b/>
            <sz val="9"/>
            <color indexed="81"/>
            <rFont val="Tahoma"/>
            <family val="2"/>
          </rPr>
          <t xml:space="preserve">PREVENTIVOS:
</t>
        </r>
        <r>
          <rPr>
            <sz val="9"/>
            <color indexed="81"/>
            <rFont val="Tahoma"/>
            <family val="2"/>
          </rPr>
          <t>MANT7 08/08/2020 2044.9
MANT6 06/07/2020 1809.9
MANT5 15/06/2020 1608.9
MANT4 11/05/2020 1256.4
MANT3 25/03/2020 919.9
MANT2 04/02/2020 460.7
MANT1 09/01/2020 129.9</t>
        </r>
      </text>
    </comment>
    <comment ref="B23" authorId="1" shapeId="0" xr:uid="{00000000-0006-0000-0900-000030000000}">
      <text>
        <r>
          <rPr>
            <b/>
            <sz val="9"/>
            <color indexed="81"/>
            <rFont val="Tahoma"/>
            <family val="2"/>
          </rPr>
          <t>GAMER:</t>
        </r>
        <r>
          <rPr>
            <sz val="9"/>
            <color indexed="81"/>
            <rFont val="Tahoma"/>
            <family val="2"/>
          </rPr>
          <t xml:space="preserve">
G.E. 3</t>
        </r>
      </text>
    </comment>
    <comment ref="K23" authorId="1" shapeId="0" xr:uid="{00000000-0006-0000-0900-000031000000}">
      <text>
        <r>
          <rPr>
            <b/>
            <sz val="9"/>
            <color indexed="81"/>
            <rFont val="Tahoma"/>
            <family val="2"/>
          </rPr>
          <t>PREVENTIVOS:</t>
        </r>
        <r>
          <rPr>
            <sz val="9"/>
            <color indexed="81"/>
            <rFont val="Tahoma"/>
            <family val="2"/>
          </rPr>
          <t xml:space="preserve">
MANT7 28/10/2020 1852.2
MANT6 27/08/2020 1542.6
MANT5 31/07/2020 1271.9
MANT4 15/06/2020 953.3
MANT3 21/05/2020 669.1
MANT2 26/03/2020 379.5
MANT1 19/11/2019 109.8</t>
        </r>
      </text>
    </comment>
    <comment ref="B24" authorId="1" shapeId="0" xr:uid="{00000000-0006-0000-0900-000032000000}">
      <text>
        <r>
          <rPr>
            <b/>
            <sz val="9"/>
            <color indexed="81"/>
            <rFont val="Tahoma"/>
            <family val="2"/>
          </rPr>
          <t>GAMER:</t>
        </r>
        <r>
          <rPr>
            <sz val="9"/>
            <color indexed="81"/>
            <rFont val="Tahoma"/>
            <family val="2"/>
          </rPr>
          <t xml:space="preserve">
G.E. 1</t>
        </r>
      </text>
    </comment>
    <comment ref="K24" authorId="1" shapeId="0" xr:uid="{00000000-0006-0000-0900-000033000000}">
      <text>
        <r>
          <rPr>
            <b/>
            <sz val="9"/>
            <color indexed="81"/>
            <rFont val="Tahoma"/>
            <family val="2"/>
          </rPr>
          <t>GAMER:</t>
        </r>
        <r>
          <rPr>
            <sz val="9"/>
            <color indexed="81"/>
            <rFont val="Tahoma"/>
            <family val="2"/>
          </rPr>
          <t xml:space="preserve">
MANT8 28/10/2020 2456.8
MANT7 30/09/2020 2161.1
MANT6 06/08/2020 1824.6
MANT5 26/06/2020 1525.2
MANT4 02/06/2020 1253.8
MANT3 13/04/2020 927.9
MANT2 05/03/2020 502.9
MANT 1 03/01/2020 132.1</t>
        </r>
      </text>
    </comment>
    <comment ref="B25" authorId="1" shapeId="0" xr:uid="{00000000-0006-0000-0900-000034000000}">
      <text>
        <r>
          <rPr>
            <b/>
            <sz val="9"/>
            <color indexed="81"/>
            <rFont val="Tahoma"/>
            <family val="2"/>
          </rPr>
          <t>GAMER:</t>
        </r>
        <r>
          <rPr>
            <sz val="9"/>
            <color indexed="81"/>
            <rFont val="Tahoma"/>
            <family val="2"/>
          </rPr>
          <t xml:space="preserve">
G.E. 2</t>
        </r>
      </text>
    </comment>
    <comment ref="K25" authorId="1" shapeId="0" xr:uid="{00000000-0006-0000-0900-000035000000}">
      <text>
        <r>
          <rPr>
            <b/>
            <sz val="9"/>
            <color indexed="81"/>
            <rFont val="Tahoma"/>
            <family val="2"/>
          </rPr>
          <t>GAMER:</t>
        </r>
        <r>
          <rPr>
            <sz val="9"/>
            <color indexed="81"/>
            <rFont val="Tahoma"/>
            <family val="2"/>
          </rPr>
          <t xml:space="preserve">
MANT5 12/10/2020 1467.1
MANT4 13/04/2020 1247.5
MANT3 05/03/2020 891.9
MANT2 17/01/2020 531.5
MANT1 19/11/2019 240.6</t>
        </r>
      </text>
    </comment>
    <comment ref="N25" authorId="1" shapeId="0" xr:uid="{00000000-0006-0000-0900-000036000000}">
      <text>
        <r>
          <rPr>
            <b/>
            <sz val="9"/>
            <color indexed="81"/>
            <rFont val="Tahoma"/>
            <family val="2"/>
          </rPr>
          <t>GAMER:</t>
        </r>
        <r>
          <rPr>
            <sz val="9"/>
            <color indexed="81"/>
            <rFont val="Tahoma"/>
            <family val="2"/>
          </rPr>
          <t xml:space="preserve">
REALIZAR 1500 HR</t>
        </r>
      </text>
    </comment>
    <comment ref="B26" authorId="1" shapeId="0" xr:uid="{00000000-0006-0000-0900-000037000000}">
      <text>
        <r>
          <rPr>
            <b/>
            <sz val="9"/>
            <color indexed="81"/>
            <rFont val="Tahoma"/>
            <family val="2"/>
          </rPr>
          <t>GRUPO 6</t>
        </r>
        <r>
          <rPr>
            <sz val="9"/>
            <color indexed="81"/>
            <rFont val="Tahoma"/>
            <family val="2"/>
          </rPr>
          <t xml:space="preserve">
</t>
        </r>
      </text>
    </comment>
    <comment ref="K26" authorId="1" shapeId="0" xr:uid="{00000000-0006-0000-0900-000038000000}">
      <text>
        <r>
          <rPr>
            <b/>
            <sz val="9"/>
            <color indexed="81"/>
            <rFont val="Tahoma"/>
            <family val="2"/>
          </rPr>
          <t>GAMER:</t>
        </r>
        <r>
          <rPr>
            <sz val="9"/>
            <color indexed="81"/>
            <rFont val="Tahoma"/>
            <family val="2"/>
          </rPr>
          <t xml:space="preserve">
MANT7 22/10/2020 2171.8
MANT6 05/08/2020 1884.9
MANT5 23/06/2020 1600.7
MANT4 21/04/2020 1271.0
MANT3 10/01/2020 940.1
MANT2 27/11/2019 475.4
MANT1 08/11/2019 55.7</t>
        </r>
      </text>
    </comment>
    <comment ref="N26" authorId="1" shapeId="0" xr:uid="{00000000-0006-0000-0900-000039000000}">
      <text>
        <r>
          <rPr>
            <b/>
            <sz val="9"/>
            <color indexed="81"/>
            <rFont val="Tahoma"/>
            <family val="2"/>
          </rPr>
          <t>GAMER:</t>
        </r>
        <r>
          <rPr>
            <sz val="9"/>
            <color indexed="81"/>
            <rFont val="Tahoma"/>
            <family val="2"/>
          </rPr>
          <t xml:space="preserve">
REALIZAR 1550</t>
        </r>
      </text>
    </comment>
    <comment ref="P26" authorId="1" shapeId="0" xr:uid="{00000000-0006-0000-0900-00003A000000}">
      <text>
        <r>
          <rPr>
            <b/>
            <sz val="9"/>
            <color indexed="81"/>
            <rFont val="Tahoma"/>
            <family val="2"/>
          </rPr>
          <t>GAMER:</t>
        </r>
        <r>
          <rPr>
            <sz val="9"/>
            <color indexed="81"/>
            <rFont val="Tahoma"/>
            <family val="2"/>
          </rPr>
          <t xml:space="preserve">
GRUPO TRABAJA EN MANUAL</t>
        </r>
      </text>
    </comment>
    <comment ref="B27" authorId="1" shapeId="0" xr:uid="{00000000-0006-0000-0900-00003B000000}">
      <text>
        <r>
          <rPr>
            <b/>
            <sz val="9"/>
            <color indexed="81"/>
            <rFont val="Tahoma"/>
            <family val="2"/>
          </rPr>
          <t>GRUPO 3</t>
        </r>
        <r>
          <rPr>
            <sz val="9"/>
            <color indexed="81"/>
            <rFont val="Tahoma"/>
            <family val="2"/>
          </rPr>
          <t xml:space="preserve">
</t>
        </r>
      </text>
    </comment>
    <comment ref="K27" authorId="1" shapeId="0" xr:uid="{00000000-0006-0000-0900-00003C000000}">
      <text>
        <r>
          <rPr>
            <b/>
            <sz val="9"/>
            <color indexed="81"/>
            <rFont val="Tahoma"/>
            <family val="2"/>
          </rPr>
          <t>GAMER:</t>
        </r>
        <r>
          <rPr>
            <sz val="9"/>
            <color indexed="81"/>
            <rFont val="Tahoma"/>
            <family val="2"/>
          </rPr>
          <t xml:space="preserve">
MANT6 07/10/20201711.9
MANT5 21/04/2020 1288.6
MANT4 27/03/2020 1071.8
MANT3 18/02/2020 760.9
MANT2 10/01/2020 449.8
MANT1 18/11/2019 127.5</t>
        </r>
      </text>
    </comment>
    <comment ref="N27" authorId="1" shapeId="0" xr:uid="{00000000-0006-0000-0900-00003D000000}">
      <text>
        <r>
          <rPr>
            <b/>
            <sz val="9"/>
            <color indexed="81"/>
            <rFont val="Tahoma"/>
            <family val="2"/>
          </rPr>
          <t>GAMER:</t>
        </r>
        <r>
          <rPr>
            <sz val="9"/>
            <color indexed="81"/>
            <rFont val="Tahoma"/>
            <family val="2"/>
          </rPr>
          <t xml:space="preserve">
HACER A LAS 1700</t>
        </r>
      </text>
    </comment>
    <comment ref="B28" authorId="1" shapeId="0" xr:uid="{00000000-0006-0000-0900-00003E000000}">
      <text>
        <r>
          <rPr>
            <b/>
            <sz val="9"/>
            <color indexed="81"/>
            <rFont val="Tahoma"/>
            <family val="2"/>
          </rPr>
          <t>GRUPO 2</t>
        </r>
        <r>
          <rPr>
            <sz val="9"/>
            <color indexed="81"/>
            <rFont val="Tahoma"/>
            <family val="2"/>
          </rPr>
          <t xml:space="preserve">
</t>
        </r>
      </text>
    </comment>
    <comment ref="K28" authorId="1" shapeId="0" xr:uid="{00000000-0006-0000-0900-00003F000000}">
      <text>
        <r>
          <rPr>
            <b/>
            <sz val="9"/>
            <color indexed="81"/>
            <rFont val="Tahoma"/>
            <family val="2"/>
          </rPr>
          <t>GAMER:</t>
        </r>
        <r>
          <rPr>
            <sz val="9"/>
            <color indexed="81"/>
            <rFont val="Tahoma"/>
            <family val="2"/>
          </rPr>
          <t xml:space="preserve">
MANT8 21/10/2020 2283.1
MANT7 01/08/2020 1955.9
MANT6 07/07/2020 1714.4
MANT5 05/06/2020 1438.1
MANT4 21/04/2020 1088.0
MANT3 28/03/2020 885.9
MANT2 18/02/2020 515.8
MANT1 03/01/2020 192.5</t>
        </r>
      </text>
    </comment>
    <comment ref="B29" authorId="1" shapeId="0" xr:uid="{00000000-0006-0000-0900-000040000000}">
      <text>
        <r>
          <rPr>
            <b/>
            <sz val="9"/>
            <color indexed="81"/>
            <rFont val="Tahoma"/>
            <family val="2"/>
          </rPr>
          <t>GRUPO 4</t>
        </r>
        <r>
          <rPr>
            <sz val="9"/>
            <color indexed="81"/>
            <rFont val="Tahoma"/>
            <family val="2"/>
          </rPr>
          <t xml:space="preserve">
</t>
        </r>
      </text>
    </comment>
    <comment ref="K29" authorId="1" shapeId="0" xr:uid="{00000000-0006-0000-0900-000041000000}">
      <text>
        <r>
          <rPr>
            <b/>
            <sz val="9"/>
            <color indexed="81"/>
            <rFont val="Tahoma"/>
            <family val="2"/>
          </rPr>
          <t>GAMER:</t>
        </r>
        <r>
          <rPr>
            <sz val="9"/>
            <color indexed="81"/>
            <rFont val="Tahoma"/>
            <family val="2"/>
          </rPr>
          <t xml:space="preserve">
MANT7 13/11/2020 2015.6
MANT6 27/08/2020 1660.5
MANT5 21/07/2020 1368.3
MANT4 21/04/2020 1085.8
MANT3 28/03/2020 851.3
MANT2 18/02/2020 506.1
MANT1 02/01/2020 142.9</t>
        </r>
      </text>
    </comment>
    <comment ref="N29" authorId="1" shapeId="0" xr:uid="{00000000-0006-0000-0900-000042000000}">
      <text>
        <r>
          <rPr>
            <b/>
            <sz val="9"/>
            <color indexed="81"/>
            <rFont val="Tahoma"/>
            <family val="2"/>
          </rPr>
          <t>GAMER:</t>
        </r>
        <r>
          <rPr>
            <sz val="9"/>
            <color indexed="81"/>
            <rFont val="Tahoma"/>
            <family val="2"/>
          </rPr>
          <t xml:space="preserve">
REALIZAR 1340</t>
        </r>
      </text>
    </comment>
    <comment ref="B30" authorId="1" shapeId="0" xr:uid="{00000000-0006-0000-0900-000043000000}">
      <text>
        <r>
          <rPr>
            <b/>
            <sz val="9"/>
            <color indexed="81"/>
            <rFont val="Tahoma"/>
            <family val="2"/>
          </rPr>
          <t>GRUPO 5</t>
        </r>
        <r>
          <rPr>
            <sz val="9"/>
            <color indexed="81"/>
            <rFont val="Tahoma"/>
            <family val="2"/>
          </rPr>
          <t xml:space="preserve">
</t>
        </r>
      </text>
    </comment>
    <comment ref="K30" authorId="1" shapeId="0" xr:uid="{00000000-0006-0000-0900-000044000000}">
      <text>
        <r>
          <rPr>
            <b/>
            <sz val="9"/>
            <color indexed="81"/>
            <rFont val="Tahoma"/>
            <family val="2"/>
          </rPr>
          <t>PREVENTIVOS:</t>
        </r>
        <r>
          <rPr>
            <sz val="9"/>
            <color indexed="81"/>
            <rFont val="Tahoma"/>
            <family val="2"/>
          </rPr>
          <t xml:space="preserve">
MANT6 13/11/2020 1586.2
MANT5 05/08/2020 1206.6
MANT4 22/06/2020 913.9
MANT3 21/04/2020 568.5
MANT2 28/03/2020 323.4
MANT1 02/01/2020 68.0</t>
        </r>
      </text>
    </comment>
    <comment ref="N30" authorId="1" shapeId="0" xr:uid="{00000000-0006-0000-0900-000045000000}">
      <text>
        <r>
          <rPr>
            <b/>
            <sz val="9"/>
            <color indexed="81"/>
            <rFont val="Tahoma"/>
            <family val="2"/>
          </rPr>
          <t>GAMER:</t>
        </r>
        <r>
          <rPr>
            <sz val="9"/>
            <color indexed="81"/>
            <rFont val="Tahoma"/>
            <family val="2"/>
          </rPr>
          <t xml:space="preserve">
REALIZAR 950</t>
        </r>
      </text>
    </comment>
    <comment ref="P30" authorId="1" shapeId="0" xr:uid="{00000000-0006-0000-0900-000046000000}">
      <text>
        <r>
          <rPr>
            <b/>
            <sz val="9"/>
            <color indexed="81"/>
            <rFont val="Tahoma"/>
            <family val="2"/>
          </rPr>
          <t>GAMER:</t>
        </r>
        <r>
          <rPr>
            <sz val="9"/>
            <color indexed="81"/>
            <rFont val="Tahoma"/>
            <family val="2"/>
          </rPr>
          <t xml:space="preserve">
no hace cambio en automatico</t>
        </r>
      </text>
    </comment>
    <comment ref="B31" authorId="1" shapeId="0" xr:uid="{00000000-0006-0000-0900-000047000000}">
      <text>
        <r>
          <rPr>
            <b/>
            <sz val="9"/>
            <color indexed="81"/>
            <rFont val="Tahoma"/>
            <family val="2"/>
          </rPr>
          <t>GAMER:</t>
        </r>
        <r>
          <rPr>
            <sz val="9"/>
            <color indexed="81"/>
            <rFont val="Tahoma"/>
            <family val="2"/>
          </rPr>
          <t xml:space="preserve">
GRUPO 2</t>
        </r>
      </text>
    </comment>
    <comment ref="K31" authorId="1" shapeId="0" xr:uid="{00000000-0006-0000-0900-000048000000}">
      <text>
        <r>
          <rPr>
            <b/>
            <sz val="9"/>
            <color indexed="81"/>
            <rFont val="Tahoma"/>
            <family val="2"/>
          </rPr>
          <t>PREVENTIVOS:</t>
        </r>
        <r>
          <rPr>
            <sz val="9"/>
            <color indexed="81"/>
            <rFont val="Tahoma"/>
            <family val="2"/>
          </rPr>
          <t xml:space="preserve">
MANT9 15/10/2020 2876.5
MANT8 01/09/2020 2521.3
MANT7 21/07/2020 2177.3
MANT6 06/06/2020 1879.6
MANT5 09/05/2020 1553.8
MANT4 06/04/2020 1340.8
MANT3 19/02/2020 846.7
MANT2 27/11/2019 535.9
MANT1 15/10/2019 98.2</t>
        </r>
      </text>
    </comment>
    <comment ref="L31" authorId="1" shapeId="0" xr:uid="{00000000-0006-0000-0900-000049000000}">
      <text>
        <r>
          <rPr>
            <b/>
            <sz val="9"/>
            <color indexed="81"/>
            <rFont val="Tahoma"/>
            <family val="2"/>
          </rPr>
          <t>GAMER:</t>
        </r>
        <r>
          <rPr>
            <sz val="9"/>
            <color indexed="81"/>
            <rFont val="Tahoma"/>
            <family val="2"/>
          </rPr>
          <t xml:space="preserve">
no se ubicación, no aparecen sus horas
</t>
        </r>
      </text>
    </comment>
    <comment ref="N31" authorId="1" shapeId="0" xr:uid="{00000000-0006-0000-0900-00004A000000}">
      <text>
        <r>
          <rPr>
            <b/>
            <sz val="9"/>
            <color indexed="81"/>
            <rFont val="Tahoma"/>
            <family val="2"/>
          </rPr>
          <t>GAMER:</t>
        </r>
        <r>
          <rPr>
            <sz val="9"/>
            <color indexed="81"/>
            <rFont val="Tahoma"/>
            <family val="2"/>
          </rPr>
          <t xml:space="preserve">
HACER A LAS 1810 HR
</t>
        </r>
      </text>
    </comment>
    <comment ref="G32" authorId="1" shapeId="0" xr:uid="{00000000-0006-0000-0900-00004B000000}">
      <text>
        <r>
          <rPr>
            <b/>
            <sz val="9"/>
            <color indexed="81"/>
            <rFont val="Tahoma"/>
            <family val="2"/>
          </rPr>
          <t>GAMER:</t>
        </r>
        <r>
          <rPr>
            <sz val="9"/>
            <color indexed="81"/>
            <rFont val="Tahoma"/>
            <family val="2"/>
          </rPr>
          <t xml:space="preserve">
-Ingreso al taller 10/10/2020</t>
        </r>
      </text>
    </comment>
    <comment ref="K32" authorId="1" shapeId="0" xr:uid="{00000000-0006-0000-0900-00004C000000}">
      <text>
        <r>
          <rPr>
            <b/>
            <sz val="9"/>
            <color indexed="81"/>
            <rFont val="Tahoma"/>
            <family val="2"/>
          </rPr>
          <t>GAMER:</t>
        </r>
        <r>
          <rPr>
            <sz val="9"/>
            <color indexed="81"/>
            <rFont val="Tahoma"/>
            <family val="2"/>
          </rPr>
          <t xml:space="preserve">
MANT5 26/06/2020 1700.2
MANT4 22/04/2020 1353.4
MANT3 10/03/2020 1015.6
MANT2 20/01/2020 592.9
MANT1 19/11/2019 228.5</t>
        </r>
      </text>
    </comment>
    <comment ref="N32" authorId="1" shapeId="0" xr:uid="{00000000-0006-0000-0900-00004D000000}">
      <text>
        <r>
          <rPr>
            <b/>
            <sz val="9"/>
            <color indexed="81"/>
            <rFont val="Tahoma"/>
            <family val="2"/>
          </rPr>
          <t>GAMER:</t>
        </r>
        <r>
          <rPr>
            <sz val="9"/>
            <color indexed="81"/>
            <rFont val="Tahoma"/>
            <family val="2"/>
          </rPr>
          <t xml:space="preserve">
REALIZAR 1600 HR</t>
        </r>
      </text>
    </comment>
    <comment ref="B33" authorId="1" shapeId="0" xr:uid="{00000000-0006-0000-0900-00004E000000}">
      <text>
        <r>
          <rPr>
            <b/>
            <sz val="9"/>
            <color indexed="81"/>
            <rFont val="Tahoma"/>
            <family val="2"/>
          </rPr>
          <t>GAMER:</t>
        </r>
        <r>
          <rPr>
            <sz val="9"/>
            <color indexed="81"/>
            <rFont val="Tahoma"/>
            <family val="2"/>
          </rPr>
          <t xml:space="preserve">
GRUPO 2</t>
        </r>
      </text>
    </comment>
    <comment ref="G33" authorId="1" shapeId="0" xr:uid="{00000000-0006-0000-0900-00004F000000}">
      <text>
        <r>
          <rPr>
            <b/>
            <sz val="9"/>
            <color indexed="81"/>
            <rFont val="Tahoma"/>
            <family val="2"/>
          </rPr>
          <t>GAMER:</t>
        </r>
        <r>
          <rPr>
            <sz val="9"/>
            <color indexed="81"/>
            <rFont val="Tahoma"/>
            <family val="2"/>
          </rPr>
          <t xml:space="preserve">
TRASTADADO DESDE PL-807 EL 04/11/2020</t>
        </r>
      </text>
    </comment>
    <comment ref="K33" authorId="1" shapeId="0" xr:uid="{00000000-0006-0000-0900-000050000000}">
      <text>
        <r>
          <rPr>
            <b/>
            <sz val="9"/>
            <color indexed="81"/>
            <rFont val="Tahoma"/>
            <family val="2"/>
          </rPr>
          <t>PREVENTIVOS:</t>
        </r>
        <r>
          <rPr>
            <sz val="9"/>
            <color indexed="81"/>
            <rFont val="Tahoma"/>
            <family val="2"/>
          </rPr>
          <t xml:space="preserve">
MANT8 03/09/2020 2408.6
MANT7 28/07/2020 2044.4
MANT6 25/06/2020 1674.6
MANT5 26/05/2020 1382.9
MANT4 11/04/2020 1100.5
MANT3 18/02/2020 710.9
MANT2 03/01/2020 393.7
MANT1 19/11/2019 49.2</t>
        </r>
      </text>
    </comment>
    <comment ref="N33" authorId="1" shapeId="0" xr:uid="{00000000-0006-0000-0900-000051000000}">
      <text>
        <r>
          <rPr>
            <b/>
            <sz val="9"/>
            <color indexed="81"/>
            <rFont val="Tahoma"/>
            <family val="2"/>
          </rPr>
          <t>GAMER:</t>
        </r>
        <r>
          <rPr>
            <sz val="9"/>
            <color indexed="81"/>
            <rFont val="Tahoma"/>
            <family val="2"/>
          </rPr>
          <t xml:space="preserve">
REALIZAR 1630 HR</t>
        </r>
      </text>
    </comment>
    <comment ref="B34" authorId="1" shapeId="0" xr:uid="{00000000-0006-0000-0900-000052000000}">
      <text>
        <r>
          <rPr>
            <b/>
            <sz val="9"/>
            <color indexed="81"/>
            <rFont val="Tahoma"/>
            <family val="2"/>
          </rPr>
          <t>GAMER:</t>
        </r>
        <r>
          <rPr>
            <sz val="9"/>
            <color indexed="81"/>
            <rFont val="Tahoma"/>
            <family val="2"/>
          </rPr>
          <t xml:space="preserve">
por error de san fernando esta registrado con n° de serie: 3004337427</t>
        </r>
      </text>
    </comment>
    <comment ref="K34" authorId="1" shapeId="0" xr:uid="{00000000-0006-0000-0900-000053000000}">
      <text>
        <r>
          <rPr>
            <b/>
            <sz val="9"/>
            <color indexed="81"/>
            <rFont val="Tahoma"/>
            <family val="2"/>
          </rPr>
          <t>PREVENTIVOS:</t>
        </r>
        <r>
          <rPr>
            <sz val="9"/>
            <color indexed="81"/>
            <rFont val="Tahoma"/>
            <family val="2"/>
          </rPr>
          <t xml:space="preserve">
MANT7 10/09/2020 1832.7
MANT6 08/06/2020 1526.2
MANT5 14/04/2020 1210.3
MANT4 10/03/2020 878.0
MANT3 14/01/2020 608.1
MANT2 27/11/2019 312.4
MANT1 08/11/2019 32.6</t>
        </r>
      </text>
    </comment>
    <comment ref="N34" authorId="1" shapeId="0" xr:uid="{00000000-0006-0000-0900-000054000000}">
      <text>
        <r>
          <rPr>
            <b/>
            <sz val="9"/>
            <color indexed="81"/>
            <rFont val="Tahoma"/>
            <family val="2"/>
          </rPr>
          <t>GAMER:</t>
        </r>
        <r>
          <rPr>
            <sz val="9"/>
            <color indexed="81"/>
            <rFont val="Tahoma"/>
            <family val="2"/>
          </rPr>
          <t xml:space="preserve">
REALIZAR LUNES 31/08/2020 </t>
        </r>
      </text>
    </comment>
    <comment ref="P34" authorId="1" shapeId="0" xr:uid="{00000000-0006-0000-0900-000055000000}">
      <text>
        <r>
          <rPr>
            <b/>
            <sz val="9"/>
            <color indexed="81"/>
            <rFont val="Tahoma"/>
            <family val="2"/>
          </rPr>
          <t>GAMER:</t>
        </r>
        <r>
          <rPr>
            <sz val="9"/>
            <color indexed="81"/>
            <rFont val="Tahoma"/>
            <family val="2"/>
          </rPr>
          <t xml:space="preserve">
Grupo con alto voltaje
- DERRAME DE ACEITE 09/11/2020 A LAS 2086.6 HORAS</t>
        </r>
      </text>
    </comment>
    <comment ref="K35" authorId="1" shapeId="0" xr:uid="{00000000-0006-0000-0900-000056000000}">
      <text>
        <r>
          <rPr>
            <b/>
            <sz val="9"/>
            <color indexed="81"/>
            <rFont val="Tahoma"/>
            <family val="2"/>
          </rPr>
          <t>PREVENTIVOS:</t>
        </r>
        <r>
          <rPr>
            <sz val="9"/>
            <color indexed="81"/>
            <rFont val="Tahoma"/>
            <family val="2"/>
          </rPr>
          <t xml:space="preserve">
MANT7 10/09/2020 2582.6
MANT6 15/07/2020 2248.7
MANT5 11/06/2020 1971.9
MANT4 15/04/2020 1703.6
MANT3 18/02/2020 1368.2
MANT2 03/01/2020 844.8
MANT1 19/11/2019 526.4</t>
        </r>
      </text>
    </comment>
    <comment ref="N35" authorId="1" shapeId="0" xr:uid="{00000000-0006-0000-0900-000057000000}">
      <text>
        <r>
          <rPr>
            <b/>
            <sz val="9"/>
            <color indexed="81"/>
            <rFont val="Tahoma"/>
            <family val="2"/>
          </rPr>
          <t>GAMER:</t>
        </r>
        <r>
          <rPr>
            <sz val="9"/>
            <color indexed="81"/>
            <rFont val="Tahoma"/>
            <family val="2"/>
          </rPr>
          <t xml:space="preserve">
REALIZAR LUNES 31/08/2020</t>
        </r>
      </text>
    </comment>
    <comment ref="B36" authorId="1" shapeId="0" xr:uid="{00000000-0006-0000-0900-000058000000}">
      <text>
        <r>
          <rPr>
            <b/>
            <sz val="9"/>
            <color indexed="81"/>
            <rFont val="Tahoma"/>
            <family val="2"/>
          </rPr>
          <t>GAMER:</t>
        </r>
        <r>
          <rPr>
            <sz val="9"/>
            <color indexed="81"/>
            <rFont val="Tahoma"/>
            <family val="2"/>
          </rPr>
          <t xml:space="preserve">
grupo 4</t>
        </r>
      </text>
    </comment>
    <comment ref="G36" authorId="1" shapeId="0" xr:uid="{00000000-0006-0000-0900-000059000000}">
      <text>
        <r>
          <rPr>
            <b/>
            <sz val="9"/>
            <color indexed="81"/>
            <rFont val="Tahoma"/>
            <family val="2"/>
          </rPr>
          <t>GAMER:</t>
        </r>
        <r>
          <rPr>
            <sz val="9"/>
            <color indexed="81"/>
            <rFont val="Tahoma"/>
            <family val="2"/>
          </rPr>
          <t xml:space="preserve">
SE TRAJO DE PL-807 CON 2629.7HR EL 04/11/2020</t>
        </r>
      </text>
    </comment>
    <comment ref="K36" authorId="1" shapeId="0" xr:uid="{00000000-0006-0000-0900-00005A000000}">
      <text>
        <r>
          <rPr>
            <b/>
            <sz val="9"/>
            <color indexed="81"/>
            <rFont val="Tahoma"/>
            <family val="2"/>
          </rPr>
          <t>PREVENTIVO:</t>
        </r>
        <r>
          <rPr>
            <sz val="9"/>
            <color indexed="81"/>
            <rFont val="Tahoma"/>
            <family val="2"/>
          </rPr>
          <t xml:space="preserve">
MANT5 10/09/2020 1851.6
MANT4 02/06/2020 1588.3
MANT3 15/04/2020 1310.6
MANT2 18/02/2020 954.6
MANT1 19/11/2019 518.1</t>
        </r>
      </text>
    </comment>
    <comment ref="N36" authorId="1" shapeId="0" xr:uid="{00000000-0006-0000-0900-00005B000000}">
      <text>
        <r>
          <rPr>
            <b/>
            <sz val="9"/>
            <color indexed="81"/>
            <rFont val="Tahoma"/>
            <family val="2"/>
          </rPr>
          <t>GAMER:</t>
        </r>
        <r>
          <rPr>
            <sz val="9"/>
            <color indexed="81"/>
            <rFont val="Tahoma"/>
            <family val="2"/>
          </rPr>
          <t xml:space="preserve">
REALIZAR 1550 HR</t>
        </r>
      </text>
    </comment>
    <comment ref="P36" authorId="1" shapeId="0" xr:uid="{00000000-0006-0000-0900-00005C000000}">
      <text>
        <r>
          <rPr>
            <b/>
            <sz val="9"/>
            <color indexed="81"/>
            <rFont val="Tahoma"/>
            <family val="2"/>
          </rPr>
          <t>GAMER:</t>
        </r>
        <r>
          <rPr>
            <sz val="9"/>
            <color indexed="81"/>
            <rFont val="Tahoma"/>
            <family val="2"/>
          </rPr>
          <t xml:space="preserve">
DIODOS QUEMADOS 01/06/2020</t>
        </r>
      </text>
    </comment>
    <comment ref="G37" authorId="1" shapeId="0" xr:uid="{00000000-0006-0000-0900-00005D000000}">
      <text>
        <r>
          <rPr>
            <b/>
            <sz val="9"/>
            <color indexed="81"/>
            <rFont val="Tahoma"/>
            <family val="2"/>
          </rPr>
          <t>GAMER:</t>
        </r>
        <r>
          <rPr>
            <sz val="9"/>
            <color indexed="81"/>
            <rFont val="Tahoma"/>
            <family val="2"/>
          </rPr>
          <t xml:space="preserve">
-Ingreso al taller 10/10/2020</t>
        </r>
      </text>
    </comment>
    <comment ref="K37" authorId="1" shapeId="0" xr:uid="{00000000-0006-0000-0900-00005E000000}">
      <text>
        <r>
          <rPr>
            <b/>
            <sz val="9"/>
            <color indexed="81"/>
            <rFont val="Tahoma"/>
            <family val="2"/>
          </rPr>
          <t>PREVENTIVOS:</t>
        </r>
        <r>
          <rPr>
            <sz val="9"/>
            <color indexed="81"/>
            <rFont val="Tahoma"/>
            <family val="2"/>
          </rPr>
          <t xml:space="preserve">
MANT6 01/07/2020 1599.8
MANT5 05/06/2020 1345.0
MANT4 21/04/2020 1045.9
MANT3 27/03/2020 808.5
MANT2 18/02/2020 419.4
MANT1 02/01/2020 50.6</t>
        </r>
      </text>
    </comment>
    <comment ref="L37" authorId="2" shapeId="0" xr:uid="{00000000-0006-0000-0900-00005F000000}">
      <text>
        <r>
          <rPr>
            <sz val="9"/>
            <color indexed="81"/>
            <rFont val="Tahoma"/>
            <family val="2"/>
          </rPr>
          <t xml:space="preserve">FALLA:
El panel de control no registra las horas de trabajo 12/02/2020
</t>
        </r>
      </text>
    </comment>
    <comment ref="N37" authorId="1" shapeId="0" xr:uid="{00000000-0006-0000-0900-000060000000}">
      <text>
        <r>
          <rPr>
            <b/>
            <sz val="9"/>
            <color indexed="81"/>
            <rFont val="Tahoma"/>
            <family val="2"/>
          </rPr>
          <t>GAMER:</t>
        </r>
        <r>
          <rPr>
            <sz val="9"/>
            <color indexed="81"/>
            <rFont val="Tahoma"/>
            <family val="2"/>
          </rPr>
          <t xml:space="preserve">
REALIZAR 1300</t>
        </r>
      </text>
    </comment>
    <comment ref="G38" authorId="1" shapeId="0" xr:uid="{00000000-0006-0000-0900-000061000000}">
      <text>
        <r>
          <rPr>
            <b/>
            <sz val="9"/>
            <color indexed="81"/>
            <rFont val="Tahoma"/>
            <family val="2"/>
          </rPr>
          <t>GAMER:</t>
        </r>
        <r>
          <rPr>
            <sz val="9"/>
            <color indexed="81"/>
            <rFont val="Tahoma"/>
            <family val="2"/>
          </rPr>
          <t xml:space="preserve">
Traslado realizado 25/08/2020</t>
        </r>
      </text>
    </comment>
    <comment ref="K38" authorId="1" shapeId="0" xr:uid="{00000000-0006-0000-0900-000062000000}">
      <text>
        <r>
          <rPr>
            <b/>
            <sz val="9"/>
            <color indexed="81"/>
            <rFont val="Tahoma"/>
            <family val="2"/>
          </rPr>
          <t>PREVENTIVO:</t>
        </r>
        <r>
          <rPr>
            <sz val="9"/>
            <color indexed="81"/>
            <rFont val="Tahoma"/>
            <family val="2"/>
          </rPr>
          <t xml:space="preserve">
MANT4 10/09/2020 1056.8
MANT3 24/01/2020 842.2
MANT2 27/11/2019 540.6
MANT1 15/10/2019 114.4</t>
        </r>
      </text>
    </comment>
    <comment ref="N38" authorId="1" shapeId="0" xr:uid="{00000000-0006-0000-0900-000063000000}">
      <text>
        <r>
          <rPr>
            <b/>
            <sz val="9"/>
            <color indexed="81"/>
            <rFont val="Tahoma"/>
            <family val="2"/>
          </rPr>
          <t>GAMER:</t>
        </r>
        <r>
          <rPr>
            <sz val="9"/>
            <color indexed="81"/>
            <rFont val="Tahoma"/>
            <family val="2"/>
          </rPr>
          <t xml:space="preserve">
REALIZAR 1100 HR
</t>
        </r>
      </text>
    </comment>
    <comment ref="B39" authorId="1" shapeId="0" xr:uid="{00000000-0006-0000-0900-000064000000}">
      <text>
        <r>
          <rPr>
            <b/>
            <sz val="9"/>
            <color indexed="81"/>
            <rFont val="Tahoma"/>
            <family val="2"/>
          </rPr>
          <t>GAMER:</t>
        </r>
        <r>
          <rPr>
            <sz val="9"/>
            <color indexed="81"/>
            <rFont val="Tahoma"/>
            <family val="2"/>
          </rPr>
          <t xml:space="preserve">
GRUPO 1</t>
        </r>
      </text>
    </comment>
    <comment ref="K39" authorId="1" shapeId="0" xr:uid="{00000000-0006-0000-0900-000065000000}">
      <text>
        <r>
          <rPr>
            <b/>
            <sz val="9"/>
            <color indexed="81"/>
            <rFont val="Tahoma"/>
            <family val="2"/>
          </rPr>
          <t>PREVENTIVOS:</t>
        </r>
        <r>
          <rPr>
            <sz val="9"/>
            <color indexed="81"/>
            <rFont val="Tahoma"/>
            <family val="2"/>
          </rPr>
          <t xml:space="preserve">
MANT8 16/10/2020 2749.6
MANT7 17/08/2020 2378.1
MANT6 21/07/2020 2043.3
MANT5 05/06/2020 1725.4
MANT4 09/05/2020 1389.1
MANT3 03/04/2020 1132.6
MANT2 19/02/2020 660.4
MANT1 19/11/2019 339.4</t>
        </r>
      </text>
    </comment>
    <comment ref="N39" authorId="1" shapeId="0" xr:uid="{00000000-0006-0000-0900-000066000000}">
      <text>
        <r>
          <rPr>
            <b/>
            <sz val="9"/>
            <color indexed="81"/>
            <rFont val="Tahoma"/>
            <family val="2"/>
          </rPr>
          <t>GAMER:</t>
        </r>
        <r>
          <rPr>
            <sz val="9"/>
            <color indexed="81"/>
            <rFont val="Tahoma"/>
            <family val="2"/>
          </rPr>
          <t xml:space="preserve">
REALIZAR A LAS 1640 HR</t>
        </r>
      </text>
    </comment>
    <comment ref="B40" authorId="1" shapeId="0" xr:uid="{00000000-0006-0000-0900-000067000000}">
      <text>
        <r>
          <rPr>
            <b/>
            <sz val="9"/>
            <color indexed="81"/>
            <rFont val="Tahoma"/>
            <family val="2"/>
          </rPr>
          <t>GAMER:</t>
        </r>
        <r>
          <rPr>
            <sz val="9"/>
            <color indexed="81"/>
            <rFont val="Tahoma"/>
            <family val="2"/>
          </rPr>
          <t xml:space="preserve">
GRUPO 1</t>
        </r>
      </text>
    </comment>
    <comment ref="B41" authorId="1" shapeId="0" xr:uid="{00000000-0006-0000-0900-000068000000}">
      <text>
        <r>
          <rPr>
            <b/>
            <sz val="9"/>
            <color indexed="81"/>
            <rFont val="Tahoma"/>
            <family val="2"/>
          </rPr>
          <t>GAMER:</t>
        </r>
        <r>
          <rPr>
            <sz val="9"/>
            <color indexed="81"/>
            <rFont val="Tahoma"/>
            <family val="2"/>
          </rPr>
          <t xml:space="preserve">
GRUPO 4</t>
        </r>
      </text>
    </comment>
    <comment ref="B42" authorId="1" shapeId="0" xr:uid="{00000000-0006-0000-0900-000069000000}">
      <text>
        <r>
          <rPr>
            <b/>
            <sz val="9"/>
            <color indexed="81"/>
            <rFont val="Tahoma"/>
            <family val="2"/>
          </rPr>
          <t>GAMER:</t>
        </r>
        <r>
          <rPr>
            <sz val="9"/>
            <color indexed="81"/>
            <rFont val="Tahoma"/>
            <family val="2"/>
          </rPr>
          <t xml:space="preserve">
GRUPO 2</t>
        </r>
      </text>
    </comment>
    <comment ref="K43" authorId="1" shapeId="0" xr:uid="{00000000-0006-0000-0900-00006A000000}">
      <text>
        <r>
          <rPr>
            <b/>
            <sz val="9"/>
            <color indexed="81"/>
            <rFont val="Tahoma"/>
            <family val="2"/>
          </rPr>
          <t>PREVENTIVOS:</t>
        </r>
        <r>
          <rPr>
            <sz val="9"/>
            <color indexed="81"/>
            <rFont val="Tahoma"/>
            <family val="2"/>
          </rPr>
          <t xml:space="preserve">
MANT2 05/02/2020 563.0
MANT1 02/01/2020 177.5</t>
        </r>
      </text>
    </comment>
    <comment ref="P43" authorId="0" shapeId="0" xr:uid="{00000000-0006-0000-0900-00006B000000}">
      <text>
        <r>
          <rPr>
            <b/>
            <sz val="9"/>
            <color indexed="81"/>
            <rFont val="Tahoma"/>
            <family val="2"/>
          </rPr>
          <t>EGENER:</t>
        </r>
        <r>
          <rPr>
            <sz val="9"/>
            <color indexed="81"/>
            <rFont val="Tahoma"/>
            <family val="2"/>
          </rPr>
          <t xml:space="preserve">
BAJA PRESION DE ACEITE</t>
        </r>
      </text>
    </comment>
    <comment ref="B44" authorId="1" shapeId="0" xr:uid="{00000000-0006-0000-0900-00006C000000}">
      <text>
        <r>
          <rPr>
            <b/>
            <sz val="9"/>
            <color indexed="81"/>
            <rFont val="Tahoma"/>
            <family val="2"/>
          </rPr>
          <t>GAMER:</t>
        </r>
        <r>
          <rPr>
            <sz val="9"/>
            <color indexed="81"/>
            <rFont val="Tahoma"/>
            <family val="2"/>
          </rPr>
          <t xml:space="preserve">
GRUPO 2</t>
        </r>
      </text>
    </comment>
    <comment ref="B45" authorId="1" shapeId="0" xr:uid="{00000000-0006-0000-0900-00006D000000}">
      <text>
        <r>
          <rPr>
            <b/>
            <sz val="9"/>
            <color indexed="81"/>
            <rFont val="Tahoma"/>
            <family val="2"/>
          </rPr>
          <t>GAMER:</t>
        </r>
        <r>
          <rPr>
            <sz val="9"/>
            <color indexed="81"/>
            <rFont val="Tahoma"/>
            <family val="2"/>
          </rPr>
          <t xml:space="preserve">
GRUPO 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Vale</author>
    <author>EGENER</author>
  </authors>
  <commentList>
    <comment ref="C38" authorId="0" shapeId="0" xr:uid="{00000000-0006-0000-1200-000001000000}">
      <text>
        <r>
          <rPr>
            <b/>
            <sz val="9"/>
            <color indexed="81"/>
            <rFont val="Tahoma"/>
            <family val="2"/>
          </rPr>
          <t>EL DIA 05/12/2019:
se reparo el equipo de numero de serie 3004290368, luego se procedio a revisar este equipo y notamos que presentaba falla</t>
        </r>
      </text>
    </comment>
    <comment ref="C39" authorId="0" shapeId="0" xr:uid="{00000000-0006-0000-1200-000002000000}">
      <text>
        <r>
          <rPr>
            <b/>
            <sz val="9"/>
            <color indexed="81"/>
            <rFont val="Tahoma"/>
            <family val="2"/>
          </rPr>
          <t>EL DIA 05/12/2019:
se reparo el equipo de numero de serie 3004290368, luego se procedio a revisar este equipo y notamos que presentaba falla</t>
        </r>
      </text>
    </comment>
    <comment ref="C40" authorId="0" shapeId="0" xr:uid="{00000000-0006-0000-1200-000003000000}">
      <text>
        <r>
          <rPr>
            <b/>
            <sz val="9"/>
            <color indexed="81"/>
            <rFont val="Tahoma"/>
            <family val="2"/>
          </rPr>
          <t>EL DIA 05/12/2019:
se reparo el equipo de numero de serie 3004290368, luego se procedio a revisar este equipo y notamos que presentaba falla</t>
        </r>
      </text>
    </comment>
    <comment ref="C41" authorId="0" shapeId="0" xr:uid="{00000000-0006-0000-1200-000004000000}">
      <text>
        <r>
          <rPr>
            <b/>
            <sz val="9"/>
            <color indexed="81"/>
            <rFont val="Tahoma"/>
            <family val="2"/>
          </rPr>
          <t>EL DIA 05/12/2019:
se reparo el equipo de numero de serie 3004290368, luego se procedio a revisar este equipo y notamos que presentaba falla</t>
        </r>
      </text>
    </comment>
    <comment ref="B42" authorId="1" shapeId="0" xr:uid="{00000000-0006-0000-1200-000005000000}">
      <text>
        <r>
          <rPr>
            <b/>
            <sz val="9"/>
            <color indexed="81"/>
            <rFont val="Tahoma"/>
            <family val="2"/>
          </rPr>
          <t>EGENER:</t>
        </r>
        <r>
          <rPr>
            <sz val="9"/>
            <color indexed="81"/>
            <rFont val="Tahoma"/>
            <family val="2"/>
          </rPr>
          <t xml:space="preserve">
grupo ya registrado 100%
</t>
        </r>
      </text>
    </comment>
    <comment ref="C42" authorId="0" shapeId="0" xr:uid="{00000000-0006-0000-1200-000006000000}">
      <text>
        <r>
          <rPr>
            <b/>
            <sz val="9"/>
            <color indexed="81"/>
            <rFont val="Tahoma"/>
            <family val="2"/>
          </rPr>
          <t>EL DIA 05/12/2019:
se reparo el equipo de numero de serie 3004290368, luego se procedio a revisar este equipo y notamos que presentaba falla</t>
        </r>
      </text>
    </comment>
    <comment ref="C43" authorId="0" shapeId="0" xr:uid="{00000000-0006-0000-1200-000007000000}">
      <text>
        <r>
          <rPr>
            <b/>
            <sz val="9"/>
            <color indexed="81"/>
            <rFont val="Tahoma"/>
            <family val="2"/>
          </rPr>
          <t>EL DIA 05/12/2019:
se reparo el equipo de numero de serie 3004290368, luego se procedio a revisar este equipo y notamos que presentaba falla</t>
        </r>
      </text>
    </comment>
    <comment ref="B44" authorId="1" shapeId="0" xr:uid="{00000000-0006-0000-1200-000008000000}">
      <text>
        <r>
          <rPr>
            <b/>
            <sz val="9"/>
            <color indexed="81"/>
            <rFont val="Tahoma"/>
            <family val="2"/>
          </rPr>
          <t>EGENER:</t>
        </r>
        <r>
          <rPr>
            <sz val="9"/>
            <color indexed="81"/>
            <rFont val="Tahoma"/>
            <family val="2"/>
          </rPr>
          <t xml:space="preserve">
REGISTRADO</t>
        </r>
      </text>
    </comment>
    <comment ref="C44" authorId="0" shapeId="0" xr:uid="{00000000-0006-0000-1200-000009000000}">
      <text>
        <r>
          <rPr>
            <b/>
            <sz val="9"/>
            <color indexed="81"/>
            <rFont val="Tahoma"/>
            <family val="2"/>
          </rPr>
          <t>EL DIA 05/12/2019:
se reparo el equipo de numero de serie 3004290368, luego se procedio a revisar este equipo y notamos que presentaba falla</t>
        </r>
      </text>
    </comment>
    <comment ref="C45" authorId="0" shapeId="0" xr:uid="{00000000-0006-0000-1200-00000A000000}">
      <text>
        <r>
          <rPr>
            <b/>
            <sz val="9"/>
            <color indexed="81"/>
            <rFont val="Tahoma"/>
            <family val="2"/>
          </rPr>
          <t>EL DIA 05/12/2019:
se reparo el equipo de numero de serie 3004290368, luego se procedio a revisar este equipo y notamos que presentaba falla</t>
        </r>
      </text>
    </comment>
    <comment ref="C46" authorId="0" shapeId="0" xr:uid="{00000000-0006-0000-1200-00000B000000}">
      <text>
        <r>
          <rPr>
            <b/>
            <sz val="9"/>
            <color indexed="81"/>
            <rFont val="Tahoma"/>
            <family val="2"/>
          </rPr>
          <t>EL DIA 05/12/2019:
se reparo el equipo de numero de serie 3004290368, luego se procedio a revisar este equipo y notamos que presentaba falla</t>
        </r>
      </text>
    </comment>
    <comment ref="C47" authorId="0" shapeId="0" xr:uid="{00000000-0006-0000-1200-00000C000000}">
      <text>
        <r>
          <rPr>
            <b/>
            <sz val="9"/>
            <color indexed="81"/>
            <rFont val="Tahoma"/>
            <family val="2"/>
          </rPr>
          <t>EL DIA 05/12/2019:
se reparo el equipo de numero de serie 3004290368, luego se procedio a revisar este equipo y notamos que presentaba falla</t>
        </r>
      </text>
    </comment>
    <comment ref="C48" authorId="0" shapeId="0" xr:uid="{00000000-0006-0000-1200-00000D000000}">
      <text>
        <r>
          <rPr>
            <b/>
            <sz val="9"/>
            <color indexed="81"/>
            <rFont val="Tahoma"/>
            <family val="2"/>
          </rPr>
          <t>EL DIA 05/12/2019:
se reparo el equipo de numero de serie 3004290368, luego se procedio a revisar este equipo y notamos que presentaba falla</t>
        </r>
      </text>
    </comment>
    <comment ref="C49" authorId="0" shapeId="0" xr:uid="{00000000-0006-0000-1200-00000E000000}">
      <text>
        <r>
          <rPr>
            <b/>
            <sz val="9"/>
            <color indexed="81"/>
            <rFont val="Tahoma"/>
            <family val="2"/>
          </rPr>
          <t>EL DIA 05/12/2019:
se reparo el equipo de numero de serie 3004290368, luego se procedio a revisar este equipo y notamos que presentaba falla</t>
        </r>
      </text>
    </comment>
    <comment ref="C50" authorId="0" shapeId="0" xr:uid="{00000000-0006-0000-1200-00000F000000}">
      <text>
        <r>
          <rPr>
            <b/>
            <sz val="9"/>
            <color indexed="81"/>
            <rFont val="Tahoma"/>
            <family val="2"/>
          </rPr>
          <t>EL DIA 05/12/2019:
se reparo el equipo de numero de serie 3004290368, luego se procedio a revisar este equipo y notamos que presentaba falla</t>
        </r>
      </text>
    </comment>
    <comment ref="C51" authorId="0" shapeId="0" xr:uid="{00000000-0006-0000-1200-000010000000}">
      <text>
        <r>
          <rPr>
            <b/>
            <sz val="9"/>
            <color indexed="81"/>
            <rFont val="Tahoma"/>
            <family val="2"/>
          </rPr>
          <t>EL DIA 05/12/2019:
se reparo el equipo de numero de serie 3004290368, luego se procedio a revisar este equipo y notamos que presentaba falla</t>
        </r>
      </text>
    </comment>
    <comment ref="C52" authorId="0" shapeId="0" xr:uid="{00000000-0006-0000-1200-000011000000}">
      <text>
        <r>
          <rPr>
            <b/>
            <sz val="9"/>
            <color indexed="81"/>
            <rFont val="Tahoma"/>
            <family val="2"/>
          </rPr>
          <t>EL DIA 05/12/2019:
se reparo el equipo de numero de serie 3004290368, luego se procedio a revisar este equipo y notamos que presentaba falla</t>
        </r>
      </text>
    </comment>
    <comment ref="C53" authorId="0" shapeId="0" xr:uid="{00000000-0006-0000-1200-000012000000}">
      <text>
        <r>
          <rPr>
            <b/>
            <sz val="9"/>
            <color indexed="81"/>
            <rFont val="Tahoma"/>
            <family val="2"/>
          </rPr>
          <t>EL DIA 05/12/2019:
se reparo el equipo de numero de serie 3004290368, luego se procedio a revisar este equipo y notamos que presentaba falla</t>
        </r>
      </text>
    </comment>
    <comment ref="C54" authorId="0" shapeId="0" xr:uid="{00000000-0006-0000-1200-000013000000}">
      <text>
        <r>
          <rPr>
            <b/>
            <sz val="9"/>
            <color indexed="81"/>
            <rFont val="Tahoma"/>
            <family val="2"/>
          </rPr>
          <t>EL DIA 05/12/2019:
se reparo el equipo de numero de serie 3004290368, luego se procedio a revisar este equipo y notamos que presentaba falla</t>
        </r>
      </text>
    </comment>
    <comment ref="C55" authorId="0" shapeId="0" xr:uid="{00000000-0006-0000-1200-000014000000}">
      <text>
        <r>
          <rPr>
            <b/>
            <sz val="9"/>
            <color indexed="81"/>
            <rFont val="Tahoma"/>
            <family val="2"/>
          </rPr>
          <t>EL DIA 05/12/2019:
se reparo el equipo de numero de serie 3004290368, luego se procedio a revisar este equipo y notamos que presentaba falla</t>
        </r>
      </text>
    </comment>
    <comment ref="C56" authorId="0" shapeId="0" xr:uid="{00000000-0006-0000-1200-000015000000}">
      <text>
        <r>
          <rPr>
            <b/>
            <sz val="9"/>
            <color indexed="81"/>
            <rFont val="Tahoma"/>
            <family val="2"/>
          </rPr>
          <t>EL DIA 05/12/2019:
se reparo el equipo de numero de serie 3004290368, luego se procedio a revisar este equipo y notamos que presentaba falla</t>
        </r>
      </text>
    </comment>
    <comment ref="C57" authorId="0" shapeId="0" xr:uid="{00000000-0006-0000-1200-000016000000}">
      <text>
        <r>
          <rPr>
            <b/>
            <sz val="9"/>
            <color indexed="81"/>
            <rFont val="Tahoma"/>
            <family val="2"/>
          </rPr>
          <t>EL DIA 05/12/2019:
se reparo el equipo de numero de serie 3004290368, luego se procedio a revisar este equipo y notamos que presentaba falla</t>
        </r>
      </text>
    </comment>
    <comment ref="C58" authorId="0" shapeId="0" xr:uid="{00000000-0006-0000-1200-000017000000}">
      <text>
        <r>
          <rPr>
            <b/>
            <sz val="9"/>
            <color indexed="81"/>
            <rFont val="Tahoma"/>
            <family val="2"/>
          </rPr>
          <t>EL DIA 05/12/2019:
se reparo el equipo de numero de serie 3004290368, luego se procedio a revisar este equipo y notamos que presentaba falla</t>
        </r>
      </text>
    </comment>
    <comment ref="C59" authorId="0" shapeId="0" xr:uid="{00000000-0006-0000-1200-000018000000}">
      <text>
        <r>
          <rPr>
            <b/>
            <sz val="9"/>
            <color indexed="81"/>
            <rFont val="Tahoma"/>
            <family val="2"/>
          </rPr>
          <t>EL DIA 05/12/2019:
se reparo el equipo de numero de serie 3004290368, luego se procedio a revisar este equipo y notamos que presentaba falla</t>
        </r>
      </text>
    </comment>
    <comment ref="C60" authorId="0" shapeId="0" xr:uid="{00000000-0006-0000-1200-000019000000}">
      <text>
        <r>
          <rPr>
            <b/>
            <sz val="9"/>
            <color indexed="81"/>
            <rFont val="Tahoma"/>
            <family val="2"/>
          </rPr>
          <t>EL DIA 05/12/2019:
se reparo el equipo de numero de serie 3004290368, luego se procedio a revisar este equipo y notamos que presentaba falla</t>
        </r>
      </text>
    </comment>
    <comment ref="C61" authorId="0" shapeId="0" xr:uid="{00000000-0006-0000-1200-00001A000000}">
      <text>
        <r>
          <rPr>
            <b/>
            <sz val="9"/>
            <color indexed="81"/>
            <rFont val="Tahoma"/>
            <family val="2"/>
          </rPr>
          <t>EL DIA 05/12/2019:
se reparo el equipo de numero de serie 3004290368, luego se procedio a revisar este equipo y notamos que presentaba falla</t>
        </r>
      </text>
    </comment>
    <comment ref="C62" authorId="0" shapeId="0" xr:uid="{00000000-0006-0000-1200-00001B000000}">
      <text>
        <r>
          <rPr>
            <b/>
            <sz val="9"/>
            <color indexed="81"/>
            <rFont val="Tahoma"/>
            <family val="2"/>
          </rPr>
          <t>EL DIA 05/12/2019:
se reparo el equipo de numero de serie 3004290368, luego se procedio a revisar este equipo y notamos que presentaba falla</t>
        </r>
      </text>
    </comment>
    <comment ref="C63" authorId="0" shapeId="0" xr:uid="{00000000-0006-0000-1200-00001C000000}">
      <text>
        <r>
          <rPr>
            <b/>
            <sz val="9"/>
            <color indexed="81"/>
            <rFont val="Tahoma"/>
            <family val="2"/>
          </rPr>
          <t>EL DIA 05/12/2019:
se reparo el equipo de numero de serie 3004290368, luego se procedio a revisar este equipo y notamos que presentaba falla</t>
        </r>
      </text>
    </comment>
    <comment ref="C64" authorId="0" shapeId="0" xr:uid="{00000000-0006-0000-1200-00001D000000}">
      <text>
        <r>
          <rPr>
            <b/>
            <sz val="9"/>
            <color indexed="81"/>
            <rFont val="Tahoma"/>
            <family val="2"/>
          </rPr>
          <t>EL DIA 05/12/2019:
se reparo el equipo de numero de serie 3004290368, luego se procedio a revisar este equipo y notamos que presentaba falla</t>
        </r>
      </text>
    </comment>
    <comment ref="C65" authorId="0" shapeId="0" xr:uid="{00000000-0006-0000-1200-00001E000000}">
      <text>
        <r>
          <rPr>
            <b/>
            <sz val="9"/>
            <color indexed="81"/>
            <rFont val="Tahoma"/>
            <family val="2"/>
          </rPr>
          <t>EL DIA 05/12/2019:
se reparo el equipo de numero de serie 3004290368, luego se procedio a revisar este equipo y notamos que presentaba falla</t>
        </r>
      </text>
    </comment>
    <comment ref="C66" authorId="0" shapeId="0" xr:uid="{00000000-0006-0000-1200-00001F000000}">
      <text>
        <r>
          <rPr>
            <b/>
            <sz val="9"/>
            <color indexed="81"/>
            <rFont val="Tahoma"/>
            <family val="2"/>
          </rPr>
          <t>EL DIA 05/12/2019:
se reparo el equipo de numero de serie 3004290368, luego se procedio a revisar este equipo y notamos que presentaba falla</t>
        </r>
      </text>
    </comment>
    <comment ref="C67" authorId="0" shapeId="0" xr:uid="{00000000-0006-0000-1200-000020000000}">
      <text>
        <r>
          <rPr>
            <b/>
            <sz val="9"/>
            <color indexed="81"/>
            <rFont val="Tahoma"/>
            <family val="2"/>
          </rPr>
          <t>EL DIA 05/12/2019:
se reparo el equipo de numero de serie 3004290368, luego se procedio a revisar este equipo y notamos que presentaba falla</t>
        </r>
      </text>
    </comment>
    <comment ref="C68" authorId="0" shapeId="0" xr:uid="{00000000-0006-0000-1200-000021000000}">
      <text>
        <r>
          <rPr>
            <b/>
            <sz val="9"/>
            <color indexed="81"/>
            <rFont val="Tahoma"/>
            <family val="2"/>
          </rPr>
          <t>EL DIA 05/12/2019:
se reparo el equipo de numero de serie 3004290368, luego se procedio a revisar este equipo y notamos que presentaba falla</t>
        </r>
      </text>
    </comment>
    <comment ref="C69" authorId="0" shapeId="0" xr:uid="{00000000-0006-0000-1200-000022000000}">
      <text>
        <r>
          <rPr>
            <b/>
            <sz val="9"/>
            <color indexed="81"/>
            <rFont val="Tahoma"/>
            <family val="2"/>
          </rPr>
          <t>EL DIA 05/12/2019:
se reparo el equipo de numero de serie 3004290368, luego se procedio a revisar este equipo y notamos que presentaba falla</t>
        </r>
      </text>
    </comment>
    <comment ref="C70" authorId="0" shapeId="0" xr:uid="{00000000-0006-0000-1200-000023000000}">
      <text>
        <r>
          <rPr>
            <b/>
            <sz val="9"/>
            <color indexed="81"/>
            <rFont val="Tahoma"/>
            <family val="2"/>
          </rPr>
          <t>EL DIA 05/12/2019:
se reparo el equipo de numero de serie 3004290368, luego se procedio a revisar este equipo y notamos que presentaba falla</t>
        </r>
      </text>
    </comment>
    <comment ref="C71" authorId="0" shapeId="0" xr:uid="{00000000-0006-0000-1200-000024000000}">
      <text>
        <r>
          <rPr>
            <b/>
            <sz val="9"/>
            <color indexed="81"/>
            <rFont val="Tahoma"/>
            <family val="2"/>
          </rPr>
          <t>EL DIA 05/12/2019:
se reparo el equipo de numero de serie 3004290368, luego se procedio a revisar este equipo y notamos que presentaba falla</t>
        </r>
      </text>
    </comment>
    <comment ref="C72" authorId="0" shapeId="0" xr:uid="{00000000-0006-0000-1200-000025000000}">
      <text>
        <r>
          <rPr>
            <b/>
            <sz val="9"/>
            <color indexed="81"/>
            <rFont val="Tahoma"/>
            <family val="2"/>
          </rPr>
          <t>EL DIA 05/12/2019:
se reparo el equipo de numero de serie 3004290368, luego se procedio a revisar este equipo y notamos que presentaba falla</t>
        </r>
      </text>
    </comment>
    <comment ref="C73" authorId="0" shapeId="0" xr:uid="{00000000-0006-0000-1200-000026000000}">
      <text>
        <r>
          <rPr>
            <b/>
            <sz val="9"/>
            <color indexed="81"/>
            <rFont val="Tahoma"/>
            <family val="2"/>
          </rPr>
          <t>EL DIA 05/12/2019:
se reparo el equipo de numero de serie 3004290368, luego se procedio a revisar este equipo y notamos que presentaba falla</t>
        </r>
      </text>
    </comment>
    <comment ref="C74" authorId="0" shapeId="0" xr:uid="{00000000-0006-0000-1200-000027000000}">
      <text>
        <r>
          <rPr>
            <b/>
            <sz val="9"/>
            <color indexed="81"/>
            <rFont val="Tahoma"/>
            <family val="2"/>
          </rPr>
          <t>EL DIA 05/12/2019:
se reparo el equipo de numero de serie 3004290368, luego se procedio a revisar este equipo y notamos que presentaba falla</t>
        </r>
      </text>
    </comment>
    <comment ref="C75" authorId="0" shapeId="0" xr:uid="{00000000-0006-0000-1200-000028000000}">
      <text>
        <r>
          <rPr>
            <b/>
            <sz val="9"/>
            <color indexed="81"/>
            <rFont val="Tahoma"/>
            <family val="2"/>
          </rPr>
          <t>EL DIA 05/12/2019:
se reparo el equipo de numero de serie 3004290368, luego se procedio a revisar este equipo y notamos que presentaba falla</t>
        </r>
      </text>
    </comment>
    <comment ref="B196" authorId="1" shapeId="0" xr:uid="{00000000-0006-0000-1200-000029000000}">
      <text>
        <r>
          <rPr>
            <b/>
            <sz val="9"/>
            <color indexed="81"/>
            <rFont val="Tahoma"/>
            <family val="2"/>
          </rPr>
          <t>EGENER:</t>
        </r>
        <r>
          <rPr>
            <sz val="9"/>
            <color indexed="81"/>
            <rFont val="Tahoma"/>
            <family val="2"/>
          </rPr>
          <t xml:space="preserve">
registrado</t>
        </r>
      </text>
    </comment>
    <comment ref="B218" authorId="1" shapeId="0" xr:uid="{00000000-0006-0000-1200-00002A000000}">
      <text>
        <r>
          <rPr>
            <b/>
            <sz val="9"/>
            <color indexed="81"/>
            <rFont val="Tahoma"/>
            <family val="2"/>
          </rPr>
          <t>EGENER:</t>
        </r>
        <r>
          <rPr>
            <sz val="9"/>
            <color indexed="81"/>
            <rFont val="Tahoma"/>
            <family val="2"/>
          </rPr>
          <t xml:space="preserve">
registrado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GAMER</author>
  </authors>
  <commentList>
    <comment ref="A1" authorId="0" shapeId="0" xr:uid="{00000000-0006-0000-1300-000001000000}">
      <text>
        <r>
          <rPr>
            <b/>
            <sz val="9"/>
            <color indexed="81"/>
            <rFont val="Tahoma"/>
            <family val="2"/>
          </rPr>
          <t>PROCEDIMIENTO ESTANDAR DE MANTENIMIENTO CONSISTE EN:</t>
        </r>
        <r>
          <rPr>
            <sz val="9"/>
            <color indexed="81"/>
            <rFont val="Tahoma"/>
            <family val="2"/>
          </rPr>
          <t xml:space="preserve">
• Chequeo del nivel de refrigerante
• Chequeo del sistema de combustible
• Chequear ingresos y salidas de aire
• Revisión de batería
• Chequeo de mangueras del sistema de refrigeración
• Chequear fajas y filtro de aire
• Pulverizado y limpieza externa del generador y conectores con solvente dieléctrico
• Limpieza del obturador de admisión
• Limpieza con solvente dieléctrico de las cabezas visibles del generador principal.</t>
        </r>
      </text>
    </comment>
  </commentList>
</comments>
</file>

<file path=xl/sharedStrings.xml><?xml version="1.0" encoding="utf-8"?>
<sst xmlns="http://schemas.openxmlformats.org/spreadsheetml/2006/main" count="27110" uniqueCount="3961">
  <si>
    <t>FECHA DE SERVICIO</t>
  </si>
  <si>
    <t>SEVICIO EJECUTADO</t>
  </si>
  <si>
    <t>OBSERVACIONES</t>
  </si>
  <si>
    <t>COMPONENTES</t>
  </si>
  <si>
    <t>RESPONSABLE</t>
  </si>
  <si>
    <t>DIRECCION</t>
  </si>
  <si>
    <t>SEDE</t>
  </si>
  <si>
    <t>SERIE</t>
  </si>
  <si>
    <t>CODIGO PATRIMONIAL</t>
  </si>
  <si>
    <t>MARCA</t>
  </si>
  <si>
    <t>MODELO</t>
  </si>
  <si>
    <t>HORAS</t>
  </si>
  <si>
    <t>POTENCIA</t>
  </si>
  <si>
    <t>VOLTAJE</t>
  </si>
  <si>
    <t>HZ</t>
  </si>
  <si>
    <t>TIPO DE GOBERNACION</t>
  </si>
  <si>
    <t>TIPO DE PANEL DE CONTROL</t>
  </si>
  <si>
    <t>MARCA DE MOTOR</t>
  </si>
  <si>
    <t>SERIE DE MOTOR</t>
  </si>
  <si>
    <t xml:space="preserve">MARCA ALTERNADOR </t>
  </si>
  <si>
    <t>SERIE DE ALTERNADOR</t>
  </si>
  <si>
    <t>VOLTAJE DE BATERIA</t>
  </si>
  <si>
    <t>TEMPERATURA DE AGUA</t>
  </si>
  <si>
    <t>PRESION DE ACEITE</t>
  </si>
  <si>
    <t>TIPO DE SERVICIO</t>
  </si>
  <si>
    <t>ESTADO FINAL DEL EQUIPO</t>
  </si>
  <si>
    <t>PEDIDO / OC</t>
  </si>
  <si>
    <t>N° DE GUIA R-R</t>
  </si>
  <si>
    <t>CONSTANCIA RECEPECION DEL SERVICIO</t>
  </si>
  <si>
    <t>INDICADORES DE MOTOR</t>
  </si>
  <si>
    <t>MOTOR</t>
  </si>
  <si>
    <t>ALTERNADOR</t>
  </si>
  <si>
    <t>GRUPO ELECTROGENO</t>
  </si>
  <si>
    <t>GENERAC</t>
  </si>
  <si>
    <t>PG090</t>
  </si>
  <si>
    <t>MANTENIMIENTO PREVENTIVO, cambio de aceite, filtro de aire, bujias(8), limpieza de obturador</t>
  </si>
  <si>
    <t>MANTENIMIENTO PREVENTIVO , cambio de aceite, filtro de aire, bujias(8), limpieza de obturador</t>
  </si>
  <si>
    <t>MANTENIMIENTO PREVENTIVO</t>
  </si>
  <si>
    <t>Se realizo mantenimiento preventivo general de 50 horas, cambio de aceite , cambio de filtro de aceite, revision del nivel de refrigerante y bateria, fajas, mangueras, abrazaderas y conexiones electricas, limpieza de modulo de control del G.E. limpieza en general del grupo con desengrazante, dielectrico , silicona y trapo induistrial</t>
  </si>
  <si>
    <t>Se realizó la calibración de fujo de gas a los G.E, los mismos quedando a 12 columnas de agua y a su vez se calibró el voltaje de salida del generador a 450 vac. los grupos quedaron operativo</t>
  </si>
  <si>
    <t>cambio de aceite, cambio de filtro de aceite, revision del nivel de refrigerante, revision de baterias, fajas, abrazaderas, mangueras de refrigeracion y conexiones electricas.</t>
  </si>
  <si>
    <t>cambio de aceite, cambio de filtro de aceite, revision de nivel de refrigerante, entrada y salida de aire, revision de nivel de refrigerante, sistema de combustible, bateria, faja, mangueras, abrazadera, conexiones electricas, limpieza en general.</t>
  </si>
  <si>
    <t>Mant. preventivo</t>
  </si>
  <si>
    <t>cambio de aceite, cambio de filtro de aceite, revision de nivel de refrigerante, ingreso y salida de aire, sistema de combustible, revision de baterias, fajas, mangueras de refrigeracion, abrazaderas y conexiones electricas. Limpieza general del grupo</t>
  </si>
  <si>
    <t>REEMPLAZO DE BATERIA DC DEL GRUPO ELECTROGENO</t>
  </si>
  <si>
    <t>Mant. preventivo, revisión de fajas, mangueras, abrazaderas, cheque de nivel de refrigerante, rev. de bateria, chequeo de sitema de combustible, rev. de conexiones electricas. Queda operativo</t>
  </si>
  <si>
    <t>Cambio de aceite de motor, cambio de filtro de motor, limpieza general con pulverizado y solvente dielectrico, limpieza y ajuste de bornes de bateria, revision de fajas, mangueras y abrazaderas</t>
  </si>
  <si>
    <t>Se realizó mant. preventivo,cambio de aceite,filtro de aceite y limpieza al G.e en general. Revisión de fajas, mangueras, abrazaderas, chequeo del sistema de combustible y revisión de conecciones electricas, revisión de bateria, chequeo de nivel de refrig</t>
  </si>
  <si>
    <t>cambio de aceite, cambio de filtro de aceite, revision del nivel de refrigerante, sistema de combustible, entrada y salida de aire, bateria, mangueras de refrigeracion, abrazaderas, fajas y conectores electricos. Limpieza en general</t>
  </si>
  <si>
    <t>Se realizo mantenimiento correctivo al sistema de carga alternador con resultados satisfactorios</t>
  </si>
  <si>
    <t>se cambiaron todos los componentes descritos, mantenimiento del obturador, mantenimiento del arrancador y alternador , limpieza general del grupo</t>
  </si>
  <si>
    <t>ARRANQUE INCIAL Y PRUEBA DE FUNCIONAMIENTO</t>
  </si>
  <si>
    <t>REEMPLAZO DE BATERIA</t>
  </si>
  <si>
    <t>ARRANQUE INCIAL DEL GRUPO, ENTREGA DE LLAVES Y MANUAL</t>
  </si>
  <si>
    <t>Instalación de AVR y ,mant. generador</t>
  </si>
  <si>
    <t>Se reparó fuga de aceite por tapa trasera de eje de levas de culata, se realizó limpieza de grupo e inspección general . Queda operativo.Cambio de oring y empaque de dicha tapa donde presentaba la fuga.</t>
  </si>
  <si>
    <t>Se realiza prueba con carga,se realiza encendido remoto de G.E.Se verifica carga de bateria. Ok</t>
  </si>
  <si>
    <t>cambio de reten cigueñal delantero, reemplazo de empaques de tapa de distribución</t>
  </si>
  <si>
    <t>Revision de grupo electrogeno por alarma de frecuencia</t>
  </si>
  <si>
    <t>Suministro e Instalación de reguladora de voltaje(AVR N/of2256)</t>
  </si>
  <si>
    <t>Se realizo reemplazo de reten de cigüeñal delantero, reemplazo de empaque de tapa de distribucion de motor, reemplazo de empaque de tapa de balancin</t>
  </si>
  <si>
    <t>inspeccion a grupo electrogeno GEGA01, cambio de tapon de refrigerante y abrazadera</t>
  </si>
  <si>
    <t>Reporta problema con el regulador de voltaje, existe variacion de voltaje de 250V-210V, manteniendo 145RPM del motor constante</t>
  </si>
  <si>
    <t>Cambio de aceite, cambio de filtro de aceite, aire, bujia, limpieza en general, se realizo mantenimiento del tablero de transferencia automatica</t>
  </si>
  <si>
    <t>Se reemplazó 2 bobinas de ignición</t>
  </si>
  <si>
    <t>Evaluación de fallas, reemplazar 
el octurador,presenta oxilación, regulación de voltaje, desmontar reductor de gas para mantenimiento de sus componentes internos,  realizar limpieza a sensores y conectores y borneras, algunas presentan sulfato a nivel de conexiones del motor. Reemplazo de tapones de agua y abrazaderas. Se evaluó el grupo y solo presenta falla en dicho informe presentado,</t>
  </si>
  <si>
    <t>Cambio de fajas,base de motor, bases de control,horometros,relay de temperatura,relay de arranque,reparación de bomba de inyectores,reparación de arranque y alternador,pruebas con carga, reparación de flexible escape y cambio de mangueras turbo</t>
  </si>
  <si>
    <t>Cambio de fajas,base de motor, bases de control,horometros,relay de temperatura,relay de arranque,reparación de bomba de inyectores,reparación de arranque y alternador,pruebas con carga,  y cambio de mangueras turbo</t>
  </si>
  <si>
    <t>Desmontar y montaje radiador,mant. general al G.E. Pruebas de buen funcionamiento.</t>
  </si>
  <si>
    <t>Cambio de obturador, y pruebas de buen funcionamiento.</t>
  </si>
  <si>
    <t>Se hizo reparación general, mant. arrancador, mant. alternador y mant. generador.</t>
  </si>
  <si>
    <t>Embocinado de polea de cigueñal, cambio de 2 mangueras de radiador, faja de ventilador, 1 polea acanalada, polea de templador, polea lisa y reten delantero de cigueñal. El grupo queda operativo.</t>
  </si>
  <si>
    <t>Se realiza entrega de arrancador según orden de compra 4500665986</t>
  </si>
  <si>
    <t>inspeccion general de grupo electrogeno, se realizo reparacion de campo (cambio de cables de rotor) , se cambio puente de diodos , bornes y conectores</t>
  </si>
  <si>
    <t>Cambio de obturador motor, mant. a reductor de gas, cambio de tapones de agua, limpieza de sensores y conectores.</t>
  </si>
  <si>
    <t>Se realizó inspección del G.E. Se observó que la faja del ventilador está rota debedi a que las poleas están en mal estado por desgaste de su uso. Requiere cambio de poleas de faja, 
mangueras de refrigeración, reten de cigueñal, empaque de carter, faja de ventilador y refrigerante.</t>
  </si>
  <si>
    <t>Se cambió el horometro y se reinician las horas de trabajo.</t>
  </si>
  <si>
    <t>Cambio de bujias, abturador,filtro de aire,
 inspección de equipos y pruebas de buen funcionamiento.</t>
  </si>
  <si>
    <t>se realiza arranque inicial del grupo electrogneo</t>
  </si>
  <si>
    <t>se deja 1/2 gl de aceite para rellenar.</t>
  </si>
  <si>
    <t>es obligatorio que se incremente la carga asociada al equipo, actualmente es de ( ) KW</t>
  </si>
  <si>
    <t>es obligatorio que se incremente la carga asociada al equipo, actualmente es de 15 KW</t>
  </si>
  <si>
    <t>es obligatorio que se incremente la carga asociada, actualmente se encuentra en 8 Kw</t>
  </si>
  <si>
    <t>es obligatorio que se incremente la carga asociada, actualmente se encuentra en 7 Kw</t>
  </si>
  <si>
    <t>es obligatorio que se incremente la carga asociada, actualmente se encuentra en 12 Kw</t>
  </si>
  <si>
    <t>es obligatorio que se incremente la carga asociada, actualmente se encuentra en 13 Kw</t>
  </si>
  <si>
    <t>se deja 1/2gl de aceite para rellenar</t>
  </si>
  <si>
    <t>mediciones:
-voltaje de bateria: 13.5
-Temperatura del agua: 197°f
-Presion de aceite: 64 Psi
-Prueba de carga: H2-60 / V-450 / AMP-38</t>
  </si>
  <si>
    <t>mediciones:
-voltaje de bateria: 13.5
-Temperatura del agua: 196°f
-Presion de aceite: 53 Psi
-Prueba de carga: H2-60 / V-450 / AMP-28</t>
  </si>
  <si>
    <t>se realizaron pruebas de buen funcionamiento, el grupo queda operativo, se deja 1/2 gl para rellenar, 
voltaje AC: 450
Voltaje DC: 13.6</t>
  </si>
  <si>
    <t>se deja 1/2GL de aceite para rellenar</t>
  </si>
  <si>
    <t>la bateria del grupo vino mala de fabrica</t>
  </si>
  <si>
    <t>se deja 1/2 gl de aceite para rellenar</t>
  </si>
  <si>
    <t>FALLAS EN REGULACION DE GAS</t>
  </si>
  <si>
    <t>SE ENTREGARON LLAVES Y MANUALES</t>
  </si>
  <si>
    <t>GRUPO QUEDA 100% OPERATIVO</t>
  </si>
  <si>
    <t>Se necesita cambio de silenciador por que está roto internamente, Presenta ruido anormal</t>
  </si>
  <si>
    <t>Se realiza prueba con carga, se realiza encendido remoto del grupo</t>
  </si>
  <si>
    <t>se encontro una sobrecarga por los equipos de uso, se recomienda utilizar el grupo a la capacidad establecida por fabricante, dimensionar el conductor de carga a su capacidad.</t>
  </si>
  <si>
    <t>el equipo queda 100% opertaivo, se entrega llaves y manuales</t>
  </si>
  <si>
    <t>Se realizo prueba de 3 horas con carga 230V y 114AMP.</t>
  </si>
  <si>
    <t>se presenta fuga por el reten delantero del cigüeñal, requiere cambio de empaque de tapa de cadena de distribucion y empaques de tapa de balancin</t>
  </si>
  <si>
    <t>Arranque inicial y puesta en marcha de grupo electrogeno</t>
  </si>
  <si>
    <t>Se recomienda reemplazar el regular de voltaje</t>
  </si>
  <si>
    <t>se realizo una prueba de carga</t>
  </si>
  <si>
    <t>Se realiza pruebas funcionales, grupo queda operativo</t>
  </si>
  <si>
    <t>se realizaron pruebas en vacio, el grupo queda operativo. Se recomienda cambiar boton pulsador de voltaje.</t>
  </si>
  <si>
    <t>MANTENIMIENTO CORRECTIVO</t>
  </si>
  <si>
    <t>INSPECCION</t>
  </si>
  <si>
    <t>PUESTA EN MARCHA</t>
  </si>
  <si>
    <t>VENTA</t>
  </si>
  <si>
    <t>DESCRIPCION DEL ESTADO INICAL DEL EQUIPO</t>
  </si>
  <si>
    <t>aceite, filtro de aceite.</t>
  </si>
  <si>
    <t>aceite, filtro de aire, filtro de aceite.</t>
  </si>
  <si>
    <t>8 BUJIAS, FILTRO DE AIRE, ACEITE</t>
  </si>
  <si>
    <t>aceite, filtro de aceite, bujias (8), filtro de aire.</t>
  </si>
  <si>
    <t>8 BUJIAS, FILTRO DE AIRE, FILTRO DE ACEITE, ACEITE</t>
  </si>
  <si>
    <t>Aceite, filtro de aceite, filtro de aire, bujias</t>
  </si>
  <si>
    <t>3gl de aceite 10W-30, filtro de aceite.</t>
  </si>
  <si>
    <t>2gl de aceite 10w30, filtro de aceite.</t>
  </si>
  <si>
    <t>Filtro de aceite, Aceite.</t>
  </si>
  <si>
    <t>Filtro de aire, Aceite.</t>
  </si>
  <si>
    <t>1 BATERIA EXID</t>
  </si>
  <si>
    <t>3 1/2 gl aceite,filtro de aceite</t>
  </si>
  <si>
    <t>3GL de aceite 10W-30, filtro de aceite</t>
  </si>
  <si>
    <t>3GL de aceite 10W-30, filtro de aciete</t>
  </si>
  <si>
    <t>cable de bateria con borne y terminal, polea acanalada, polea de detemplado, polea lisa, 4 soportes, bateria, 8 bujias, varilla de aceite, termostato</t>
  </si>
  <si>
    <t>AVR</t>
  </si>
  <si>
    <t>empaque y retenes</t>
  </si>
  <si>
    <t>AVR N/OF2256</t>
  </si>
  <si>
    <t>reten de cigüeñal,tapa de distribucion de motor, empaque de tapa de balancin</t>
  </si>
  <si>
    <t>refrigerante, abrazadera</t>
  </si>
  <si>
    <t>aceite, filtro de aire, filtro de aceite, bujia</t>
  </si>
  <si>
    <t xml:space="preserve">2 Bobinas de ignicion </t>
  </si>
  <si>
    <t>fajas,base de motor,base de control,hodometro,reloj de temperatura, relay de arranque, selenoide</t>
  </si>
  <si>
    <t>faja, panel de radiador nuevo,5 gl. De Refrigerante</t>
  </si>
  <si>
    <t>Radiador nuevo,obturador, 5 gl. refrigerante, cortacorriente</t>
  </si>
  <si>
    <t>2mangueras, 1 polea acanalada, 1 polea templador,1 polea lisa, 
1 faja ventilador, 7gl. refrigerante,1 bateria 16 placas, 5 abrazaderas, radiador panal nuevo,1 termostato.</t>
  </si>
  <si>
    <t>4 bobinas, 4 cables de bujía,2 soportes de motor, 2 soportes de generador, 1 faja de alternador,mant. generador, 2 bornes de bateria, kit de distribución, kit de empaques, mant. arrancador, mant. alternador, kit de empaques de motor</t>
  </si>
  <si>
    <t>4 bobinas de encendido, 4 cables de bujía,
 2 soportes del motor, 2 soportes del generador, 1 faja de alternador, mant. radiador, 2 bornes de bateria, 1 mant. arrancador, 1 mant. alternador y mant generador.</t>
  </si>
  <si>
    <t>embocinado polea de cigueñal, manguera de radiador, faja de ventilador, 1 polea acanalada, polea de templador, polea lisa, reten delantero de cigueñal.</t>
  </si>
  <si>
    <t>arrancador de motor N°5.8H01A</t>
  </si>
  <si>
    <t>puente de diodo, bornes y conectores</t>
  </si>
  <si>
    <t>obturador,tapones de agua</t>
  </si>
  <si>
    <t>Puente diodo, Horometro y fusible de avr</t>
  </si>
  <si>
    <t xml:space="preserve"> bujías, obturador, filtro de aire.</t>
  </si>
  <si>
    <t>Edgar Martin</t>
  </si>
  <si>
    <t>Nestor Huaripata</t>
  </si>
  <si>
    <t>Marcos Ure</t>
  </si>
  <si>
    <t>Victor Tovar</t>
  </si>
  <si>
    <t>Alexander Maguiña</t>
  </si>
  <si>
    <t>Franklin y Nestor</t>
  </si>
  <si>
    <t>Victor Tobar</t>
  </si>
  <si>
    <t>Alejandro Martin</t>
  </si>
  <si>
    <t>Yunyor Tovar</t>
  </si>
  <si>
    <t>DANIEL AMANZO/
MARCOS URE</t>
  </si>
  <si>
    <t>Alexander maguiña</t>
  </si>
  <si>
    <t>Ricardo Sanchez</t>
  </si>
  <si>
    <t>CLIENTE</t>
  </si>
  <si>
    <t/>
  </si>
  <si>
    <t>4500816138</t>
  </si>
  <si>
    <t>4500825670</t>
  </si>
  <si>
    <t>4500798941</t>
  </si>
  <si>
    <t>4500689086</t>
  </si>
  <si>
    <t>4500665986</t>
  </si>
  <si>
    <t>0003-001164</t>
  </si>
  <si>
    <t>0003-001162</t>
  </si>
  <si>
    <t>0003-001161</t>
  </si>
  <si>
    <t>0003-001155</t>
  </si>
  <si>
    <t>0003-001156</t>
  </si>
  <si>
    <t>0003-001160</t>
  </si>
  <si>
    <t>0003-001152</t>
  </si>
  <si>
    <t>0003-001053</t>
  </si>
  <si>
    <t>0003-001150</t>
  </si>
  <si>
    <t>0003-001148</t>
  </si>
  <si>
    <t>E172A1501822280374</t>
  </si>
  <si>
    <t>T33MPG7880</t>
  </si>
  <si>
    <t>NR</t>
  </si>
  <si>
    <t>PD0080-1421</t>
  </si>
  <si>
    <t>GEGA10</t>
  </si>
  <si>
    <t>SFM00032904</t>
  </si>
  <si>
    <t>SAN FERNANDO</t>
  </si>
  <si>
    <t>PL-806</t>
  </si>
  <si>
    <t>Panamericana Sur Km219 / Cabeza de toro</t>
  </si>
  <si>
    <t>PL-807</t>
  </si>
  <si>
    <t>PL-804</t>
  </si>
  <si>
    <t>PL-502</t>
  </si>
  <si>
    <t>PL-805</t>
  </si>
  <si>
    <t>PL-810</t>
  </si>
  <si>
    <t>PL-503</t>
  </si>
  <si>
    <t>PL-801</t>
  </si>
  <si>
    <t>Pan. Sur KM 219 / Cabeza Toro</t>
  </si>
  <si>
    <t xml:space="preserve"> </t>
  </si>
  <si>
    <t>RAMADAL</t>
  </si>
  <si>
    <t>CASMA KM 337</t>
  </si>
  <si>
    <t>Soxa</t>
  </si>
  <si>
    <t>Chorrillos</t>
  </si>
  <si>
    <t>Supe</t>
  </si>
  <si>
    <t>REPRODUCTORA SUPE</t>
  </si>
  <si>
    <t>Pampa Hermosa, Barranca, Supe</t>
  </si>
  <si>
    <t>Reproductora supe</t>
  </si>
  <si>
    <t>SUPE</t>
  </si>
  <si>
    <t>PV06</t>
  </si>
  <si>
    <t>Cabeza Toro</t>
  </si>
  <si>
    <t>Ramadal</t>
  </si>
  <si>
    <t>Casma km. 337</t>
  </si>
  <si>
    <t>soxa</t>
  </si>
  <si>
    <t>granja reproductora soxa km14</t>
  </si>
  <si>
    <t>San Clemente, pisco/ panamericana sur km219</t>
  </si>
  <si>
    <t>granja con con</t>
  </si>
  <si>
    <t>0062370</t>
  </si>
  <si>
    <t>GEGA019</t>
  </si>
  <si>
    <t>PG040</t>
  </si>
  <si>
    <t>GEGA020</t>
  </si>
  <si>
    <t>GEGA009</t>
  </si>
  <si>
    <t>SG050</t>
  </si>
  <si>
    <t>GEGA023</t>
  </si>
  <si>
    <t>RG022</t>
  </si>
  <si>
    <t>GEGA022</t>
  </si>
  <si>
    <t>gega 01</t>
  </si>
  <si>
    <t>H100</t>
  </si>
  <si>
    <t>MODASA</t>
  </si>
  <si>
    <t>X20577B</t>
  </si>
  <si>
    <t>GEGA07</t>
  </si>
  <si>
    <t>GEGA01</t>
  </si>
  <si>
    <t>GEGA115</t>
  </si>
  <si>
    <t>G.E. 20</t>
  </si>
  <si>
    <t>GEGA021</t>
  </si>
  <si>
    <t>GEGA 01</t>
  </si>
  <si>
    <t>GEGA 05</t>
  </si>
  <si>
    <t>90 KW</t>
  </si>
  <si>
    <t>8 KW</t>
  </si>
  <si>
    <t>40 KW</t>
  </si>
  <si>
    <t>50 kw</t>
  </si>
  <si>
    <t>22 kW</t>
  </si>
  <si>
    <t>100 KW</t>
  </si>
  <si>
    <t>9.1 KW</t>
  </si>
  <si>
    <t>60 KW</t>
  </si>
  <si>
    <t>80 KW</t>
  </si>
  <si>
    <t>50 KW</t>
  </si>
  <si>
    <t>OPERATIVO</t>
  </si>
  <si>
    <t>DATOS DEL CLIENTE</t>
  </si>
  <si>
    <t>DOCUMENTACION ADJUNTA</t>
  </si>
  <si>
    <t>ELECTRONICA</t>
  </si>
  <si>
    <t>H-100</t>
  </si>
  <si>
    <t>13.6 V</t>
  </si>
  <si>
    <t>198 °F</t>
  </si>
  <si>
    <t>55 PSI</t>
  </si>
  <si>
    <t>REDONDOS</t>
  </si>
  <si>
    <t>LOBITOS 5</t>
  </si>
  <si>
    <t>Km. 213 Pan. Norte</t>
  </si>
  <si>
    <t>Paramonga km. 213 Norte</t>
  </si>
  <si>
    <t>km. 213.6 Lobitos</t>
  </si>
  <si>
    <t>Nucleo Trebol</t>
  </si>
  <si>
    <t>Paipa, Aucayana</t>
  </si>
  <si>
    <t>Huacho</t>
  </si>
  <si>
    <t>Banderas 1 Ica Km.262</t>
  </si>
  <si>
    <t>Albufera D</t>
  </si>
  <si>
    <t>Carrt. 177 Pan. Norte</t>
  </si>
  <si>
    <t>Albufera C</t>
  </si>
  <si>
    <t xml:space="preserve">Bermejo 6 </t>
  </si>
  <si>
    <t>Km. 228 Pan. Norte, Paramonga</t>
  </si>
  <si>
    <t>Bermejo 8</t>
  </si>
  <si>
    <t>Paramonga km.228</t>
  </si>
  <si>
    <t>Bermejo</t>
  </si>
  <si>
    <t>NUCLEO ZODIACO</t>
  </si>
  <si>
    <t>Pan. Norte Km. 219 Paramonga</t>
  </si>
  <si>
    <t>Lomas</t>
  </si>
  <si>
    <t>Gramadal</t>
  </si>
  <si>
    <t>Pan. Norte km. 249 Gramadal</t>
  </si>
  <si>
    <t>LOMAS</t>
  </si>
  <si>
    <t>Pan. Norte kw 249 Lomas</t>
  </si>
  <si>
    <t>Albufera A y B</t>
  </si>
  <si>
    <t>Pan. Norte km. 172</t>
  </si>
  <si>
    <t>Pampa Colorada</t>
  </si>
  <si>
    <t>Pan.Norte km. 238 Huarmey.</t>
  </si>
  <si>
    <t>CANOAS</t>
  </si>
  <si>
    <t>Pan. Norte km. 231 Huarmey</t>
  </si>
  <si>
    <t>Pan. Norte km. 248</t>
  </si>
  <si>
    <t>BERNARDO</t>
  </si>
  <si>
    <t>Esperanza</t>
  </si>
  <si>
    <t>Pan. Norte 217 Paramonga</t>
  </si>
  <si>
    <t>Hornillos</t>
  </si>
  <si>
    <t>Pan. Norte km. 196.6
 Barranca con desvio Araya Chica-Cochas-Ocros.</t>
  </si>
  <si>
    <t>Banderas</t>
  </si>
  <si>
    <t>VIÑOS 1</t>
  </si>
  <si>
    <t>CARRETERA</t>
  </si>
  <si>
    <t>DAVILA</t>
  </si>
  <si>
    <t>SALINAS</t>
  </si>
  <si>
    <t>LITERA-3</t>
  </si>
  <si>
    <t>PARAMONGA</t>
  </si>
  <si>
    <t>ALBUFERA C</t>
  </si>
  <si>
    <t>reproductora / pamapa colorada</t>
  </si>
  <si>
    <t>pamapa colorada</t>
  </si>
  <si>
    <t>nucleo banderas - vivienda</t>
  </si>
  <si>
    <t>bandera 1 y 2</t>
  </si>
  <si>
    <t>VIÑOS 2</t>
  </si>
  <si>
    <t>llanos 2</t>
  </si>
  <si>
    <t>carretera</t>
  </si>
  <si>
    <t>ALBUFERA D</t>
  </si>
  <si>
    <t>CARRETERAS</t>
  </si>
  <si>
    <t>SAGITARIO</t>
  </si>
  <si>
    <t>ARIES</t>
  </si>
  <si>
    <t>CARRETEA</t>
  </si>
  <si>
    <t>Zodiaco km. 218</t>
  </si>
  <si>
    <t>CANCER</t>
  </si>
  <si>
    <t>0003-001153</t>
  </si>
  <si>
    <t>0003-001113</t>
  </si>
  <si>
    <t>0003-001114</t>
  </si>
  <si>
    <t>2 gl. aceite, 1 filtro de aceite</t>
  </si>
  <si>
    <t>Se realizó insp. al G.E, se revisaron los parametros y se realizó pruebas con banco carga y y queda operativo.</t>
  </si>
  <si>
    <t>se encontro la salida de gas en 28 psi, siendo la correcta en 20 psi. Para garantizar la efectividad del grupo se recomienda mantener el nivel del tanque de combustible por encima del 30% para evitar futuras fallas.</t>
  </si>
  <si>
    <t xml:space="preserve">se realizo inspeccion del grupo electrogeno , se revisaron parametros electricos, se revisaron alarmas y los mismos no presentan fallas, se realizo configuracion del grupo electrogeno.  </t>
  </si>
  <si>
    <t>Se recomineda mantener el nivel de combustible mayor a 30% para evitar futuras fallas. Debe esttar en 20psi la presión de salida de gas. Nota: se probo el grupo electrogeno por mas de 10 minutos y no se apaga como reporto el cliente.</t>
  </si>
  <si>
    <t>se realizo inspeccion del grupo electrogeno , se revisaron parametros electricos, se revisaron alarmas y los mismos no presentan fallas, se realizo configuracion del grupo electrogeno.  Nota: se probo el grupo electrogeno por mas de 10 minutos y no se apaga</t>
  </si>
  <si>
    <t>se recomienda reemplazo de regulador y manometro del tanque de combustible, ya que presenta mala medicion de presion de salida del gas, se recomienda mantener el nivel de gas mayor al 30 % para evitar fallas</t>
  </si>
  <si>
    <t>3 gl. aceite y filtro de aceite</t>
  </si>
  <si>
    <t>se realizo arranque incial del grupo electrogeno de 100 kw, se realizarom instalaciones de suministros de gas e instalaciones electricas.</t>
  </si>
  <si>
    <t>niple 3/4 por 1/2", campana de 3/4 por 1", acople rapido de 1" por 3/4".</t>
  </si>
  <si>
    <t>Los materiales usados fueron suministrados por la empresa EGENER SAC.</t>
  </si>
  <si>
    <t>Mant. preventivo, revisión de mangueras, abrazaderas,fajas y conecciones electricas</t>
  </si>
  <si>
    <t>3gl. aceite y 1 filtro de aceite.</t>
  </si>
  <si>
    <t>Mant. preventivo, rev. filtro de aire, conecciones electricas.</t>
  </si>
  <si>
    <t>3/4 aceite y 1 filtro de petroleo</t>
  </si>
  <si>
    <t xml:space="preserve">Mant. preventivo, rev. filtro de aire, conecciones electricas. </t>
  </si>
  <si>
    <t>Se recomineda el reemplazo del filtro de combustible peridicamente porque se observa impuresas en su linea de combustible.</t>
  </si>
  <si>
    <t>Rev. del G.E. No enciende, se observa que fue manipulado por otro proveedor el 11/08/2019.</t>
  </si>
  <si>
    <t>Mant. Preventivo.</t>
  </si>
  <si>
    <t>3gl.aceite,filtro de aceite,filtro de petroleo. se deja 1/2 gl para rellenar</t>
  </si>
  <si>
    <t>3.gl aceite,1 filtro de aceite,1filtro de petroleo</t>
  </si>
  <si>
    <t>Se corrigió falso contacto de salida del generador. Queda operativo. Volt. 233.10</t>
  </si>
  <si>
    <t>Mant. preventivo y se deja 1/4 para relleno</t>
  </si>
  <si>
    <t>Jorge Castillo</t>
  </si>
  <si>
    <t>2/4 aceite</t>
  </si>
  <si>
    <t xml:space="preserve">Inspección general de generador. Se detectó transformador de corriente de foset con fuga a tierra, generando la alerta en el generador. Se procedió a reparar en campo y se probó por 1 hr. </t>
  </si>
  <si>
    <t xml:space="preserve"> Cambiar resilentes de la base delgrupo para el proximo mantenimiento.</t>
  </si>
  <si>
    <t>CONSUMIBLES</t>
  </si>
  <si>
    <t xml:space="preserve">Se realizó mant. preventivo. Se dejó 1/2 para relleno. Se recomineda realizar mantenimiento general al generador porque se encuentran los devanados contaminados con aceite, polvo y monocido de carbono por falta de ventilación en la sala de grupo electrogeno. </t>
  </si>
  <si>
    <t>4 Gl aceite,1filtro de aceite,1filtro de aire,3 filtros de petroleo</t>
  </si>
  <si>
    <t>Se realizó mant. preventivo al G.E. y se deja 1/2 para relleno.</t>
  </si>
  <si>
    <t>1 filtro de aceite, 1 filtro de aire,1filtro de petroleo,3 gl aceite</t>
  </si>
  <si>
    <t>Re realizó mant. preventivo al G.E, cambiode aceite, filtro de aceite, filtro de aire y filtro depetroleo. Quedó operativo.</t>
  </si>
  <si>
    <t>aceite,filtro de aire, filtro de petroleo
 y filtro de aceite</t>
  </si>
  <si>
    <t>Se realizó montaje del generador. Se realizó las pruebas de buen funcionamiento con carga, voltaje de salida 230 volt, 180 A
, 60 kw. se probó 30min. y queda operativo.</t>
  </si>
  <si>
    <t>Generador</t>
  </si>
  <si>
    <t xml:space="preserve">Se realizó montaje de generador al grupo electrogeno. Se realizó pruebas de buen funcionamiento. Voltaje de salida 230 V. </t>
  </si>
  <si>
    <t>No se pudo realizar las pruebas con carga ya que la granja tiene comederos automaticos y al desconectarlos se desprograman los comederos</t>
  </si>
  <si>
    <t>Mant. preventivo. Se encontró el grupo con fragmentos de cemento en el radiador. Mantener el grupo protegido.</t>
  </si>
  <si>
    <t>2gl. aceite 15w40, 1 filtro de aceite, 1 filtro de petroleo,
 1 filtro de aire.</t>
  </si>
  <si>
    <t>Marcelo Huayta</t>
  </si>
  <si>
    <t>Mantenimiento preventivo y el grupo queda operativo</t>
  </si>
  <si>
    <t>4gl. aceite, 1 filtro de aceite, 1 filtro de aire,
2 filtro de petroleo y 1 filtro separador de agua.</t>
  </si>
  <si>
    <t>El grupo queda operativo. Debe trabajar con mas de 50% de capacidad de carga</t>
  </si>
  <si>
    <t>eje de levas,cambio de aceite, cambio de refrigerante,cambio de filtro de aceite, se realizó calibración de valvulas de admision y escape</t>
  </si>
  <si>
    <t>Se realizó mant. preventivo y se chequeó las conexiones electricas,abrazaderas y mangueras y queda operativo.</t>
  </si>
  <si>
    <t>3gl aceite, 1 filtro de aceite, 1 filtro de petroleo,1 filtro de aire y solvente dielectrico.</t>
  </si>
  <si>
    <t>Se realizó mant. preventivo al G.E, se realizó inspección de las conexiones electricas y el grupo quedó operativo.</t>
  </si>
  <si>
    <t>2/4 aceite, 1 filtro de aire, bujía,
 desengrasante, 1/4 solvente dielectrico</t>
  </si>
  <si>
    <t>Se realizó mant. preventivo al G.E. Queda operativo</t>
  </si>
  <si>
    <t>3 GL. aceite, 1 filtro de aceite,1 filtro de petroleo, 1 filtro de aire, desengrasante, solvente dielectrico, trapo</t>
  </si>
  <si>
    <t>Se realizó mant. preventivo 2 1/2gl. para cambio y 1/2 para relleno.
 Se realizó inspección de conexiones electricas, abrazaderas, mangueras de refrigeración y el grupo queda operativo. Al grupo le correspondía el mantenimiento a las 50 horas. Tiene 128.7 horas pasadas. El siguiente le corresponde a las 300 horas.</t>
  </si>
  <si>
    <t>3 gl. aceite, 1 filtro de aceite, 1 filtro de petroleo, 1 filtro de aire.</t>
  </si>
  <si>
    <t>Montaje y armado de generador, pruebas de buen funcionamiento y pruebas de salida de tensión. Voltaje 231Vac/61Hz</t>
  </si>
  <si>
    <t>situacion encontrada : grupo electrogeno humea azul, el capataz indico que luego de que el tecnico de redondos realizara el mantenimiento este comenzo a fallar, dicho tecnico cambio aceite y bujia</t>
  </si>
  <si>
    <t>Daniel Amanzo</t>
  </si>
  <si>
    <t>se encontro que el grupo electrogeno trabaja en un cuarto con poca ventilacion, se indico al usuario abrir puertas y ventanas, se coloco el grupo en sentido correcto del flujo de aire</t>
  </si>
  <si>
    <t>revisar el nivel de aceite antes de encender el motor, limpiar frecuentemente el equipo</t>
  </si>
  <si>
    <t>Mantenimiento, cambio de aceite y filtro de aceite, filtro de combustible y aire, revision de mangueras, fajas, conexiones electricas, limpieza general</t>
  </si>
  <si>
    <t>revisar el nivel de aceite y refrigerante antes de encender el equipo</t>
  </si>
  <si>
    <t xml:space="preserve">3 galones de aceite 15w-40, 1 filtro de aceite, 1 filtro de aire, 1 filtro de combustible </t>
  </si>
  <si>
    <t>REPORTE:  Se encontro el equipo operativo, con abundante polvo, esto daña al motor y generador</t>
  </si>
  <si>
    <t>limpiar el equipo frecuentemente, revisar el nivel de aceite antes de encender el equipo, cuando se deje de usar el equipo retirar fusible y tapar el equipo</t>
  </si>
  <si>
    <t>Se cambio carbon de generador, se realizaron pruebas con carga maxima de 2 kw, se recomienda elvar la carga a un minimo de 3 kw, se dio insrucciones para el buen funcionamiento de G.E. al administrador kaselly agama</t>
  </si>
  <si>
    <t xml:space="preserve">el uso del grupo con baja carga daña severamente el motor </t>
  </si>
  <si>
    <t>MANTENIMIENTO PREVENTIVO 50 HORAS: se cambio aceite del motor, se cambio filtro de aceite, se reviso las conexiones electricas y mangueras de refrigeracion, se realizo limpieza de motor</t>
  </si>
  <si>
    <t>4 gl de aceite 15w-40, 1 filtro de aceite 4627133, dielectrico, desengrasante</t>
  </si>
  <si>
    <t>MANTENIENTO PREVENTIVO 50 HORAS: Se realizo cambio de aceite, cambio de filtro de aceite, se realizo limpieza del grupo electrogeno con desengrasante y disolvente dielectrico</t>
  </si>
  <si>
    <t>observacion: se encontro que el grupo consumia aceite por trabajar con poca carga, 26% de la carga total</t>
  </si>
  <si>
    <t>2,5 gl de aceite 15w-40, filtro de aceite 2654407, desengrasante, disolvente dielectrico</t>
  </si>
  <si>
    <t>MANTENIMIENTO PREVENTIVO 50 HORAS: se hizo el cambio de aceite, se cambio el filtro de aceite, se reviso las conexiones electricas y mangueras de refrigeracion</t>
  </si>
  <si>
    <t>nota: el grupo trabaja con un toral de 47% de carga, se recomienda aumentar la carga</t>
  </si>
  <si>
    <t>2,5gl de aceite 15w-40,1 filtro de aceite 2654407, disolvente dielectrico, desengrasante</t>
  </si>
  <si>
    <t>se realizo mantenimiento preventivo, cambio de filtro de aire, cambio de aceite de motor, cambio de bujia, limpieza del grupo con desengrasante y dielectrico, nota: se deja 0.5 de aceite para rellenar cuando sea necesario</t>
  </si>
  <si>
    <t>se encontro con la mitad de aceite al motor, el encargado notifico que debe rellenar aproximadamente con 1/4 de aceite de motor, la bujia que se cambio y el electrodo de aceite se encontaban quemados, se encontro los cables de temperatura de aceite desconectados</t>
  </si>
  <si>
    <t>3 botellas aceite 10w-30 de 1/4 de galon, 1 filtro de aire 069371A,  1 bujia BKRSE, desengrasante, dielectrico</t>
  </si>
  <si>
    <t>mantenimiento preventivo 150 horas: cambio de aceite, filtro de aire y bujia, revision de bateria y conexiones electricas</t>
  </si>
  <si>
    <t>nota: consumo maximo 4,3 A</t>
  </si>
  <si>
    <t>1/2 gl de aceite 10w-30</t>
  </si>
  <si>
    <t>mantenimiento preventivo al grupo electrogeno de 19 kw, se realizo cambio de aceite de motor, se realizo cambio de filtro de aceite, filtro de aire, filtro de petroleo, se inspecciono las mangueras de refrigeracion  y las conexiones electricas,  se realizo limpieza de motor y partes electricas con disolvente dielectrico, se encontro el tanque sin combustible, por ello no encendia correctamente o se apagaba</t>
  </si>
  <si>
    <t>3gl aceite, 1 filtro de aceite 1405 17050, 1 filtro de petroleo 26561117,1 filtro de aire A-7620-S  y disolvente dielectrico.</t>
  </si>
  <si>
    <t>Mantenimiento preventivo del grupo de 7,5 kw, se cambio el aceite de motor, se cambio la bujia, se cambio el filtro de aire, se realizo limpieza del motor y capsula, se verifico y calibro valvulas</t>
  </si>
  <si>
    <t>se deja 1/4 de aceite para rellenar en caso sea necesario</t>
  </si>
  <si>
    <t>2 gl de aceite 10w-30(1/4 de galon), 1 filtro de aire OE9371A, bujia BKR5E, desengrasante, disolvente dielectrico</t>
  </si>
  <si>
    <t>mantenimiento preventivo al grupo electrogeno de 19 kw, se realizo cambio de aceite de motor, se realizo cambio de filtro de aceite, filtro de aire, filtro de petroleo, se inspecciono las mangueras de refrigeracion  y las conexiones electricas,  se realizo limpieza de motor y partes electricas con disolvente dielectrico.</t>
  </si>
  <si>
    <t>3gl de aceite 15w-40, 1 filtro de aceite 140517050, 1 filtro de petroleo 26561117, 1 filtro de aire A-7620-s, disolvente dielectrico</t>
  </si>
  <si>
    <t>Se encontro la bateria descargada del grupo de 7,5 kw, por lo que se procedio a cargarla por medio de unos cables, el grupo se pudo prender con normalidad, y esta operativo generando carga</t>
  </si>
  <si>
    <t>en caso el grupo no este siendo utilizado, desconectar el fusible, para evitar la descarga del mismo</t>
  </si>
  <si>
    <t>Se realizo al grupo electrogeno los siguientes servicios: cambio de aceite de motor, cambio de filtro de aceite, cambio de filtro de aire, cambio de filtro de combustible y purgado del sistema de combustible, lavado de motor y partes electicas con disolvente dielectrico, lavado del encapsulado con desengrasante</t>
  </si>
  <si>
    <t>3gl de aceite 15w-40, 1 filtro de aceite, 1 filtro de petroleo, 1 filtro de aire A-7620-s.</t>
  </si>
  <si>
    <t>Grupo electrogeno quedo instalado y operativo generando energia</t>
  </si>
  <si>
    <t>se deja un manifold</t>
  </si>
  <si>
    <t>El grupo quedo instalado y operativo generando voltaje</t>
  </si>
  <si>
    <t>evaluacion de grupo electrogeno: se encontro el grupo inoperativo, presenta ruido extraño dentro del motor.</t>
  </si>
  <si>
    <t>se recomienda trasladar el grupo al taller para una evaluacion interna, grupo a gas</t>
  </si>
  <si>
    <t>Se realizo el cambio de carbones al generador y limpieza del mismo, el generador ya genra corriente, el grupo queda operativo</t>
  </si>
  <si>
    <t>1 carbones</t>
  </si>
  <si>
    <t>Se realizo cambio de carbones, se realizo cambio de rodajes y limpieza del generador</t>
  </si>
  <si>
    <t>1 carbones, 1 rodaje</t>
  </si>
  <si>
    <t>se realizo mantenimiento preventivo, cambio de filtro de aire, cambio de aceite, se cambio la bujia .</t>
  </si>
  <si>
    <t>nota: se deja 1/4  de aceite para rellenar cuando sea necesario</t>
  </si>
  <si>
    <t>1/2gal aceite 10W-30,filtro de aire, 1 bujia, 3 trapos industriales, 1/4 disolvente dielectrico</t>
  </si>
  <si>
    <t>Se realizo mantenimiento preventivo, cambio de aceite, cambio de filtro de aceite, cambio de filtro de combustible, cambio de filtro de aire y se realizo limpieza con disolvente dielectrico, se reviso conecciones electricas y mangueras de refrigeracion.</t>
  </si>
  <si>
    <t>2 1/2gl de aceite 15W-40, 1 filtro de aceite, 1 filtro de petroleo, 1 filtro de aire, 1 desengrasante, 5 trapos industriales, 1/4 de disolvente dielectrico</t>
  </si>
  <si>
    <t>Se realizo calibracion de valvulas del grupo, se limpio los contactos electricos, el grupo queda operativo</t>
  </si>
  <si>
    <t>Se realiza limpieza de contactos electricos</t>
  </si>
  <si>
    <t>se realizo mantenimiento preventivo, se cambio el aceite del motor, el filtro de aceite, el filtro de petroleo, el filtro de aire, se realizo la limpieza del grupo gemerador, con desengrasante y dielectrico</t>
  </si>
  <si>
    <t>1 filtro de aceite, 1 filtro de aire,1filtro de petroleo,2.5 gl aceite, 4 trapos industriales</t>
  </si>
  <si>
    <t>Mantenimiento preventivo: cambio de aceite, filtro de aceite, filtro de aire, filtro de combustible, revision de bateria, mangueras, fajas y conexiones electricas,     nota: se hicieron pruebas donde se encontro lo siguiente, cuando el grupo trabaja con la iluminacion de galpones consume 33A por un lapso de 7 dias aproximadamente, luego de este periodo el grupo trabaja solo alimentando zona de viviendas y consume 7A en un lapso de 12 dias aproximadamente.</t>
  </si>
  <si>
    <t>se recomienda que durante el periodo que solo alimenta vivienda adicionar carga por que el uso del grupo electrogeno con baja carga lo saña de forma severa</t>
  </si>
  <si>
    <t>2,5 glaceite 15w-40, 1 filtro de aire, 1 filtro de combustible, 1 filtro de aceite.</t>
  </si>
  <si>
    <t>Se instalo bateria nueva, se rectifico el sistema de carga de bateria</t>
  </si>
  <si>
    <t>1 bateria etna 09 placas 12V</t>
  </si>
  <si>
    <t>Se cambio aceite, filtro de aire, bujia, regulacion de valvulas, revision de estado de bateria, conexiones electricas, limpieza con solvente y desengrasante.</t>
  </si>
  <si>
    <t>se realizo pruebas de buen funcionamiento</t>
  </si>
  <si>
    <t>1/2gl de aceite 10W-30, 1 filtro de aire, 1 bujia.</t>
  </si>
  <si>
    <t>Se evaluo grupo electrogeno encontrandose la bateria descargada, se procedio a desmontar para su evaluacion en el taller</t>
  </si>
  <si>
    <t>Se realizo los siguientes correctivos:    motor( cambio de culata, valvulas, reten de valvulas y empaque de culata),  generador ( cambio de AVR, carbones y rodajes),  se realizo cambio de aceite, cabio de filtro de aire y bujia, revision de carga de bateria, limpieza.</t>
  </si>
  <si>
    <t>1 culata, 2 valvulas, 1 reten de valvula, 1 empaque de culata, 1 AVR, 1 carbon, 1 rodaje, 1/2gl de aceite 10W-30, 1 filtro de aceite, 1 bujia</t>
  </si>
  <si>
    <t>cambio de aceite, filtro de aceite, filtro de combustible, filtro de aire, revision de bateria, faja, mangueras, voltaje de bateria = 14,2V , pulverizado de grupo electrogeno con desengrasante y limpieza de generador con solvente</t>
  </si>
  <si>
    <t>3 galones de aceite 15w-40, 1 filtro de aceite, 1 filtro de aire, 1 filtro de combustible.</t>
  </si>
  <si>
    <t>Se procedio a cambiar el horometro, se dejo en cero las horas</t>
  </si>
  <si>
    <t>1 horometro</t>
  </si>
  <si>
    <t>Mantenimiento del grupo electrogeno: cambio de aceite, cambio de filtro de aceite, filtro de aire y filtro de combustible, revision de mangueras, fajas y conexiones electricas pulverizado de motor con desengrasante y pulverizado de motor con solvente. limpieza general.</t>
  </si>
  <si>
    <t>2,5gl de aceite 15w-40,1 filtro de aceite, 1 filtro de combustible, 1 filtro de aire , 1/4 disolvente dielectrico, 1/4 desengrasante</t>
  </si>
  <si>
    <t>Mantenimiento al grupo electrogeno: cambio de aceite, filtro de aire, bujia, revision de bateria y conexiones electricas, pulverizado de generador, limpieza general.</t>
  </si>
  <si>
    <t>1/2gl de aceite 10W-30, 1 filtro de aire, 1 bujia, 1/4 de solvente dielectrico, 1/4 de desengrasante</t>
  </si>
  <si>
    <t>2,5gl de aceite 15w-40,1 filtro de aceite, 1 filtro de combustible, 1 filtro de aire.</t>
  </si>
  <si>
    <t>se realizo mantenimiento preventivo, cambio de aceite y filtro de aire, cambio de bujia y calibracion de valvulas</t>
  </si>
  <si>
    <t>Alto consumo de aceite a causa de baja carga, se deja 1/4 de acite para rellenar de ser necesario. Se recomienda cambiar el horometro por estar averiado.</t>
  </si>
  <si>
    <t xml:space="preserve">1/2 de aceite 10w30, filtro de aire </t>
  </si>
  <si>
    <t>Instalacion de bateria</t>
  </si>
  <si>
    <t>el grupo quedo operativo</t>
  </si>
  <si>
    <t>1 bateria rocket</t>
  </si>
  <si>
    <t>Se realizo mantenimiento preventivo, cambio de aceite, cambio de filtro de aceite, cambio de filtro de petroleo, cambio de filtro de aire y se realizo limpieza con disolvente dielectrico y lavado del grupo.</t>
  </si>
  <si>
    <t>2gl de aceite 15W-40, 1 filtro de aire, 1 filtro de petroleo, 1 filtro de aceite.</t>
  </si>
  <si>
    <t>Se desmonto bateria para su revision, se encontro descargada. Se traslado al taller para su evaluacion, se realizaron pruebas al sistema de carga de bateria encontrandose funcionando correctamente</t>
  </si>
  <si>
    <t>Reparacion de motor: cambio de culata, valvulas, reten de valvula, filtro de aire y aceite, se realizaron pruebas de buen funcionamiento, quedando operativo con una carga de 16 A</t>
  </si>
  <si>
    <t>1 culata, 2 valvulas, 1 reten de valvula, 1 filtro de aire, 1/4 de aceite</t>
  </si>
  <si>
    <t>Rebobinado de generador, cambio de AVR, cambio de carbones, se realizaron pruebas de buen funcionamiento</t>
  </si>
  <si>
    <t>prueba de buen funcionamiento con carga de 19A.</t>
  </si>
  <si>
    <t>Se realizo mantenimiento: cambio de aceite, cambio de filtro de aceite, cambio de filtro de combustible, cambio de filtro de aire, revision de estado de bateria, faja y mangueras, pulverizado de generador y motor con solvente dielectrico. Limpieza general con desengrasante</t>
  </si>
  <si>
    <t>Aceite 15W-40, 1 filtro de aceite, 1 filtro de combustible, 1 filtro de aire, 1/4 de solvente dielectrico, 1/4 de desengrasante.</t>
  </si>
  <si>
    <t>Aceite 15W-40, 1 filtro de aceite, 1 filtro de combustible, 1 filtro de aire.</t>
  </si>
  <si>
    <t>Se encontro bateria descargada, se procedio a encender el equipo y dejar cargando la bateria, esta se descargo por que el equipo estaba sin uso por una semana con el fusible puesto</t>
  </si>
  <si>
    <t>se realizo cambio de aceite, cambio de filtro de aire, cambio de bujia, revision de estado de bateria, pulverizado de generador y pruebas en vacio</t>
  </si>
  <si>
    <t>Se encontro el nivel de aceite bajo, se recomienda mantener el nivel de acite al maximo.</t>
  </si>
  <si>
    <t>1/2gl de aceite 10W-30, 1 filtro de aire, 1 bujia, 1/4 de solvente dielectrico, 1/4 de desengrasante, 1kg de trapo industrial</t>
  </si>
  <si>
    <t>Se evaluo la unidad encontrandose: falla por generacion, según indican el grupo se apago luego de un cortocircuito en el cableado, corrigieron el cableado, encendieron el equipo pero este ya no generaba.</t>
  </si>
  <si>
    <t xml:space="preserve">es necesario el traslado del equipo al taller para su evaluacion </t>
  </si>
  <si>
    <t>El usuario indico que el grupo se apaga a la hora de trabajo, se procedio a rellenar el aceite de motor y el grupo quedo operativo</t>
  </si>
  <si>
    <t>se probo la unidad por una hora trabajando con carga, se recomienda mantener al maximo el nivel de acite para evitar fallas</t>
  </si>
  <si>
    <t>Se realizo mantenimiento: cambio de aceite, cambio de filtro de aceite, cambio de filtro de combustible, cambio de filtro de aire, se inspecciono el grupo electrogeno . Limpieza general</t>
  </si>
  <si>
    <t>se realizo pruebas de buen funcionamiento en vacio</t>
  </si>
  <si>
    <t>2gl de aceite 15W-40, 1 filtro de aire A-8602-S, 1 filtro de combustible BDS-892, 1 filtro de aceite MD-136466.</t>
  </si>
  <si>
    <t>se encontro el motor sin aceite, esto ocasiono que la valvula de admision se atasque y doble la varilla del balancin, es mecesario el traslado del grupo electrogeno al taller</t>
  </si>
  <si>
    <t>cambio de aceite, cambio de bujia, cambio de filtro de aire, regulacion de valvulas, limpieza, pulverizado con solvente dielectrico</t>
  </si>
  <si>
    <t>1/2gl de aceite 10W-30, 1 filtro de aire, 1 bujia, 1/4 de solvente dielectrico, 1/4 de carboclean</t>
  </si>
  <si>
    <t>se instalo el grupo electrogeno procedente de la granja de don jose</t>
  </si>
  <si>
    <t>Se realizo cambio de aceite, cambio de filtro de aceite, filtro de petroleo, limpieza del grupo con desengrasante y solvente</t>
  </si>
  <si>
    <t>2gl aceite 15W-40, filtro de aire, filtro de aceite, filtro de petroleo, 1/4 de desengrasante, 1/4 de solvente dielectrico, 3 trapos industriales</t>
  </si>
  <si>
    <t>Se cambio aceite, filtro de aire, bujia, regulacion de valvulas, revision de estado de bateria, conexiones electricas, limpieza con solvente.</t>
  </si>
  <si>
    <t>1/2gl de aceite 10W-30, 1 filtro de aire, 1 bujia, 1/4 de solvente dielectrico.</t>
  </si>
  <si>
    <t>cambio de aceite y filtro de aceite, cambio de filtro de combustible, revision de mangueras y fajas, revision de nivel de carga de bateria, revision de conexiones electricas, pulverizado de motor con desengrasante, pulverizado de generador con solvente dielectrico.</t>
  </si>
  <si>
    <t>se realizo pruebas de buen funcionamiento en vacio, en el proximo servicio se requiere el cambio de filtro de aire, el grupo electrogeno debe trabajar siempre con un minimo de 1/4 de tanque, antes de usar llenar el tanque de combustible.</t>
  </si>
  <si>
    <t>2gl aceite 15W-40, filtro de aceite, filtro de combustible, 1/4 de desengrasante, 1/4 de solvente dielectrico.</t>
  </si>
  <si>
    <t>Se cambio aceite, filtro de aceite, bujia, regulacion de valvulas, revision de estado de bateria, conexiones electricas, limpieza con solvente.</t>
  </si>
  <si>
    <t>1/2gl de aceite 10W-30, 1 filtro de aceite, 1 bujia, 1/4 de solvente dielectrico.</t>
  </si>
  <si>
    <t>se procedio a chequear el grupo electrogeno realizando el cambio de bateria nueva de marca Rocket, se hizo la prueba de carga previa supervision del encargado de viños 2, El G.E. quedo operativo</t>
  </si>
  <si>
    <t>1 bateria rocket smfNX100_3625</t>
  </si>
  <si>
    <t>Jose Gonzaga</t>
  </si>
  <si>
    <t>Se realizo mantenimiento preventivo, se hizo una limpieza general, procediendo a cambiar el filtro de aire, filtro de aceite, filtro de petroleo , cambio de aceite, se hizo un lavado general a la capsula y al grupo, se encontro el grupo con bajo nivel de aceite</t>
  </si>
  <si>
    <t>se encontro el nivel de aceite bajo</t>
  </si>
  <si>
    <t>2gl de aceite 15W-40, 1 filtro de aire A-8602-S, 1 filtro de combustible BPS-829, 1 filtro de aceite MD-136466.</t>
  </si>
  <si>
    <t>Se procedio a limpiar la paleta del obturador y luego se procedio a probar el grupo con la supervision del capataz Vidal Salvador, quedando el grupo operativo</t>
  </si>
  <si>
    <t>en el grupo se encuenta demasiado polvo, mantener el grupo dentro de una caseta.</t>
  </si>
  <si>
    <t>se relizaron pruebas de funcionamiento del G.E. en atencion a la solicitud del cliente el cual indico que el grupo presentaba falla de baja presion de aceite</t>
  </si>
  <si>
    <t>fallas encontradas: mala conexión de sensor de presion, fuga de aceite en la conexión de sensor de presion, bajo nivel de aceite, se relleno 1 galon de 1/4 de aceite, fuga de refrigerante en radiador</t>
  </si>
  <si>
    <t>1 galon de 1/4 de aceite</t>
  </si>
  <si>
    <t>Jesus Sanchez</t>
  </si>
  <si>
    <t>Se reviso el grupo electrogeno y ahora esta operativo, se realizo la calibracion de valvulas</t>
  </si>
  <si>
    <t>mantenimiento preventivo:
- se realizo cambio de aceite
-se cambio filtro de aire
-se cambio el selenoide de obturador</t>
  </si>
  <si>
    <t>1/4 de aceite, 1 filtro de aire, 1 solenoide de obturador 1/4 de aceite</t>
  </si>
  <si>
    <t>Filtro de aire, 1 filtro de aceite, 2 galones de aceite, 1 filtro de petroleo, trapos industriales</t>
  </si>
  <si>
    <t>se ralizo mantenimiento preventivo:
-se cambio aceite y filtro de aire
-se hizo limpieza del obturador y se pulverizo con disovente dielectrico
-se cambio bujia</t>
  </si>
  <si>
    <t>2 galones de 1/4 de aceite, filtro de aire, 1 bujia, trapos industriales, disolvente dielectrico.</t>
  </si>
  <si>
    <t>cambio de aceite y filtro de aceite, cambio de filtro de combustible, revision de mangueras y fajas, revision de nivel de carga de bateria , revision de conexiones electricas,  pulverizado de generador con solvente disolvente dielectrico</t>
  </si>
  <si>
    <t>presion de aceite = 68psi
voltaje de bateria =14.3</t>
  </si>
  <si>
    <t>2gl de aceite 10W-30, 1 filtro de aceite, 1 filtro de aire, 1/4 de solvente dielectrico, 1/4 de desengrasante.</t>
  </si>
  <si>
    <t>GOO68640</t>
  </si>
  <si>
    <t>PEE2626870</t>
  </si>
  <si>
    <t>PMY20B</t>
  </si>
  <si>
    <t>no presenta</t>
  </si>
  <si>
    <t>Perkins</t>
  </si>
  <si>
    <t>PEE2626600</t>
  </si>
  <si>
    <t>PEE2626877</t>
  </si>
  <si>
    <t>PEE2626891</t>
  </si>
  <si>
    <t>PEE2628355</t>
  </si>
  <si>
    <t>PEE2599048</t>
  </si>
  <si>
    <t>PEE2613305</t>
  </si>
  <si>
    <t>G006841</t>
  </si>
  <si>
    <t>PEE2615852</t>
  </si>
  <si>
    <t>PEE2628358</t>
  </si>
  <si>
    <t xml:space="preserve">POWER PACT </t>
  </si>
  <si>
    <t>0065610</t>
  </si>
  <si>
    <t>PEE2615961</t>
  </si>
  <si>
    <t>PEE2613304</t>
  </si>
  <si>
    <t>PEE2616962</t>
  </si>
  <si>
    <t>PEE2613893</t>
  </si>
  <si>
    <t>PEE2613303</t>
  </si>
  <si>
    <t>PEE2515962</t>
  </si>
  <si>
    <t>PEE2599049</t>
  </si>
  <si>
    <t>PEE2615851</t>
  </si>
  <si>
    <t>PEE2699049</t>
  </si>
  <si>
    <t>YANMAR</t>
  </si>
  <si>
    <t>GSW25</t>
  </si>
  <si>
    <t>04632 / H341112881</t>
  </si>
  <si>
    <t>G.E FORD MECALTE</t>
  </si>
  <si>
    <t>W5G-1068</t>
  </si>
  <si>
    <t>54 KW</t>
  </si>
  <si>
    <t>5 KW</t>
  </si>
  <si>
    <t>20 KW</t>
  </si>
  <si>
    <t>100kw</t>
  </si>
  <si>
    <t>100 kw</t>
  </si>
  <si>
    <t>19 KW</t>
  </si>
  <si>
    <t>7 KW</t>
  </si>
  <si>
    <t>7,5 KW</t>
  </si>
  <si>
    <t>7.5 KW</t>
  </si>
  <si>
    <t>2365,07</t>
  </si>
  <si>
    <t>49,25</t>
  </si>
  <si>
    <t>33,3</t>
  </si>
  <si>
    <t>1466,6</t>
  </si>
  <si>
    <t>791,6</t>
  </si>
  <si>
    <t>1165,74</t>
  </si>
  <si>
    <t>666,1</t>
  </si>
  <si>
    <t>2244,7</t>
  </si>
  <si>
    <t>1051,19</t>
  </si>
  <si>
    <t>732,12</t>
  </si>
  <si>
    <t>2102,52</t>
  </si>
  <si>
    <t>29,73</t>
  </si>
  <si>
    <t>1153,64</t>
  </si>
  <si>
    <t>530,6</t>
  </si>
  <si>
    <t>729,39</t>
  </si>
  <si>
    <t>1027,23</t>
  </si>
  <si>
    <t>1129,27</t>
  </si>
  <si>
    <t>739,25</t>
  </si>
  <si>
    <t>1944,76</t>
  </si>
  <si>
    <t>726,38</t>
  </si>
  <si>
    <t>NO OPERATIVO</t>
  </si>
  <si>
    <t>DIA</t>
  </si>
  <si>
    <t>MES</t>
  </si>
  <si>
    <t>AÑO</t>
  </si>
  <si>
    <t>SANTA ELENA</t>
  </si>
  <si>
    <t>PL-310B</t>
  </si>
  <si>
    <t>Carrt. Panamericana Sur km. 72 ,Puerto viejo</t>
  </si>
  <si>
    <t>Crrt. Panamericana Sur km. 108 Sara Pampa Alta Asía.</t>
  </si>
  <si>
    <t>PL-310C</t>
  </si>
  <si>
    <t>Carrt. Panamericana Sur km. 72,Puerto viejo</t>
  </si>
  <si>
    <t>PL-29</t>
  </si>
  <si>
    <t>Pan. Sur. km. 40 Lomas de Pucara Lurin</t>
  </si>
  <si>
    <t>Hilasaca</t>
  </si>
  <si>
    <t>Quilmaná km 121 cañete</t>
  </si>
  <si>
    <t>PL-149</t>
  </si>
  <si>
    <t>Crrt. Pan. Sur km.153</t>
  </si>
  <si>
    <t>PL-312</t>
  </si>
  <si>
    <t>carrt.  Pan. Sur km. 71 Asia</t>
  </si>
  <si>
    <t>PL-310A</t>
  </si>
  <si>
    <t>Pan. Sur km.72.5, puerto viejo</t>
  </si>
  <si>
    <t>ASIA 1</t>
  </si>
  <si>
    <t xml:space="preserve">crrt. Pan. Sur km. 120  Asía </t>
  </si>
  <si>
    <t>CAÑETE</t>
  </si>
  <si>
    <t>Hilasaca2</t>
  </si>
  <si>
    <t>Km. 140</t>
  </si>
  <si>
    <t>ASIA 2</t>
  </si>
  <si>
    <t>ASIA 3</t>
  </si>
  <si>
    <t>Pn. Norte km. 108 Huacho.</t>
  </si>
  <si>
    <t>San Judas Tadeo 3</t>
  </si>
  <si>
    <t>Sect. Pampas Huerequeque, carretera Huayan km 10.5,huaral, Lima</t>
  </si>
  <si>
    <t>San Judas Tadeo 2</t>
  </si>
  <si>
    <t>CHAMBARA</t>
  </si>
  <si>
    <t>Carrt. Pan. Norte km.155 alt. km. 29 Sayan</t>
  </si>
  <si>
    <t>San Judas Tadeo 1</t>
  </si>
  <si>
    <t>0003-001143</t>
  </si>
  <si>
    <t xml:space="preserve">INSTALACION DE CONTROL EVOLUTIONS, PRUEBA DE GRUPO ELECTROGENO 240 VOL, PRUEBA DE CARGA, 25 AMPERIOS, TEMPERATURA 50 ºc  , LIMPIEZA DE MOTOR Y GENERADOR, REVISION DE FAJAS DE MOTOR, </t>
  </si>
  <si>
    <t>Se realizó inspección al G.E, presenta fuga por retenes delanteros.El eje de levas y cigueñal requiere cambio de tablero de control. En ese G.E intervino otro proveedor</t>
  </si>
  <si>
    <t>Cambio de bobina y cables de bujías por garantía, limpieza de cabezal de generador y limpieza de radiador</t>
  </si>
  <si>
    <t>Cambio de bomba de agua por garantía. Cambio de base de filtro de aire y seguro de bateria.</t>
  </si>
  <si>
    <t>Mantenimiento preventivo</t>
  </si>
  <si>
    <t>instalación de módulo, calibración y pruebas. Voltaje AC 240VAC, Bateria 13.10, frecuencia 60Hz 1800 RPM</t>
  </si>
  <si>
    <t>Chequeo de nivel de refrigerante, chequeo de nivel de combustible, chequeo de ingreso y salida de aire, revisión de bateria, revisión de mangueras de refrigerante, revisión d efaja, limpieza de obturador, cambio de aceite y filtros y se deja 1/2 para rell</t>
  </si>
  <si>
    <t>mant. preventivo</t>
  </si>
  <si>
    <t>Cambio de modulo</t>
  </si>
  <si>
    <t>Mant. preventivo, revisión de fajas, cheq. nivel refrigerante, mangueras, conexiones electricas, rev. de bateria, limpieza obturador y limp. general.</t>
  </si>
  <si>
    <t>Cheque de nivel de refrigerante,fajas, mangueras, conexiones electricas, rev. de bateria, limpieza obturador. queda ok.</t>
  </si>
  <si>
    <t>Se retira el modulo de encendido, el mismo que va ser llevado a nuestras instalaciones para su evaluación y corrección.</t>
  </si>
  <si>
    <t>Se limpió los sensores, cableado electrico, fajas y mangueras. Queda operativo</t>
  </si>
  <si>
    <t>limpieza de obturador,rev. de mangueras, rev. de faja y se deja 1/4 de aceite para rrelleno.</t>
  </si>
  <si>
    <t>Se realizó inspección del G.E por posible ruido "cambio de rodaje y se mando embocinar tapa de generador. Queda operativo</t>
  </si>
  <si>
    <t>mant. preventivo y se cambio llave de fuerza por garantía.</t>
  </si>
  <si>
    <t>Mant. preventivo, chequeo de combustible,salida de aire, rev. de bateria, manguera de refrigerante, revisar fajas, limpieza de obturador de admisión y se deja 1/4 de aceite para relleno</t>
  </si>
  <si>
    <t>Mant. preventivo,chequeo de refrigerante,nivel de combustible, ingreso y salida de aire, rev. de bat.,rev. de mang. de refrig.,faja y limpieza de obturador.</t>
  </si>
  <si>
    <t>Mant. preventivo. Rev. de fajas,mangueras y conexiones electricas.</t>
  </si>
  <si>
    <t>Mant. preventivo y se deja 1/4 de aeite para relleno</t>
  </si>
  <si>
    <t>Mantenimineto preventivo</t>
  </si>
  <si>
    <t>Se calibraron bujias, reg. de luz valvula y reg. de grado de distribución.</t>
  </si>
  <si>
    <t>arranque inicial</t>
  </si>
  <si>
    <t>Cambiode bendiz</t>
  </si>
  <si>
    <t>cambio de llave termica</t>
  </si>
  <si>
    <t>Mant. Preventivo</t>
  </si>
  <si>
    <t>Cambio de llave termica por garantía.</t>
  </si>
  <si>
    <t>ARRANQUE INICIAL</t>
  </si>
  <si>
    <t>Arranque inicial</t>
  </si>
  <si>
    <t>Se realizó evaluación y la falla es que el cilindro de GLP está surtiendo a 2 galpones para la calefacción, esto ocaciona que disminuya los psi que suministra el G.E ocacionando la falla. Se recomineda colocar cilindro individual.</t>
  </si>
  <si>
    <t>mantenimiento preventivo.</t>
  </si>
  <si>
    <t>Mantenimineto preventivo.</t>
  </si>
  <si>
    <t>mant. de 50 horas</t>
  </si>
  <si>
    <t>Mant. preventivo y se deja 1/4 aceite para relleno</t>
  </si>
  <si>
    <t>Mant. preventivo 50 horas</t>
  </si>
  <si>
    <t>Arranque inicial,carga 38 amp en granja</t>
  </si>
  <si>
    <t>Arranque inicial. Carga en granja 6 amp.</t>
  </si>
  <si>
    <t>mant. preventivo y quedó operativo</t>
  </si>
  <si>
    <t>reemplazo de reten de cigueñal.</t>
  </si>
  <si>
    <t>Reparación de alternador: Se reemplazó diodos,carbones,rodamiento y relay. Se realiza pruebas de buen funcionameinto por 1 hora con carga 192-190-191 amp.</t>
  </si>
  <si>
    <t>El G.E presenta fuga de aceite por el reten del motor. Se encuentra trabajando en 6.44 kw.</t>
  </si>
  <si>
    <t>Se realizó inspección al G.E, el mismo no encendía debido a que el sensor de levas presenta falla interna. Se reemplaza por 1 nuevo. El dañado queda en oficina</t>
  </si>
  <si>
    <t>mant. preventivo y se deja 1/4 aceite reserva</t>
  </si>
  <si>
    <t>Mant. preventivo y se deja 1/4 aceite para relleno.</t>
  </si>
  <si>
    <t>mant. preventivo.El G.E se ha pasado 130.9 horas de no realizar sus mantenimientos.</t>
  </si>
  <si>
    <t>reparación de bomba de agua</t>
  </si>
  <si>
    <t>Mant. preventivo. Se le hizo mant. pasando 200 horas de trabajo</t>
  </si>
  <si>
    <t>Mant. preventivo. el G.E queda operativo</t>
  </si>
  <si>
    <t>Se realizó prueba funcional al G.E y se encontró la llave termica principal de la granja es de 250 Amp. La capacidad de la llave del grupo es de 300 amp. la carga de la granja es de 244 amp y al momento de activar los comederos sobre pasa los amp. d ela l</t>
  </si>
  <si>
    <t>Se hizo mant. preventivo y se deja 1/4 aceite como reserva.</t>
  </si>
  <si>
    <t>Arranque inicial del G.E, inducción de funcionamiento.</t>
  </si>
  <si>
    <t>Se hizo mant. preventivo y el grupo queda operativo.</t>
  </si>
  <si>
    <t>Puesta en marcha de grupo electrogeno. Arranque inicial.</t>
  </si>
  <si>
    <t>Se hizo mant. preventivo y el grupo queda ok.</t>
  </si>
  <si>
    <t>Se realizó mant. preventivo y queda operativo</t>
  </si>
  <si>
    <t>Se realizó mant. preventivo, revisión de fajas, mangueras y conexiones electricas.</t>
  </si>
  <si>
    <t>Se hizo mant. preventivo y todo ok.</t>
  </si>
  <si>
    <t>Se realizó mant. preventivo y se dejó 1/4 aceite para rellenar</t>
  </si>
  <si>
    <t>Se realizó mant. preventivo y se deja 1/2 gl para relleno. Queda operativo. Se recomineda hacer piso de concreto en cochera del grupo</t>
  </si>
  <si>
    <t>Se hizo mantenimiento  y el grupo queda operativo.La alimentación de gas todabía presenta residuos de aceite. Se cambio cobertor al escape</t>
  </si>
  <si>
    <t>Se hizo mantenimiento preventivo. El mant. se debe realizar cada 200 horas como corresponde; sinó perderá la garantía.</t>
  </si>
  <si>
    <t>arranque inicial. Revisión de nivel de aceite, lectura de parametros y funcionamiento de equipo.</t>
  </si>
  <si>
    <t>Mant. preventivo, se deja  1/2 para relleno. Se evaluó fajas, mangueras y conexiones electricas. Queda operativo.</t>
  </si>
  <si>
    <t>Se realizó las pruebas funcional del grupo con carga 22kw y 91 amp. por 1 hora. El proveedor no hizo su revisión del balon de gas por contaminación de aceite.</t>
  </si>
  <si>
    <t>Se hizo mant. preventivo y se deja 1/2 gl aceite para relleno.</t>
  </si>
  <si>
    <t>Se hizo mant. de G.E, limpieza y revisión de fajas, mangueras, conecciones electricas y 1/2
 aceite para relleno.</t>
  </si>
  <si>
    <t>Mantenimiento preventivo. Se verificó las conexiones electricas, fajas, manguera, abrazaderas y todo quedó ok.</t>
  </si>
  <si>
    <t>Se hizo mantenimiento preventivo, cambio de aceite y el grupo queda operativo.</t>
  </si>
  <si>
    <t>Se realizó prueba funcional al grupo electrogeno, se encontró los flexibles rotos, también se encontró oxilación en el rpm debeido a que  se encontró aceite en el sistema de gas por causa del surtidor de gas de la granja. limpieza en general y reparación.</t>
  </si>
  <si>
    <t>Se hizo mant. preventivo al G. E. y  quedó operativo</t>
  </si>
  <si>
    <t>Mant. preventivo. El grupo queda operativo</t>
  </si>
  <si>
    <t>Se hizo mant. preventivo y se encontró el G.E con faltante de 2 1/4 de aceite. Prox. 870.70</t>
  </si>
  <si>
    <t>Mantenimiento preventivo, se realizó inspeccion visual al grupo y todos sus componentes estan ok. queda operativo</t>
  </si>
  <si>
    <t>Se realizó mant. preventivo, se deja 1/2 gl aceite para rellenar. El grupo queda operativo.</t>
  </si>
  <si>
    <t>Se reemplazó llave termica, se inspeccionó visual
 el cableado, conexiones electricas, generador, fajas, mangueras, niveles de fluidos, estando todo ok. Se arrancó G.E quedando operativo</t>
  </si>
  <si>
    <t>1 UNID MODULO DE CONTROL EVOLUTIONS ( ASSEMBLY OK2207C)</t>
  </si>
  <si>
    <t>bobina de ignición, cambio de cables de bujías</t>
  </si>
  <si>
    <t>Bomba  de agua</t>
  </si>
  <si>
    <t>3gl aceite,8 bujías, filtro de aceite y filtro de aire.</t>
  </si>
  <si>
    <t>Edgar Martín</t>
  </si>
  <si>
    <t>1.1/2 aceite,1 filtro de aceite y filtro de aire</t>
  </si>
  <si>
    <t>MODULO DE CONTROL</t>
  </si>
  <si>
    <t>1.1/2 aceite, filtro de aire y filtro de aceite.</t>
  </si>
  <si>
    <t>1.1/2 aceite,1 filtro de aceite, 1 filtro de aire</t>
  </si>
  <si>
    <t>2.1/2 aceite, filtro de aceite y filtro de aire. Se limpió los sensores, cableado electrico, fajas y mangueras. Queda operativo</t>
  </si>
  <si>
    <t>Franklin Quispe</t>
  </si>
  <si>
    <t>1.1/2 aceite, filtro de aceite y filtro de aire.4 bujías</t>
  </si>
  <si>
    <t>1.1/2 aceite,1 filtro de aeite, filtro de aire y cambio de bujías.</t>
  </si>
  <si>
    <t>1.1/2 aceite,filtro de aire y filtro de aceite.</t>
  </si>
  <si>
    <t>1.1/2 aceite, filtro de aceite y aire,cambio de bujías</t>
  </si>
  <si>
    <t>1.1/2 aceite, filtro de aceite y aire.</t>
  </si>
  <si>
    <t>1.1/2 aceite,1 filtro de aceite y filro de aire.</t>
  </si>
  <si>
    <t>3gl aceite, 1 filtro de aceite.</t>
  </si>
  <si>
    <t>1.1/2aceite, 1 filtro de aceite y filtro de aire</t>
  </si>
  <si>
    <t>1.1/2 aceite, filtro de aceite</t>
  </si>
  <si>
    <t>cambio de bendix de arrancador por garantía</t>
  </si>
  <si>
    <t>Llave termica</t>
  </si>
  <si>
    <t>1.1/2 aceite,filtro de aceite y cambio de llave de 70 AMP</t>
  </si>
  <si>
    <t>1.1/2 aceite, 1filtro de aceite y filtro de aire.</t>
  </si>
  <si>
    <t>Llave termica de instalación de meneques</t>
  </si>
  <si>
    <t>1.1/2 aceite y filtro de aceite y filtro de aire</t>
  </si>
  <si>
    <t>1.1/2 aceite y filtro de aceite</t>
  </si>
  <si>
    <t>1.1/2 aceite,1filtro de aceite, 1filtro de aire y bujías.</t>
  </si>
  <si>
    <t>1.1/2 aceite,filtro de aceite , filtro de aire y bujías.</t>
  </si>
  <si>
    <t>1.1/2 aceite,filtro de aceite y filtro de aire y cambio de bujías.</t>
  </si>
  <si>
    <t>1.1/2 aeite y filtro de aceite</t>
  </si>
  <si>
    <t>EDGAR MARTIN</t>
  </si>
  <si>
    <t>1.1/2 aceite y filtro de aceite.</t>
  </si>
  <si>
    <t>1.1/2 aceite,filtro de aceite y filtro de aire</t>
  </si>
  <si>
    <t>2.1/2 aceite,filtro de aire, filtro de aceite.</t>
  </si>
  <si>
    <t>2.1/2 aceite, filtro de aceite,filtro de aire y 8 bujías platiniun</t>
  </si>
  <si>
    <t>Jorge castillo</t>
  </si>
  <si>
    <t>aceite,filtro de aceite.</t>
  </si>
  <si>
    <t>Victor tovar</t>
  </si>
  <si>
    <t>Reten de cigueñal posterior.</t>
  </si>
  <si>
    <t>2.1/2 aceite,1 filtro de aceite y 1 filtro de aire</t>
  </si>
  <si>
    <t>1.1/2 aceite,1filtro de aceite y 1 filtro de aire</t>
  </si>
  <si>
    <t>aceite,filtro de aceite,1 filtro de aire</t>
  </si>
  <si>
    <t>aceite,1 filtro de aceite</t>
  </si>
  <si>
    <t>2.1/2 aceite,8 bujias,1 filtro de aceite</t>
  </si>
  <si>
    <t>Sensor de levas</t>
  </si>
  <si>
    <t>1.1/2 aceite,filtro de aire y filtro de aceite</t>
  </si>
  <si>
    <t>1.1/2 aceite, 1 filtro de aire y 1 filtro de aceite.</t>
  </si>
  <si>
    <t>1.1/4 aceite,filtro de aceite , filtro de aire y bujías.</t>
  </si>
  <si>
    <t>1.1/2aceite 10w30, filtro de aceite y filtro de aire</t>
  </si>
  <si>
    <t>Bomba de agua</t>
  </si>
  <si>
    <t>1.2/4 de aceite, 1filtro de aceite, 1filtro de aire y 1 gl refrigerante.</t>
  </si>
  <si>
    <t>1.1/4 aceite,1filtro de aceite</t>
  </si>
  <si>
    <t>1.1/4 de aceite, 1 filtro de aceite</t>
  </si>
  <si>
    <t>2.1/2 aceite,1 filtro de aceite</t>
  </si>
  <si>
    <t>aceite,filtro de aceite y filtro de aire</t>
  </si>
  <si>
    <t>2.1/2 aceite, 1filtro de aceite y 1 filtro de aire</t>
  </si>
  <si>
    <t>1.1/4 aceite y 1 filtro de aceite.</t>
  </si>
  <si>
    <t>1.1/4 aceite, 1 filtro de aceite</t>
  </si>
  <si>
    <t>2 1/2 DE ACEITE,1 FILTRO DE ACEITE</t>
  </si>
  <si>
    <t>1.1/2 de aceite,1filtro de aire.</t>
  </si>
  <si>
    <t>2.1/2 aceite,1filtro de aceite</t>
  </si>
  <si>
    <t>2.1/2 aceite, 1 filtro de aceite,1 filtro de aire y cambio de bujías.</t>
  </si>
  <si>
    <t>2.1/2 aceite,1 filtro de aceite, 1 filtro de aire.</t>
  </si>
  <si>
    <t>2.1/2  de aceite, filtro de aire y cambio de 8 bujías</t>
  </si>
  <si>
    <t>1.1/2 aceite, filtro de aceite y filtro de aire</t>
  </si>
  <si>
    <t>3gl. aceite, 1 filtro de aceite.</t>
  </si>
  <si>
    <t>2 1/2 aceite, filtro de aceite, cambio de bujías .</t>
  </si>
  <si>
    <t>1 1/2 ACEITE,FILTRO DE ACEITE,FILTRO DE AIRE Y BUJÍAS</t>
  </si>
  <si>
    <t>3GL ACEITE,1 FILTRO DE ACEITE</t>
  </si>
  <si>
    <t>2 flexibles de escape,regulador de gas y forro acustico.</t>
  </si>
  <si>
    <t>3 gl aceite, filtro de aceite</t>
  </si>
  <si>
    <t>3 gl aceite,filtro de aceite.</t>
  </si>
  <si>
    <t>aceite,filtro de aceite y filtro de aire.</t>
  </si>
  <si>
    <t>aceite, filtro de aceite y refrigerante</t>
  </si>
  <si>
    <t>aceite,filtro de aceite,filtro de aire y desengrasante.</t>
  </si>
  <si>
    <t>aceite, filtro de aceite, filtro de aire y disolventes.</t>
  </si>
  <si>
    <t>MARCOS URE</t>
  </si>
  <si>
    <t>aceite, filtro de aceite, filtro de aire</t>
  </si>
  <si>
    <t>3 gl. aceite, 1 filtro de aceite, filtro de aire</t>
  </si>
  <si>
    <t>3gl. aceite 10w30,1filtro de aceite,1 filtro de aire</t>
  </si>
  <si>
    <t>LLAVE TERMICA</t>
  </si>
  <si>
    <t>22 KW</t>
  </si>
  <si>
    <t>22 kw</t>
  </si>
  <si>
    <t>100KW</t>
  </si>
  <si>
    <t>23 KW</t>
  </si>
  <si>
    <t>Columna1</t>
  </si>
  <si>
    <t>TIPO DE EQUIPO</t>
  </si>
  <si>
    <t>Columna2</t>
  </si>
  <si>
    <t>Columna3</t>
  </si>
  <si>
    <t>Columna4</t>
  </si>
  <si>
    <t>Columna5</t>
  </si>
  <si>
    <t>Columna6</t>
  </si>
  <si>
    <t>Columna7</t>
  </si>
  <si>
    <t>Columna8</t>
  </si>
  <si>
    <t>Columna9</t>
  </si>
  <si>
    <t>DATOS Y DETALLE DEL SERVICIO REALIZADO</t>
  </si>
  <si>
    <t>SCOTIABANK</t>
  </si>
  <si>
    <t>Paseo de la Republica 3587</t>
  </si>
  <si>
    <t>COES  SINAC</t>
  </si>
  <si>
    <t>Cll. Manuel Roaud
 y paso Soldan 364 San Isidro.</t>
  </si>
  <si>
    <t>Mant. preventivo, pulverizado de filtro de aire, revisión de bateria, mangueras de refrigeración, limpieza en general, ajuste de conecciones electricas y pruebas en vacio y queda operativo.</t>
  </si>
  <si>
    <t>9 Gl aceite,filtro de aceite, filtro de petroleo</t>
  </si>
  <si>
    <t>Mant. preventivo,pulverizado de filtro de are, revisión de bateria, fajas, manguers de refrigeración, limpieza y ajuste de conecciones electricas, limpieza en general y pruebas en vacio. El grupo queda operativo</t>
  </si>
  <si>
    <t>5 gl aceite 15w40, filtro de aceite, filtro de petroleo</t>
  </si>
  <si>
    <t>Mant. preventivo, revisión de fajas, bateria y mangueras de refrigeración. Pruebas en vacio y queda operativo.</t>
  </si>
  <si>
    <t>2gl. aceite 15w40, filtro de aceite, filtro de petroleo y filtro de aire.</t>
  </si>
  <si>
    <t>Mant. preventivo,pulverizado del filtro de aire, revisión de bateria, fajas, mangueras de refrigeración, limpieza y ajuste de conecciones electricas, limpieza en general.Pruebas en bacio y queda operativo</t>
  </si>
  <si>
    <t>8Gl aceite 15w40, filtro de aceite,filtro de petroleo</t>
  </si>
  <si>
    <t>Yunior Tovar</t>
  </si>
  <si>
    <t>Mant. preventivo, revisión d ebateria, fajas, mangueras de refrigeración y limpieza de conecciones electricas y el grupo queda operativo.</t>
  </si>
  <si>
    <t>9 gl aceite,filtro de aceite y filtro de petroleo</t>
  </si>
  <si>
    <t xml:space="preserve">Se realizó mant. preventivo al G.E, cambio de aceite 8.3 lt., filtro de aceite, filtro de petroleo, filtro de aire, rev. de mangueras, fajas, abrazaderas, sist. lubricación y refrigeración. Rev. de fusibles, AVR, sist. de excitación, limpieza de generado </t>
  </si>
  <si>
    <t>8.3 L. aceite 15w40, 1filtro de aceite RPE2654403,1filtro de Petroleo RPE4816635 y filtro de aire RPE26510362</t>
  </si>
  <si>
    <t>2206-472-0464</t>
  </si>
  <si>
    <t>15RDJCL</t>
  </si>
  <si>
    <t>G-4012</t>
  </si>
  <si>
    <t>59G12-443-1979</t>
  </si>
  <si>
    <t>E1501482</t>
  </si>
  <si>
    <t>PLY30</t>
  </si>
  <si>
    <t>405 KW</t>
  </si>
  <si>
    <t>15 KW</t>
  </si>
  <si>
    <t>400 KW</t>
  </si>
  <si>
    <t>150 KW</t>
  </si>
  <si>
    <t>SODEXO</t>
  </si>
  <si>
    <t>AV. Camino Real 456, San Isidro</t>
  </si>
  <si>
    <t>AV. CARNAVAL Y MOREIRA 498, SAN ISIDRO</t>
  </si>
  <si>
    <t>Calle LA FONTANA 362 LA MOLINA</t>
  </si>
  <si>
    <t>Calle Alfredo Salazar 350, San Isidro</t>
  </si>
  <si>
    <t>PENAL DE ICA</t>
  </si>
  <si>
    <t>TORRE CITIBANK</t>
  </si>
  <si>
    <t>CLINICA FLEMING</t>
  </si>
  <si>
    <t>Jr. Alexander fleming 103</t>
  </si>
  <si>
    <t>Calle Alfredo Salazar 350, san isidro</t>
  </si>
  <si>
    <t>SE REALIZO MANTENIMIENTO TRIMESTRAL, LIMPIEZA DE FILTRO DE AIRE, REAJUSTE DE ABRAZADERAS, REVISION DE FUGA DE ACEITE Y REFRIGERANTE. PULVERIZADO CON DISOLVENTE DIELECTRICO EN LA PARTE ELECTRICA DEL G.E. (TABLERO DE CONTROL). SE REALIZO CORRECTIVO EN FUGA DE ACEITE DE NIPLE DE VARILLA DE MEDICION.</t>
  </si>
  <si>
    <t>SE REALIZO MANTENIMIENTO PREVENTIVO ANUAL, CAMBIO DE FILTRO DE AIRE, FILTRO DE ACEITE, FILTRO DE COMBUSTIBLE Y ACEITE 15W40, SE REAJUSTARON CIRCUITOS DE FUERZA DEL GRUPO ELECTROGENO, SE PULVERIZO CON SOLVENTE DIELECTRICO TODA LA PARTE ELECTRICA DEL MOTOR - G.E,  SE LIMPIARON Y REAJUSTARON BORNES DE BATERIA Y REVISION DE CARGADOR DE BATERIA, SE REVISO TTA DE GEN2</t>
  </si>
  <si>
    <t>V.BATERIA 27 V / TEMPERATURA DE AGUA: 110 °F / PRESION DE ACEITE: 89 PSI,  PRUEBA DE CARGA VACIO : 60,3 Hz/223V. SE SUGIERE PONER ABRAZADERAS DE MANGUERA DE AIRE.</t>
  </si>
  <si>
    <t>FILTRO DE AIRE, FILTRO DE ACEITE, FILTRO DE COMBUSTIBLE, ACEITE 15W40, SOLVENTE DIELECTRICO.</t>
  </si>
  <si>
    <t>V.BATERIA 27.5 V / TEMPERATURA DE AGUA: 57 °C / PRESION DE ACEITE: 95 PSI,  PRUEBA DE CARGA VACIO : 60,3 Hz/226V. SE RECOMIENDA CAMBIAR LA TAPA DEL RADIADOR.</t>
  </si>
  <si>
    <t>SE REALIZO MANTENIMIENTO PREVENTIVO AL GRUPO ELECTROGENO, CAMBIO DE ACEITE 10W30, CAMBIO DE FILTRO DE ACEITE, LIMPIEZA DE GRUPO EN GENERAL, REVISION DE FAJAS, MANGUERAS, ABRAZADERAS, NIVEL DE REFRIGERANTE, CONEXIONES ELECTRICAS Y BATERIA. GRUPO QUEDA OPERATIVO</t>
  </si>
  <si>
    <t>INSTALACION DE SOLENOIDE 12 VOL, CORRECCION DE CABLEADO DE ALTERNADOR, CORRECCION DE CABLE DE SEÑAL.</t>
  </si>
  <si>
    <t>EQUIPO EN OBSERVACION POR PERIODO DE PRUEBA</t>
  </si>
  <si>
    <t>SOLENOIDE 12V</t>
  </si>
  <si>
    <t>SE REALIZO MANTENIMIENTO PREVENTIVO AL GRUPO ELECTROGENO, LIMPIEZA DEL GRUPO EN GENERAL, REVISION DE FAJAS, MANGUERAS, FILTRO DE AIRE, AJUSTE Y LIMPIEZA DE CONECCIONES ELECTRICAS, REVISION DE BATERIA, CONCECCIONES DE COMBUSTIBLE, NIVLE DE ACEITE Y REFRIGERANTE, EL GRUPO QUEDA OPERATIVO</t>
  </si>
  <si>
    <t>REEMPLAZO E INSTALACION DE CALENTADOR DE REFRIGERANTE NUEVO, COMPLETAR NIVEL DE REFRIEGERANTE, SE DEJA EN SITIO EL CALENTADOR MALOGRADO</t>
  </si>
  <si>
    <t>CALENTADOR DE REFRIGERANTE</t>
  </si>
  <si>
    <t>REVISION Y DIAGNOSTICO DE GRUPO ELECTROGENO, SE DETERMINAN DAÑOS DEL CALENTADOR DE REFRIGERANTE (TPS 202GT10-003) 2000 W, 240 VOL</t>
  </si>
  <si>
    <t>Reemplazar calentador.</t>
  </si>
  <si>
    <t>MANTENIMIENTO A LUMINARIAS, CAMBIO DE ACEITE 1,25 GALON, FILTRO DE ACEITE, FILTRO DE PETROLEO, SE REPARO LUMINARIA , NO PRENDIA LAS LUCES, REPARACION DE TERMINALES DEL CONDENSADOR DEL SISTEMA, QUEDAN LOS GRUPOS OPERATIVOS</t>
  </si>
  <si>
    <t>1.25 GALON DE ACEITE, FILTRO DE ACEITE, FILTRO DE PETROLE ( SERIES: 1603600, 1603587, 1603597, 1603595)</t>
  </si>
  <si>
    <t>CAMBIO DE FILTROS DE ACEITE Y ACEITE DE MOTOR 1.25 GALON, CAMBIO DE FILTRO DE AIRE, LAVADO Y PULVERIZADO, LIMPIEZA CON SOLVENTE DIELECTRICO.</t>
  </si>
  <si>
    <t>1.25 GALONES DE ACEITE (BLS-111) , FILTRO DE AIRE ECC085001, filtro de aceite LF-916</t>
  </si>
  <si>
    <t>CAMBIO DE ACEITE Y FILTROS ( BLS-111 ACEITE) Y ACEITE DE MOTOR 1 GALON + 1/2 GALON, CAMBIO DE FILTRO DE AIRE, LAVADO Y PULVERIZADO, LIMPIEZA CON SOLVENTE DIELECTRICO.</t>
  </si>
  <si>
    <t>QUEDA PENDIENTE: EL DISPLAY DE CONTROL SE DESVANECE EN OCACIONES Y LAS LECTURAS SE VEN BORROSAS</t>
  </si>
  <si>
    <t xml:space="preserve">1.5 GALONES DE ACEITE (BLS-111) , FILTRO DE AIRE ECC085002, </t>
  </si>
  <si>
    <t>CORRECCION DE ALARMA DE SENSOR DE PRESION DE ACEITE, SE ENCONTRO ALTERNAMIENTO INCORRECTO PARA EL FUNCIONAMIENTO DEL SENSOR. EL CUAL YA SE A RESUELTO, EN LA INSPECCION REALIZADA SE OBSERVO QUE HAY DERRAMES DE ACEITE</t>
  </si>
  <si>
    <t>CON RESPECTO A LA ALARMA DEL SENSOR LOS CABLES SE SALIERON POR VIBRACION DEL GRUPO. CAMBIO DE EMPAQUES: BALANCIN, TAPA CARTER POSTERIOR IZQUIERDO, RESELLADO DE NIPLES DRENADO DE ACEITE, CAMBIO DE PERNO DE TAPA DE DISTRIBUCION, CAMBIO DE MANGUERAS Y ABRAZADERA DEL SISTEMA DE PETROLEO.</t>
  </si>
  <si>
    <t>MANTENIMIENTO PREVENTIVO DE TORRE DE ILUMINACION, CAMBIO DE ACEITE, FILTRO DE ACEITE, FILTRO DE PETROLEO Y LIMPIEZA DEL GRUPO CON DESENGRAZANTE, SOLVENTE Y TRAPO INDUSTRIAL.</t>
  </si>
  <si>
    <t>1 GALON DE ACEITE 15W40, FILTRO DE ACEITE, FILTRO DE PETROLEO, DESENGRAZANTE, SOLVENTE, TRAPO INDUSTRIAL.</t>
  </si>
  <si>
    <t>CAMBIO DE BORNES DE BATERIA, 6 TAPONES DE REGRIGERACION Y REFRIGERANTE.</t>
  </si>
  <si>
    <t>2 BORNES DE BATERIA, 6 TAPONES DE REGRIGERACION, 5 GALONES DE REGRIGERANTE.</t>
  </si>
  <si>
    <t>daniel amanzo</t>
  </si>
  <si>
    <t>SE REALIZO MANTENIMIENTO PREVENTIVO, CABIO DE ACEITE Y FILTRO DE ACEITE, REVISION DE BUJIAS, CARGA DE BATERIAS, MANGUERA, FAJAS Y REGULACION DE GAS. SE REALIZARON PRUEBAS DE BUEN FUNCIONAMIENTO.</t>
  </si>
  <si>
    <t>REALIZAR PRUEBAS CON CARGA UNA VEZ AL MES</t>
  </si>
  <si>
    <t>2.5 GALONES DE ACEITE, FILTRO DE ACEITE, MANGUERAS, FAJAS.</t>
  </si>
  <si>
    <t>se evaluo el grupo electrogeno encontrandose que la pesion de gas de entrada es de 40 mbar debiendo estar esta entre 18 y 28 mbar, no se pueo ubicar el regulador se coordino con el cliente para que lo ubique y coordine una proxima visita</t>
  </si>
  <si>
    <t>mantenimiento del grupo electrogeno, incluye cambio de aceite, revision de bujias, filtro de aire, sistema de refrijeracion, fajas, abrazaderas, cables, tapa de distribuidor, se hicieron pruebas en vaciopor un lapso de 15 minutos.</t>
  </si>
  <si>
    <t>Se recomienda cambiar de tapon de block de motor, refrigerante y bornes de bateria.</t>
  </si>
  <si>
    <t>6JA02716</t>
  </si>
  <si>
    <t>6JA02715</t>
  </si>
  <si>
    <t>123231-0306</t>
  </si>
  <si>
    <t>123234-0306</t>
  </si>
  <si>
    <t>3DAD4134</t>
  </si>
  <si>
    <t>FG - WILSON</t>
  </si>
  <si>
    <t>CATERPILLAR</t>
  </si>
  <si>
    <t>4W8971</t>
  </si>
  <si>
    <t>katolight</t>
  </si>
  <si>
    <t>PERKINS</t>
  </si>
  <si>
    <t>KATOLIGHT</t>
  </si>
  <si>
    <t>SEN25FGNH</t>
  </si>
  <si>
    <t>SEN40FPG4</t>
  </si>
  <si>
    <t>FG-WILSON</t>
  </si>
  <si>
    <t>sen25FGN4</t>
  </si>
  <si>
    <t>gen25FGN4</t>
  </si>
  <si>
    <t>86,4 KW</t>
  </si>
  <si>
    <t>175 KW</t>
  </si>
  <si>
    <t>25 KW</t>
  </si>
  <si>
    <t>175KW</t>
  </si>
  <si>
    <t>85.5 KW</t>
  </si>
  <si>
    <t>86.4KW</t>
  </si>
  <si>
    <t>306,5</t>
  </si>
  <si>
    <t>119,6</t>
  </si>
  <si>
    <t>U613189</t>
  </si>
  <si>
    <t>30A04134</t>
  </si>
  <si>
    <t>30A04135</t>
  </si>
  <si>
    <t>5Y21F</t>
  </si>
  <si>
    <t>4P3L32844</t>
  </si>
  <si>
    <t>3OAO4135</t>
  </si>
  <si>
    <t>3DAD4135</t>
  </si>
  <si>
    <t>XK06 - 205 - 00153</t>
  </si>
  <si>
    <t>NISSAN</t>
  </si>
  <si>
    <t>KUBOTA</t>
  </si>
  <si>
    <t>SHANGHAI</t>
  </si>
  <si>
    <t>DETALLE DEL SERVICIO</t>
  </si>
  <si>
    <t>DESCRIPCION DEL  SERVICIO EJECUTADO</t>
  </si>
  <si>
    <t>DESCRIPCION DEL ESTADO INCIAL DEL EQUIPO</t>
  </si>
  <si>
    <t>DATO DEL GRUPO ELECTROGENO</t>
  </si>
  <si>
    <t>DATOS DEL MOTOR</t>
  </si>
  <si>
    <t>DATOS DEL ALTERNADOR</t>
  </si>
  <si>
    <t>CONSTANCIAS DE FINAL DEL SERVICIO</t>
  </si>
  <si>
    <t>EXTRAS</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</si>
  <si>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</si>
  <si>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</si>
  <si>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</si>
  <si>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</si>
  <si>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</si>
  <si>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</si>
  <si>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</si>
  <si>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</si>
  <si>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</si>
  <si>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</si>
  <si>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</si>
  <si>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</si>
  <si>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</si>
  <si>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</si>
  <si>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</si>
  <si>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</si>
  <si>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</si>
  <si>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</si>
  <si>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</si>
  <si>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</si>
  <si>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</si>
  <si>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</si>
  <si>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</si>
  <si>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</si>
  <si>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</si>
  <si>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</si>
  <si>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</si>
  <si>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</si>
  <si>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</si>
  <si>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</si>
  <si>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</si>
  <si>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DATOS E INDICADORES DEL EQUIPO</t>
  </si>
  <si>
    <t>DATOS GENERALES DEL EQUPO</t>
  </si>
  <si>
    <t>GRUPO ELECTROGENO PORTATIL</t>
  </si>
  <si>
    <t>GRUPO ELECTROGENO RESIDENCIAL</t>
  </si>
  <si>
    <t>GRUPO ELECTROGENO COMERCIAL</t>
  </si>
  <si>
    <t>GRUPO ELECTROGENO INDUSTRIAL</t>
  </si>
  <si>
    <t>TORRE DE ILUMINACION</t>
  </si>
  <si>
    <t>TIPO DE COMBUSTIBLE</t>
  </si>
  <si>
    <t>DIESEL</t>
  </si>
  <si>
    <t>GAS</t>
  </si>
  <si>
    <t>INDICADORES DEL MOTOR</t>
  </si>
  <si>
    <t>MARCA DE ALTERNADOR</t>
  </si>
  <si>
    <t>Arturo Periche</t>
  </si>
  <si>
    <t>Yunnyor Tovar</t>
  </si>
  <si>
    <t>Bladimir Pauro</t>
  </si>
  <si>
    <t>Responsable</t>
  </si>
  <si>
    <t>N° DE  CORRECTIVOS</t>
  </si>
  <si>
    <t>N° DE PREVENTIVOS</t>
  </si>
  <si>
    <t>SERVICIO</t>
  </si>
  <si>
    <t>HR DE ULTIMO PREVENTIVO</t>
  </si>
  <si>
    <t>HR DE PROX SERVICIO</t>
  </si>
  <si>
    <t>001613464</t>
  </si>
  <si>
    <t>PS 003373076</t>
  </si>
  <si>
    <t>DOC. IDENTIDAD</t>
  </si>
  <si>
    <t>HR ACTUALES</t>
  </si>
  <si>
    <t>CONSULTAS GENERALES</t>
  </si>
  <si>
    <t>GA1</t>
  </si>
  <si>
    <t>GA2</t>
  </si>
  <si>
    <t>GA3</t>
  </si>
  <si>
    <t>GA4</t>
  </si>
  <si>
    <t>N° DE SERV.</t>
  </si>
  <si>
    <t>FECHA</t>
  </si>
  <si>
    <t>GA6</t>
  </si>
  <si>
    <t>GA7</t>
  </si>
  <si>
    <t>ESTADO FINAL</t>
  </si>
  <si>
    <t>SIGUIENTE MANT.</t>
  </si>
  <si>
    <t>DATOS ESPECIFICOS</t>
  </si>
  <si>
    <t>Panamerica Norte Km. 125</t>
  </si>
  <si>
    <t xml:space="preserve">Firma:      </t>
  </si>
  <si>
    <t xml:space="preserve">Elaborado por:                                                                                          </t>
  </si>
  <si>
    <t>RECOMENDACIONES:</t>
  </si>
  <si>
    <t>Otros:</t>
  </si>
  <si>
    <t>Medidor de combustible</t>
  </si>
  <si>
    <t>Presión de aceite</t>
  </si>
  <si>
    <t>Temperatura de agua</t>
  </si>
  <si>
    <t>Voltaje de batería</t>
  </si>
  <si>
    <t>V°B°</t>
  </si>
  <si>
    <t>Hora</t>
  </si>
  <si>
    <t>F:P.</t>
  </si>
  <si>
    <t>AMP</t>
  </si>
  <si>
    <t>V</t>
  </si>
  <si>
    <t>%</t>
  </si>
  <si>
    <t>PRUEBA CON CARGA</t>
  </si>
  <si>
    <t>SERIE:</t>
  </si>
  <si>
    <t>MARCA:</t>
  </si>
  <si>
    <t>Tipo panel de control</t>
  </si>
  <si>
    <t>Tipo de gobernación</t>
  </si>
  <si>
    <t>Horómetro</t>
  </si>
  <si>
    <t>Voltaje</t>
  </si>
  <si>
    <t>Potencia</t>
  </si>
  <si>
    <t>Serie:</t>
  </si>
  <si>
    <t>Modelo:</t>
  </si>
  <si>
    <t>Marca:</t>
  </si>
  <si>
    <t>TIPO DE EQUIPO:</t>
  </si>
  <si>
    <t>FECHA:</t>
  </si>
  <si>
    <t>CLIENTE:</t>
  </si>
  <si>
    <t>PROTOCOLO DE PRUEBA EN TALLER</t>
  </si>
  <si>
    <t>Por EGENER S.A.C</t>
  </si>
  <si>
    <t>Firma del usuario encargado</t>
  </si>
  <si>
    <t xml:space="preserve">    servicio, salvo excepciones.</t>
  </si>
  <si>
    <t xml:space="preserve">    conformidad del servicio(HES) como máximo 3 días útiles después de culminado el</t>
  </si>
  <si>
    <t xml:space="preserve">   2.Con el presente documento, el ususario se compromete a emitir la hoja de </t>
  </si>
  <si>
    <t xml:space="preserve">   1.El presente no reemplaza la conformidad del servicio(No es la Hoja de Entrada)</t>
  </si>
  <si>
    <t>IMPORTANTE:</t>
  </si>
  <si>
    <t>Observaciones</t>
  </si>
  <si>
    <t>Horas:</t>
  </si>
  <si>
    <t>N° HORAS</t>
  </si>
  <si>
    <t>Descripción del Servicio</t>
  </si>
  <si>
    <t>No</t>
  </si>
  <si>
    <t>(Entrada Final)</t>
  </si>
  <si>
    <t>Si</t>
  </si>
  <si>
    <t>¿Cerrar Pedido / OC?</t>
  </si>
  <si>
    <t xml:space="preserve">      (*)En caso se recepcione todas las posiciones, solo colocar el Número de pedido.</t>
  </si>
  <si>
    <t>Pos</t>
  </si>
  <si>
    <t>Pedido / OC(*)</t>
  </si>
  <si>
    <t>EGENER SAC</t>
  </si>
  <si>
    <t>Razón Social Proveedor</t>
  </si>
  <si>
    <t>Lugar</t>
  </si>
  <si>
    <t>Nombre del Receptor del Servicio</t>
  </si>
  <si>
    <t>(Fecha de contabilización)</t>
  </si>
  <si>
    <t>Año</t>
  </si>
  <si>
    <t>Mes</t>
  </si>
  <si>
    <t>Día</t>
  </si>
  <si>
    <t>Fecha de término del servicio</t>
  </si>
  <si>
    <t>CONSTANCIA DE RECEPCIÓN DE SERVICIO</t>
  </si>
  <si>
    <t>Dni:</t>
  </si>
  <si>
    <t>Nombre:</t>
  </si>
  <si>
    <t>Técnico - Egener S.A.C</t>
  </si>
  <si>
    <t>Representante - Usuario</t>
  </si>
  <si>
    <r>
      <t xml:space="preserve">       De ser </t>
    </r>
    <r>
      <rPr>
        <b/>
        <sz val="12"/>
        <color theme="1"/>
        <rFont val="Calibri"/>
        <family val="2"/>
        <scheme val="minor"/>
      </rPr>
      <t>NO</t>
    </r>
    <r>
      <rPr>
        <sz val="11"/>
        <color theme="1"/>
        <rFont val="Calibri"/>
        <family val="2"/>
        <scheme val="minor"/>
      </rPr>
      <t>, Especificar:</t>
    </r>
  </si>
  <si>
    <t>(   )</t>
  </si>
  <si>
    <t>(   )               NO</t>
  </si>
  <si>
    <t>SI</t>
  </si>
  <si>
    <t>¿El proveedor cumplió con fechas de entrega del trabajo realizado?</t>
  </si>
  <si>
    <t>4.</t>
  </si>
  <si>
    <t>¿El proveedor cumplió con los reglamentos de Sanidad, SST y Calidad?</t>
  </si>
  <si>
    <t>3.</t>
  </si>
  <si>
    <t>¿El proveedor cumplió con el uso de los Equipos de Protección Personal?</t>
  </si>
  <si>
    <t>2.</t>
  </si>
  <si>
    <t>¿El proveedor hizo uso de uniformes que le identifique con su empresa?</t>
  </si>
  <si>
    <t>1.</t>
  </si>
  <si>
    <t>(resumir los trabajos realizados, conclusiones y obsevaciones)</t>
  </si>
  <si>
    <t>ESPECIFICACIONES DE TRABAJO REALIZADO</t>
  </si>
  <si>
    <t>CANT</t>
  </si>
  <si>
    <t>DESCRIPCIÓN</t>
  </si>
  <si>
    <t>ITEM</t>
  </si>
  <si>
    <t>DESCRIPCIÓN DE MATERIALES UTILIZADOS</t>
  </si>
  <si>
    <t>FECHA DE TERMINO</t>
  </si>
  <si>
    <t>PROVEEDOR</t>
  </si>
  <si>
    <t>FECHA DE INICIO</t>
  </si>
  <si>
    <t>GRANJA</t>
  </si>
  <si>
    <t>PRESUPUESTO</t>
  </si>
  <si>
    <t>ZONA</t>
  </si>
  <si>
    <t>FECHA DE EMISIÓN</t>
  </si>
  <si>
    <t>AREA</t>
  </si>
  <si>
    <t>cc:</t>
  </si>
  <si>
    <t>1 de 1</t>
  </si>
  <si>
    <t>Página:</t>
  </si>
  <si>
    <t>Versión:</t>
  </si>
  <si>
    <t>Fecha de aprobación</t>
  </si>
  <si>
    <t>LO-F042</t>
  </si>
  <si>
    <t>Codigo:</t>
  </si>
  <si>
    <r>
      <rPr>
        <b/>
        <sz val="11"/>
        <color theme="1"/>
        <rFont val="Calibri"/>
        <family val="2"/>
        <scheme val="minor"/>
      </rPr>
      <t>INFORME DE OBRAS Y TRABAJOS REALIZADOS</t>
    </r>
    <r>
      <rPr>
        <b/>
        <sz val="10"/>
        <color theme="1"/>
        <rFont val="Calibri"/>
        <family val="2"/>
        <scheme val="minor"/>
      </rPr>
      <t xml:space="preserve">
(Servicio de Mantenimiento Contratado)</t>
    </r>
  </si>
  <si>
    <t>POR EL CLIENTE</t>
  </si>
  <si>
    <t>En señal de conformidad a lo manifestado, firman el técnico de EGENER SAC y el representante del cliente durante el servicio.</t>
  </si>
  <si>
    <t>OBSERVACIONES:</t>
  </si>
  <si>
    <t>ACTIVIDADES</t>
  </si>
  <si>
    <t>KW-HR</t>
  </si>
  <si>
    <t>POTENCIA (KW)</t>
  </si>
  <si>
    <t>SERIE N°</t>
  </si>
  <si>
    <t>MOD.</t>
  </si>
  <si>
    <t>MARCA DEL GENERADOR</t>
  </si>
  <si>
    <t>MARCA DEL MOTOR</t>
  </si>
  <si>
    <t>MARCA DEL GE</t>
  </si>
  <si>
    <t>DATOS DEL GRUPO ELECTRÓGENO</t>
  </si>
  <si>
    <t xml:space="preserve">PAGINA: </t>
  </si>
  <si>
    <t xml:space="preserve">CODIGO: </t>
  </si>
  <si>
    <t>ORDEN DE TRABAJO DE SERVICIOS DE GRUPOS ELECTRÓGENOS</t>
  </si>
  <si>
    <t xml:space="preserve">VERSION: </t>
  </si>
  <si>
    <t>SISTEMA DE GESTIÓN DE CALIDAD</t>
  </si>
  <si>
    <t>PROTOCOLO DE PRUEBA EN CAMPO</t>
  </si>
  <si>
    <t>_CORRECTIVO</t>
  </si>
  <si>
    <t>DESCRIPCION DEL SERVICIO:</t>
  </si>
  <si>
    <t>COMPONENTES REEMPLAZADOS:</t>
  </si>
  <si>
    <t>DESCRIPCION DEL ESTADO INICIAL DEL EQUIPO:</t>
  </si>
  <si>
    <t>Horómetro Inicial:</t>
  </si>
  <si>
    <t>Horómetro Final:</t>
  </si>
  <si>
    <t>CUADRO DE AUTORRELLENO</t>
  </si>
  <si>
    <t>INTRODUCIR N° DE SERIE</t>
  </si>
  <si>
    <t>EMISION DE ACTAS Y PROTOCOLOS</t>
  </si>
  <si>
    <t>ACTA DE CONFORMIDAD SAN FERNANDO</t>
  </si>
  <si>
    <t>ACTA DE CONFORMIDAD REDONDOS</t>
  </si>
  <si>
    <t>ACTA DE CONFORMIDAD EGENER-ESTÁNDAR</t>
  </si>
  <si>
    <t>PROTOCOLO DE PRUEBA - TALLER</t>
  </si>
  <si>
    <t>PROTOCOLO DE PRUEBA - CAMPO</t>
  </si>
  <si>
    <t>CLIENTE / DIRECCION</t>
  </si>
  <si>
    <t xml:space="preserve">    DNI:                                                                                                              </t>
  </si>
  <si>
    <t xml:space="preserve">Conformidad:                                                                                          </t>
  </si>
  <si>
    <t xml:space="preserve">             EGENER SAC</t>
  </si>
  <si>
    <t>N° DE SERIE</t>
  </si>
  <si>
    <t>PANEL DE RELLENO RAPIDO</t>
  </si>
  <si>
    <t>HR DEL ULTIMO SERVICIO</t>
  </si>
  <si>
    <t>HR DEL UTIMO PREVENTIVO</t>
  </si>
  <si>
    <t>Potencia:</t>
  </si>
  <si>
    <t>Panamericana sur Km 334, Ica</t>
  </si>
  <si>
    <t>0003-001157</t>
  </si>
  <si>
    <t>cambio de aceite, cambio de filtro de aceite, pulverizado de filtro de aire, ajuste de faja de alternador, reaparacion de bomba de agua, relleno de refrigerante, limpieza en general.</t>
  </si>
  <si>
    <t>aceite 15W-40, filtro de aceite, filtro de petroleo, refrigerante</t>
  </si>
  <si>
    <t>220 V</t>
  </si>
  <si>
    <t>DSP7320</t>
  </si>
  <si>
    <t>179 °F</t>
  </si>
  <si>
    <t>69 PSI</t>
  </si>
  <si>
    <t>0003-001168</t>
  </si>
  <si>
    <t xml:space="preserve">aceite, filtro de aceite, bujias del motor, </t>
  </si>
  <si>
    <t>198 °C</t>
  </si>
  <si>
    <t>13.5 V</t>
  </si>
  <si>
    <t>54 PSI</t>
  </si>
  <si>
    <t>aumentar la carga normal</t>
  </si>
  <si>
    <t>48 PSI</t>
  </si>
  <si>
    <t>206 °C</t>
  </si>
  <si>
    <t>Se recomienda subir la carga, que esta sea , mayor a 35 kw, Se recomienda mantener alto el nivel de aceite.</t>
  </si>
  <si>
    <t>Aceite 10W-30, filtro de aceite, filtro de aire.</t>
  </si>
  <si>
    <t>51 PSI</t>
  </si>
  <si>
    <t>199 °F</t>
  </si>
  <si>
    <t>52 PSI</t>
  </si>
  <si>
    <t>En la revision del grupo se encontro que el nivel de aceite no es el correcto ( faltaba 1/2GL) , no se puede operar el grupo sin aceite ya que esto daña componentes internos del motor.</t>
  </si>
  <si>
    <t>Se procedio a rellenar el aceite a su nivel correcto.</t>
  </si>
  <si>
    <t>En oportunidades anteriores se les ha informado que se debe revisar el nivel de aceite mantenerlo en su nivel optimo para evitar futuras fallas, se debe incrementar el nivel de carga ya que el nivel actual es de 16 KW y este debe estar en un minimo de 35 KW</t>
  </si>
  <si>
    <t>Aceite 10W-30</t>
  </si>
  <si>
    <t>49 PSI</t>
  </si>
  <si>
    <t>N° DE SERVICIOS</t>
  </si>
  <si>
    <t>450 V</t>
  </si>
  <si>
    <t>480 V</t>
  </si>
  <si>
    <t>449 V</t>
  </si>
  <si>
    <t>448 V</t>
  </si>
  <si>
    <t>GA5</t>
  </si>
  <si>
    <t>N° DE CORRECTIVOS</t>
  </si>
  <si>
    <t>HR ULTIMO SERVICIO</t>
  </si>
  <si>
    <t>NUMERO DE OCURRENCIAS</t>
  </si>
  <si>
    <t>ESTADO DE HR ACTUALES</t>
  </si>
  <si>
    <t>Se realizo mantenimiento correspondiente y cambio de aceite, cambio de filtro de aceite</t>
  </si>
  <si>
    <t>VT8 K3</t>
  </si>
  <si>
    <t>13.7 V</t>
  </si>
  <si>
    <t>195 °F</t>
  </si>
  <si>
    <t>240 V</t>
  </si>
  <si>
    <t>Se realizo el cambio de aceite , se deja 1/2 gl para rellenar, cambio de filtro de aceite, revision del nivel de refrigerante, chequeo del sistema de combustible, revision  de fajas, mangueras, abrazaderas, conexiones electricas, limpieza en general del grupo</t>
  </si>
  <si>
    <t>Se recomienda el reemplazo de regulador  de primera etapa y manometro de regulador de tanque de combustible.</t>
  </si>
  <si>
    <t>13 V</t>
  </si>
  <si>
    <t>50 °C</t>
  </si>
  <si>
    <t>Se dejo 1/2 gl de aceite para rellenar</t>
  </si>
  <si>
    <t>Cambio de filtro de aire y aceite, se cambio el aceite, se inspecciono las mangueras de refrigeracion, se realiza limpieza con disolvente, desengrasante y silicona.</t>
  </si>
  <si>
    <t>1 Filtro de aceite, 1 filtro de aire, aceite 10W-30</t>
  </si>
  <si>
    <t>0003-001101</t>
  </si>
  <si>
    <t>0003-001127</t>
  </si>
  <si>
    <t>Instalacion y puesta en marcha de grupo electrogeno reparado por Egener</t>
  </si>
  <si>
    <t>Se realizaron pruebas con carga, voltaje de salida: 221 V.</t>
  </si>
  <si>
    <t xml:space="preserve">   DNI:                                                                                                              </t>
  </si>
  <si>
    <t xml:space="preserve">       Firma:      </t>
  </si>
  <si>
    <t xml:space="preserve">          DNI:                                                                                                              </t>
  </si>
  <si>
    <t>HR DEL ULTIMO PREVENTIVO</t>
  </si>
  <si>
    <t>12.8 V</t>
  </si>
  <si>
    <t>50 PSI</t>
  </si>
  <si>
    <t>33 PSI</t>
  </si>
  <si>
    <t>14.4 V</t>
  </si>
  <si>
    <t>197 °F</t>
  </si>
  <si>
    <t>59 PSI</t>
  </si>
  <si>
    <t>13.4 V</t>
  </si>
  <si>
    <t>62 PSI</t>
  </si>
  <si>
    <t>PERMITE VIZUALIZAR EL HISTORIAL DE SEREVICIOS REALIAZADOS A UN EQUIPO, REQUIERE INGRESAR EL NUMERO DE SERIE.</t>
  </si>
  <si>
    <t>3 GL de aceite 10W-30, Filtro de aceite.</t>
  </si>
  <si>
    <t>61 PSI</t>
  </si>
  <si>
    <t>0003-001188</t>
  </si>
  <si>
    <t>No se realizo la limpieza del G.E. ya que san fernando no entrego los insumos necesarios ( dielectrico, desengrasante, silicona). Se recomienda revisar el nivel de aceite antes de operar el G.E.</t>
  </si>
  <si>
    <t>3 GL de aceite, 1 filtro de aceite.</t>
  </si>
  <si>
    <t>45 PSI</t>
  </si>
  <si>
    <t>0003-001186</t>
  </si>
  <si>
    <t>No se realizo limpieza completa ya que San fernando no entrego insumos necesarios (dielectrico, desengrasante, silicona). Se recomienda revisar el nivel de aceite amtes de operar el G.E.</t>
  </si>
  <si>
    <t>3 GL de aceite 10W-30, Filtro de aceite, Bujias(8).</t>
  </si>
  <si>
    <t>13.9 V</t>
  </si>
  <si>
    <t>53 PSI</t>
  </si>
  <si>
    <t>0003-001182</t>
  </si>
  <si>
    <t>Se le recomienda subir la carga (mayo a 35 KW), Se recomienda realizar la transferencia de G.E. y revisar el nivel de aceite.</t>
  </si>
  <si>
    <t>3GL de aceite 10W-30, 1 filtro de aceite, 1 filtro de aire.</t>
  </si>
  <si>
    <t>Se realizo reparacion del G.E. desmontaje de culata para reparar valvulas de admision y escape, cambio de balancines de valvulas, cambio de empaque de culata, calibracion de bujias, Reparacion de culata en general, Cambio de aceite y filtro de aceite.</t>
  </si>
  <si>
    <t>La falla que presente el grupo se debe a que trabajo con bajo nivel de aceite, Se recomienda mantener el nivel de aceite optimo para evitar futuras fallas</t>
  </si>
  <si>
    <t>Se encuentra el grupo electrogeno no operativo y con bajo nivel de aceite.</t>
  </si>
  <si>
    <t>Balancin de valvulas, Empaque de culata, filtro de aceite y aceite.</t>
  </si>
  <si>
    <t>57 PSI</t>
  </si>
  <si>
    <t>Se encuentra el equipo no operativo.</t>
  </si>
  <si>
    <t>El motor presenta baja presion de aceite, Se recomienda llevar al taller para realizar reparacion de motor y corregir daños de motor.</t>
  </si>
  <si>
    <t>balancines de valvulas, empaque de culata, Aceite, Filtro de aceite, bujias</t>
  </si>
  <si>
    <t>Desmontaje de culata para repara valvulas de admision y escape, cambio de balancin de valvulas, cambio de culata, Calibracion de bujias, Reparacion de culata en general, cambio de aceite y filtro de aceite, mantenimiento de busos hidraulicos, Se desarmo cauter de motor para realizar limpieza en general, Se realizo la armada del motor y Se realizaron pruebas funcionales. Se hizo  cambio de bujias.</t>
  </si>
  <si>
    <t>SR4</t>
  </si>
  <si>
    <t>227 V</t>
  </si>
  <si>
    <t>CITIBANK</t>
  </si>
  <si>
    <t>CITIBANK SAN ISIDRO</t>
  </si>
  <si>
    <t>Se recomienda cambio de mangueras de refrigeracion de aceite.</t>
  </si>
  <si>
    <t>27.8 V</t>
  </si>
  <si>
    <t>84 PSI</t>
  </si>
  <si>
    <t>FECHA DE ULTIMO SERVICIO</t>
  </si>
  <si>
    <t>HR DELULTIMO SERVICIO</t>
  </si>
  <si>
    <t>marca</t>
  </si>
  <si>
    <t>modelo</t>
  </si>
  <si>
    <t xml:space="preserve">N° DE SERIE  </t>
  </si>
  <si>
    <t>REGISTRODE EQUIPOS EGENER</t>
  </si>
  <si>
    <t>ESTADO</t>
  </si>
  <si>
    <t>CONTADOR</t>
  </si>
  <si>
    <t>Cambio de aceite, cambio de filtro de aceite, cambio de filtro de aire, cambio de 8 bujias, chequeo de nivel de refrigerante, sistema de combustible, ingreso y salida de aire, revision de baterias, Limpieza en general del grupo</t>
  </si>
  <si>
    <t>2 GALONES DE ACEITE 10W30, Filtro de aceite.</t>
  </si>
  <si>
    <t>VORTE</t>
  </si>
  <si>
    <t>1.25 GALONES DE ACEITE 10W30, Cambio de filtro de aceite</t>
  </si>
  <si>
    <t>SEN25FGN4</t>
  </si>
  <si>
    <t>Grupo con control nuevo, y 1022 horas de motor, Operario Carlos Salas verifico el funcionamiento del grupo.</t>
  </si>
  <si>
    <t>1 Modúlo Evolutions</t>
  </si>
  <si>
    <t>13.1 V</t>
  </si>
  <si>
    <t>3 Gl. aceite, 1 filtro de aceite y 1 filtro de aire.</t>
  </si>
  <si>
    <t>460 V</t>
  </si>
  <si>
    <t>13.2 V</t>
  </si>
  <si>
    <t>TALLER PSP</t>
  </si>
  <si>
    <t>El personal de granja indica que el grupo presenta falla de generacion de voltaje AC.</t>
  </si>
  <si>
    <t>Se inicia revision del equipo, revisando etapa de generacion, llaves de seguridad y conexiones electricas, El equipo no presenta desperfecto.</t>
  </si>
  <si>
    <t>221 V</t>
  </si>
  <si>
    <t>14.2 V</t>
  </si>
  <si>
    <t>NUCLEO TREBOL</t>
  </si>
  <si>
    <t>Grupo con 1332.4 horas de uso</t>
  </si>
  <si>
    <t>Instalacion y puesta en marcha de G.E. , grupo electrogeno reparado por egener sac.</t>
  </si>
  <si>
    <t>XD5000E</t>
  </si>
  <si>
    <t>Aceite recomendado: 10W-30.</t>
  </si>
  <si>
    <t>0003-001045</t>
  </si>
  <si>
    <t>Reemplazo e instalacion de calentador de refrigerante nuevo.</t>
  </si>
  <si>
    <t>Se recomienda completar el nivel de refrigerante, Se deja en sitio el calentador malogrado.</t>
  </si>
  <si>
    <t>Calentador de refrigerante.</t>
  </si>
  <si>
    <t>SCOTIABANK LIMA</t>
  </si>
  <si>
    <t>Jiron Lampa 855, Cercado</t>
  </si>
  <si>
    <t>Cambio de aceite 15W-40, cambio de filtro de aceite, filtro de Petroleo, filtro de aire, Limpieza en general, Revision de fajas, mangueras y conexiones electricas, Grupo queda operativo.</t>
  </si>
  <si>
    <t>Grupo electrogeno al estar funcionando debe estar nivelado en su carreta, caso contrario ocasionara que se apague por combustible.</t>
  </si>
  <si>
    <t>Aceite 15W-40, Filtro de aceite, Filtro de aire, Filtro de petroleo.</t>
  </si>
  <si>
    <t>X08231T</t>
  </si>
  <si>
    <t>MP-20I</t>
  </si>
  <si>
    <t>X10E200310</t>
  </si>
  <si>
    <t>X08331T</t>
  </si>
  <si>
    <t>X10D160143</t>
  </si>
  <si>
    <t>GN65733U</t>
  </si>
  <si>
    <t>GN65733O</t>
  </si>
  <si>
    <t>0003-001189</t>
  </si>
  <si>
    <t>LOBITOS 1</t>
  </si>
  <si>
    <t>Se deja 1/2GL de aceite para rellenar.</t>
  </si>
  <si>
    <t>1 Filtro de aceite, 3GL de aceite.</t>
  </si>
  <si>
    <t>se deja 1/4GL de aceite para rellenar.</t>
  </si>
  <si>
    <t>3/2 GL de aceite, filtro de aceite, filtro de aire.</t>
  </si>
  <si>
    <t>Cambio de aceite 10W-30, Cambio de filtro de aceite y de aire, Limpieza en general del grupo, Revision de fajas, mangueras y conexiones electricas.</t>
  </si>
  <si>
    <t>380 V</t>
  </si>
  <si>
    <t>Panamericana Norte KM 216, Paramonga</t>
  </si>
  <si>
    <t>CIELO 3</t>
  </si>
  <si>
    <t>Cambio de aceite 15W-40, cambio de filtro de aceite Perkins, Limpieza general.</t>
  </si>
  <si>
    <t>1 Filtro de aceite Perkins, 3GL de aceite 15W-40.</t>
  </si>
  <si>
    <t>MECC ALTE</t>
  </si>
  <si>
    <t>AMF26P</t>
  </si>
  <si>
    <t>CIELO 2</t>
  </si>
  <si>
    <t>Cambio de aceite, limpieza en general.</t>
  </si>
  <si>
    <t>2GL de aceite 15W-40.</t>
  </si>
  <si>
    <t>hilasaca</t>
  </si>
  <si>
    <t>Cambio de aceite 10W-30, Cambio de filtro de aceite, filtro de aire, Limpieza de grupo con disolvente, desengrasante y silicona, Inspeccion de mangueras, fajas, conexiones electricas</t>
  </si>
  <si>
    <t>2GL de aceite 10W-30, 1 Filtro de aceite, 1 Filtro de aire.</t>
  </si>
  <si>
    <t>Cambio de aceite 10W-30, Cambio de filtro de aceite, filro de aire, Limpieza del grupo electrogeno con disolvente dielectricos, desengrasante y silicona, Inspeccion de G.E. , mangueras, fajas, conexones electricas.</t>
  </si>
  <si>
    <t>3GL de aceite 10W-30, 1 filtro de aire, 1 filtro de aceite</t>
  </si>
  <si>
    <t>HILASACA</t>
  </si>
  <si>
    <t>Cambio de aceite, cambio de filtro de aceite, cambio de filtro de aire, Limpieza del G.E. con disolvente, desengrasante y silicona, inspeccion de mangueras, fajas, conexiones electricas.</t>
  </si>
  <si>
    <t>2 GL de aceite 10W-30, 1 filtro de aire, 1 filtro de aceite.</t>
  </si>
  <si>
    <t>Sello metalico del sistema de lubricacion de 56.6 mm. (facricacion nacional)</t>
  </si>
  <si>
    <t>el sello que trae de fabrica no encaja</t>
  </si>
  <si>
    <t>FALLA DEL SELLO DEL SISTEMA DE LUBRICACION</t>
  </si>
  <si>
    <t>Bateria de libre mantenimiento marca rokect (17 placas)</t>
  </si>
  <si>
    <t>Las baterias que vienen de fabrica no mantienen la carga</t>
  </si>
  <si>
    <t>FALLA DE LA BATERIA</t>
  </si>
  <si>
    <t>Reten posterior, enviado de fabrica</t>
  </si>
  <si>
    <t>Fuga de aceite en la parte trasera del motor, debido a falla del reten de cigueñal.</t>
  </si>
  <si>
    <t>FUGA DE ACEITE</t>
  </si>
  <si>
    <t>7,3</t>
  </si>
  <si>
    <t>2,80</t>
  </si>
  <si>
    <t>Tarjeta de gobernacion generac</t>
  </si>
  <si>
    <t>El grupo realiza 2 o 3 ciclos al momento de arrancar, en ocasiones arranca y en otras no, se procede a cambiar la tarjeta.</t>
  </si>
  <si>
    <t>FALLA DEL MODULO DE GOBERNACION</t>
  </si>
  <si>
    <t>rodajes de alternador</t>
  </si>
  <si>
    <t>Se observa desprendimiento de polea de alternador debido a que el rodaje se traba.</t>
  </si>
  <si>
    <t>FALLA EN EL ALTERNADOR</t>
  </si>
  <si>
    <t>Reten delantero, enviado de fabrica</t>
  </si>
  <si>
    <t>Fuga de aceite en la parte delantera del motor, debido a falla del reten de cigueñal.</t>
  </si>
  <si>
    <t>Sello de la bomba de agua</t>
  </si>
  <si>
    <t>Se observa restos de regrigerante de motor</t>
  </si>
  <si>
    <t>FUGA DE REFRIGERANTE</t>
  </si>
  <si>
    <t>PICKUP</t>
  </si>
  <si>
    <t>La alarma indica problema en el sensor, esto debido a sobrearranque</t>
  </si>
  <si>
    <t>FALLA DEL PICKUP MAGNETICO</t>
  </si>
  <si>
    <t>Arrancador marca boch</t>
  </si>
  <si>
    <t>EL motor del grupo no enciende, se procede a cambiar el arrancador.</t>
  </si>
  <si>
    <t>FALLA DEL ARRANCADOR</t>
  </si>
  <si>
    <t>Puente de diodo</t>
  </si>
  <si>
    <t>El equipo no genera, se enciende una alarma en el panel de control</t>
  </si>
  <si>
    <t>FALLA DE PUENTES DE DIODOS</t>
  </si>
  <si>
    <t xml:space="preserve">Motor GENERAC </t>
  </si>
  <si>
    <t>Presenta alarma por baja presion de aceite, marca 15 Psi.</t>
  </si>
  <si>
    <t>FALLA POR PRESION DE ACEITE</t>
  </si>
  <si>
    <t>NO REGISTRA</t>
  </si>
  <si>
    <t>cremallera de fabricacion nacional</t>
  </si>
  <si>
    <t>El equipo presenta fuerte ruido al momento de arrancar, se monto una cremallera de fabricacion nacional, no quedo del todo bien, se esta a la espera de la pieza importada.</t>
  </si>
  <si>
    <t>FALLA POR CREMALLERA DE MOTOR</t>
  </si>
  <si>
    <t>se reparo el arrancador original</t>
  </si>
  <si>
    <t>EL motor del grupo no enciende, se logro reparar el arrancador</t>
  </si>
  <si>
    <t>Daño de varios componentes internos</t>
  </si>
  <si>
    <t>HORA DE FALLO DEL GRUPO</t>
  </si>
  <si>
    <t>PARTES USADAS</t>
  </si>
  <si>
    <t>FECHA DE REPARACION</t>
  </si>
  <si>
    <t>QUE SE ENCONTRO</t>
  </si>
  <si>
    <t>TIPO DE FALLA</t>
  </si>
  <si>
    <t>FECHA DE FALLA</t>
  </si>
  <si>
    <t>N°SERIE</t>
  </si>
  <si>
    <t>N° DE FALLOS DEL G.E.</t>
  </si>
  <si>
    <t>Se observa restos de regrigerante de motor.</t>
  </si>
  <si>
    <t>REALIZA INTENTOS DE ARRANQUES</t>
  </si>
  <si>
    <t>NO LOGRA ARRANCAR COMPLETAMENTE</t>
  </si>
  <si>
    <t>ENCIENDE PERO CON FALLAS</t>
  </si>
  <si>
    <t>SE DISPARA POR ALTA TEMPERATURA DE MOTOR</t>
  </si>
  <si>
    <t>LA CHAPA DE ENCENDIDO PRESENTA DEFICIENCIA</t>
  </si>
  <si>
    <t>NO ENCIENDE</t>
  </si>
  <si>
    <t>DEFICIENCIA DE GAS</t>
  </si>
  <si>
    <t>EQUIPO NO ENCIENDE</t>
  </si>
  <si>
    <t>EQUIPO ENCIENDE Y SE APAGA</t>
  </si>
  <si>
    <t>EQUIPO HACE EXPLOSIONES PARA ENCENDER</t>
  </si>
  <si>
    <t>ALTA TEMPERATURA DEL MOTOR</t>
  </si>
  <si>
    <t>NO FUNCIONA EN AUTOMATICO</t>
  </si>
  <si>
    <t>FALLA DE ENCENDIDO DE GRUPO ELECTROGENO</t>
  </si>
  <si>
    <t xml:space="preserve">REGULADOR DE GAS </t>
  </si>
  <si>
    <t>REGULADOR DE GAS DEL TANQUE PRINCIPAL</t>
  </si>
  <si>
    <t>ALTERNADOR Y FAJA</t>
  </si>
  <si>
    <t>MEJORAS EN LA CHAPA</t>
  </si>
  <si>
    <t>LOBITOS 2</t>
  </si>
  <si>
    <t>0003-001196</t>
  </si>
  <si>
    <t>Filtro de aceite, 3GL Aceite 10W-30.</t>
  </si>
  <si>
    <t>58 PSI</t>
  </si>
  <si>
    <t>Panamericana Norte km213 / Paramonga</t>
  </si>
  <si>
    <t>Al momento de apagar el grupo para realizar el manenimiento se observo baja presion de aceite (25 PSI) en caliente y en frio 35 PSI. Se procedio a cambiar el aceite y  el filtro pero la baja presion persiste.</t>
  </si>
  <si>
    <t>25 PSI</t>
  </si>
  <si>
    <t>Este grupo debe quedar inoperativo para evitar generara daños internos al motor, Debe desarmarse para realizar un diagnostico a las partes internas afectadas</t>
  </si>
  <si>
    <t>3gl de aceite 10w-30, 1 filtro de aceite.</t>
  </si>
  <si>
    <t>0003-001059</t>
  </si>
  <si>
    <t>13.8V</t>
  </si>
  <si>
    <t>Se revisaron presiones de salida del tanque de combustible que abastece al grupo  y la presion es de 17 PSI siendo esta presion muy baja, se procedio a regular presion a 20 PSI para encender nuevamente, el grupo ya no presenta falla al encender.</t>
  </si>
  <si>
    <t>3 GL de aceite 10W-30, 1 Filtro de aceite.</t>
  </si>
  <si>
    <t>0003-001058</t>
  </si>
  <si>
    <t>EGENER SAC.</t>
  </si>
  <si>
    <t>PERMITE VISUALIZAR LAS ACTAS DE CONFORMIDAD DEL SERVIVCIO, SE NECEISITA EL N° DE SERIE DEL EQUIPO</t>
  </si>
  <si>
    <t>UBICACIÓN ACTUAL</t>
  </si>
  <si>
    <t>UBICACIÓN EN SU ULTIMO MANT.</t>
  </si>
  <si>
    <t>Cambio de aceite, cambio de filtro de aceite, revision del nivel de refrigerante, del ingreso y salida de aire, del sistema de combustible. Revision de fajas, mangueras, abrazaderas, conexiones electricas, limpieza en general.</t>
  </si>
  <si>
    <t>Se deja 1/2 gl de aceite para rellenar.</t>
  </si>
  <si>
    <t>CONSULTA DE ACTAS ( SERIE)</t>
  </si>
  <si>
    <t>CONSULTA DE ACTAS ( FECHA)</t>
  </si>
  <si>
    <t>PERMITE VISUALIZAR LAS ACTAS DE CONFORMIDAD DEL SERVIVCIO, SE NECEISITA LA FECHA EN QUE SE REALIZO EL SERVICIO</t>
  </si>
  <si>
    <t>HERRAMIENTAS DE ADMINISTRADOR DE B.D</t>
  </si>
  <si>
    <t>N° DE SERVICIO</t>
  </si>
  <si>
    <t>MARCA/MODELO</t>
  </si>
  <si>
    <t>FILTRARDOR</t>
  </si>
  <si>
    <t>N° DE REGISTROS DEL DIA</t>
  </si>
  <si>
    <t>GA8</t>
  </si>
  <si>
    <t>Cambio de aceite, cambio de filtro de aceite, chequeo de conexiones electricas, Sistema de refrigeracion, chuequeo de fajas de ventilador, Pulverizado y limpieza en general.</t>
  </si>
  <si>
    <t>13.0 V</t>
  </si>
  <si>
    <t>se deja 1/2gl de aceite para rellenar, El servicio se realizo el 15/10/2019, por victor tovar.</t>
  </si>
  <si>
    <t>13.3 V</t>
  </si>
  <si>
    <t>193 °F</t>
  </si>
  <si>
    <t>56 PSI</t>
  </si>
  <si>
    <t>459 V</t>
  </si>
  <si>
    <t>13.6V</t>
  </si>
  <si>
    <t>196 °F</t>
  </si>
  <si>
    <t>174 °F</t>
  </si>
  <si>
    <t>63 PSI</t>
  </si>
  <si>
    <t>238 V</t>
  </si>
  <si>
    <t>12.2 V</t>
  </si>
  <si>
    <t>145 °F</t>
  </si>
  <si>
    <t>74 PSI</t>
  </si>
  <si>
    <t>3GL aceite 10W-30 , filtro de aceite.</t>
  </si>
  <si>
    <t>461 V</t>
  </si>
  <si>
    <t>3GL Aceite 10W-30, filtro de aceite, filtro de aire.</t>
  </si>
  <si>
    <t>100 °F</t>
  </si>
  <si>
    <t>108 °F</t>
  </si>
  <si>
    <t>85 °F</t>
  </si>
  <si>
    <t>70 PSI</t>
  </si>
  <si>
    <t>82 °F</t>
  </si>
  <si>
    <t>72 PSI</t>
  </si>
  <si>
    <t>16.6 V</t>
  </si>
  <si>
    <t>120 °F</t>
  </si>
  <si>
    <t>67 PSI</t>
  </si>
  <si>
    <t>Bateria deficiente no soporta carga.</t>
  </si>
  <si>
    <t>78 °F</t>
  </si>
  <si>
    <t>98 °F</t>
  </si>
  <si>
    <t>65 PSI</t>
  </si>
  <si>
    <t>458 V</t>
  </si>
  <si>
    <t>97 °F</t>
  </si>
  <si>
    <t>13.8 V</t>
  </si>
  <si>
    <t>119 °F</t>
  </si>
  <si>
    <t>88 °F</t>
  </si>
  <si>
    <t>102 °F</t>
  </si>
  <si>
    <t>66 PSI</t>
  </si>
  <si>
    <t>196°F</t>
  </si>
  <si>
    <t>68 PSI</t>
  </si>
  <si>
    <t>Av. Arenales 490</t>
  </si>
  <si>
    <t>Se realiza evaluacion para cotizar una tina antiderrame, tanque de deposito del grupo electrogeno, las coordinaciones se han realizado con el señor juan rivero.</t>
  </si>
  <si>
    <t>TGHF5219</t>
  </si>
  <si>
    <t>GAMMA</t>
  </si>
  <si>
    <t>PONEDORAS H17</t>
  </si>
  <si>
    <t>Arranque inicial del grupo, horas: 0.6, voltaje de salida 240 V, e entrega manuales, se da induccion al personal de granja.</t>
  </si>
  <si>
    <t>El equipo se encuentra en piso con desnivel, Correguir este evento, debe estar en piso de concreto.</t>
  </si>
  <si>
    <t>90 °F</t>
  </si>
  <si>
    <t>75 PSI</t>
  </si>
  <si>
    <t>GPLS-400I</t>
  </si>
  <si>
    <t>Crediscotia San Isidro</t>
  </si>
  <si>
    <t>TALLER EGENER</t>
  </si>
  <si>
    <t>ESTADO DEL G.E.</t>
  </si>
  <si>
    <t>206 °F</t>
  </si>
  <si>
    <t>HR EN ULTIMO SERVICIO</t>
  </si>
  <si>
    <t>HR EN ULTIMO PREVENTIVO</t>
  </si>
  <si>
    <t>HR RESTANTES</t>
  </si>
  <si>
    <t>Panamerica sur Km.262, Ica</t>
  </si>
  <si>
    <t>Panamericana sur km 205, El Carmen</t>
  </si>
  <si>
    <t>BANDERAS 1</t>
  </si>
  <si>
    <t>BANDERAS 2</t>
  </si>
  <si>
    <t>Panamericana Sur Km 262, Ica</t>
  </si>
  <si>
    <t>Se requiere Mantenimiento en general, mantenimiento del radiador de refrigeracion, mantenimiento de inyectores de combustible, cambio de bornes de bateria y cambio de bateria. Limpieza del grupo en general, cambio de refrigerante.</t>
  </si>
  <si>
    <t>120 KW</t>
  </si>
  <si>
    <t>ALBUFERAS C</t>
  </si>
  <si>
    <t>Panamericana Norte Km 176.4, Paramonga</t>
  </si>
  <si>
    <t>Reparacion de motor, juegos de anillos, juego de valvulas, juego de guias, encamisado y rectificacion de juego de valvuas, empaquetaduras, retenes, entre otros. Suministro e instalacion de tarjeta reguladora de voltaje, Mantenimiento a gnerador, pruebas de aislamiento, instalacion de selenoide de admision, instalacion de regulador de gas, Cambio de calerias de motor y control, Revision y ajuste de bornes de conexion AC y DC.</t>
  </si>
  <si>
    <t>Anillos, juego de valvulas, guias, 1 Tarjeta de control, 1 Tarjeta reguladora de voltaje, Selenoide y Sello de admision, Regulador de gas, Cañerias de motor, Terminales.</t>
  </si>
  <si>
    <t>MECANICA</t>
  </si>
  <si>
    <t>ELECTRONICO</t>
  </si>
  <si>
    <t>12.57 V</t>
  </si>
  <si>
    <t>234 V</t>
  </si>
  <si>
    <t>239 V</t>
  </si>
  <si>
    <t>Motor GENERAC , Selenoide, Sello de admision, Terminales, Cañerias de motor.</t>
  </si>
  <si>
    <t>12.5 v</t>
  </si>
  <si>
    <t>Instalacion de motor nuevo Marca generac, Mantenimiento de generador, Pruebas de aislamiento, Suministro e instalacion de selenoide de admision, mantenimiento general de regulador de gas, Pruebas de presion de regulador, Mantenimiento de caja de control, revision y ajuste de bornes y conexiones, Cambio de cañerias.</t>
  </si>
  <si>
    <t>Panamericana Norte Km 178.7, Paramonga</t>
  </si>
  <si>
    <t>Cambio de aceite, Se realizo reparacion en conector de salida de generador.</t>
  </si>
  <si>
    <t>2 gl de aceite 15W-40.</t>
  </si>
  <si>
    <t>190 °F</t>
  </si>
  <si>
    <t>185 °F</t>
  </si>
  <si>
    <t>113 °F</t>
  </si>
  <si>
    <t>164 °F</t>
  </si>
  <si>
    <t>60 PSI</t>
  </si>
  <si>
    <t>462 V</t>
  </si>
  <si>
    <t>201 °F</t>
  </si>
  <si>
    <t>182 °F</t>
  </si>
  <si>
    <t xml:space="preserve">3 gl de aceite 10W-30, 1 Filtro de aceite, </t>
  </si>
  <si>
    <t>450 v</t>
  </si>
  <si>
    <t>0003-001060</t>
  </si>
  <si>
    <t>SCOTIABANK SAN ISIDRO</t>
  </si>
  <si>
    <t>Av. Dionisio Derteano 102</t>
  </si>
  <si>
    <t>45 gl de aceite 15W-40, 2 Filtros de aceite, 2 Filtros de petroleo.</t>
  </si>
  <si>
    <t>6FA06155</t>
  </si>
  <si>
    <t>750 KW</t>
  </si>
  <si>
    <t>226 V</t>
  </si>
  <si>
    <t>DIGITAL CAT</t>
  </si>
  <si>
    <t>26 V</t>
  </si>
  <si>
    <t>163 °F</t>
  </si>
  <si>
    <t>80 PSI</t>
  </si>
  <si>
    <t>81Z09896</t>
  </si>
  <si>
    <t>125 KW</t>
  </si>
  <si>
    <t>PLY125</t>
  </si>
  <si>
    <t>SG100</t>
  </si>
  <si>
    <t>LEROY SOMER</t>
  </si>
  <si>
    <t>003-000878</t>
  </si>
  <si>
    <t>ARRANQUE INCIAL DEL GRUPO, ENTREGA DE LLAVES Y MANUAL.</t>
  </si>
  <si>
    <t>Se realizo induccion de funcionamiento, pruebas de funcionamiento del grupo.</t>
  </si>
  <si>
    <t>Cambio de aceite de motor, Limpieza en general del grupo, pulverizado con disolvente dielectrico, revision de conexiones electricas.</t>
  </si>
  <si>
    <t>Se deja 1/2 gl de aceite para rellenar</t>
  </si>
  <si>
    <t>1GL de aceite 15W-40.</t>
  </si>
  <si>
    <t>RELACION DE EQUIPOS EN SEGUIMIENTO</t>
  </si>
  <si>
    <t>N° DE PREVENIVOS</t>
  </si>
  <si>
    <t>_INSPECCION</t>
  </si>
  <si>
    <t>PROCEDIMIENTOS REALIZADOS:</t>
  </si>
  <si>
    <t>DETALLE DE PROCEDIMIENTO REALIZADOS:</t>
  </si>
  <si>
    <t>balancin de valvulas, empaque de culata.</t>
  </si>
  <si>
    <t>CONSORCIO SALUD HAQUIRA</t>
  </si>
  <si>
    <t>HOSPITAL DE HAQUIRA</t>
  </si>
  <si>
    <t>S/N, Haquira, Cuzco.</t>
  </si>
  <si>
    <t>Evaluacion y diagnostico de grupo electrogeno, Se reconecto calculador de fluidos del motor y cargador de bateria, Se encuentra tarjeta AVR AG762/0502 malograda producto de la no conexión a pozo tierra reflejando corriente que daña los componentes electronicos.</t>
  </si>
  <si>
    <t>instalar un pozo a tierra para el grupo con una resistencia o mayor a 10 ohmios de la del grupo. Se sugiere realizar mantenimiento preventivo al grupo ya que el aislamiento esta 277 miliohmios por debajo del valor optimo.</t>
  </si>
  <si>
    <t>PEE2598803</t>
  </si>
  <si>
    <t>GMH-65P</t>
  </si>
  <si>
    <t>65 KW</t>
  </si>
  <si>
    <t>DF32000</t>
  </si>
  <si>
    <t>MECCALTE</t>
  </si>
  <si>
    <t>El grupo presenta vibraciones en el motor.</t>
  </si>
  <si>
    <t>Se calibraron las valvulas del motor.</t>
  </si>
  <si>
    <t>Se realizo prueba de funcionamiento al grupo, se obserba que el grupo mo apaga en manual estando en automatico.</t>
  </si>
  <si>
    <t>Se realizo correcion de cableado de chapa de contacto hacia el modulo principal del grupo electrogeno. Se realizo nuevamente prueba de funcionamiento y ya no se presento el problema del inicio.</t>
  </si>
  <si>
    <t>El equipo realiza intentos de arranque pero no enciende.</t>
  </si>
  <si>
    <t>Luego de la inspeccion se procedio a reemplazar el regulador de gas.</t>
  </si>
  <si>
    <t>Regulador de gas</t>
  </si>
  <si>
    <t>El equipo se enciende y se paga, no logra arrancar.</t>
  </si>
  <si>
    <t>Se ajusta el regulador de salida de los tanques de combustible</t>
  </si>
  <si>
    <t>El equipo enciende y se apaga, no logra funcionar correctamente</t>
  </si>
  <si>
    <t>Se realiza intentos de arranque pero el equipo no enciende.</t>
  </si>
  <si>
    <t>Se realiza ajuste del regulador de gas</t>
  </si>
  <si>
    <t>El equipo enciende alarma por elevada temperatura del motor</t>
  </si>
  <si>
    <t>Se reemplaza el alternador y la faja del alternador</t>
  </si>
  <si>
    <t>La chapa de encendido presenta deficiencia, el equipo no enciende</t>
  </si>
  <si>
    <t>Ajuste de pines y contactos electricos, mejoras en la chapa</t>
  </si>
  <si>
    <t>El equipo no funciona en automatico, no enciende correctamente</t>
  </si>
  <si>
    <t>Se revisa el grupo electrogeno y se revisa el contacto automatico, nuestro equipo funciona bien el problema es el ATS de ellos</t>
  </si>
  <si>
    <t>Se encontro que al momento de encender el G.E. presenta falla por deficiencia de gas.</t>
  </si>
  <si>
    <t>SEDE O GRANJA</t>
  </si>
  <si>
    <t>4 gl de aceite, filtro de aceite, filtro de petroleo</t>
  </si>
  <si>
    <t>Alternador DC, faja.</t>
  </si>
  <si>
    <t>0003-001203</t>
  </si>
  <si>
    <t>Filtro de aceite, Filtro de aire, 3GL de aceite 10W-30, 1GL de refrigerante</t>
  </si>
  <si>
    <t>FORD</t>
  </si>
  <si>
    <t>GP680AA</t>
  </si>
  <si>
    <t>Filtro de aceite, 3GL de aceite 15W-40</t>
  </si>
  <si>
    <t>0003-001204</t>
  </si>
  <si>
    <t>PEE2626885</t>
  </si>
  <si>
    <t>223 V</t>
  </si>
  <si>
    <t>COMAP/AMF26P</t>
  </si>
  <si>
    <t>14 V</t>
  </si>
  <si>
    <t>82 °C</t>
  </si>
  <si>
    <t>3gl de aceite 10W-30, Filtro de aceite, Filtro de aire</t>
  </si>
  <si>
    <t>194 °F</t>
  </si>
  <si>
    <t>3gl de aceite 10W-30, Filtro de aceite</t>
  </si>
  <si>
    <t>Se deja 1/2GL de aceite para rellenar</t>
  </si>
  <si>
    <t>KW-Hora :</t>
  </si>
  <si>
    <t>KW-Hora</t>
  </si>
  <si>
    <t>Pulverizado y limpieza externa del generador y conectores con solvente dielectrico</t>
  </si>
  <si>
    <t>Chequear fajas y filtro de aire</t>
  </si>
  <si>
    <t>Chequeo de mangueras del sistema de refrigeracion</t>
  </si>
  <si>
    <t>Revision de bateria</t>
  </si>
  <si>
    <t>Chequear ingresos y salidas de aire</t>
  </si>
  <si>
    <t>Cambio de bujias (         UNID)</t>
  </si>
  <si>
    <t>Cambio de Filtro de aceite (         UNID)</t>
  </si>
  <si>
    <t>Cambio de Filtro de aire (           UNID)</t>
  </si>
  <si>
    <t>Mantenimiento del arrancador</t>
  </si>
  <si>
    <t>Chequeo del nivel de refrigerante</t>
  </si>
  <si>
    <t>Chequeo del sistema de combustible</t>
  </si>
  <si>
    <t>Limpieza del obturador de admision</t>
  </si>
  <si>
    <t>Limpieza con solvente dielectrico de las cabezas visibles del generador principal.</t>
  </si>
  <si>
    <t>Cambio de tapa y rotor del distribuidor</t>
  </si>
  <si>
    <t>Cambio de polea</t>
  </si>
  <si>
    <t>Mantenimiento del alternador del motor</t>
  </si>
  <si>
    <t>Revision completa y limpieza en general</t>
  </si>
  <si>
    <t>Limpieza del radiador</t>
  </si>
  <si>
    <t>Cambio de faja</t>
  </si>
  <si>
    <t>_____</t>
  </si>
  <si>
    <t>0003-001066</t>
  </si>
  <si>
    <t>0003-001067</t>
  </si>
  <si>
    <t>0003-001065</t>
  </si>
  <si>
    <t>0003-001062</t>
  </si>
  <si>
    <t>0003-001063</t>
  </si>
  <si>
    <t>0003-001061</t>
  </si>
  <si>
    <t>0003-001068</t>
  </si>
  <si>
    <t>0003-001064</t>
  </si>
  <si>
    <t>Km. 131 Pan. Sur, Cañete</t>
  </si>
  <si>
    <t>0003-001206</t>
  </si>
  <si>
    <t>VER HISTORIAL DE  G.E</t>
  </si>
  <si>
    <t>INTRODUCIR SERIE</t>
  </si>
  <si>
    <t>KW-HORA</t>
  </si>
  <si>
    <t>PROPIETARIO</t>
  </si>
  <si>
    <t>EL CLIENTE</t>
  </si>
  <si>
    <t>EGENER</t>
  </si>
  <si>
    <t>INTERNO</t>
  </si>
  <si>
    <t>Av. El triunfo 1742, VMT</t>
  </si>
  <si>
    <t>Se encontro el equipo defectuoso ( llave termica malograda).</t>
  </si>
  <si>
    <t>Se cambio la llave termica que activa la luminaria, se hizo limpieza con desengrasante, disolvente dielectrico y silicona</t>
  </si>
  <si>
    <t>Proximo mantenimiento preventivo a las 1711 horas</t>
  </si>
  <si>
    <t>Se encontro defectuoso un condensador del generador</t>
  </si>
  <si>
    <t>Se cambio el condensador del generador y se hizo limpieza del grupo con desengrasante, disolvente dielectrico y silicona</t>
  </si>
  <si>
    <t>Proximo mantenimiento preventivo a las 1700 horas</t>
  </si>
  <si>
    <t>1 condesador</t>
  </si>
  <si>
    <t>PLY100</t>
  </si>
  <si>
    <t>352597/26</t>
  </si>
  <si>
    <t>DSE7320 MKII</t>
  </si>
  <si>
    <t>V665786D</t>
  </si>
  <si>
    <t>El grupo llega limpio, no presenta aboyaduras , se procede a inspeccion interna</t>
  </si>
  <si>
    <t>Se reviso G.E completo (filtros, fajas, bateria, radiador), chequeo de motor, el G.E. quedo operativo</t>
  </si>
  <si>
    <t>Las puertas tienen cerraduras pero no tienen llaves</t>
  </si>
  <si>
    <t>131 °F</t>
  </si>
  <si>
    <t>81 PSI</t>
  </si>
  <si>
    <t>1GL0716</t>
  </si>
  <si>
    <t>Cambio de aceite y filtro de aceite, limpieza en general del motor y generador, la capsula se retoco con pintura en algunas partes. Cambio de de rodaje de generador, embobinado de tapa de generador, carga de bateria.</t>
  </si>
  <si>
    <t>Rodaje de generador 6305Z</t>
  </si>
  <si>
    <t>Mantenimiento de generador y motor, cambio de aceite, filtro de aceite filtro de combustible .Se refuerza etapa de generacion.</t>
  </si>
  <si>
    <t>aceite 15W-40, Filtro de aceite, Filtro de combustible</t>
  </si>
  <si>
    <t>Reparacion de generador, Mantenimiento de luminarias</t>
  </si>
  <si>
    <t>Se entrega el equipo funcionando al 100%, 4 lamparas funcionan</t>
  </si>
  <si>
    <t>1GL0885</t>
  </si>
  <si>
    <t>LINZ</t>
  </si>
  <si>
    <t>Mantenimiento en general y limpieza del equipo, Cambio de filtro de aceite, filtro de combustible, filtro de aire.</t>
  </si>
  <si>
    <t>Filtro de aceite (3807), filtro de combustible boch, filtro de aire A-8513</t>
  </si>
  <si>
    <t>Chequeo del nivel de refrigerante, del sistema de combustible, del ingresos y salidas de aire, de batería, de mangueras del sistema de refrigeración, de fajas y filtro de aire. Pulverizado y limpieza externa del generador y conectores con solvente dieléctrico. Limpieza con solvente dieléctrico del generador principal. Cambio de aceite (Tipo: 15W-45) . Cambio de Filtro de aceite ( 1 UNID).</t>
  </si>
  <si>
    <t>Filltro de aceite , Aceite 15W-40</t>
  </si>
  <si>
    <t>1 GALON DE ACEITE 15W40, FILTRO DE ACEITE, FILTRO DE PETROLEO.</t>
  </si>
  <si>
    <t>ANALOGICO</t>
  </si>
  <si>
    <t>1GL1486</t>
  </si>
  <si>
    <t>Mantenimiento preventivo del grupo, Cambio de acite y filtro de aceite. Pintado de capsula completa, cambio de filtro de aire, Limpieza en general.</t>
  </si>
  <si>
    <t>Voltaje de generador: 220V. Voltaje de bateria: 14.2 V</t>
  </si>
  <si>
    <t>Filtro de aceite, filtro de aire, Aceite 15W-40</t>
  </si>
  <si>
    <t>Chequeo del nivel de refrigerante, del sistema de combustible, del ingresos y salidas de aire, de batería, de mangueras del sistema de refrigeración, de fajas y filtro de aire. Pulverizado y limpieza del generador y conectores con solvente dieléctrico. Limpieza con solvente dieléctrico del generador principal. Cambio de aceite (Tipo: 15W-45) . Cambio de Filtro de aceite (3807), Cambio de filtro de aire A8513, Filtro de combustible BOCH Universal.</t>
  </si>
  <si>
    <t>Aceite 15W-40, Filtro de aceite, Filtro de aire, Filtro de combustible</t>
  </si>
  <si>
    <t>Mantenimiento y servicio de motor y generador, Se refuerza etapa de generacion, Cambio de aceite 15W-40. Cambio de filtro de aceite</t>
  </si>
  <si>
    <t>Aceite 15W-40, Filtro de aceite</t>
  </si>
  <si>
    <t>Se realizo mantenimiento correspondiente y cambio de aceite, cambio de filtro de aceite, pintado de la capsula, Cambio de filtro de aire, Limpieza en general</t>
  </si>
  <si>
    <t>aceite 15W-40, filtro de aceite, filtro de aire</t>
  </si>
  <si>
    <t>Revision general y limpieza del grupo, Se revisa etapa de generacion, Se aplica soldadura en pines.</t>
  </si>
  <si>
    <t>El equipo presenta en la parte externa restos de concreto</t>
  </si>
  <si>
    <t>1GL1188</t>
  </si>
  <si>
    <t>1GL1631</t>
  </si>
  <si>
    <t xml:space="preserve">Servicio de mantenimiento, se realiza cambio de aceite, </t>
  </si>
  <si>
    <t>Aceite 15W-40</t>
  </si>
  <si>
    <t>Mantenimiento en general, filtro de aceite de motor, filtro de combustible boch, filtro de aire A-8513</t>
  </si>
  <si>
    <t>Aceite 15W-40, Filtro de aceite, filtro de aire, filtro de combustible</t>
  </si>
  <si>
    <t>Mantenimiento en general, Cambio de filtro de aceite, Cambio de aceite (LF-682) , filtro de diesel (LFP-304)</t>
  </si>
  <si>
    <t>Aceite 15W-40, Filtro de aceite, Filtro de diesel</t>
  </si>
  <si>
    <t>operación y puesta a punto del grupo electrogeno, verificacion de fluidos, puesta en macha (prueba), Instalacion de extension electrica de grupo auxiliar, operación de servicio ante contingencia de fallas, al final se hizo desinstacion de extensiones electricas y se entrega el G.E. operativo</t>
  </si>
  <si>
    <t>26.4 V</t>
  </si>
  <si>
    <t>3gl de aceite, filtro de aceite, filtro de aire, 8 bujias</t>
  </si>
  <si>
    <t>0003-001208</t>
  </si>
  <si>
    <t>ACTA DE CONFORMIDAD DE SERVICIO</t>
  </si>
  <si>
    <t>Descripción detallada del Servicio</t>
  </si>
  <si>
    <t>PROVEEDOR*:</t>
  </si>
  <si>
    <t>EMPRESA QUE RECIBE EL SERVICIO*:</t>
  </si>
  <si>
    <t>SBP</t>
  </si>
  <si>
    <t>SCI</t>
  </si>
  <si>
    <t>MONTO DE EJECUCIÓN (S/.)*</t>
  </si>
  <si>
    <t>Evaluación del servicio* (DEBE SER LLENADO POR GA o JS)</t>
  </si>
  <si>
    <t>Excelente</t>
  </si>
  <si>
    <t>Pésimo</t>
  </si>
  <si>
    <t>En caso que la evaluación sea Mala o Pésima indicar el motivo:</t>
  </si>
  <si>
    <t>Firma y sello del GA o JS*</t>
  </si>
  <si>
    <t>Señal de conformidad</t>
  </si>
  <si>
    <t>/             /</t>
  </si>
  <si>
    <t>1.-</t>
  </si>
  <si>
    <t>2.-</t>
  </si>
  <si>
    <t>De ser necesario el presente acta deberá contener imágenes de los servicio realizados.</t>
  </si>
  <si>
    <t>:</t>
  </si>
  <si>
    <t xml:space="preserve">NÚMERO DE S.O.T.*    </t>
  </si>
  <si>
    <t xml:space="preserve">NÚMERO DE PRESUPUESTO*  </t>
  </si>
  <si>
    <t xml:space="preserve">NÚMERO DE ORDEN DE SERVICIO*  </t>
  </si>
  <si>
    <t xml:space="preserve">AGENCIA / ÁREA*  </t>
  </si>
  <si>
    <t xml:space="preserve">Fecha:  </t>
  </si>
  <si>
    <t>Los campos indicados con asterisco * son de llenado obligatorio, en caso de no estar completos</t>
  </si>
  <si>
    <t>el acta de conformidad no tendra validez.</t>
  </si>
  <si>
    <t>MODELO:</t>
  </si>
  <si>
    <t>POTENCIA:</t>
  </si>
  <si>
    <t xml:space="preserve">                Malo </t>
  </si>
  <si>
    <t xml:space="preserve">    Bueno</t>
  </si>
  <si>
    <t>Cambio de aceite (Tipo: 10W-30 )                   GL (Se deja        GL para rellenar)</t>
  </si>
  <si>
    <t>El equipo llega nuevo de fabrica y sellado con manuales y llaves</t>
  </si>
  <si>
    <t>PEE2626871</t>
  </si>
  <si>
    <t>AMF 26P</t>
  </si>
  <si>
    <t>PERKINS 404D-22G</t>
  </si>
  <si>
    <t>S923132D</t>
  </si>
  <si>
    <t>SERIE G.E:</t>
  </si>
  <si>
    <t xml:space="preserve">             RUC* :</t>
  </si>
  <si>
    <t xml:space="preserve">    DIRECCIÓN:</t>
  </si>
  <si>
    <t xml:space="preserve">      Regular</t>
  </si>
  <si>
    <t>PARA EQUIPOS EN SEGUIMIENTO</t>
  </si>
  <si>
    <t>HORAS ACTUALES</t>
  </si>
  <si>
    <t xml:space="preserve">  Firma y sello del proveedor*</t>
  </si>
  <si>
    <t>ACTA DE CONFORMIDAD SCOTIABANK</t>
  </si>
  <si>
    <t>Mantenimiento del generador principal</t>
  </si>
  <si>
    <t>TEMPERATURA DEL MOTOR:</t>
  </si>
  <si>
    <t xml:space="preserve"> KW-HR:</t>
  </si>
  <si>
    <t xml:space="preserve">      HORAS:</t>
  </si>
  <si>
    <t xml:space="preserve">            PRESION DE ACEITE:</t>
  </si>
  <si>
    <t xml:space="preserve">        HORAS:</t>
  </si>
  <si>
    <t>COMBUSTIBLE:</t>
  </si>
  <si>
    <t>KW-HORA:</t>
  </si>
  <si>
    <t xml:space="preserve">OBSERVACIONES: </t>
  </si>
  <si>
    <t>Se suscribe la presente conformidad  en señal de aceptación del trabajo descrito a continuación:</t>
  </si>
  <si>
    <t>N° DE MANT. PREVENTIVOS</t>
  </si>
  <si>
    <t>0003-001213</t>
  </si>
  <si>
    <t>1 Filtro de aceite, 1 Filtro de aire, 3gl de aceite 10W-30, Refrigerante</t>
  </si>
  <si>
    <t>Falla del sello del sistema de lubricacion, el sello que vino de fabrica no encaja correctamente</t>
  </si>
  <si>
    <t>Se instalo sello metalico del sistema de lubricacion de 56.6 mm. (facricacion nacional)</t>
  </si>
  <si>
    <t>sello metalico (56.6 mm)</t>
  </si>
  <si>
    <t>Falla reportada el 29/09/2019</t>
  </si>
  <si>
    <t xml:space="preserve">Fuga de refrigerante. Se observo restos de refrigerante de motor </t>
  </si>
  <si>
    <t>Se reemplazo el sello de la bomba de agua</t>
  </si>
  <si>
    <t>falla reportada el 7/10/2019</t>
  </si>
  <si>
    <t>Sello de bomba de agua</t>
  </si>
  <si>
    <t>Se cambio el rodaje y se reparo el alternador.</t>
  </si>
  <si>
    <t>Rodajes de alternador</t>
  </si>
  <si>
    <t>La bateria original se reemplaza por una Bateria de libre mantenimiento marca rokect (17 placas)</t>
  </si>
  <si>
    <t>Bateria Rocket (17 placas)</t>
  </si>
  <si>
    <t>La falla se reporta el 9/09/2019</t>
  </si>
  <si>
    <t>EL DIA 05/12/2019 se reparo el equipo de numero de serie 3004290368, luego se procedio a revisar este equipo y notamos que presentaba falla</t>
  </si>
  <si>
    <t>Se reemplaza los rodajes del alternador y se repara, grupo queda operativo.</t>
  </si>
  <si>
    <t>Empaque trasero de bomba de agua</t>
  </si>
  <si>
    <t>el equipo presenta fuga de refrigerante por el empaque trasero de la bomba de agua</t>
  </si>
  <si>
    <t>Se reemplaza el componente malogrado y se realiza prueba de funcionamiento del grupo, queda 100% operativo</t>
  </si>
  <si>
    <t>El equipo presenta fuga de aceite en la parte trasera del motor, debido a falla del reten de cigueñal.</t>
  </si>
  <si>
    <t>Se reemplazo el reten posterior por uno nuevo enviado de fabrica</t>
  </si>
  <si>
    <t>falla reportada el 27/09/2019</t>
  </si>
  <si>
    <t>Reten posterior (original)</t>
  </si>
  <si>
    <t>REGISTRO DE REPARACION DE FALLAS SAN FERNANDO</t>
  </si>
  <si>
    <t>El grupo al encender para a los 20 segundos y se alarma, refleja en la pantalla Volt ZC Lost parandose de inmediato para proteger el motor</t>
  </si>
  <si>
    <t>Inspeccion de grupo electrogeno debido a que no genera voltaje AC 450 V, se revisa el generador de CA y se detecta daños del conjunto de diodos rectificadores</t>
  </si>
  <si>
    <t>EL EQUIPO LLEGA SELLADO DE FABRICA</t>
  </si>
  <si>
    <t>PEE2626882</t>
  </si>
  <si>
    <t>MECCALTE ECP28M</t>
  </si>
  <si>
    <t>S923129D</t>
  </si>
  <si>
    <t>PERMITE REALIZAR EL SEGUIMIENTO DE LOS MANTENIMIENTOS PREVENTIVOS Y CORRECTIVOS, ASI COMO VER EL ESTADO DE LOS EQUIPOS VENDIDOS Y ALQUILADOS POR LA EMPRESA</t>
  </si>
  <si>
    <t xml:space="preserve">                                                                                              BASE DE DATOS EGENER </t>
  </si>
  <si>
    <t>UBICACIÓN EN SU ULTIMO SERV.</t>
  </si>
  <si>
    <t>REPORTE Y REPARACION DE FALLAS</t>
  </si>
  <si>
    <t>EN ESTA TABLA SE PUEDE APRECIAR LAS FALLAS QUE PRESENTARON LOS GRUPOS ELECTROGENOS Y LA FECHA EN QUE SE REPARO</t>
  </si>
  <si>
    <t>El motor del grupo presenta baja presion de aceite (25 PSI), por este problema el grupo se alarma y no funciona.</t>
  </si>
  <si>
    <t>Nuestro personal evaluo los componentes de la parte superior del motor entre los cuales se puede obsrvar que todas las valvulas del motor, balancines y varillas estan en perfectas condiciones, lo que nos lleva a concluir que tenemos daños a nivel de metales y bomba de aceite del motor</t>
  </si>
  <si>
    <t>Evaluación y diagnóstico: Parte superior de motor sin problemas falta apertura la unidad del motor inferior para verificar metales y sistema de lubricación. Previo a esto se realizo mantenimiento preventivo, el problema persiste.</t>
  </si>
  <si>
    <t>G.E</t>
  </si>
  <si>
    <t>DATOS GENERALES</t>
  </si>
  <si>
    <t>ACEITE</t>
  </si>
  <si>
    <t>CANTIDAD</t>
  </si>
  <si>
    <t>FILTRO DE ACEITE</t>
  </si>
  <si>
    <t>FILTRO DE AIRE</t>
  </si>
  <si>
    <t>COMBUSTIBLE</t>
  </si>
  <si>
    <t>CANT.DE REFRIGERANTE</t>
  </si>
  <si>
    <t>FILT. ACEITE</t>
  </si>
  <si>
    <t>FILT. AIRE</t>
  </si>
  <si>
    <t xml:space="preserve">              HISTORIAL DE GRUPO ELECTROGENO   </t>
  </si>
  <si>
    <t>FILT. SEPARADOR</t>
  </si>
  <si>
    <t>FILT. COMBUSTIBLE</t>
  </si>
  <si>
    <t>PIEZAS A CAMBIAR</t>
  </si>
  <si>
    <t>ESTADO INCIAL</t>
  </si>
  <si>
    <t>DESCRIPCION DEL SERVICIO</t>
  </si>
  <si>
    <t>MODELO G.E</t>
  </si>
  <si>
    <t>MARCA.G.E</t>
  </si>
  <si>
    <t>MODELO MOTOR</t>
  </si>
  <si>
    <t>CANTIDAD DE ACEITE</t>
  </si>
  <si>
    <t>FILTRO DE DIESEL</t>
  </si>
  <si>
    <t>FILTRO SEPARADOR</t>
  </si>
  <si>
    <t>MARCA DE GENERADOR</t>
  </si>
  <si>
    <t xml:space="preserve">ACEITE </t>
  </si>
  <si>
    <t>404D-22G</t>
  </si>
  <si>
    <t>ECP28M</t>
  </si>
  <si>
    <t>15W-40</t>
  </si>
  <si>
    <t>2.8 GL</t>
  </si>
  <si>
    <t>2.5 GL</t>
  </si>
  <si>
    <t>CANTIDAD REFRIGERANTE</t>
  </si>
  <si>
    <t>A-7620-S</t>
  </si>
  <si>
    <t>PLY20B</t>
  </si>
  <si>
    <t>PG054</t>
  </si>
  <si>
    <t>2 GL</t>
  </si>
  <si>
    <t>4 GL</t>
  </si>
  <si>
    <t>2.6 GL</t>
  </si>
  <si>
    <t>2652C831</t>
  </si>
  <si>
    <t>MODELO DE ALTERNADOR</t>
  </si>
  <si>
    <t>1106A-70T</t>
  </si>
  <si>
    <t>LSA44.3S5</t>
  </si>
  <si>
    <t>1.9 GL</t>
  </si>
  <si>
    <t>LSA44.3M6</t>
  </si>
  <si>
    <t>1104C-44T</t>
  </si>
  <si>
    <t>SG060</t>
  </si>
  <si>
    <t>10W-30</t>
  </si>
  <si>
    <t>1.25 GL</t>
  </si>
  <si>
    <t>In-Line</t>
  </si>
  <si>
    <t>SYNCHRONOUS</t>
  </si>
  <si>
    <t>0A45310244</t>
  </si>
  <si>
    <t>G059402</t>
  </si>
  <si>
    <t>se quito la empacadura y luego se retira la capsula con la finalidad de realizar perforaciones para el anclaje con la carreta, se ralizaron pruebas de funcionamiento, el equipo queda operativo</t>
  </si>
  <si>
    <t>presentaba fuga en el tanque de combustible, se retiro el tanque y se corrigio con pegamento epoxico.</t>
  </si>
  <si>
    <t>se obserbo petroleo en la base del grupo, esto debido a una arandela (jebe) rota, se soluciona la fuga con pegamento epoxico</t>
  </si>
  <si>
    <t>Se procedio a quitar el embalaje, se reviso el grupo, se hizo agujeros para acoplar a la carreta, al realizar pruebas de funcionaiento el panel de control reporta falla, lieralmente reporta "AlarmList 1 / *ChaargeAlt Fail" se descarta un problema en el alternador, ya que este fue cambiado por un alternador de otro grupo que no presenta falla, pero el problema persiste, se vuelve a instalar alternador original y se tapa el grupo para inspeccion mas profunda.</t>
  </si>
  <si>
    <t>El equipo llega nuevo y sellado de fabrica</t>
  </si>
  <si>
    <t>se prodecio a retirar el embalaje, luego la capsula para realizar perforaciones, y montar el grupo en una carreta para su posterior despacho, Se realizaron pruebas de funcionamiento, el grupo no reporta fallas</t>
  </si>
  <si>
    <t>PEE2629434</t>
  </si>
  <si>
    <t>S92558D</t>
  </si>
  <si>
    <t>El grupo se encuentra no opertativo</t>
  </si>
  <si>
    <t>Inspeccion de alternador y faja de motor</t>
  </si>
  <si>
    <t>El grupo presenta fuga de aceite por la parte trasera del motor</t>
  </si>
  <si>
    <t>El equipo opera pero con baja presion de aceite</t>
  </si>
  <si>
    <t>Se realizo pruebas de funcionamiento, se obserba que el grupo presenta baja presion de aceite, el mismo presenta problemas internos en el motor</t>
  </si>
  <si>
    <t>Este grupo no debe seguir funcionando, debe ser llevado al taller para realizar diagnostico del mismo, para el proximo fin de semana se deberia entregar los dos motores que tenemos en nuestras instalaciones y el motor en cuestion seria trasladado a taller</t>
  </si>
  <si>
    <t>Es necesario el reemplazo del conjunto rectificador del grupo electrógeno para que pueda iniciar el proceso correcto de generación de 450 Voltios. A la espera de la aprobacion por parte de san fernando para realizar el correctivo</t>
  </si>
  <si>
    <t>STANDAR 390mm</t>
  </si>
  <si>
    <t>6.3 GL</t>
  </si>
  <si>
    <t>PG0090KG269</t>
  </si>
  <si>
    <t>V10-6.8L</t>
  </si>
  <si>
    <t>0D5419</t>
  </si>
  <si>
    <t>0F1922</t>
  </si>
  <si>
    <t>V8-5.4L</t>
  </si>
  <si>
    <t>PG045</t>
  </si>
  <si>
    <t>PG0090KG270</t>
  </si>
  <si>
    <t>K0060124Y21</t>
  </si>
  <si>
    <t>1.5 GL</t>
  </si>
  <si>
    <t>0D345400PM</t>
  </si>
  <si>
    <t>V8-9.0L</t>
  </si>
  <si>
    <t>G055505</t>
  </si>
  <si>
    <t>ALUMEN LF</t>
  </si>
  <si>
    <t>D1105-BG-EF01</t>
  </si>
  <si>
    <t>A-8513</t>
  </si>
  <si>
    <t>LF-682</t>
  </si>
  <si>
    <t>LFP-304</t>
  </si>
  <si>
    <t>BUSCADOR</t>
  </si>
  <si>
    <t>INDICADORES</t>
  </si>
  <si>
    <t>.</t>
  </si>
  <si>
    <t>FAJA</t>
  </si>
  <si>
    <t>PERMITE VISUALIZAR A DETALLE EL HISTORIAL DEL G.E. PARA REALIZAR LA CONSULTA SE NECESITA EL NUMERO DE SERIE O CODIGO PATRIMONIAL.</t>
  </si>
  <si>
    <t>Se realiza: Procedimiento estandar de mantenimiento, cambio de aceite, cambio de filtro de aceite, pulverizado de filtro de aire. Revision del grupo y limpieza en general</t>
  </si>
  <si>
    <t>Se realiza: Procedimientos estandar de mantenimiento, Cambio de aceite (Tipo: 10W-30)  2.5 GL (Se deja 1/2 GL para rellenar). Cambio de Filtro de aceite ( 1 UNID). Cambio de filtro de aire, limpieza del radiador, limpieza en general.</t>
  </si>
  <si>
    <t>Se realiza: Procedimientos estandar de mantenimiento preventivo. Cambio de aceite (Tipo: 10W-30)  2.5 GL (Se deja 1/2 GL para rellenar). Cambio de Filtro de aceite ( 1 UNID), Cambio de filtro de aire, Cambio de bujias (8 unid).</t>
  </si>
  <si>
    <t>Se realiza: Procedimientos estandar de mantenimiento preventivo ,cambio de aceite , cambio de filtro de aceite, cambio de filtro de aire, Revision del grupo y limpieza en general</t>
  </si>
  <si>
    <t>Se realiza: Procedimientos estandar de mantenimiento, cambio de aceite, cambio de filtro de aceite, pulverizado de filtro de aire. Revision del grupo y limpieza en general</t>
  </si>
  <si>
    <t>Se realiza: Procedimiento estandar de mantenimiento, cambio de aceite, cambio de filtro de aceite, cambio de filtro de aire, cambio de filtro de petroleo</t>
  </si>
  <si>
    <t>Se realiza: Procedimiento estandar de mantenimiento, cambio de aceite, cambio de filtro de aceite, cambio de filtro de aire, Revision del grupo y limpieza en general</t>
  </si>
  <si>
    <t>Se realiza: Procedimiento estandar de mantenimiento, cambio de filtro de aceite, cambio de filtro de aire, Revision del grupo y limpieza en general</t>
  </si>
  <si>
    <t>Se realiza: Procedimiento estandar de mantenimiento, Cambio de aceite, cambio de filtro de aceite. Revision completa y limpieza en general.</t>
  </si>
  <si>
    <t>Se realiza: Procedimiento estandar de mantenimiento, Cambio de aceite, Cambio de filtro de aire, Se rellena 1gl de refrigerante, Limpieza del radiador. Revision completa y limpieza en general.</t>
  </si>
  <si>
    <t>Se realizo servicio de atencion y operación de grupo electrogeno desde las 9:00 PM hasta las 6:00 AM. Se Realizo Cambio de aceite de motor 15W-40 (45 gal).Cambio de filtro de petróleo (2 unid). Cambio de filtro de aceite (2 unid). Procemiento estandar de mantenimiento</t>
  </si>
  <si>
    <t>Se realiza: Procedimiento estandar de mantenimiento. Cambio de aceite. Cambio de filtro de aceite, Pulverizado de filtro de aire. Limpieza del grupo en general.</t>
  </si>
  <si>
    <t>Se realiza: Procedimiento estandar de mantenimiento, Cambio de aceite y filtro de aceite, cambio de filtro de aire, ajuste tablero y conexiones electricas, Se verifico la perfecta operacion de 3 bancos de carga.</t>
  </si>
  <si>
    <t>Se realiza: Procedimiento estandar de mantenimiento, Cambio de aceite, Cambio de filtro de aceite y pulverizado de filtro de aire, Limpieza en general.</t>
  </si>
  <si>
    <t>Se realiza: Procedimiento estandar de mantenimiento, Cambio de filtro de aceite, cambio de filtro de aceite del motor, limpieza del tablero de control.</t>
  </si>
  <si>
    <t>Se realiza: Procedimiento estandar de mantenimiento,  cambio de aceite, filtro de aire, bujias(8), limpieza de obturador</t>
  </si>
  <si>
    <t>Se realiza: Procedimiento estandar de mantenimiento, Cambio de aceite, cambio de filtro de aceite, filtro de aire, 8 bujias, limpieza en general</t>
  </si>
  <si>
    <t>Se realizo: Procedimiento estandar de mantenimiento, cambio de aceite, filtro de aire, bujias(8), limpieza de obturador</t>
  </si>
  <si>
    <t>EVOLUTION</t>
  </si>
  <si>
    <t>E9052424</t>
  </si>
  <si>
    <t>Se realiza: Procedimiento estandar de mantenimiento, Cambio de aceite, cambio de filtro de aceite, pulverizado de filtro de aire.</t>
  </si>
  <si>
    <t>Revision del sistema electrogeno, del sistema electrico, del voltaje de bateria, Inspeccion de mangueras de refrigeracion, entrada y salida de aire, ingreso de combustible, nivel de refrigerante, fajas y poleas del motor, limpieza del G.E. con desengrasante, solvente dielectrico y silicona</t>
  </si>
  <si>
    <t>Se realiza: Procedimiento estandar de mantenimiento, Cambio de aceite, cambio de filtro de aceite, pulverizado de filtro de aire, Cambio de bujias(8), Limpieza del grupo con trapo industrial.</t>
  </si>
  <si>
    <t>Se realiza: Procedimiento estandar de mantenimiento, Se cambio el aceite, filtro de aceite.</t>
  </si>
  <si>
    <t>Se realiza: Procedimiento estandar de mantenimiento, Cambio de aceite, cambio de filtro de aceite, cambio de filtro de aire, Revision de poleas, fajas, Accesorios de motor.</t>
  </si>
  <si>
    <t>Se realiza: Procedimiento estandar de mantenimiento, Cambio de aceite, cambio de filtro de aceite, cambio de filtro de aire, revision de poleas y fajas, limpieza del grupo en general.</t>
  </si>
  <si>
    <t>Se realiza: Procedimiento estandar de mantenimiento, Cambio de aceite, cambio de filtro de aceite, cambio de filtro de aire, revision de poleas y fajas, limpieza del grupo en general</t>
  </si>
  <si>
    <t>Se realiza: Procedimiento estandar de mantenimiento. Cambio de aceite, cambio de filtro de aceite, limpieza en general.</t>
  </si>
  <si>
    <t>Se realiza: Procedimiento estandar de mantenimiento. Cambio de aceite, cambio de filtro de aceite, cambio de bujias de motor, limpieza del grupo en general</t>
  </si>
  <si>
    <t>Se realiza: Procedimiento estandar de mantenimiento, cambio de aceite, cambio de filtro de aire, filtro de aceite.</t>
  </si>
  <si>
    <t>Se realiza: Procedimiento estandar de mantenimiento, cambio de aceite, cambio de filtro de aire, filtro de aceite, revision de bateria y mangueras de refrigeracion.</t>
  </si>
  <si>
    <t>ACEITE, FILTRO DE AIRE, FILTRO DE ACEITE, BUJIAS</t>
  </si>
  <si>
    <t>Se realiza: Procedimiento estandar de mantenimiento, cambio de aceite, cambio de filtro de aire, aceite, cambio de bujias.</t>
  </si>
  <si>
    <t>Se realizo: Procedimiento estandar de mantenimiento, cambio de aceite, cambio de filtro de aceite.</t>
  </si>
  <si>
    <t>Aceite 10W-30, Filtro de aceite.</t>
  </si>
  <si>
    <t>cambio de aceite, limpieza del obturador de admision, limpieza con solvente dielectrico, revision de nivel de refrigerante, fajas, mangueras de refrigeracion, abrazaderas, bateria, ingreso y salida de aire, limpieza y ajuste de conexiones electricas.</t>
  </si>
  <si>
    <t>mediciones: Prueba con carga: H2-60 / V-450 / AMP-28</t>
  </si>
  <si>
    <t>Se realizo: Procedimiento estandar de mantenimiento, Cambio de aceite, cambio de 1 filtro de aceite. Revision del sistema electrico GE.</t>
  </si>
  <si>
    <t>Se realizo: Procedimiento estandar de mantenimiento, cambio de aceite 10W-30, 2 galones y 1/2, se deja para rellenar, 1 filtro de aceite. Revision del sistema electrico G.E.</t>
  </si>
  <si>
    <t>Prueba con carga: H2-60 / V-450 / AMP-38</t>
  </si>
  <si>
    <t>Prueba de carga: H2-60 / V-450 / AMP-11</t>
  </si>
  <si>
    <t>Se realizo: Procedimiento estandar de mantenimiento, cambio de aceite 10W-30, 2 galones y 1/2, se deja para rellenar, 1 filtro de aceite.</t>
  </si>
  <si>
    <t>Prueba con carga: H2-60 / V-450 / AMP-12</t>
  </si>
  <si>
    <t>Se realizo: Procedimiento estandar de mantenimiento, cambio de aceite 10W-30, 2 galones y 1/2, se deja para rellenar, 1 filtro de aceite. Revision del sistema electrico G.E.   Limpieza del grupo con desengrasante, solvente dielectrico y silicona.</t>
  </si>
  <si>
    <t>Se realizo: Procedimiento estandar de mantenimiento,  cambio de aceite 10W-30, 2 galones y 1/2, se deja para rellenar, 1 filtro de aceite. Revision del sistema electrico GE. Limpieza  con desengrasante, solvente dielectrico y silicona.</t>
  </si>
  <si>
    <t>Prueba con carga: H2-60 / V-450 / AMP-32</t>
  </si>
  <si>
    <t>1 Filtro de aceite, 1 filtro de aire, 3GL de aceite 10W-30, Refrigerante.</t>
  </si>
  <si>
    <t>Se realiza: Procedimiento estandar de mantenimiento, Cambio de aceite 10W-30 (3GL), cambio de filtro de aceite, Limpieza en general</t>
  </si>
  <si>
    <t>177 °F</t>
  </si>
  <si>
    <t>215 °F</t>
  </si>
  <si>
    <t>El dia de hoy se recibio llamdo reportando que el grupo no hace cambio de transferencia estando en automatico</t>
  </si>
  <si>
    <t>Se realizo pruebas de arranque en automatico, el G.E. responde de manera correcta. Se procedio a reiniciar el modulo de transferencia para encender el G.E. , enciende de manera correcta</t>
  </si>
  <si>
    <t>Se debe dar charla por parte de los proveedores de tableros a los encargados de granja y al personal para un adecuado manejo de los equipos.</t>
  </si>
  <si>
    <t>Se esta trabajando en reparar el G.E, para el dia 6/03/2020 estara operativo.</t>
  </si>
  <si>
    <t>Se realiza: Procedimiento estandar de mantenimiento, cambio de aceite 10W-30 (3GL), cambio de filtro de aceite, cambio  de filtro de aire, cambio de bujias (8 UNID), revision y limpieza en general.</t>
  </si>
  <si>
    <t>3GL de aceite, filtro de aie, filtro de aceite, 8 bujias</t>
  </si>
  <si>
    <t>Se realiza: Procedimiento estandar de mantenimiento, cambio de aceite 10W-30 (3GL), cambio de filtro de aceite, revision y limpieza en general.</t>
  </si>
  <si>
    <t>Se aconseja elvar la cagra del grupo para prevenir fallas.</t>
  </si>
  <si>
    <t>Se realizo: Procedimiento estandar de mantenimiento, Cambio de aceite 10W-30 (3GL), cambio de filtro de aceite, revision y limpieza en general</t>
  </si>
  <si>
    <t>Se debe aumentar la carga al grupo para evitar fallas</t>
  </si>
  <si>
    <t>Se realiza: Procedimiento estandar de mantenimiento, cambio de aceite 10W-30, cambio de filtro de aceite, cambio de filtro de aire, cambio de bujias, revision completa y limpieza en general</t>
  </si>
  <si>
    <t>Se recomineda elevar la carga del grupo para evitar fallas</t>
  </si>
  <si>
    <t>3GL de aceite 10W-30, filtro de aceite, filtro de aire, bujias(8 unid)</t>
  </si>
  <si>
    <t>La granja no provisiono el dielectrico, desengrasante y silicona, Se debe aumentar la carga al G.E. para evitar fallas</t>
  </si>
  <si>
    <t>Se realizo: Procedimiento estandar de mantenimiento, cambio de aceite 10W-30, cambio de filtro de aceite, no se cambia filtro de aire, Limpieza del grupo</t>
  </si>
  <si>
    <t>3GL de aceite 10W-30, filtro de aceite.</t>
  </si>
  <si>
    <t>Se realizo: Procedimiento estandar de mantenimiento, Cambio de aceite 10W-30 (3GL), cambio de filtro de aceite, cambio de filtro de aire.</t>
  </si>
  <si>
    <t>en plantel no suminsitran dielectrico, desengrasante, silicona, se recomienda aumentar la carga para prevenir fallas</t>
  </si>
  <si>
    <t>3GL  de aceite 10W-30, filtro de aceite, filtro de aire</t>
  </si>
  <si>
    <t>MANT. G.E. DIESEL ALMACENADO</t>
  </si>
  <si>
    <t>Se realizo: Procedimiento estandar de mantenimiento, cambio de aceite 10W-30 (3GL), cambio de filtro de aceite, limpieza de radiador, pulverizado de filtro de aire.</t>
  </si>
  <si>
    <t>3GL de aceite 10W-30, Filtro de aceite</t>
  </si>
  <si>
    <t>Se recomienda aumentar la carga del grupo para evitar fallas.</t>
  </si>
  <si>
    <t>14.1 V</t>
  </si>
  <si>
    <t>El equipo se encontaba inoperativo a causa de problemas con el alternador</t>
  </si>
  <si>
    <t>Se realizo cambio de alternador de motor del grupo electrogeno, cambio de faja de altrnador de motor, el grupo queda operativo</t>
  </si>
  <si>
    <t>G.E. esta trabajando con baja carga (10kw), se debe trabajar por encima de 30 kw, la sala del grupo debe tener salida de aire caliente y entrasa de aire fresco</t>
  </si>
  <si>
    <t>alternador DC, faja de motor</t>
  </si>
  <si>
    <t>Falla de alternador DC</t>
  </si>
  <si>
    <t>El grupo se encontraba no operativo</t>
  </si>
  <si>
    <t>Se realiza cambio de protector termico de sistema de escape, en los bancos izquierdo y derecho se reemplazo protectores cortos</t>
  </si>
  <si>
    <t>Se ultilizo 6 cintillos metalicos por cada protector termico.</t>
  </si>
  <si>
    <t>Funda de tubo de escape, cintillos metalicos</t>
  </si>
  <si>
    <t>Revision del sistema de alimentacion de combustible, al conectar el reloj de columnas de agua su presion es de 20 columnas de agua, se procedio a manipular el regulador pero la presion no varia.</t>
  </si>
  <si>
    <t>Regulador de gas del G.E. presenta falla (presion de salida de tanque: 20 PSI) en sus componentes internos(diafragma), por este motivo se debe reemplazar el regulador de gas.</t>
  </si>
  <si>
    <t>El dia de hoy (06/03/2020) se acudio al plantel para realizar revision de los G.E. se observa este grupo con ruido en el alternador.</t>
  </si>
  <si>
    <t>Se realiza cambio de alternador de motor, grupo queda operativo</t>
  </si>
  <si>
    <t>Alternador de motor</t>
  </si>
  <si>
    <t>Se reporta un G.E. con falla</t>
  </si>
  <si>
    <t>Se realizo inspeccion visual al G.E. se observo presion de aceite en 36 PSI en caliente, se reviso nivel de aceite y esta correcto.</t>
  </si>
  <si>
    <t>Posiblemente el problema este en el sistema de lubricacion, de bajar mas la presion de aceite puede tener graves problemas con sus partes internas, el G.E. queda en observacion</t>
  </si>
  <si>
    <t>36 PSI</t>
  </si>
  <si>
    <t>Se realiza cambio de protector termico de sistema de escape, los bancos izquierdo y derecho se reemplazo 4 protectores</t>
  </si>
  <si>
    <t>Para protectores cortos se uso 6 sintillos metalicos y para protectoras largos 8</t>
  </si>
  <si>
    <t>Fundas de escape, cintillos metalicos</t>
  </si>
  <si>
    <t xml:space="preserve">El grupo presenta sobrecalentamiento </t>
  </si>
  <si>
    <t>Se realizo inspeccion del G.E. se observa que el grupo no esta trabajando en condiciones climaticas adecuadas, la circulacion de aire en la sala no es la adecuada, esto afecta al termostato. Se realizo lubricacion de termostato, grupo queda operativo.</t>
  </si>
  <si>
    <t>Se realizaron todos los chequeos correspondientes, no aplica garantia, se quedo en enviar un informe explicando la falla.</t>
  </si>
  <si>
    <t>ALTERNADOR DEL MOTOR</t>
  </si>
  <si>
    <t>STS. ARQUITECTOS</t>
  </si>
  <si>
    <t>Av. Cieneguilla Km 23.5/ m2c2</t>
  </si>
  <si>
    <t>Se realiza puesta en marcha del G.E.</t>
  </si>
  <si>
    <t>Queda pendiente: Colocar entrada de aire forzada, aislar el G.E. del piso de la sala, instalar tanque de combustible con una sola linea (20 PSI), Se recomienda colocar manquera flexible con conector rapido en la conexión del grupo</t>
  </si>
  <si>
    <t>RG06024</t>
  </si>
  <si>
    <t>STS AQUITECTOS/ CASA LA QUEBRADA</t>
  </si>
  <si>
    <t>FASE</t>
  </si>
  <si>
    <t>Se realiza: Procedimiento estandar de mantenimiento, Cambio de aceite 10W-30 (3GL), cambio de Filtro de aceite, cambio de filtro de aire, cambio de bujias, revision y limpieza en general</t>
  </si>
  <si>
    <t>Solo se realizo la limpieza con trapo en general debido a que el cliente no suministro desengrasante, dielectrico y compresora</t>
  </si>
  <si>
    <t>3GL de aceite y filtro, 1 filtro de aire, 8 bujias</t>
  </si>
  <si>
    <t>450V</t>
  </si>
  <si>
    <t>Se realizo: Procedimiento estandar de mantenimiento, Cambio de aceite 10W-30 (3GL), cambio de filtro de aceite, cambio de filtro de aire, cambio de bujias (8UNID), revision y limpieza en general.</t>
  </si>
  <si>
    <t>Solo se realizo la limpieza general con trapo industrial, el cliente no suministro desengrasante, silicona, dielectrico y compresora.</t>
  </si>
  <si>
    <t>0003-001075</t>
  </si>
  <si>
    <t>A-B</t>
  </si>
  <si>
    <t>B-C</t>
  </si>
  <si>
    <t>C-A</t>
  </si>
  <si>
    <t>Se realizo: Procedimiento estarndar de mantenimiento, cambio de aceite 10W-30, 2 galones y 1/2, se deja para rellenar, 1 filtro de aceite. Verificacion de polea, faja y accesorios de motor. Limpieza del G.E</t>
  </si>
  <si>
    <t>KW-HR PROM.</t>
  </si>
  <si>
    <t>PRECION DE ACEITE</t>
  </si>
  <si>
    <t>TEMPERATURA DE MOTOR</t>
  </si>
  <si>
    <t>VOLT. BATERIA</t>
  </si>
  <si>
    <t>CARGA</t>
  </si>
  <si>
    <t xml:space="preserve">SERIE  </t>
  </si>
  <si>
    <t>*Solo se muestran equipos en seguimiento</t>
  </si>
  <si>
    <t>*borrar la celda de busqueda antes de salir</t>
  </si>
  <si>
    <t>UBICACIÓN DURANTE EL SERVICIO</t>
  </si>
  <si>
    <t xml:space="preserve">UBICACIÓN ACTUAL  </t>
  </si>
  <si>
    <t xml:space="preserve">                                                                    PANEL DE CONTROL</t>
  </si>
  <si>
    <t>Se reemplazan los correctores termicos del sistema de escape, Protectores de escape reemplazados fueron 2, se utilizo 12 cintillos metalicos</t>
  </si>
  <si>
    <t>El grupo cuenta con protectores de tubo de escape deteriorados</t>
  </si>
  <si>
    <t>2 Fundas de escape, 12 cintillos metalicos</t>
  </si>
  <si>
    <t>Se realizo: Procedimiento estandar de mantenimiento, cambio de aceite 10W-30, 1 filtro de aceite, 1 filtro de aire, 8 bujias, revision completa y limpieza</t>
  </si>
  <si>
    <t>Limpeza del grupo solo se hizo con trapo industrial, debido a que el cliente no suministro desengrasante, dielectrico, silicona y compresora, se recomienda aumentar la carga</t>
  </si>
  <si>
    <t>3GL de aceite y filtro, filtro de aire, bujias (8 unid)</t>
  </si>
  <si>
    <t>SCOTIABANK PASEO DE LA REPUBLICA</t>
  </si>
  <si>
    <t>Dean valdivia 485-495, esq Paseo de la Republica - San Isidro</t>
  </si>
  <si>
    <t>P110E</t>
  </si>
  <si>
    <t>110 KW</t>
  </si>
  <si>
    <t>FG WILSON</t>
  </si>
  <si>
    <t>Revision de fluidosy parametros, encendido y puesta en marcha para evaluar funcionamiento, revision de sistema de transferencia de energia electrica de los ups.</t>
  </si>
  <si>
    <t>Servicio de operación del 8/03/2020 a las  10:00 pm hasta 9/03/2020 a las 8:00 am, se entrega satisfactoriamente</t>
  </si>
  <si>
    <t>ANGLOAMERICANA SAN ISIDRO</t>
  </si>
  <si>
    <t>ANGLOAMERICANA LA MOLINA</t>
  </si>
  <si>
    <t>362973-1-1-0813</t>
  </si>
  <si>
    <t>MTU</t>
  </si>
  <si>
    <t>9001XC6DT2</t>
  </si>
  <si>
    <t>900 KW</t>
  </si>
  <si>
    <t>230 V</t>
  </si>
  <si>
    <t>ONSITE ENERGY</t>
  </si>
  <si>
    <t>MARATHON</t>
  </si>
  <si>
    <t>WA-581537-0813</t>
  </si>
  <si>
    <t>27.7 V</t>
  </si>
  <si>
    <t>145 PSI</t>
  </si>
  <si>
    <t>Se realizo: Procedimiento estandar de mantenimiento, cambio de aceite 15W-40, filtro de aceite, 3 filtros de petroleo, 2 filtros separadores racord, limpieza de filtro de aire, se remplazo 1 indicador de flujo de aire.</t>
  </si>
  <si>
    <t>queda pendiente reemplazo de un indicador de flujo de aire, se dicta charla al personal de sodexo.</t>
  </si>
  <si>
    <t>Aceite 15W-40, filtro de aceite, filtro combustible (3 UNID), filtro separador (2 UNID), 1 indicador de flujo de aire</t>
  </si>
  <si>
    <t>0003-001220</t>
  </si>
  <si>
    <t>El equipo se encontraba en el taller guardado por un periodo aproximado de 2 años, estaba cubierto en polvo y no tenia bateria.</t>
  </si>
  <si>
    <t>Se realizo: Procedimiento estandar de mantenimiento, cambio de aceite 15W-40, cambio de filtro de aceite, cambio de filtro de combustible (2 UNID), cambio de filtro separador, desmontaje del generador para barnisar y dar mantenimiento, instalacion de cortacorriente.</t>
  </si>
  <si>
    <t>Aceite y filtro de aceite, filtro de combustible, separador, bateria, cortacorriente de bateria.</t>
  </si>
  <si>
    <t>222 V</t>
  </si>
  <si>
    <t>DS7320</t>
  </si>
  <si>
    <t>PP71370U061050C</t>
  </si>
  <si>
    <t>346063/18</t>
  </si>
  <si>
    <t>130 °F</t>
  </si>
  <si>
    <t>91 PSI</t>
  </si>
  <si>
    <t>PP71370U061051C</t>
  </si>
  <si>
    <t>346063/19</t>
  </si>
  <si>
    <t>148 °F</t>
  </si>
  <si>
    <t>98 PSI</t>
  </si>
  <si>
    <t>Al G.E. se le instalo una bateria nueva de 17 placas, se realizo pruebas funcionales sin carga, el trabajo se realizo del  6 al 11 de marzo. Equipo sera vendido a redondos</t>
  </si>
  <si>
    <t>Se realizo: Procedimiento estandar de mantenimiento, cambio de aceite 10W-30, cambio de filltro de aceite, cambio de filtro de aire, limpieza de radiador, revision completa y limpieza en general.</t>
  </si>
  <si>
    <t>Se recomienda que la sala de G.E. tenga salida de aire caliente y entrada de aire fresco, es necesario aumentar la carga asociada al grupo, ya que este se daña al trabajar con menos del 30% de su potencia</t>
  </si>
  <si>
    <t>3GL de aceite, 1 filtro de aire, 1 filtro de aceite</t>
  </si>
  <si>
    <t>38 PSI</t>
  </si>
  <si>
    <t>0003-001072</t>
  </si>
  <si>
    <t>El G.E. no enciende, en la inspeccion se aprecia falla de regulador de gas de segunda etapa</t>
  </si>
  <si>
    <t>ALMACEN CABEZA DE TORO</t>
  </si>
  <si>
    <t>Se realiza prueba de funcionamiento en vacio, cambio de filtro de aire, se reviso el aceite, nivel de refrigerante, conexiones elctrica, faja, grupo queda operativo</t>
  </si>
  <si>
    <t>Filtro de aire</t>
  </si>
  <si>
    <t>C3020121001-S</t>
  </si>
  <si>
    <t>CUMMINS</t>
  </si>
  <si>
    <t>EDC-3051</t>
  </si>
  <si>
    <t>30 KW</t>
  </si>
  <si>
    <t>DSES5220</t>
  </si>
  <si>
    <t>28.3 V</t>
  </si>
  <si>
    <t>77 PSI</t>
  </si>
  <si>
    <t>4BT3.4-G1</t>
  </si>
  <si>
    <t>LSA42.3VS1</t>
  </si>
  <si>
    <t>5 GL</t>
  </si>
  <si>
    <t>LF-3345</t>
  </si>
  <si>
    <t>FS1280</t>
  </si>
  <si>
    <t>FF5018</t>
  </si>
  <si>
    <t>NOTA IMPORTANTE</t>
  </si>
  <si>
    <t>Se realiza: Procedimiento estandar de mantenimiento, Cambio de aceite 10W-30 (3GL), cambio de filtro de aceite, cambio de filtro de aire, Limpieza de radiador, revision y limpieza en general</t>
  </si>
  <si>
    <t>3GL de aceite, 1 filtro de aceite, filtro de aire</t>
  </si>
  <si>
    <t>Solo se realizo limpieza del grupo con trapo industrial debido a que el cliente no suministro desengrasante, dielectrico, silicona y compresora. Se realizaron pruebas en vacio. Es necesario aumentar la carga.</t>
  </si>
  <si>
    <t>Panamericana Norte km 124.5 - Valle huaura</t>
  </si>
  <si>
    <t>0003-001222</t>
  </si>
  <si>
    <t>El grupo se encuentra fuera de servicio por no generar voltaje AC, presenta daños en los diodos y el varistor</t>
  </si>
  <si>
    <t>Instalacion y pruebas de diodos rectificadores y varistor, Se realiza prueba de generacion de grupo.</t>
  </si>
  <si>
    <t>G.E. queda 100% operativo</t>
  </si>
  <si>
    <t>Diodos rectificadores, varistor.</t>
  </si>
  <si>
    <t>150 °F</t>
  </si>
  <si>
    <t>Fuera de servicio por daños en el generador AC</t>
  </si>
  <si>
    <t>Instalacion y puesta en servicio de generador principal (serie: 106302850), prueba de funcionamiento y verificacion de generacion.</t>
  </si>
  <si>
    <t>Grupo queda 100% operativo</t>
  </si>
  <si>
    <t>Rebobinado de componentes, diodos y varistor</t>
  </si>
  <si>
    <t>451 V</t>
  </si>
  <si>
    <t>Desgaste de fundas de escape</t>
  </si>
  <si>
    <t>Falla de alternador AC</t>
  </si>
  <si>
    <t>Falla de diodos y varistor</t>
  </si>
  <si>
    <t>G.E. no enciende</t>
  </si>
  <si>
    <t>Falla de puente de diodo</t>
  </si>
  <si>
    <t>El grupo enciende pero no genera</t>
  </si>
  <si>
    <t>Se reemplaza puente de diodo</t>
  </si>
  <si>
    <t>0003-001078</t>
  </si>
  <si>
    <t>Grupo electrogeno presenta falla, falla reportada 12/03/2020</t>
  </si>
  <si>
    <t>Se realiza prueba de funcionamiento, el grupo no genera, presenta falla en el puente diodo, se reemplaza el componente malogrado, se realiza pruebas de funcionamiento</t>
  </si>
  <si>
    <t>Se realiza pruebasd e funcionamiento por un lapso de 20 min, el grupo queda operativo</t>
  </si>
  <si>
    <t>Puente diodo</t>
  </si>
  <si>
    <t>El operador del grupo reporta falla, se procede ha realizar inspeccion</t>
  </si>
  <si>
    <t>Se procede a realizar inspeccion del grupo, presenta falla en el puente de diodo</t>
  </si>
  <si>
    <t>Es necesario reemplazar ese componente para que el G.E vuelva a funcionar</t>
  </si>
  <si>
    <t>0003-001079</t>
  </si>
  <si>
    <t>El operador del G.E. reporta falla , el grupo no genera.</t>
  </si>
  <si>
    <t>En las pruebas de funcionamiento se observa que el G.E. presenta falla en el puente de diodo, esto ocaciona la falla de generacion, se reemplaza este componente, grupo queda operativo</t>
  </si>
  <si>
    <t>Puente de diodo con varistor</t>
  </si>
  <si>
    <t>Se realiza: Procedimiento estandar de mantenimiento, Cambio de aceite, cambio de filtro de aceite, filtro de aire, limpieza en general</t>
  </si>
  <si>
    <t>Aceite, filtro de aceite, filtro de aire.</t>
  </si>
  <si>
    <t>0003-001224</t>
  </si>
  <si>
    <t>Se realiza: Procedimiento estandar de mantenimiento, cambio de aceite 10W-30, cambio de filtro de aceite, Limpieza del radiador, revision completa y limpieza en general</t>
  </si>
  <si>
    <t>El cliente no suministro solvente dielectrico, desengrasante y silicona.</t>
  </si>
  <si>
    <t>Se realiza: Procedimiento estandar de mantenimiento, cambio de aceite 10W-30, cambio de filtro de aceite, limpieza del radiador, revision y limpieza en general</t>
  </si>
  <si>
    <t>64 PSI</t>
  </si>
  <si>
    <t>186 °F</t>
  </si>
  <si>
    <t>TRASLADO</t>
  </si>
  <si>
    <t>ALMACEN REDONDOS</t>
  </si>
  <si>
    <t>Panamericana Norte Km 170.6 - Huaura</t>
  </si>
  <si>
    <t>0003-001216</t>
  </si>
  <si>
    <t>Grupo nuevo vendido a redondos</t>
  </si>
  <si>
    <t>traslado del taller egener a almacen central lobitos, G.E. incluye bateria, manuales, cortacorriente e interruptor termomagnetico</t>
  </si>
  <si>
    <t>CMO Group S.A.</t>
  </si>
  <si>
    <t>0003-001210</t>
  </si>
  <si>
    <t>G.E. parte con 927 horas luego de inspeccion realizada en taller.</t>
  </si>
  <si>
    <t>alquiler al penal de misti - arequipa, el grupo parte con bateria, silenciador, tanque de combustible incorporado, encapsulado e insonorizado.</t>
  </si>
  <si>
    <t>servicio de alquiler para uso de 240 horas mensuales</t>
  </si>
  <si>
    <t>PENAL MISTI AREQUIPA</t>
  </si>
  <si>
    <t>El G.E. va acomplañnado de una carreta movil con 4 llantas y eje delantero, DESTINO: Panamericana Norte Km 170.6 - Huaura</t>
  </si>
  <si>
    <t>Falla de alternador, es necesario reemplazar esta pieza, falla se reporta el 21/03/2020</t>
  </si>
  <si>
    <t>0003-001226</t>
  </si>
  <si>
    <t>El equipo llega luego de que se le instalo motor nuevo y se hicieron algunas correcciones</t>
  </si>
  <si>
    <t>INSTALACION</t>
  </si>
  <si>
    <t>Se realizo instalacion del G.E. se realizaron pruebas de buen funcionamiento, se hicieron pruebas con carga, el grupo funciona de manera correcta.</t>
  </si>
  <si>
    <t>170 °F</t>
  </si>
  <si>
    <t>El equipo se encuentra fuera de servicio</t>
  </si>
  <si>
    <t>Se realizo cambio de alternador y pruebas de funcionamiento</t>
  </si>
  <si>
    <t>grupo queda 100% operativo</t>
  </si>
  <si>
    <t>alternador DC</t>
  </si>
  <si>
    <t>0003-001081</t>
  </si>
  <si>
    <t>Se reaiza: Procedimiento estandar de mantenimiento, cambio de aceite 10W-30 (3GL), cambio de filtro de aceite, cambio de filtro de aire, cambio de bujias</t>
  </si>
  <si>
    <t>3GL de aceite, filtro de aceite, filtro de aire, bujias</t>
  </si>
  <si>
    <t>Cliente no suminsitra desengrasante ni silicona para la limpieza del G.E. Se realizaron pruebas en vacio</t>
  </si>
  <si>
    <t>Se reaiza: Procedimiento estandar de mantenimiento, cambio de aceite 10W-30 (3GL), cambio de filtro de aceite, cambio de filtro de aire, limpieza de radiador</t>
  </si>
  <si>
    <t>3GL de aceite, filtro de aceite, filtro de aire</t>
  </si>
  <si>
    <t>pl-806</t>
  </si>
  <si>
    <t>0003-001082</t>
  </si>
  <si>
    <t>Se reaiza: Procedimiento estandar de mantenimiento, cambio de aceite 10W-30 (3GL), cambio de filtro de aceite, Revision y limpieza en general</t>
  </si>
  <si>
    <t>3GL de aceite, filtro de aceite</t>
  </si>
  <si>
    <t>0003-001083</t>
  </si>
  <si>
    <t>Se reaiza: Procedimiento estandar de mantenimiento, cambio de aceite 10W-30 (3GL), cambio de filtro de aceite, cambio de filtro de aire, cambio de bujias (8UNID),  revision y limpieza en general</t>
  </si>
  <si>
    <t>3GL de aceite, filtro de aceite, filtro de aire, 8 bujias</t>
  </si>
  <si>
    <t>0003-001084</t>
  </si>
  <si>
    <t>Se reaiza: Procedimiento estandar de mantenimiento, cambio de aceite 10W-30 (3GL), cambio de filtro de aceite, revision y limpieza en general.</t>
  </si>
  <si>
    <t>3GL de aceite, filtro de aceite.</t>
  </si>
  <si>
    <t>Se reaiza: Procedimiento estandar de mantenimiento, cambio de aceite 10W-30 (3GL), cambio de filtro de aceite, pulverizado de filtro de aire, limpieza de radiador</t>
  </si>
  <si>
    <t>Se reaiza: Procedimiento estandar de mantenimiento, cambio de aceite 10W-30 (3GL), cambio de filtro de aceite, limpieza de radiador</t>
  </si>
  <si>
    <t>Se reaiza: Procedimiento estandar de mantenimiento, cambio de aceite 10W-30 (3GL), cambio de filtro de aceite, limpieza de filtro de aire, limpieza de radiador</t>
  </si>
  <si>
    <t>Se realizaron pruebas con carga</t>
  </si>
  <si>
    <t>0003-001227</t>
  </si>
  <si>
    <t>452 V</t>
  </si>
  <si>
    <t>202 °F</t>
  </si>
  <si>
    <t>200 °F</t>
  </si>
  <si>
    <t>El 02/02/2020 reportan qye el G.E. no genera voltajem ademas se obserba humo proveniente del generador, al llegar el grupo presenta alarma por bajo nivle de voltaje.</t>
  </si>
  <si>
    <t>El daño en el G.E. fue causado por una mala operación del equipo, se recomienda mejorar el sistema de enclavamiento entre sistemas para que no exista posibilidad de motorizar el G.E. ,mejorar ventilacion.</t>
  </si>
  <si>
    <t>Se procede a realizar inspeccion visual, se obserban daños en varistor, puente diodos y rotor de excitatriz producidos por motorizacion del  G.E. se realiza desmontaje de generador para su traslado a taller.</t>
  </si>
  <si>
    <t>708 V</t>
  </si>
  <si>
    <t>13.63 V</t>
  </si>
  <si>
    <t>187 °F</t>
  </si>
  <si>
    <t>SCOTIABANK JESUS MARIA - ARENALES</t>
  </si>
  <si>
    <t> El día martes 24 de marzo del presente año, nos acercamos a las instalaciones del banco Scotiabank a pedido de nuestro cliente, para revisar problemas observados en el sistema automático de llenado de combustible.</t>
  </si>
  <si>
    <t>Revisión de tablero del Sistema de llenado de Tanque del GE.: consistió en la Revisión de electroválvula en la linea de suministro, calibración de sensor de nivel de chasis tanque de GE. Y revisión de tablero de control y sirena de alarma ante emergencia, se encontró cableado de control desconectado. Se procedió a realizar los correctivos en el cableado y se ejecutaron las pruebas de funcionamiento del circuito.</t>
  </si>
  <si>
    <t>Alternador DC</t>
  </si>
  <si>
    <t>LOBITOS 4</t>
  </si>
  <si>
    <t>se han dado todos los alcanzes al personal que opera el G.E , la prueba del grupo se realizo en vacio, en la instalacion y prueba del equipo estuvo presente los señores felix izquierdo y cesar cruz morales. los materiales usados fueron suministrados por la empresa.</t>
  </si>
  <si>
    <t>se han dado todos los alcanzes al personal que opera el G.E, la prueba del grupo se realizo en vacio, en la instalacion y prueba del equipo estuvo presente los señores felix izquierdo y cesar cruz morales. los materiales usados fueron suministrados por la empresa.</t>
  </si>
  <si>
    <t xml:space="preserve">se realizo arranque incial del G.E, se realizaron instalaciones de suministros de gas e instalaciones electricas, se han dado todos los alcanzes al personal , la prueba del grupo se realizo en vacio, en la instalacion y prueba del equipo estuvo presente los señores felix izquierdo y cesar cruz morales. </t>
  </si>
  <si>
    <t>86 PSI</t>
  </si>
  <si>
    <t>Equipo presentaba falla en el motor</t>
  </si>
  <si>
    <t>Se realizo cambio de cremallera de motor por garantia</t>
  </si>
  <si>
    <t>cremallera de motor</t>
  </si>
  <si>
    <t>0003-001085</t>
  </si>
  <si>
    <t>Se realiza: Procedimiento estandar de mantenimiento, cambio de aceite 10W-30, cambio de filtro de aceite, cambio de bujias, revision completa y limpieza en general</t>
  </si>
  <si>
    <t>Cliente no suminista desengrasante ni silicona para la limpieza del grupo</t>
  </si>
  <si>
    <t>3GL aceite, filtro de aceite, bujias (8)</t>
  </si>
  <si>
    <t>0003-001086</t>
  </si>
  <si>
    <t>Se realiza procedimiento estandar de mantenimiento, cambio de aceite 10W-30, cambio de filtro de aceite, limpieza de filtro de aire, limpieza de radiador, revision y limpieza en general.</t>
  </si>
  <si>
    <t>Cliente no suministra desengrasante ni silicona abrillantadora para la limpieza del grupo</t>
  </si>
  <si>
    <t>0003-001087</t>
  </si>
  <si>
    <t>Se realiza procedimiento estandar de mantenimiento, cambio de aceite 10W-30, cambio de filtro de aceite, cambio de bujias (8 unid), limpieza de radiador, revision y limpieza en general.</t>
  </si>
  <si>
    <t>3GL de aceite, filtro de aceite, bujias (8)</t>
  </si>
  <si>
    <t>Protectores termicos se encuentran desgastados por el uso</t>
  </si>
  <si>
    <t>Se realizo el cambio de protectores termicos del sistema de escape, banco izquerdo: uno corto y uno lardo, banco derecho: uno corto y uno largo, se utilizo 6 sintillos metalicos para los cortos y 8 para los largos.</t>
  </si>
  <si>
    <t xml:space="preserve"> se utilizo 6 sintillos metalicos para los cortos y 8 sintillos metalicos para los largos.</t>
  </si>
  <si>
    <t>fundas de escape, sintillos</t>
  </si>
  <si>
    <t>El grupo se encuentra operativo pero tiene falla del regulador de gas, se realiza el servicio y estamos a la espera del repuesto para su reemplazo.</t>
  </si>
  <si>
    <t>El grupo electrogeno presenta falla en el regulador de gas.</t>
  </si>
  <si>
    <t>se retira el regulador,  se reemplaza algunos componentes internos y se vuelve a instalar, esto debido a que el regulador enviado desde taller para el reemplazo esta malogrado</t>
  </si>
  <si>
    <t>El regulador enviado desde el taller esta no operativo, grupo queda funcionando pero no al 100 % , es necesario reemplazar regulador</t>
  </si>
  <si>
    <t>raparacion de regulador de gas</t>
  </si>
  <si>
    <t>Se realiza procedimiento estandar de mantenimiento, cambio de aceite 10W-30, cambio de filtro de aire, cambio de bujias (8 UNID), revision completa y limpieza en general</t>
  </si>
  <si>
    <t>Cliente no suministra desengrasante ni silicona para la limpieza del grupo.</t>
  </si>
  <si>
    <t>3GL de aceite, filtro de aceite, filtro de aire, bujias (8)</t>
  </si>
  <si>
    <t>0003-001088</t>
  </si>
  <si>
    <t>cambio de aceite 10W-30, 2 galones y 1/2, se deja para rellenar, 1 filtro de aceite. Revision del sistema electrico GE. revision de bateria .Inspecccion de manguera de refrigeracion, de ingreso y salida de aire, Verificacion de accesorios de motor. Limpieza del G.E. con desengrasante, solvente dielectrico y silicona.</t>
  </si>
  <si>
    <t>El grupo presentaba exesiva suciedad en el radiador, debido a ello estaba fallando</t>
  </si>
  <si>
    <t>Se recomienda al operador del equipo darle una limpieza superficial al G.E. antes de encenderlo para evitar que el radiador se tape.</t>
  </si>
  <si>
    <t>3GL de aceite, filtro de aceite, 8 bujias</t>
  </si>
  <si>
    <t>Se realiza: procedimiento estandar de mantenimientos, cambio de aceite 10W-30 (3GL), cambio de filtro de aceite, cambio de bujias (8UNID), limpieza de radiador, Limpieza en general.</t>
  </si>
  <si>
    <t>39 KW</t>
  </si>
  <si>
    <t>0003-001228</t>
  </si>
  <si>
    <t>Se realiza: Procedimiento estandar de mantenimiento, cambio de aceite (3 GL), cambio de filtro de aceite, cambio de filtro de aire, cambio de bujias, limpieza del radiador, limpieza en general</t>
  </si>
  <si>
    <t>3GL de aceite, filtro de aire, filtro de aceite, 8 bujias</t>
  </si>
  <si>
    <t>192 °F</t>
  </si>
  <si>
    <t>0003-001230</t>
  </si>
  <si>
    <t xml:space="preserve"> Presenta consumo excesivo de aceite de motor y fuga por la parte trasera del motor en el área del retén trasero de cigüeñal.</t>
  </si>
  <si>
    <t>Motor trabajando con promedio de carga de 21 KW, esta condición esta desde que inició operaciones. Grupo debe de ser trasladado al taller para realizar diagnostico de la parte interna del motor.</t>
  </si>
  <si>
    <t>Baja presión de aceite de motor.</t>
  </si>
  <si>
    <t>Se realiza medición de presión de aceite de motor con el valor de 20 Psi, Para estos motores el valor de trabajo debe estar ente 55 y 60 Psi.</t>
  </si>
  <si>
    <t>Motor trabajando con promedio de carga de 12.69 KW. En estas condiciones este equipo no puede trabajar es probable que tenga daños de las unidades de potencia del motor. Este motor debe llevarse al taller para realizar evaluación y determinar los daños.</t>
  </si>
  <si>
    <t>20 PSI</t>
  </si>
  <si>
    <t>El motor de este grupo electrógeno baja presión de aceite de motor llegando hasta 38 Psi trabajando normalmente, esta medición se realizó en horas de la tarde.</t>
  </si>
  <si>
    <t>Se realiza medición de presión de aceite de motor con el valor de 44 Psi este valor se tomó con el grupo trabajando con media hora de funcionamiento.</t>
  </si>
  <si>
    <t>Este motor debemos tenerlo en observación ya que está perdiendo presión cuando trabaja en caliente. Este informe es netamente informativo ya que para estos casos el daño es a niveles de metales del motor.</t>
  </si>
  <si>
    <t>44 PSI</t>
  </si>
  <si>
    <t>0003-001089</t>
  </si>
  <si>
    <t>Se realiza: Procedimiento estandar de mantenimiento, cambio de aceite 10W-30, cambio de filtro de aceite, cambio de filtro de aire, cambio de bujias (8UNID), limpieza en general.</t>
  </si>
  <si>
    <t>Cliente no suministra silicona y desengrasante, se realizan pruebas en vacio</t>
  </si>
  <si>
    <t>Se realiza: Procedimiento estandar de mantenimiento, cambio de aceite 10W-30, cambio de filtro de aceite, cambio de bujias (8UNID), revison y limpieza en general.</t>
  </si>
  <si>
    <t>Se realiza: Procedimiento estandar de mantenimiento, cambio de aceite 10W-30, cambio de filtro de aceite, limpieza de radiador, revison y limpieza en general.</t>
  </si>
  <si>
    <t>0003-001091</t>
  </si>
  <si>
    <t>Se realiza: Procedimiento estandar de mantenimiento, cambio de aceite 10W-30, cambio de filtro de aceite, revison y limpieza en general.</t>
  </si>
  <si>
    <t>0003-001090</t>
  </si>
  <si>
    <t>Se realiza: Procedimiento estandar de mantenimiento, cambio de aceite 10W-30, cambio de filtro de aceite, cambio de filtro de aire, cambio de bujias (8UNID), revison y limpieza en general.</t>
  </si>
  <si>
    <t>0003-001092</t>
  </si>
  <si>
    <t>Se realiza: Procedimiento estandar de mantenimiento, cambio de aceite 10W-30, cambio de filtro de aceite, limpieza de radiador, revision y limpieza en general.</t>
  </si>
  <si>
    <t>199 °f</t>
  </si>
  <si>
    <t>LF-916</t>
  </si>
  <si>
    <t>ECC085001</t>
  </si>
  <si>
    <t>K59</t>
  </si>
  <si>
    <t>284NSN</t>
  </si>
  <si>
    <t>COM.43</t>
  </si>
  <si>
    <t>VORTEC</t>
  </si>
  <si>
    <t>BLS-111</t>
  </si>
  <si>
    <t>ECC085002</t>
  </si>
  <si>
    <t>3GL de aceite 10W-30, filtro de aceite, filtro de aire</t>
  </si>
  <si>
    <t>Se realiza: Procedimiento estandar de mantenimiento, cambio de aceite 10W-30, cambio de filtro de aire, cambio de filtro de aceite, revision y limpieza en general.</t>
  </si>
  <si>
    <t>Cliente no suministra desengrasante ni silicona abrillantadora, se realizaron pruebas en vacio</t>
  </si>
  <si>
    <t>Cliente no suministra desengrasante ni silicona abrillantadora, se realizaron pruebas con carga</t>
  </si>
  <si>
    <t>0003-001093</t>
  </si>
  <si>
    <t>Se realiza: Procedimiento estandar de mantenimiento, cambio de aceite 10W-30 (3gl), cambio de filtro de aceite, cambio de filtro de aire, limpieza de radiador, revision y limpieza en general</t>
  </si>
  <si>
    <t>3GL de aceite 10W-30, filtro de aciete, filtro de aire</t>
  </si>
  <si>
    <t>Cliente no suminsitra desengrasante ni silicona abrillantadora, se realiza prueba con carga</t>
  </si>
  <si>
    <t>27 KW</t>
  </si>
  <si>
    <t>199°F</t>
  </si>
  <si>
    <t>18 KW</t>
  </si>
  <si>
    <t>Se realiza: Procedimiento estandar de mantenimiento, cambio de aceite 10W-30 (3gl), cambio de filtro de aceite, cambio de filtro de aire, cambio de bujias (8 UNID), revision y limpieza en general</t>
  </si>
  <si>
    <t>3GL de aceite 10W-30, filtro de aciete, filtro de aire, bujias(8)</t>
  </si>
  <si>
    <t>0003-001094</t>
  </si>
  <si>
    <t>28 KW</t>
  </si>
  <si>
    <t>36 KW</t>
  </si>
  <si>
    <t>26 KW</t>
  </si>
  <si>
    <t>Se realiza: Procedimiento estandar de mantenimiento, cambio de aceite 10W-30, cambio de Filtro de aceite,  revison y limpieza en general.</t>
  </si>
  <si>
    <t>Cliente no suministra desengrazante y silicona para limpieza del grupo, se realizan pruebas en vacio</t>
  </si>
  <si>
    <t>P267-01</t>
  </si>
  <si>
    <t>Panamericana Norte Km 99.7 / GRANJA ATILLA</t>
  </si>
  <si>
    <t>0003-001233</t>
  </si>
  <si>
    <t>Se realiza: Procedimiento estandar de mantenimiento, cambio de aceite 10W-30, cambio de filtro de aceite, revision y limpieza en general</t>
  </si>
  <si>
    <t>Promedio de carga en 4 KW, demasiado bajo</t>
  </si>
  <si>
    <t>SG070</t>
  </si>
  <si>
    <t>70 KW</t>
  </si>
  <si>
    <t>GP680AA-EH2A 250619</t>
  </si>
  <si>
    <t>6 KW</t>
  </si>
  <si>
    <t>2GL de aceite 10W-30, Filtro de aceite</t>
  </si>
  <si>
    <t>P267-02</t>
  </si>
  <si>
    <t>Promedio de carga en 3.77 KW, demasiado bajo</t>
  </si>
  <si>
    <t>El equipo presentaba ruido extraño en el alternador</t>
  </si>
  <si>
    <t>Se desmonta el arrancador y se realiza cambio de rodajes de alternador.</t>
  </si>
  <si>
    <t>grupo queda 100% operativo, el mantenimiento aplica como garantia</t>
  </si>
  <si>
    <t>Falla de alternador</t>
  </si>
  <si>
    <t>El grupo presenta ruido en el alternador</t>
  </si>
  <si>
    <t>LOBITOS 3</t>
  </si>
  <si>
    <t>Panamericana Norte Km 213 / Paramonga</t>
  </si>
  <si>
    <t>El grupo presenta detonaciones en periodo largo de uso de acuerdo a lo reportado por el personal</t>
  </si>
  <si>
    <t>Se verifica punto de combustion (20°), revision de obturador de admision, de entrada de gas, al revisar el registro de alarmas se encontro problemas en la presion de gas</t>
  </si>
  <si>
    <t>la evaluacion se realiza desde las 5:30 hasta las 14:50 , el grupo no presento ninguna falla, sin embasrgo seria bueno tenerlo en observacion</t>
  </si>
  <si>
    <t>Pruebas de funcionamiento, revision de refrigerante y aceite, revision de valores y parametros, induccion al personal de granja, entrega de manuales.</t>
  </si>
  <si>
    <t>presente en capacitacion: lennin davila, dni: 74605929</t>
  </si>
  <si>
    <t>95 PSI</t>
  </si>
  <si>
    <t>0003-001096</t>
  </si>
  <si>
    <t>Se realiza: procedimiento estandar de mantenimiento, cambio de aceite 10W-30, cambio de filtro de aceite, cambio de filtro de aire, limpieza de radiador, revision completa y limpieza general</t>
  </si>
  <si>
    <t>3GL dde aceite, 1 filtro de aceite, 1 filtro de aire</t>
  </si>
  <si>
    <t>Las bujias se reemplazaron en el mantenimiento anterior, cliente no suministra desengrasante y silicona, se realiza pruebas en vacio</t>
  </si>
  <si>
    <t>0003-001095</t>
  </si>
  <si>
    <t>Se realiza: Procedimiento estandar de mantenimiento, cambio de aceite 10W-30, cambio de filtro de aceite, cambio de filtro de aire, revision completa y limpieza en general</t>
  </si>
  <si>
    <t>Cliente no suministra desengrasante y silicona, queda pendiente el cambio de bujias.</t>
  </si>
  <si>
    <t>3GL de aceite, 1 filtro de aciete, 1 filtro de aire</t>
  </si>
  <si>
    <t>3GL de aceite, 1 filtro de aciete</t>
  </si>
  <si>
    <t>Se realiza: Procedimiento estandar de mantenimiento, cambio de aceite 10W-30, cambio de filtro de aceite, limpieza de filtro de aire, limpieza de radiador, revision completa y limpieza en general</t>
  </si>
  <si>
    <t>Cliente no suministra desengrasante y silicona, se realiza pruebas en vacio.</t>
  </si>
  <si>
    <t>Se realiza: Procedimiento estandar de mantenimiento, cambio de aceite 10W-30, cambio de filtro de aceite, cambio  de filtro de aire, limpieza de radiador, revision completa y limpieza en general</t>
  </si>
  <si>
    <t>Se realiza: Procedimiento estandar de mantenimiento, cambio de aceite 10W-30, cambio de filtro de aceite, limpieza  de filtro de aire, revision completa y limpieza en general</t>
  </si>
  <si>
    <t>Cliente no suministra desengrasante y silicona, queda pendiente cambio de bujias, se realiza pruebas en vacio.</t>
  </si>
  <si>
    <t>3GL de aceite, 1 filtro de aceite</t>
  </si>
  <si>
    <t>Se observa ruido inusual a nivel de alternador del motor</t>
  </si>
  <si>
    <t>Se realizo cambio de rodajes de alternador de motor</t>
  </si>
  <si>
    <t>grupo queda 100% operativo, reparacion hecha por garantia</t>
  </si>
  <si>
    <t>0003-001097</t>
  </si>
  <si>
    <t>Se realiza: Procedimiento estandar de mantenimiento, cambio de aceite (3gl), cambio de filtro de aceite, limpieza de filtro de aire, limpieza de radiador.</t>
  </si>
  <si>
    <t>Cliente no suministra desengrasante y siliciona, se realiza pruebas en vacio.</t>
  </si>
  <si>
    <t>0003-001098</t>
  </si>
  <si>
    <t>0003-001145</t>
  </si>
  <si>
    <t>Equipo nuevo para venta a san fernando</t>
  </si>
  <si>
    <t>Equipo va acompañado de una carreta movil, sera traslado de taller hacia PL-267 (Panamericana Norte Km 99.7)</t>
  </si>
  <si>
    <t>Va acompañada con bateria 12 VDC, cortador de bateria, regulador de presion, interruptor termomagnetico.</t>
  </si>
  <si>
    <t>Grupo con carreta</t>
  </si>
  <si>
    <t>12 V</t>
  </si>
  <si>
    <t>GP680AA-EH2A 250618</t>
  </si>
  <si>
    <t>Luego de la revision se encuentra que el grupo presenta daños en el obturador a causa de problemas por presion de aceite.</t>
  </si>
  <si>
    <t>Se reemplaza el componente dañado, obturador de admision (0E4392).</t>
  </si>
  <si>
    <t>Obturador de admision (0E4392), empaque de obturador</t>
  </si>
  <si>
    <t>HORNILLOS</t>
  </si>
  <si>
    <t xml:space="preserve">Se realiza: Procedimiento estandar de mantenimiento, cambio de aceite 15W-40 (4GL), filtro de aceite, revison de conexiones electricas y limpieza en general. </t>
  </si>
  <si>
    <t>4GL de aceite 15W-40, filtro de aceite</t>
  </si>
  <si>
    <t>115 °F</t>
  </si>
  <si>
    <t>Pan. Norte km. 196.6
 Barranca con desvio Araya Chica - Ocros.</t>
  </si>
  <si>
    <t>ESPERANZA - PARAMONGA</t>
  </si>
  <si>
    <t>Panamericana Norte Km217, Paramonga</t>
  </si>
  <si>
    <t>0003-001234</t>
  </si>
  <si>
    <t>Se realiza: Procedimiento estandar de mantenimiento, cambio de aceite 15W-40, cambio de filtro de aceite, Revision y limpieza en general</t>
  </si>
  <si>
    <t>3GL de aceite 15W-40, filtro de aceite</t>
  </si>
  <si>
    <t>Panamericana Norte Km 215, Paramonga</t>
  </si>
  <si>
    <t>GENESIS - PARAMONGA</t>
  </si>
  <si>
    <t>0003-001236</t>
  </si>
  <si>
    <t>Se realiza: Procedimiento estandar de mantenimiento, cambio de aceite 10W-30 (3GL), cambio de filtro de aceite, cambio de bujias (8 unid), revision y limpieza en general.</t>
  </si>
  <si>
    <t>0003-001401</t>
  </si>
  <si>
    <t>Se realiza: Procedimiento estandar de mantenimiento, Cambio de aceite 10W-30, cambio de filtro de aceite, cambio de filtro de aire, limpieza de radiador.</t>
  </si>
  <si>
    <t>Se deja 1/2GL de aceite para rellenar, grupo queda 100% operativo</t>
  </si>
  <si>
    <t>3GL de aceite, filtro de aceite, filtro de aire.</t>
  </si>
  <si>
    <t>Se realiza: Procedimiento estandar de mantenimiento, Cambio de aceite 10W-30, cambio de filtro de aceite, limpieza de radiador.</t>
  </si>
  <si>
    <t>0003-001402</t>
  </si>
  <si>
    <t>Se realiza: Procedimiento estandar de mantenimiento, Cambio de aceite 10W-30, cambio de filtro de aceite.</t>
  </si>
  <si>
    <t>Queda pendiente cambio de bujias, se realiza pruebas en vacio, grupo queda 100% operativo</t>
  </si>
  <si>
    <t>Se realiza pruebas en vacio, grupo queda 100% operativo</t>
  </si>
  <si>
    <t>Se realiza pruebas en vacio, bujias se reemplazaron en el mantenimiento anterior, grupo queda 100% operativo</t>
  </si>
  <si>
    <t>0003-001069</t>
  </si>
  <si>
    <t>57 °C</t>
  </si>
  <si>
    <t>SE REALIZO MANTENIMIENTO PREVENTIVO ANUAL, CAMBIO DE FILTRO DE AIRE, DE ACEITE,  DE COMBUSTIBLE Y ACEITE 15W40, SE REAJUSTARON CIRCUITOS DE FUERZA DEL GRUPO ELECTROGENO, SE PULVERIZO TODA LA PARTE ELECTRICA DEL G.E,  SE LIMPIARON Y REAJUSTARON BORNES DE BATERIA Y REVISION DE CARGADOR DE BATERIA, SE REVISO TTA DE GEN1</t>
  </si>
  <si>
    <t>27.5 V</t>
  </si>
  <si>
    <t>27.6 V</t>
  </si>
  <si>
    <t xml:space="preserve">Procedimiento estandar de mantenimiento, limpieza de filtro de aire, revision de nivel de lubricante y aceite, revision de fajas y entrada y salida de aire. </t>
  </si>
  <si>
    <t>Mantener limpia el area de trabajo del grupo</t>
  </si>
  <si>
    <t>0003-001244</t>
  </si>
  <si>
    <t>Promedio de carga muy bajo, aumentar para prevenir daños</t>
  </si>
  <si>
    <t>Se realiza: Procedimiento estandar de mantenimiento, cambio de aceite 10W-30 (2GL) , cambio de filtro de aceite, Revision y limpieza en general.</t>
  </si>
  <si>
    <t>2GL de aceite, filtro de aceite.</t>
  </si>
  <si>
    <t>14 KW</t>
  </si>
  <si>
    <t>0003-001243</t>
  </si>
  <si>
    <t>0003-001241</t>
  </si>
  <si>
    <t>Se realiza: Procedimiento estandar de mantenimiento, cambio de aceite, cambio de filtro de aceite, limpieza de filtro de aire</t>
  </si>
  <si>
    <t>Se deja 1/2 gl de aceite para rellenar, se realiza pruebas con carga.</t>
  </si>
  <si>
    <t>195 °C</t>
  </si>
  <si>
    <t>16 KW</t>
  </si>
  <si>
    <t>0003-001245</t>
  </si>
  <si>
    <t>Se realiza: Procedimiento estandar de mantenimiento, camio de aceite 10W-30, cambio de filtro de aceite.</t>
  </si>
  <si>
    <t>0003-001242</t>
  </si>
  <si>
    <t>Se realizo procedimiento estandar de mantenimiento, cambio de aceite 10W-30, cambio de filtro de aceite, revision de alternador y arrancador.</t>
  </si>
  <si>
    <t>Se realiza pruebas con carga, grupo queda 100% operativos.</t>
  </si>
  <si>
    <t>0003-004103</t>
  </si>
  <si>
    <t>Grupo queda 100% operativo, se realiza pruebas con carga</t>
  </si>
  <si>
    <t>0003-001404</t>
  </si>
  <si>
    <t>Se realiza: Procedimiento estandar de mantenimiento, cambio de aceite 10W-30, cambio de filtro de aceite, Pulverizado de filtro de aire, revision completa en general</t>
  </si>
  <si>
    <t>gurpo queda opertaivo, queda pendiente cambio de bujias</t>
  </si>
  <si>
    <t>3gl de aceite 10W-30, filtro de aceite</t>
  </si>
  <si>
    <t>4 KW</t>
  </si>
  <si>
    <t>Se realiza: Procedimiento estandar de mantenimiento, cambio de aceite 10W-30, cambio de filtro de aceite, cambio de filtro de aire, revision completa en general.</t>
  </si>
  <si>
    <t>3gl de aceite 10W-30, filtro de aceite, filtro de aire</t>
  </si>
  <si>
    <t>Procedimiento estandar de mantenimiento, cambio de aceite 10W-30, cambio de filtro de aceite, Limpieza de radiador, revision y limpieza en general</t>
  </si>
  <si>
    <t>El grupo presenta ruido en el motor a nivel de balancines de apertura y cierre de valvulas.</t>
  </si>
  <si>
    <t>se procede a inspeccion, se obserba que las varillas de empuje y el balancin se encuentran fuera de posicion, el soporte de ajuste del buzos hidraulico del motor esta partidoy el elemento esta libre en funcion.</t>
  </si>
  <si>
    <t>La situacion es similar a la de otros motores, posiblemente debido a matriales de mala calidad en el motor, grupo queda fuera de servicio a la espera de traslado al taller.</t>
  </si>
  <si>
    <t>Falla de motor</t>
  </si>
  <si>
    <t>Cambio de aceite 10W-30, revision del nivel de refrigerante, revision de fajas, mangueras, abrazaderas, revision de bateria.</t>
  </si>
  <si>
    <t>Se realiza pruebas en vacio, el grupo queda 100% operativo</t>
  </si>
  <si>
    <t>GEN40FPG4</t>
  </si>
  <si>
    <t>221 VAC</t>
  </si>
  <si>
    <t>40 PSI</t>
  </si>
  <si>
    <t>2 gl Aceite 10W-30</t>
  </si>
  <si>
    <t>KDGC-500</t>
  </si>
  <si>
    <t>152 °C</t>
  </si>
  <si>
    <t>140 °C</t>
  </si>
  <si>
    <t>Cambio de aceite 15W-40 30 gl, reemplazo de filtro de aceite (2 unid), reemplazo de filtro de combustible, reemplazo de separador de combustible (2unid), reemplazo de filtro de aire (2 unid), limpieza de radiador.</t>
  </si>
  <si>
    <t xml:space="preserve">30GL de aceite, filtro de aceite, filtro de aire, filtro separador, filtro de combustible </t>
  </si>
  <si>
    <t>MTU.DIESEL</t>
  </si>
  <si>
    <t>142 PSI</t>
  </si>
  <si>
    <t>Se realizo charla inductiva, reemplazar indicador de flujo de aire, en el proximo mantenimiento reemplazar flotante mecanico, se realiza prueba en vacio, grupo queda operativo.</t>
  </si>
  <si>
    <t>Se realiza pruebas de buen funcionamiento, el sitio donde esta el G.E. acumula mucho polvo, se debe mejorar el area para optimizar la duracion de los filtros de aire</t>
  </si>
  <si>
    <t>Cambio de aceite 10W-30, revision de refrigerante, revision de fajas, mangueras y abrazaderas, revision de bateria, pruebas en vacio.</t>
  </si>
  <si>
    <t>2GL de aceite 10W-30</t>
  </si>
  <si>
    <t>219 VAC</t>
  </si>
  <si>
    <t>116 °F</t>
  </si>
  <si>
    <t>73 °F</t>
  </si>
  <si>
    <t>.Es importante considerar que en el sitio donde está el grupo electrógeno el ambiente es de mucho polvo y se debería mejorar el área para optimizar la duración de los filtros de aire.</t>
  </si>
  <si>
    <t>138 °F</t>
  </si>
  <si>
    <t>125 °F</t>
  </si>
  <si>
    <t>0003-001405</t>
  </si>
  <si>
    <t>Procedimiento estandar de mantenimiento, cambio de aceite 10W-30, cambio de filtro de aceite, cambio de filtro de aire, limpieza de radiador, revision completa y limpieza en general.</t>
  </si>
  <si>
    <t>carga promedio baja, aumentar la carga, grupo queda operativo.</t>
  </si>
  <si>
    <t>3GL de aciete, filtro de aceite, filtro de aire</t>
  </si>
  <si>
    <t>Procedimiento estandar de mantenimiento, cambio de aceite 10W-30, cambio de filtro de aceite, limpieza de radiador, revision completa y limpieza en general.</t>
  </si>
  <si>
    <t>3GL de aciete, filtro de aceite.</t>
  </si>
  <si>
    <t>El tecnico encargado reporta consumo exesivo de aceite por parte del grupo</t>
  </si>
  <si>
    <t>Se le notifica al cliente que debe aumentar la carga para evitar daños en el grupo y garantizar buen funcionamiento, grupo queda operativo.</t>
  </si>
  <si>
    <t>Se realiza la inspeccion y se encuentra que el grupo esta trabajando con 11 KW de carga, es necesario aumentar la carga para prevenir daños, el grupo consume 1/2gl cada 24 horas</t>
  </si>
  <si>
    <t>14.3 V</t>
  </si>
  <si>
    <t>Se realizo inspeccion visual del G.E. para ver las causas de la fuga de aceite y exactamente donde esta presente la misma.</t>
  </si>
  <si>
    <t>No se logra encontrar la causa de la fuga , se recomienda que el grupo sea traslado al taller para su posterior revision.</t>
  </si>
  <si>
    <t xml:space="preserve"> Baja compresión en los cilindros N°3 (140 psi) y N°7  (100 Psi) el valor que debería  de 250 Psi. El cilindro número 6 y 8 presentan los retenes de válvula fuera del lugar. Se observa excesivos restos de aceite por la rejilla de salida de aire caliente por expulsión en el escape del motor. Partículas de metales en la parte superior de culata.</t>
  </si>
  <si>
    <t>0003-001073</t>
  </si>
  <si>
    <t>0003-001071</t>
  </si>
  <si>
    <t>0003-001074</t>
  </si>
  <si>
    <t>21 KW</t>
  </si>
  <si>
    <t>Este equipo presenta falla por problema con la bomba de trasnferencia.</t>
  </si>
  <si>
    <t>Procedimiento estandar de mantenimiento, cambio de filtros de petroleo, filtro de aceite y cambio de aceite 15W-40, limpieza de filtro de aire, cambio de bomba de transferencia de combustible</t>
  </si>
  <si>
    <t>Se rerealizaron pruebas pertinentes, grupo queda 100% operativo</t>
  </si>
  <si>
    <t>filtro de petroleo, filtro de aceite, aceite 15W-40, bomba de transferencia de combustible</t>
  </si>
  <si>
    <t>003-000820</t>
  </si>
  <si>
    <t>224 Vac</t>
  </si>
  <si>
    <t>72 °C</t>
  </si>
  <si>
    <t>DSE-6110</t>
  </si>
  <si>
    <t>filtro de petroleo, filtro de aceite, aceite 15W-40.</t>
  </si>
  <si>
    <t>Procedimiento estandar de mantenimiento, cambio de filtros de petroleo, filtro de aceite y cambio de aceite 15W-40, limpieza de filtro de aire.</t>
  </si>
  <si>
    <t>222 Vac</t>
  </si>
  <si>
    <t>79 °C</t>
  </si>
  <si>
    <t>Se realizo mantenimiento preventivo, cambio de filtro de petroleo, filtro de aceite, limpieza de filtro de aire, cambio de aceite 15W-40, revision de electrolitico de bateria.</t>
  </si>
  <si>
    <t>filtro de petroleo, filtro de aceite, aceite 15W-40</t>
  </si>
  <si>
    <t>Al tratarse de una manipulación del tablero no autorizada, realizada por parte del personal técnico de Scotiabank (T-Gestiona), este servicio correctivo no será considerado como garantía, se recomienda evitar manipular el cableado del circuito del equipo ya que esto puede causar daños severos al equipo.</t>
  </si>
  <si>
    <t>AMF 25</t>
  </si>
  <si>
    <t>Se realizo pruebas en vacio, se recomienda hacer trabajar al grupo cada 30 dias con una carga de  40% como minimo,  grupo queda 100% operativo</t>
  </si>
  <si>
    <t>225 V</t>
  </si>
  <si>
    <t>27.9 V</t>
  </si>
  <si>
    <t>5 Bar</t>
  </si>
  <si>
    <t>67 °C</t>
  </si>
  <si>
    <t>12 KW</t>
  </si>
  <si>
    <t>0003-001070</t>
  </si>
  <si>
    <t>Grupo electrogeno no enciende.</t>
  </si>
  <si>
    <t>Se obserba falla en el regulador de gas la presion de gas en columnas de agua es de 22, siendo esta presion muy elevada, esto ocasiona que el grupo no encienda, se realiza regulacion y la falla persiste, se procedea cambiar el regulador de gas.</t>
  </si>
  <si>
    <t>grupo queda 100 % operativo</t>
  </si>
  <si>
    <t>regulador de gas</t>
  </si>
  <si>
    <t>El grupo presenta alarma por falla</t>
  </si>
  <si>
    <t>Se revisa el grupo , elproblema radica en los diodos rectificadores, este evento se produce por potencia inversa del voltaje</t>
  </si>
  <si>
    <t>Se requiere cambio del puente de diodo, chequeo de generador y pruebas de aislamiento.</t>
  </si>
  <si>
    <t xml:space="preserve">Ingeniero victor torres reporta falla del grupo </t>
  </si>
  <si>
    <t>Se realizo evaluacion, el equipo trabaja de forma correcta, la falla proviene del sistema de trasnferencia que no hace la alternancia del grupo</t>
  </si>
  <si>
    <t>grupo esta 100% operativo</t>
  </si>
  <si>
    <t>JR. PISAC 240 - URB. HIGUERETA - SURCO</t>
  </si>
  <si>
    <t>FECHA DE EJECUCION DEL SERVICIO       :</t>
  </si>
  <si>
    <t>/</t>
  </si>
  <si>
    <t>CSF</t>
  </si>
  <si>
    <t>Se realiza revision, no enciende debido a la alta presion de gasdel regulador, la presion es de 19 columnas de agua, se reemplaza el regulador</t>
  </si>
  <si>
    <t>Grupo con consumo elevado de aceite.</t>
  </si>
  <si>
    <t>El grupo se encuentra trabajando con carga de 9KW, el mismo contribuye a consumo elevado de aceite y daños en los componentes internos del motor</t>
  </si>
  <si>
    <t xml:space="preserve">Se le notifica al cliente que debe subir la carga asociada </t>
  </si>
  <si>
    <t>9 KW</t>
  </si>
  <si>
    <t>La alarma indica problema de diodos rectificadores del generador, este evento se produce por potencia inversa de voltaje.</t>
  </si>
  <si>
    <t>Se realiza diagnostico y se obserba alta presion en el regulador, la presion es de 23 columnas de agua, siendo esta presion muy alta, se realizo regulacion y la falla continua, se procede a realizar cambio de regulador de gas</t>
  </si>
  <si>
    <t>0003-001407</t>
  </si>
  <si>
    <t>Se realiza: Procedimiento estandar de mantenimiento, cambio de aceite 10W-30, cambio de filtro e aceite, cambio de filtro de aire, revision y limpieza en general.</t>
  </si>
  <si>
    <t>Cliente no suministra carburador para limpieza de obturador de admision, queda pendiente cambio de bujias</t>
  </si>
  <si>
    <t>0003-001406</t>
  </si>
  <si>
    <t>3GL de aceite, filtro de aceite,</t>
  </si>
  <si>
    <t>188 °F</t>
  </si>
  <si>
    <t>Cliente no suministra carburador para limpieza de obturador de admision, se realizan pruebas con carga, grupo queda 100% operativo</t>
  </si>
  <si>
    <t xml:space="preserve">Se realizo mantenimiento preventivo general de 50 horas, cambio de aceite , cambio de filtro de aceite, revision del nivel de refrigerante y bateria, fajas, mangueras, abrazaderas y conexiones electricas, limpieza de modulo de control del G.E. limpieza en general </t>
  </si>
  <si>
    <t>Se realizo mantenimiento preventivo general de 50 horas, cambio de aceite , cambio de filtro de aceite, revision del nivel de refrigerante y bateria, fajas, mangueras, abrazaderas y conexiones electricas, limpieza de modulo de control del G.E. limpieza en general del grupo</t>
  </si>
  <si>
    <t>003-000695</t>
  </si>
  <si>
    <t>Procedimiento estandar de mantenimiento, cambio de aceite 10W-30, cambio de filtro de aceite, revision y limpieza en general.</t>
  </si>
  <si>
    <t>Cliente no suminstra solvente dielectrico para la limpieza del grupo, se realizan pruebas con carga.</t>
  </si>
  <si>
    <t>140 °F</t>
  </si>
  <si>
    <t>0003-001253</t>
  </si>
  <si>
    <t>Cliente no suminstra solvente dielectrico para la limpieza del grupo, se realizan pruebas en vacio.</t>
  </si>
  <si>
    <t>0B400K-DW63</t>
  </si>
  <si>
    <t>KTA19-G2</t>
  </si>
  <si>
    <t>8 GL</t>
  </si>
  <si>
    <t>9 GL</t>
  </si>
  <si>
    <t>LF-670</t>
  </si>
  <si>
    <t>FF-185</t>
  </si>
  <si>
    <t>SCOTIABANK CENTRO HISTORICO</t>
  </si>
  <si>
    <t>Jr. Carabaya N°543, cercado de lima</t>
  </si>
  <si>
    <t>El equipo presenta fallas y bote de aceite</t>
  </si>
  <si>
    <t>Se realiza procedimiento estandar de mantenimiento, cambio de filtros de aceite, cambio de filtros de petroleo, se corriguio bote de aceite de la cañeria de drenaje.</t>
  </si>
  <si>
    <t>Se recomienda mantenimiento a las bombas de inyeccion e inyectores, cambiar selenoide de sistema de apagado y mangueras del sistema de refrigeracion, el equipo presenta retardo al apagar.</t>
  </si>
  <si>
    <t>aceite 15W-40, 2 filtros de petroleo, 2 filtros de aceite</t>
  </si>
  <si>
    <t>WB3668482</t>
  </si>
  <si>
    <t>225 V AC</t>
  </si>
  <si>
    <t>90 °C</t>
  </si>
  <si>
    <t>STAMFORD</t>
  </si>
  <si>
    <t>0003-001408</t>
  </si>
  <si>
    <t>Se realiza procedimiento estandar de mantenimiento, cambio de aceite 10W-30, cambio de filtro de aceite, cambio de filtro de aire, limpieza de radiador, revision completa y limpieza en general.</t>
  </si>
  <si>
    <t>3gl de aceite, filtro de aceite, filtro de aire</t>
  </si>
  <si>
    <t>Cliente no suministra limpia carburador, limpia contacto, desengrasante y silicona, no se realizo limpieza de obturador, aumentar la carga del grupo</t>
  </si>
  <si>
    <t>0003-001409</t>
  </si>
  <si>
    <t>Se realiza procedimiento estandar de mantenimiento, cambio de aceite 10W-30, cambio de filtro de aceite, limpieza de radiador, revision completa y limpieza en general, se realizan pruebas con carga</t>
  </si>
  <si>
    <t>Cliente no suministra limpia carburador, limpia contacto, desengrasante ni silicona abrillantadora, no se realiza limpieza de obturador de admision, aumentar la carga asociada</t>
  </si>
  <si>
    <t>10 KW</t>
  </si>
  <si>
    <t>0003-001410</t>
  </si>
  <si>
    <t>Cliente no suministra limpia carburador, limpia contacto, desengrasante ni silicona abrillantadora, no se realiza limpieza de obturador de admision</t>
  </si>
  <si>
    <t>0003-001411</t>
  </si>
  <si>
    <t>Se realiza procedimiento estandar de mantenimiento, cambio de aceite 10W-30, cambio de filtro de aceite, revision completa y limpieza en general, se realizan pruebas con carga</t>
  </si>
  <si>
    <t>32 KW</t>
  </si>
  <si>
    <t>Se requiere cambio de puente de diodo, Grupo no operativo</t>
  </si>
  <si>
    <t>Cliente no suministra carburador para limpieza de obturador de admision, se realizan pruebas en vacio, grupo inoperativo, a la espera de cambio de diodo</t>
  </si>
  <si>
    <t>MP-400</t>
  </si>
  <si>
    <t>DSE</t>
  </si>
  <si>
    <t>TGHF5069-U18007U</t>
  </si>
  <si>
    <t>M10K477346</t>
  </si>
  <si>
    <t>2206A-E13TAG6</t>
  </si>
  <si>
    <t>STANFORD</t>
  </si>
  <si>
    <t>S4L1D-F41</t>
  </si>
  <si>
    <t>10.6 GL</t>
  </si>
  <si>
    <t>FF5714</t>
  </si>
  <si>
    <t>FF5713</t>
  </si>
  <si>
    <t>LF-16260</t>
  </si>
  <si>
    <t>Presenta fuga de combustible por el filtro separador, lo cual paralelamente al servicio de mantenimiento preventivo tuvimos que atender.</t>
  </si>
  <si>
    <t>Se realizo mant. Preventivo, cambio de aceite y filtro de aceite, cambio de filtros de petroleo, limpieza de filtro de aire, revision de bateria, fajas, abrazaderas, limpieza en general, correccion de fuga de combustible</t>
  </si>
  <si>
    <t>Se realizaron pruebas en vacio, grupo queda 100% operativo</t>
  </si>
  <si>
    <t>aceite 15W-40, filtro de aceite, filtros de combustible</t>
  </si>
  <si>
    <t>S-X095140</t>
  </si>
  <si>
    <t>229 V</t>
  </si>
  <si>
    <t>60 °C</t>
  </si>
  <si>
    <t>Radiador se obserba obstruido, fuga de refrigerante por bomba de agua, faja de motor desgastada, alternador del grupo corroido, filtro de aceite del motor es alternativo.</t>
  </si>
  <si>
    <t>Se realiza inspeccion del grupo, grupo presenta fuga de aceite por el sello trasero del motor</t>
  </si>
  <si>
    <t>Se recomienda mantenimiento de radiador, reparacion de bomba de agua, mantenimiento de alternador, reemplazo de faja, realizar mantenimiento cada 200 horas, usar filtros originales.</t>
  </si>
  <si>
    <t>75 °C</t>
  </si>
  <si>
    <t>GRANJA ROSARIO</t>
  </si>
  <si>
    <t>Presenta fuga de refrigerante por bomba de agua, filtro de motor y aire alternativo, radiador se encuentra obstruido</t>
  </si>
  <si>
    <t>Se realiza inspeccion del grupo, la mariposa del obturador se queda trabada por lo que es necesario que sea removida manualmente para encender el equipo</t>
  </si>
  <si>
    <t>Realizar mant. Del sistema de refrigeracion, reemplazar obturador de admision, reparacion de bomba de agua , realizar mant. Cada 300 horas y utilizar pieza originales</t>
  </si>
  <si>
    <t>241 V</t>
  </si>
  <si>
    <t>12.7 V</t>
  </si>
  <si>
    <t>GRANJA CORILIZ</t>
  </si>
  <si>
    <t>Radiador obstruido, fuga de refrigerante por bomba de agua, filtro de aceite alternativo.</t>
  </si>
  <si>
    <t>Se realiza inspeccion del grupo y las mediciones correspondientes.</t>
  </si>
  <si>
    <t>realizar mant. de radiador, reparacion de bomba de agua, mant. de alternador DC, realizar mantenimientos cada 200 hr, usar filtros generac.</t>
  </si>
  <si>
    <t>12.75 V</t>
  </si>
  <si>
    <t>DOÑA MARIA 3</t>
  </si>
  <si>
    <t>DOÑA MARIA 1</t>
  </si>
  <si>
    <t>DOÑA MARIA 2</t>
  </si>
  <si>
    <t>DOÑA MARIA 4</t>
  </si>
  <si>
    <t>Se observa fuga de aceite por la parte trasera del eje de levas, presenta filtros de motor alternativos</t>
  </si>
  <si>
    <t>Se realiza inspeccion y mediciones, grupo opera de forma correcta , los valores de RPM son constantes, generador trabaja dentro de valores correctos</t>
  </si>
  <si>
    <t>Reemplazar O´ring trasero del eje de levas, realizar mantenimiento cada 200 horas, usar filtros originales</t>
  </si>
  <si>
    <t>246 V</t>
  </si>
  <si>
    <t>Radiador presenta impurezas, se observa humedad por el sello trasero de motor y restos de aceite por la empaquetadura del carter, alternador DC requiere mantenimiento</t>
  </si>
  <si>
    <t>Se realiza inspeccion y se toma medidas correspondientes, es importante correguir las observaciones, el valor de RPM esta lijeramente elevado.</t>
  </si>
  <si>
    <t>Se recomienda ralizar mantenimiento de radiador, reemplazar empaquetadura de carter, mantenimiento de alternador DC, reemplazo de sello trasero de motor, realizar mantenimiento cada 300 hr</t>
  </si>
  <si>
    <t>20.83 KW</t>
  </si>
  <si>
    <t>12.5 V</t>
  </si>
  <si>
    <t>Presenta fuga de refrigerante por bomba de agua, polea fija del motor adaptada, la caja de termostato no posee empaque, se observa agua en vez de liquido refrigerante en el radiador</t>
  </si>
  <si>
    <t>Se realiza inspeccion, el cilindro N6 esta trabjando deficiente (valor de compresion bajo 180 psi), el motor expulsa aceite por el cilindro N6, bujia correspondiente al cilindro N6 esta malograda</t>
  </si>
  <si>
    <t>Se recomienda reparacion y mantenimiento de radiador del motor, reparacion de bomba de agua, es necesario evaluacion interna del motor, grupo debe ser sacado de servicio</t>
  </si>
  <si>
    <t>156 °F</t>
  </si>
  <si>
    <t>13.31 KW</t>
  </si>
  <si>
    <t>Panel de radiador obstruido, fuga de refrigerante por bomba de agua, alternador presenta corrosion por salitre y polvo humedo</t>
  </si>
  <si>
    <t>Se realiza inspeccion, el motor presenta mucha oscilacion producto del mal funcionamiento del obturador de admision, esto afecta directamente el valor de voltaje y los Hz del generador</t>
  </si>
  <si>
    <t>Se recomienda mantenimiento del sistema de refrigeracion, reemplazo de obturador de admision, es necesario realizar el balanceo de cargas del generador.</t>
  </si>
  <si>
    <t>59.5/62.4</t>
  </si>
  <si>
    <t>12.9 V</t>
  </si>
  <si>
    <t>Grupo en buenas condiciones</t>
  </si>
  <si>
    <t>Se procede con la inspeccion del grupo y toma de mediciones, todos lo valores obtenidos estan dentro de los parametros</t>
  </si>
  <si>
    <t>Realizar mantenimiento cada 200 hr y utilizar consumibles originales generac</t>
  </si>
  <si>
    <t>Grupo se ve en buenas condiciones</t>
  </si>
  <si>
    <t>Se realiza inspeccion y toma de mediciones del grupo</t>
  </si>
  <si>
    <t>Realizar mantenimientos cada 200hr y utilizar consumibles originales generac para mayor confiabilidad</t>
  </si>
  <si>
    <t>12.1 V</t>
  </si>
  <si>
    <t>GRANJA PUCUSANA</t>
  </si>
  <si>
    <t>Panamericana sur Km 56.1</t>
  </si>
  <si>
    <t>Se realiza mantenimiento preventivo, cambio de aceite (1.25 gl), cambio de filtro de aceite, chequeo de sistema de refrigeracion, limpieza con solvente</t>
  </si>
  <si>
    <t>Grupo requiere mantenimiento de alternador DC, mantenimiento y chequeo de radiador, cambio de bomba de agua, grupo queda operativo</t>
  </si>
  <si>
    <t>1.5GL de aceite, filtro de aceite</t>
  </si>
  <si>
    <t>0003-001412</t>
  </si>
  <si>
    <t>Se realiza procedimiento estandar de mantenimiento, cambio de aceite 10W-30, cambio de filtro de aceite, revision completa y limpieza en general</t>
  </si>
  <si>
    <t>Cliente no suministra desengrasante, limpia contactos ni silicona abrillantadora para la limpieza, grupo queda operativo</t>
  </si>
  <si>
    <t>3gl de aceite, filtro de aceite</t>
  </si>
  <si>
    <t>Se realiza procedimiento estandar de mantenimiento, cambio de aceite 10W-30, cambio de filtro de aceite, limpieza de filtro de aire, revision completa y limpieza en general</t>
  </si>
  <si>
    <t>Cliente no suministra desengrasante, limpia contactos ni silicona abrillantadora para la limpieza, Queda pendiente cambio de bujias, grupo queda operativo</t>
  </si>
  <si>
    <t>TALLER PINEDO</t>
  </si>
  <si>
    <t>239 V ac</t>
  </si>
  <si>
    <t>8.3 KW</t>
  </si>
  <si>
    <t>Equipo recien mantenido, se encuentra en buenas condiciones, utiliza filtros alternativos</t>
  </si>
  <si>
    <t>Se realiza inspeccion y mediciones correspondientes, grupo se encuentra operativo</t>
  </si>
  <si>
    <t>Realizar mantenimiento cada 300 hr, utilizar consumibles originales, es necesario subir el promedio de carga del grupo electrogeno.</t>
  </si>
  <si>
    <t>Grupo electrogeno no esta funcionando, presenta fuga de refrigerante por bomba de agua.</t>
  </si>
  <si>
    <t>Se realiza inspeccion, el equipo no tiene instalado alternador DC, las bobinas de encendido y los cables de bujias se encuentran en malas condiciones.</t>
  </si>
  <si>
    <t>Se recomienda ahcer mant. al radiador, reparar bomba de agua, instalar componentes faltantes para dar arranque al grupo y lograr realizar la evaluacion correspondiente</t>
  </si>
  <si>
    <t>Radiador con fuga de agua, fuga de refrigerante por bomba de agua, utilizan filtros alternativos.</t>
  </si>
  <si>
    <t>Se realiza inspeccion, motor trabaja en buenas condiciones, los valores de compresion estan dentro de los parametros, el genrador trabaja sin oscilacion de Hz</t>
  </si>
  <si>
    <t>Se recomienda mantenimiento de radiador, reparacion de bomba de agua, mantener el alternador DC, realizar mantenimiento cada  200hr, usar combustibles originales</t>
  </si>
  <si>
    <t>12.6 V</t>
  </si>
  <si>
    <t>86 °C</t>
  </si>
  <si>
    <t>Radiador presenta fuga de refrigerante, fuga de refrigerante por bomba de agua, se observa fuga de aceite, filtros de motor alternativos</t>
  </si>
  <si>
    <t>Se realiza inspeccion, motor trabjando en buenas condiciones, presenta fuga de aceite por O´ring trasero, sensor magnetico de cigüeñal necesita mantenimiento</t>
  </si>
  <si>
    <t>Remplazar radiador del motor, reparacion de bomba de agua, ralizar mant. A alternador DC, Realizar mantenimientos preventivos cada 200hr</t>
  </si>
  <si>
    <t>242 V</t>
  </si>
  <si>
    <t>80 °C</t>
  </si>
  <si>
    <t>Radiador con fuga de refrigerante, fuga de refrigerante por bomba de agua, utiliza filtros de motor alternativo.</t>
  </si>
  <si>
    <t>Se realiza la inspeccion, motor trabajando en buenas condiciones, los valores de compresion son correctos, el generador trabaja sin oscilacion</t>
  </si>
  <si>
    <t>Realizar reparacion y mantenimiento del radiador del motor, mantener alternador DC, reparar bomba de agua, Realizar mantenimiento cada 200hr</t>
  </si>
  <si>
    <t>0003-001413</t>
  </si>
  <si>
    <t>Cliente no suministra limpia carburador para la limpieza de obturador de admision, cliente no suministra desengrasante ni silicona</t>
  </si>
  <si>
    <t>35 KW</t>
  </si>
  <si>
    <t>Procedimiento estandar de mantenimiento, cambio de aceite 10W-30, cambio de filtro de aceite, cambio de filtro de aire, limpieza de radiador, revision y limpieza en general.</t>
  </si>
  <si>
    <t>Se realiza procedimiento estandar de mantenimiento, cambio de aceite 10W-30, cambio de filtro de aceite, limpieza de radiador, revision y limpieza en general</t>
  </si>
  <si>
    <t>Grupo queda operativo, se realizan pruebas sin carga</t>
  </si>
  <si>
    <t>0003-001258</t>
  </si>
  <si>
    <t>Se realiza: Procedimiento estandar de mantenimiento, cambio de aceite 10W-30, cambio de filtro de aire, limpieza de radiador, revision y limpieza en general.</t>
  </si>
  <si>
    <t>Grupo queda 100% operativo, se realiza pruebas en vacio</t>
  </si>
  <si>
    <t>Se realizo procedimiento estandar de mantenimiento, cambio de aceite 10W-30, cambio de filtro de aceite, cambio de filtro de aire, se reemplazo sello trasero del motor</t>
  </si>
  <si>
    <t>Se deja 1/4gl de aceite para relleno, se encontro el nivel de aceite sobrepasado, grupo queda operativo</t>
  </si>
  <si>
    <t>aceite 10W-30, filtro de aceite, filtro de aire, sello trasero del motor</t>
  </si>
  <si>
    <t>Se deja 1/4gl de aceite para relleno, grupo queda 100% operativo</t>
  </si>
  <si>
    <t>0003-001414</t>
  </si>
  <si>
    <t>Se realiza: Procedimiento estandar de mantenimiento, cambio de aceite 10W-30, cambio de filtro de aceite, revision y limpieza en general.</t>
  </si>
  <si>
    <t>Cliente no suministra desengrasante ni silicona abrillantadora, se realiza prueba sin carga, grupo queda 100% operativo</t>
  </si>
  <si>
    <t>3GL de aeite, filtro de aceite</t>
  </si>
  <si>
    <t>0003-001255</t>
  </si>
  <si>
    <t>Se realiza: Procedimiento estandar de mantenimiento, Cambio de aceite 10W-30, cambio de filtro de aceite, limpieza y revision en general.</t>
  </si>
  <si>
    <t>Se realiza pruebas con carga, grupo queda 100% operativo</t>
  </si>
  <si>
    <t>152 °F</t>
  </si>
  <si>
    <t>25.6 KW</t>
  </si>
  <si>
    <t>176 °F</t>
  </si>
  <si>
    <t>46 KW</t>
  </si>
  <si>
    <t>0003-001259</t>
  </si>
  <si>
    <t>Procedimiento estandar de mantenimiento, cambio de aceite, cambio de filtro de aceite, cambio de filtro de combustible, revision del sistema de refrigeracion.</t>
  </si>
  <si>
    <t>4gl de aceite, filtro de aciete, filtro de combustible</t>
  </si>
  <si>
    <t>Se deja 1/2gl de aceite para rellenar, se realiza pruebas con carga, grupo queda operativo</t>
  </si>
  <si>
    <t>78 PSI</t>
  </si>
  <si>
    <t>71 °C</t>
  </si>
  <si>
    <t>76 PSI</t>
  </si>
  <si>
    <t>Se realiza procedimiento estandar de mantenimiento, cambio de aceite 10W-30, cambio de filtro de aceite, mantenimiento correctivo del radiador, reemplazo de bomba de agua, reemplazo de obturador de admision</t>
  </si>
  <si>
    <t>3GL de aceite, filtro de aceite, bomba de agua, obturador de admision</t>
  </si>
  <si>
    <t>Grupo queda operativo</t>
  </si>
  <si>
    <t>183 °F</t>
  </si>
  <si>
    <t>24 KW</t>
  </si>
  <si>
    <t>Panamamericana Sur Km 60, cañete</t>
  </si>
  <si>
    <t>Se realiza mantenimento preventivo y correctivo, cambio de aceite 10W-30, cambio de filtro de aceite, mantenimiento de alternador, mantenimiento de radiador, cambio de bomba de agua.</t>
  </si>
  <si>
    <t>1.5 gl de aceite, filtro de aceite, bomba de agua</t>
  </si>
  <si>
    <t>DIGITAL</t>
  </si>
  <si>
    <t>MITSUBISHI</t>
  </si>
  <si>
    <t>SAN JUDAS TADEO 1</t>
  </si>
  <si>
    <t>Se realiza procedimiento estandar de mantenimiento, Cambio de filtro de aceite, cambio de aceite, limpieza de aire</t>
  </si>
  <si>
    <t>159 °F</t>
  </si>
  <si>
    <t>Grupo presenta fuga de aceite, fuga de refrigerante, se necesita mantenimiento de alternador, calibracion de valvulas, revisar arrancador, cuesta encender el grupo</t>
  </si>
  <si>
    <t>SAN JUDAS TADEO 2</t>
  </si>
  <si>
    <t>Requiere cambio de refrigerante, cambio de faja, cambio de bomba de agua, requiere limpieza de radiador, mant. De arrancador y alternador, cambio de empaque de termostato, cambio de polea liza de faja</t>
  </si>
  <si>
    <t>Procedimiento estandar de mantenimiento, cambio de aceite 10W-30, cambio de filtro de aceite, revision y limpieza en general, grupo queda operativo.</t>
  </si>
  <si>
    <t>Faja del motor desgastada, fuga de aceite po el sello trasero del motor, filtros alternativos</t>
  </si>
  <si>
    <t>Se realiza inspeccion, radiador obstruido, alternador del grupo bastante corroido, motor trabja en buenas condiciones, valores de compresion dentro de los parametros, generador en buen estado</t>
  </si>
  <si>
    <t>Se recomienda mant. de radiador y alternador DC, reemplazar faja de motor, correguir fuga de aceite ubicada en el sello trasero del motor, realizar mant cada 200hr</t>
  </si>
  <si>
    <t>85 °C</t>
  </si>
  <si>
    <t>Radiador se observa obstruido, alternador bastante corroido, grupo utiliza filtros alternativos</t>
  </si>
  <si>
    <t>Se realiza inspeccion, motor trabaja en buenas condiciones, el generador mantiene voltaje constante, genera de forma correcta</t>
  </si>
  <si>
    <t>Se recomienda mantenimiento de radiador de motor y alternador DC, reemplazar faja de motor, realizar mant. cada 200hr</t>
  </si>
  <si>
    <t>12.3 V</t>
  </si>
  <si>
    <t>77 °C</t>
  </si>
  <si>
    <t>AMERICA MOVIL PERU</t>
  </si>
  <si>
    <t>SEGUNDO POLO - CLARO</t>
  </si>
  <si>
    <t xml:space="preserve">Jr ayabaca 135-137 SJM - Lima </t>
  </si>
  <si>
    <t>Se observo que las conexiones al grupo electrogeno eran de tipo rigidas (se realizo notificacion al cliente), se encendio el grupo, funciono 2 minutos y se apago por fatla de combustible</t>
  </si>
  <si>
    <t>conexión de fuente auxiliar 2.5 Vdc, verificacion de sistema de combustible, calibracion de voltaje de salida en AVR, purgado del sistema de combustible</t>
  </si>
  <si>
    <t>Se observa conexiones de combustible intervenidas, se realizaran correcciones correspondientes y se reprogramara puesta en marcha</t>
  </si>
  <si>
    <t>SELMEC</t>
  </si>
  <si>
    <t>TLY 1250</t>
  </si>
  <si>
    <t>1250 KW</t>
  </si>
  <si>
    <t>230 V.ac</t>
  </si>
  <si>
    <t>CR6M07085</t>
  </si>
  <si>
    <t>24 V</t>
  </si>
  <si>
    <t>47 °C</t>
  </si>
  <si>
    <t>147 PSI</t>
  </si>
  <si>
    <t>70 °C</t>
  </si>
  <si>
    <t>CR7M07348</t>
  </si>
  <si>
    <t>Panel de radiador obstruido, falta de abrazaderas del filtro de aire, se obserba fuga de aceite de motor por la parte trasera, filtros alternativos, faja de motor desgastada</t>
  </si>
  <si>
    <t>Se realiza inspeccion del grupo, los valores del generador en cuanto a Hz presentan oscilaciones, de igual forma los RPM del motor, los valores de compresion de los cilindros son aceptables.</t>
  </si>
  <si>
    <t>Se recomienda: mantenimiento de radiador y alterandor DC, reemplazo de faja, termostado del motor, abrazaderas del filtro de aire, reparacion de obturador de admision, bomba de agua y fuga de aceite de la parte trasera del motor</t>
  </si>
  <si>
    <t>59.9 - 60.8 Hz</t>
  </si>
  <si>
    <t>12.45 V</t>
  </si>
  <si>
    <t>168 °F</t>
  </si>
  <si>
    <t>SAN JUDAS TADEO 3</t>
  </si>
  <si>
    <t>Mantenimiento preventivo, cambio de aceite 10W-30, cambio de filtro de aceite, revision y limpieza en general</t>
  </si>
  <si>
    <t>Revision de termostato, presenta oscilacion de motor con carga, requiere mantenimiento del radiador y alternador, revision de termostato y presenta oscilacion del grupo con carga</t>
  </si>
  <si>
    <t>Presenta fuga de aceite en la parte trasera del motor.</t>
  </si>
  <si>
    <t>0003-001262</t>
  </si>
  <si>
    <t>SUR-GEG-0001</t>
  </si>
  <si>
    <t>SUR-GEG-0002</t>
  </si>
  <si>
    <t>SUR-GEG-0003</t>
  </si>
  <si>
    <t>SUR-GEG-0004</t>
  </si>
  <si>
    <t>SUR-GEG-0005</t>
  </si>
  <si>
    <t>SUR-GEG-0006</t>
  </si>
  <si>
    <t>SUR-GEG-0007</t>
  </si>
  <si>
    <t>SUR-GEG-0008</t>
  </si>
  <si>
    <t>SUR-GEG-0009</t>
  </si>
  <si>
    <t>SUR-GEG-0010</t>
  </si>
  <si>
    <t>SUR-GEG-0011</t>
  </si>
  <si>
    <t>SUR-GEG-0012</t>
  </si>
  <si>
    <t>SUR-GEG-0013</t>
  </si>
  <si>
    <t>SUR-GEG-0022</t>
  </si>
  <si>
    <t>SUR-GEG-0023</t>
  </si>
  <si>
    <t>NOR-GEG-0014</t>
  </si>
  <si>
    <t>NOR-GEG-0015</t>
  </si>
  <si>
    <t>NOR-GEG-0016</t>
  </si>
  <si>
    <t>NOR-GEG-0017</t>
  </si>
  <si>
    <t>NOR-GEG-0018</t>
  </si>
  <si>
    <t>NOR-GEG-0019</t>
  </si>
  <si>
    <t>NOR-GEG-0020</t>
  </si>
  <si>
    <t>NOR-GEG-0021</t>
  </si>
  <si>
    <t>Cliente no suminstra solvente dielectrico para la limpieza del grupo, queda pendiente cambio de bujias, se realizan pruebas en vacio.</t>
  </si>
  <si>
    <t>0003-001416</t>
  </si>
  <si>
    <t>Se realiza: Procedimiento estandar de mantenimiento, cambio de aceite 10W-30, cambio de filtro de aceite, cambio de filtro de aire, revision y limpieza en general</t>
  </si>
  <si>
    <t>Queda pendiente cambio de bujias, no se realiza limpieza de obturador de admision, grupo queda operativo</t>
  </si>
  <si>
    <t>0003-001415</t>
  </si>
  <si>
    <t>Se realiza: Procedimiento estandar de mantenimiento, cambio de aceite 10W-30, cambio de filtro de aceite, cambio de filtro de aire, limpieza de radiador, revision y limpieza en general</t>
  </si>
  <si>
    <t>no se realiza limpieza de obturador de admision, grupo queda operativo</t>
  </si>
  <si>
    <t>Grupo en buenas condiciones , se realiza servicio de operación del G.E.</t>
  </si>
  <si>
    <t>Se realiza inspeccion general del grupo, se realiza corte a las 8:30 pm, grupo hace trasferencia automatica, trabaja sin incidentes.</t>
  </si>
  <si>
    <t xml:space="preserve">Se trasporto del almacen 1 grupo de respaldo, se entrega grupo en condiciones de operación </t>
  </si>
  <si>
    <t>5.1 Bar</t>
  </si>
  <si>
    <t>24 °C</t>
  </si>
  <si>
    <t>28 V</t>
  </si>
  <si>
    <t>52 KW</t>
  </si>
  <si>
    <t>224 V</t>
  </si>
  <si>
    <t>F930510270</t>
  </si>
  <si>
    <t>Cambio de mamgueras superior, inforior de sistemas de refrigeracion, abrazaderas, soldadura de radiadoren el sistema de drenage, cambio de 3GL de refrigerante.</t>
  </si>
  <si>
    <t>ONAN</t>
  </si>
  <si>
    <t>ANALOGO</t>
  </si>
  <si>
    <t>170-2305</t>
  </si>
  <si>
    <t>167 °F</t>
  </si>
  <si>
    <t>Av. Paseo de la Republica 3589</t>
  </si>
  <si>
    <t>mangueras para radiador, abrazaderas, 3GL de refrigerante</t>
  </si>
  <si>
    <t>0003-001261</t>
  </si>
  <si>
    <t>B5524F-001</t>
  </si>
  <si>
    <t>CSF - OFICINA PRINCIPAL</t>
  </si>
  <si>
    <t>0003-001270</t>
  </si>
  <si>
    <t>Instalacion  de reloj y sensor de temperatura del motor, verificacion de parametros de prueba, prueba del grupo en presencia de tecnico encargado</t>
  </si>
  <si>
    <t>equipo queda en forma automatica, grupo queda 100% operativo</t>
  </si>
  <si>
    <t>210 V</t>
  </si>
  <si>
    <t>65 °C</t>
  </si>
  <si>
    <t>1797/1500</t>
  </si>
  <si>
    <t>Se realizo inspeccion del grupo electrogeno, se encuentra daño en el sistema de ingnicion del motor</t>
  </si>
  <si>
    <t>Grupo queda no operativo, a la espera de reparcion.</t>
  </si>
  <si>
    <t>0003-001273</t>
  </si>
  <si>
    <t>Sensor Pickup</t>
  </si>
  <si>
    <t>grupo queda fuera de servicio, se requiere cambio de controlador evolution para correcto funcionamiento</t>
  </si>
  <si>
    <t>Se reemplazo sensor Pickup a solicitud del cliente, a la hora de hacer pruebas se  detecto falla Cod. 0180 indica problemas con el controlador del grupo electrogeno</t>
  </si>
  <si>
    <t xml:space="preserve"> Se realiza evaluación del grupo electrógeno donde se observa que el Pickup Magnético presentaba conductores y terminales sulfatado producto de la húmeda y salitre del ambiente.</t>
  </si>
  <si>
    <t>HILASACA2</t>
  </si>
  <si>
    <t>Panamericana Sur Km140</t>
  </si>
  <si>
    <t>Grupo electrogeno presenta alarma</t>
  </si>
  <si>
    <t>Se revisa G.E. presenta falta alarma, ya que grupo no cuenta con cargador de bateria auxiliar, por lo tanto es displar no permite el inicio del arranque sin antes reiniciar el equipo</t>
  </si>
  <si>
    <t>Se explica al operador como eliminar este error para que el equipo funcione sin problemas , grupo queda operativo</t>
  </si>
  <si>
    <t>BANBIF - CALLAO</t>
  </si>
  <si>
    <t>Calle omega 197 - Callao</t>
  </si>
  <si>
    <t>Servicio consistio en revision de panel de control, bomba y sistema de combustible, bateria, fajas y filtro de aire, mangueras del sistema de refrigeracion</t>
  </si>
  <si>
    <t>Grupo fuera de servicio, se recibio reporte de que no arranca, combustible contaminado producto del almacenamiento, bomba electrica de combustible no funciona, solenoide de bomba de combustible presenta filtracion</t>
  </si>
  <si>
    <t>Reemplazar bomba electrica de trasf. de combustible y solenoide, reemplazar bateria 13 placas, cambiar filtros de aire, aceite y combustible, mantenimiento de bomba de inyeccion e inyectores, limpieza de tanque de combustible</t>
  </si>
  <si>
    <t>N/V</t>
  </si>
  <si>
    <t>2490/1500</t>
  </si>
  <si>
    <t>DJ8251/9JU926272</t>
  </si>
  <si>
    <t>BANBIF0025389</t>
  </si>
  <si>
    <t>AGRI</t>
  </si>
  <si>
    <t>GEGA112</t>
  </si>
  <si>
    <t>GEGA111</t>
  </si>
  <si>
    <t>Se solicita repuestos para el grupo electrogeno</t>
  </si>
  <si>
    <t>Suministro e instalacion de polea de motor, templador de faja de motor, mixer y actuador de combustible, faja de motor, soporte de alternador</t>
  </si>
  <si>
    <t>Grupo electrogeno no tiene bateria para realizar pruebas, se le solicita al cliente para realizar pruebas.</t>
  </si>
  <si>
    <t>polea de motor, templador de faja y faja de motor, mixer y actuador de combustible, soporte de alternador</t>
  </si>
  <si>
    <t>Suministro e instalacion de polea de motor, templador de faja de motor, mixer y actuador de combustible, faja de motor, soporte de alternador, tubo flexible de escape, aislador termico RH y LH.</t>
  </si>
  <si>
    <t>polea de motor, templador de faja y faja de motor, mixer y actuador de combustible, soporte de alternador, tubo flexible de escape, aislador termico.</t>
  </si>
  <si>
    <t>Suministro e instalacion de polea de motor, templador de faja de motor, faja de motor, tubo flexible de escape lado RH, aislador termico RH y LH.</t>
  </si>
  <si>
    <t>polea de motor, templador de faja y faja de motor, tubo flexible de escape, aislador termico.</t>
  </si>
  <si>
    <t>ALMACEN AGRI</t>
  </si>
  <si>
    <t>Huaral</t>
  </si>
  <si>
    <t>0003-001251</t>
  </si>
  <si>
    <t>0003-001274</t>
  </si>
  <si>
    <t>Se debe verificar toma de oscilacion de grupo con carga, equipo trabaja bien en vacio</t>
  </si>
  <si>
    <t>refrigerante (6gl), abrazaderas, faja de motor, termostato (6075885), empaque de termostato, reten de cigüeñal, tapon trasero de motor</t>
  </si>
  <si>
    <t>Reparacion de bomba de agua, mantenimiento y reparacion de radiador, mantenimiento de alternador, suministro de 6gl de refrigerante, instalacion de abrazaderas, termostato, empaque de termostato, reten de cigueñal y tapon trasero</t>
  </si>
  <si>
    <t>0003-001276</t>
  </si>
  <si>
    <t>Se realiza cambio de distribuidor de ignicion, se realizaron funcionales sin carga</t>
  </si>
  <si>
    <t>reparacion hecha por garantia, grupo queda operativo</t>
  </si>
  <si>
    <t>Distribuidor de ignicion</t>
  </si>
  <si>
    <t>184 °F</t>
  </si>
  <si>
    <t>0003-001275</t>
  </si>
  <si>
    <t>1.5 gl de aceite, filtro de aceite, filtro de aire, bujias, 3gl de refrigerante</t>
  </si>
  <si>
    <t>Se realizaron pruebas sin carga debido a que el plantel no esta funcionando, grupo queda operativo</t>
  </si>
  <si>
    <t>Se realizo mant. preventivo y correctivo, cambio de aceite 1.5gl, filtro de aceite, filtro de aire, bujias, mant. de radiador, reparacion de bomba de agua y alternador, cambio de 3GL de refrigerante</t>
  </si>
  <si>
    <t>Se realizo cambio de panel de control EVOLUTION, grupo queda 100% operativo</t>
  </si>
  <si>
    <t>El panel de control malogrado se deja en la garita al encargado de la granja Marcos Perez, se realizan pruebas sin carga.</t>
  </si>
  <si>
    <t>0003-001418</t>
  </si>
  <si>
    <t>Cliente no suministra limpia carburador, no se realiza limpieza de obturador de admision, se realizan pruebas en vacio, grupo 100% operativo</t>
  </si>
  <si>
    <t>Se realiza encendido de rutina pre mantenimiento destacando que el reloj de temperatura de motor esta averiado y no está funcionando correctamente</t>
  </si>
  <si>
    <t>Mantenimiento preventivo, revision de fajas y abrazaderas, limpieza de radiador, cambio de filtro de petroleo y aceite, cambio de aceite, limpieza de filtro de aire</t>
  </si>
  <si>
    <t>Se enviará servicio correctivo por el reemplazo del sensor y reloj de temperatura, se realizan pruebas en vacio, grupo queda operativo</t>
  </si>
  <si>
    <t>aciete 15W-40, filtro de aceite, filtro de petroleo</t>
  </si>
  <si>
    <t>Reloj y sensor de temperatura</t>
  </si>
  <si>
    <t>Se realiza encendido de rutina pre mantenimiento destacando que le faltaba refrigerante al radiador observándose un bote de agua por la cañería de alta.</t>
  </si>
  <si>
    <t>Mant. Preventivo: cambio de filtro de petroleo y aceite, cambio de aceite de motor, limpieza de filtro de aire y radiador, revision de fajas, abrazaderas, bateria, tablero de control, limpieza en general</t>
  </si>
  <si>
    <t>Se realizan pruebas sin carga, se debe reemplazar las 2 mangueras del sistema de refrigeracion y cambiar el total de liquido refrigerante</t>
  </si>
  <si>
    <t>aceite 15W-40, filtro de aceite, filtro de petroleo (FF-5031)</t>
  </si>
  <si>
    <t>AMF25</t>
  </si>
  <si>
    <t>Av. Nicolas de Pierola 742</t>
  </si>
  <si>
    <t>Sede SCI Pierola - SCOTIABANK</t>
  </si>
  <si>
    <t>Se realiza encendido de rutina pre mantenimiento y el equipo funciona correctamente.</t>
  </si>
  <si>
    <t>GCLS-150I</t>
  </si>
  <si>
    <t>TEMPERATURA DEL MOTOR</t>
  </si>
  <si>
    <t>5.7 Bar</t>
  </si>
  <si>
    <t>Mant. Preventivo , revision de tablero, fajas, abrazaderas, bateria, sistema de refrigeracion, limpieza de radiador y filtro de aire, cambio de filtro de petroleo, filtro de aceite y aceite, limpieza y ajuste de conexiones electricas</t>
  </si>
  <si>
    <t>Equipo en perfectas condiciones, se realiza pruebas en vacio, queda 100% operativo</t>
  </si>
  <si>
    <t>Aceite 15W-40, filtro de aceite, filtro de petroleo</t>
  </si>
  <si>
    <t>6BTAAS4.9-G12</t>
  </si>
  <si>
    <t>LSA44.3L10</t>
  </si>
  <si>
    <t>2.64 GL</t>
  </si>
  <si>
    <t>4.3 GL</t>
  </si>
  <si>
    <t>LF-3349</t>
  </si>
  <si>
    <t>FF5052</t>
  </si>
  <si>
    <t>FF5031</t>
  </si>
  <si>
    <t>0003-001231</t>
  </si>
  <si>
    <t>Mantenimiento, cambio de filtro de aire, filtro de aceite y aciete, instalacion y reparacion de radiador, bomba de agua y alternador DC</t>
  </si>
  <si>
    <t>3GL de aceite, filtro de aire, filtro de aceite, refrigerante</t>
  </si>
  <si>
    <t>Se suministra 6gl de refrigerante, grupo queda operativo</t>
  </si>
  <si>
    <t>Equipo no operativo</t>
  </si>
  <si>
    <t>Se realiza cambio puente de diodo traidos de grupo del PL-810 no operativo</t>
  </si>
  <si>
    <t>puente de diodo</t>
  </si>
  <si>
    <t>0003-001417</t>
  </si>
  <si>
    <t>3GL de aceite 10W-30, filtro de aire, filtro de aceite</t>
  </si>
  <si>
    <t>Queda pendiente cambio de bujias, no se realizo limpieza de obturador po falta de limpia carburador, se realiza prueba con carga, grupo queda operativo</t>
  </si>
  <si>
    <t>29 KW</t>
  </si>
  <si>
    <t>GASOLINA</t>
  </si>
  <si>
    <t>D4Y-534</t>
  </si>
  <si>
    <t>CAMIONETA</t>
  </si>
  <si>
    <t>ECOSPORT</t>
  </si>
  <si>
    <t>2.0 L</t>
  </si>
  <si>
    <t>CHASIS FORD</t>
  </si>
  <si>
    <t>9BFZE1GF358634864</t>
  </si>
  <si>
    <t>ZONA SUR - PISCO</t>
  </si>
  <si>
    <t>Panamericana Sur Km 219</t>
  </si>
  <si>
    <t xml:space="preserve">Mant. Preventivo, cambio de aceite 20W-50 (1.25 gl), filtro de aceite, bujias, lavado de motor, chequeo de niveles de refrigerante, revision de ruedas. </t>
  </si>
  <si>
    <t>cambiar rodajes posteriores, pastillas delanteras de frenos, parabrisas magullado, prox cambio de aceite 136480 km</t>
  </si>
  <si>
    <t>1.25gl de aceite, filtro de aceite, bujias</t>
  </si>
  <si>
    <t>cambio de sistema GLP, REPARACION DE FRENOS: parte delantera (cambio de discos, pastillas y jebe caliper), parte posterior (inst. de zapatas nuevas, rectificacion de tambores, cambio de jebes de balancines, cambio y liquido de frenos), parte alta ( cambio de bombas de frenos y motor)</t>
  </si>
  <si>
    <t>discos, pastillas, jebe, zapatas nuevas, bombas</t>
  </si>
  <si>
    <t>Cambio de llantas delanteras, alineacion y balanceo</t>
  </si>
  <si>
    <t>llantas delanteras</t>
  </si>
  <si>
    <t>0003-001419</t>
  </si>
  <si>
    <t>Se realiza procedimiento estandar de mantenimiento, cambio de aceite 10W-30, cambio de filtro de aceite, no se realizo limpieza de obturador de admision</t>
  </si>
  <si>
    <t>Cliente no suministra limpia carburador, desengrasante y silicona abrillantadora para la limpieza del grupo electrogeno</t>
  </si>
  <si>
    <t>VERSION 23/06/2020</t>
  </si>
  <si>
    <t>SG100_1 (50 hr)</t>
  </si>
  <si>
    <t>SG100_2 (350 hr)</t>
  </si>
  <si>
    <t>SG100_3 ( 650 hr)</t>
  </si>
  <si>
    <t>SG100_4 (950 hr)</t>
  </si>
  <si>
    <t>SG100_5 (1250 hr)</t>
  </si>
  <si>
    <t>SG100_6 (1550 hr)</t>
  </si>
  <si>
    <t>SG100_7 (1850 hr)</t>
  </si>
  <si>
    <t>SG100_8 (2150 hr)</t>
  </si>
  <si>
    <t>SG100_9 (2450 hr)</t>
  </si>
  <si>
    <t>SG100_10 (2750 hr)</t>
  </si>
  <si>
    <t>SG100_11 (3050 hr)</t>
  </si>
  <si>
    <t>SG100_12 (3350 hr)</t>
  </si>
  <si>
    <t>SG100_13 (3650 hr)</t>
  </si>
  <si>
    <t>SG100_14 (3950 hr)</t>
  </si>
  <si>
    <t>SG100_15 (4250 hr)</t>
  </si>
  <si>
    <t>SG100_16 (4550 hr)</t>
  </si>
  <si>
    <t>SG100_17 (4850 hr)</t>
  </si>
  <si>
    <t>SG100_18 (5150 hr)</t>
  </si>
  <si>
    <t>SG100_19 (5450 hr)</t>
  </si>
  <si>
    <t>Limpieza de radiador</t>
  </si>
  <si>
    <t>Tapa trasera de eje de levas, oring</t>
  </si>
  <si>
    <t>CASMA - Panamaericana Norte Km 337</t>
  </si>
  <si>
    <t>0003-001420</t>
  </si>
  <si>
    <t>0003-001422</t>
  </si>
  <si>
    <t>Se realiza: Procedimiento estandar de mantenimiento, cambio de aceite 10W-30, cambio de filtro de aceite, limpieza de radiador, revision completa y limpieza en general</t>
  </si>
  <si>
    <t>0003-001421</t>
  </si>
  <si>
    <t>Cliente no suministra limpia carburador, limpia contacto, desengrasante ni silicona, se realiza pruebas con carga, grupo queda operativo</t>
  </si>
  <si>
    <t>41 KW</t>
  </si>
  <si>
    <t>Se realiza: Procedimiento estandar de mantenimiento, cambio de aceite 10W-30, cambio de filtro de aceite, revision completa y limpieza en general</t>
  </si>
  <si>
    <t>0003-001284</t>
  </si>
  <si>
    <t>165 °F</t>
  </si>
  <si>
    <t>Grupo queda operativo, se realizan pruebas con carga, se requiere mantenimiento de radiador y alternador DC, corregir fuga de aceite</t>
  </si>
  <si>
    <t>Se realizan mant. Preventivo, cambio de aceite, cambio de filtro de aceite, revision de bateria, conexiones electricas, sistema de combustible, reajuste de terminales de interruptor de fuerza.</t>
  </si>
  <si>
    <t>Se observa desprendimiento de la polea de alternador debido a que reodaje se traba, se procede a cambiar rodaje de alternador</t>
  </si>
  <si>
    <t>Grupo queda operativo, dia 05/02/2019 se reporta falla del grupo</t>
  </si>
  <si>
    <t>rodaje de alternador</t>
  </si>
  <si>
    <t>Se realiza puesta en marcha de grupo electrogeno</t>
  </si>
  <si>
    <t>0003-001423</t>
  </si>
  <si>
    <t>Procedimiento estandar de mantenimiento, cambio de aceite 10W-30, cambio de filtro de aceite, Revision y limpieza en general</t>
  </si>
  <si>
    <t>Cliente no suministra limpia carburador, limpia contacto, desengrasante y silicona, grupo queda operativo</t>
  </si>
  <si>
    <t>Grupo no sencuentra trabajando debido a que el plantel se encuentra sin produccion</t>
  </si>
  <si>
    <t>000-001424</t>
  </si>
  <si>
    <t>Queda pendiente cambio de bujias, cliente no suministra desengrasante, limpia carburador, limpia contacto y silicona abrillantadora, se realizan pruebas en vacio</t>
  </si>
  <si>
    <t>cliente no suministra desengrasante, limpia carburador, limpia contacto y silicona abrillantadora, se realizan pruebas en vacio</t>
  </si>
  <si>
    <t>Se recibe llamado por parte del encargado del plantel indicando que el grupo no enciende</t>
  </si>
  <si>
    <t>Se realiza pruebas de funcionamiento y se observo que el G.E. presenta problemas en los cilindros 3 y 4 ocasionando que el grupo no encienda</t>
  </si>
  <si>
    <t>Grupo debe ser llevado al taller para diagnostico general del motor y partes internas, grupo queda fuera de servicio.</t>
  </si>
  <si>
    <t>Se recibe llamada del PL-805, indica que G.E. se apago.</t>
  </si>
  <si>
    <t>Se realiza prueba funcional, se observa que el grupo presenta alarma por baja presión de aceite, nivel de aceite correcto, se obserba carga de trabajo baja (8 KW)</t>
  </si>
  <si>
    <t>Grupo queda fuera de servicio, debe ser llevado a taller para su evaluación y diagnostico del problema.</t>
  </si>
  <si>
    <t>0003-001425</t>
  </si>
  <si>
    <t>Se realiza procedimiento estandar de mantenimiento, cambio de aceite, cambio de filtro de aceite, revision y limpieza en general</t>
  </si>
  <si>
    <t>Queda pendiente cambio de bujias, cliente no suministra limpia carburador, limpia contacto, desengrasante y silicona abrillantadora, se realizan pruebas en vacio</t>
  </si>
  <si>
    <t>Se realiza mantenimiento preventivo, cambio de aceite  10W-30, cambio de filtro de aceite, limpieza en general.</t>
  </si>
  <si>
    <t>Grupo queda operativo, se realizo prueba sin carga</t>
  </si>
  <si>
    <t>4G6454M/SXG1014</t>
  </si>
  <si>
    <t>0003-001283</t>
  </si>
  <si>
    <t>Se realiza inspeccion del grupo ubicado en el PL-805, grupo se encuentra trabajando con una carga de 6KW</t>
  </si>
  <si>
    <t>Baja carga contribuye al elevado consumo de aceite y daños en los componentes del motor, es importante correguir esto para evitar daños en el equipo</t>
  </si>
  <si>
    <t>0003-001286</t>
  </si>
  <si>
    <t>Se realiza procedimiento estandar de mantenimiento, cambio de aceite 10W-30, cambio de filtro de aceite, revision y limpieza en general</t>
  </si>
  <si>
    <t>Se necesita inflar las llantas posteriores de la carreta del grupo para mejorar la estabilidad, grupo queda operativo</t>
  </si>
  <si>
    <t>1.5gl de aceite 10W-30, filtro de aceite</t>
  </si>
  <si>
    <t>4B6454M/SXJ7539</t>
  </si>
  <si>
    <t>0003-001285</t>
  </si>
  <si>
    <t>175 °F</t>
  </si>
  <si>
    <t>0003-001428</t>
  </si>
  <si>
    <t>Queda pendiente cambio de bujia, cliente no  suministra limpia carburador, limpia contacto, desengrasante y silicona, grupo queda operativo</t>
  </si>
  <si>
    <t>0003-001427</t>
  </si>
  <si>
    <t>cliente no  suministra limpia carburador, limpia contacto, desengrasante y silicona, grupo queda operativo</t>
  </si>
  <si>
    <t>Queda pendiente cambio de bujias, cliente no  suministra limpia carburador, limpia contacto, desengrasante y silicona, grupo queda operativo</t>
  </si>
  <si>
    <t>0003-001426</t>
  </si>
  <si>
    <t>Cliente no  suministra limpia carburador, limpia contacto, desengrasante y silicona, niveles de carga asociada al grupo muy bajos, grupo queda operativo</t>
  </si>
  <si>
    <t>90 PSI</t>
  </si>
  <si>
    <t>arranque del grupo electrogeno</t>
  </si>
  <si>
    <t>Grupo se encuentraba a la espera de instalacion de bateria</t>
  </si>
  <si>
    <t>RPM 2333, grupo queda operativo</t>
  </si>
  <si>
    <t>Grupo estaba a la espera de bateria para realizar pruebas</t>
  </si>
  <si>
    <t>Se calibro modulo H100, grupo presenta daño en el pikup magnetico, queda no operativo</t>
  </si>
  <si>
    <t>Se recibe llamado por parte del encargado del PL-804, informa que grupo electrogeno presenta ruido anormal</t>
  </si>
  <si>
    <t>Se realiza pruebas de funcionamiento y se observa falla del cilindro n°4, el buso y balancin de valvula presenta problemas ya que no se encuentra en su posicion original ocasionando que el cilindro n°4 no trabaje</t>
  </si>
  <si>
    <t>Grupo debe de ser llevado al taller para un diagnostico mas completo, queda fuera de servicio</t>
  </si>
  <si>
    <t>Grupo fuera de servicio</t>
  </si>
  <si>
    <t>se le instala puente de diodo del grupo 3004327724 (PL-805), alternador  y faja del grupo 3004290366 (PL-804)</t>
  </si>
  <si>
    <t>los grupos mencionados se encuentran fuera de servicio por problemas de motor, grupo queda operativo</t>
  </si>
  <si>
    <t>puente diodo, alternador y faja</t>
  </si>
  <si>
    <t>0003-001429</t>
  </si>
  <si>
    <t>Queda pendiente cambio de bujias, no se realiza limpieza de obturador por falta de limpia carburdador, grupo queda operativo</t>
  </si>
  <si>
    <t>No se realiza limpieza de obturador por falta de limpia carburdador, grupo queda operativo</t>
  </si>
  <si>
    <t>0003-001312</t>
  </si>
  <si>
    <t>Se realiza: Procedimiento estandar de mantenimiento, cambio de aceite 10W-30, cambio de filtro de aceite, cambio de bujias, revision y limpieza en general</t>
  </si>
  <si>
    <t>Se realizan pruebas sin carga. Grupo queda operativo</t>
  </si>
  <si>
    <t>3gl de aceite 10W-30, filtro de aceite, 8 bujias</t>
  </si>
  <si>
    <t>142 °F</t>
  </si>
  <si>
    <t>71 PSI</t>
  </si>
  <si>
    <t>0003-001431</t>
  </si>
  <si>
    <t>Se realiza: Procedimiento estandar de mantenimiento, cambio de aceite, cambio de filtro de aceite, cambio de filtro de aire, revisión y limpieza en general.</t>
  </si>
  <si>
    <t>Cliente no suministra limpia carburador para limpieza de obturador, queda pendiente cambio de bujias.</t>
  </si>
  <si>
    <t>3gl de aciete 10W-30, filtro de aceite, filtro de aire</t>
  </si>
  <si>
    <t>38 KW</t>
  </si>
  <si>
    <t>0003-001430</t>
  </si>
  <si>
    <t>Se realiza: Procedimiento estandar de mantenimiento, cambio de aceite, cambio de filtro de aceite, limpieza de radiador, revisión y limpieza en general.</t>
  </si>
  <si>
    <t>Cliente no suministra limpia carburador para limpieza de obturador, grupo queda operativo.</t>
  </si>
  <si>
    <t>3gl de aciete 10W-30, filtro de aceite</t>
  </si>
  <si>
    <t>Se recibe llamado por parte del plantel 801</t>
  </si>
  <si>
    <t>Se realizo revision del grupo, se obserbo que el alternador de motor (DC) se trabo por problemas internos de sus componente, a su ves la faja presenta rotura en sus canales, se desmonta alternador y faja de grupo 3004416581 para montarlo al grupo en cuestion</t>
  </si>
  <si>
    <t>grupo queda operativo</t>
  </si>
  <si>
    <t>alternador DC, faja</t>
  </si>
  <si>
    <t>0003-001432</t>
  </si>
  <si>
    <t>Grupo queda operativo, se realiza pruebas en vacio</t>
  </si>
  <si>
    <t>3GL de aceite 10W-30, filtro de aceite, 8 bujias</t>
  </si>
  <si>
    <t>Se realiza: Procedimiento estandar de mantenimiento, cambio de aceite 10W-30, cambio de filtro de aceite, limpieza de radiador, revision y limpieza en general</t>
  </si>
  <si>
    <t>3GL de aceite 10W-30, filtro de aceite,</t>
  </si>
  <si>
    <t>0003-001433</t>
  </si>
  <si>
    <t>Grupo queda operativo, se realiza pruebas con carga, no se realiza limpieza de obturador de admisión</t>
  </si>
  <si>
    <t>0003-001330</t>
  </si>
  <si>
    <t>Se realiza mantenimiento preventivo, cambio de aceite, cambio de filtro de aceite, limpieza y revision general</t>
  </si>
  <si>
    <t>155 °F</t>
  </si>
  <si>
    <t>0003-001434</t>
  </si>
  <si>
    <t>Se realiza procedimiento estandar de mantenimiento, cambio de aceite 10W-30, cambio de filtro de aceite, cambio de bujias (8), revision y limpieza ene general.</t>
  </si>
  <si>
    <t>Cliente no suministra silicona, limpia carburador y limpia contacto, se realiza pruebas con carga, grupo queda operativo</t>
  </si>
  <si>
    <t>3gl de aceite, filtro de aceite, 8 bujias</t>
  </si>
  <si>
    <t>Se realizo mantenimiento preventivo al G.E. cambio de aceite, cambio de filtro de aceite, filtro de aire, revision y limpieza en general</t>
  </si>
  <si>
    <t>1.5GL de aceite, filtro de aceite, filtro de aire</t>
  </si>
  <si>
    <t>0003-001345</t>
  </si>
  <si>
    <t>Se realiza mantenimiento preventivo, cambio de aceite 1.25gl, se deja 1/4 para relleno, cambio de filtro de aceite, revision completa y limpieza en general</t>
  </si>
  <si>
    <t>1.5gl de aceite, filtro de aceite</t>
  </si>
  <si>
    <t>0003-001342</t>
  </si>
  <si>
    <t>Se realiza mantenimiento preventivo, cambio de aceite 10W-30, cambio de filtro de aceite, revision completa  y limpieza en general</t>
  </si>
  <si>
    <t>GRANJA TOPARA</t>
  </si>
  <si>
    <t>0003-001343</t>
  </si>
  <si>
    <t>Se realizo mantenimiento preventivo, cambio de aceite 10W-30, cambio de filtro de aceite, revision completa y limpieza en general</t>
  </si>
  <si>
    <t>Grupo queda operativo, requiere limpieza de radiador y mantenimiento de arrancador.</t>
  </si>
  <si>
    <t>Mantenimiento construccion y proyectos grales SAC</t>
  </si>
  <si>
    <t>Grupo encapsulado e inzonorizado diesel marcacummins/leroy sommer, incluye tanque de combustible de 30 galones y carreta movil 2 ejes, 4 ruedas</t>
  </si>
  <si>
    <t>incluye: 1 silenciador tipo residencial, tubo flexible de escape, 2 baterias 12 Vdc, cargador de bateria, juego de resilentes anti-vibratorio</t>
  </si>
  <si>
    <t>0003-001356</t>
  </si>
  <si>
    <t>0003-001281</t>
  </si>
  <si>
    <t>Se realiza mantenimiento preventivo, cambio de aceite, cambio de filtro de aceite, suministro de refrigerante, limpieza de obturador, revision completa y limpieza en general</t>
  </si>
  <si>
    <t>Se deja 1/2gl de aceite para rellenar, grupo queda operativo</t>
  </si>
  <si>
    <t>3gl de aceite, filtro de aceite, refrigerante</t>
  </si>
  <si>
    <t>13 KW</t>
  </si>
  <si>
    <t>191 °F</t>
  </si>
  <si>
    <t>0003-001280</t>
  </si>
  <si>
    <t>Se deja 1/2gl de aceite para rellenar, se recomienda realizar mantenimiento de radiador, grupo queda operativo</t>
  </si>
  <si>
    <t>Se deja 1/2gl de aceite para rellenar, se recomienda realizar mantenimiento de radiador, presion de aceite baja, grupo queda operativo</t>
  </si>
  <si>
    <t>39 PSI</t>
  </si>
  <si>
    <t>0003-001282</t>
  </si>
  <si>
    <t>203 °C</t>
  </si>
  <si>
    <t>0003-001435</t>
  </si>
  <si>
    <t>Se realiza mantenimiento preventivo, cambio de aceite 10W-30, cambio de filtro de aceite, cambio de bujias (8), revision completa y limpieza en general</t>
  </si>
  <si>
    <t>Cliente no suministra limpia carburador por ello no se realiza limpieza de obturador, se realiza pruebas con carga, grupo queda operativo</t>
  </si>
  <si>
    <t>3gl de aceite, filtro de aceite, bujias 8 unid</t>
  </si>
  <si>
    <t>Grupo propiedad de egener entregado en alquiler, parte del taller av. El triunfo 1758 V.M.T. RUMBO A CAÑETE</t>
  </si>
  <si>
    <t>0003-001346</t>
  </si>
  <si>
    <t>Se realiza mantenimiento preventivo, cambio de aceite, cambio de filtro de aceite, cambio de filtro de aire, revision completa y limpieza en general</t>
  </si>
  <si>
    <t>Grupo tenia pendiente cambio de bujias</t>
  </si>
  <si>
    <t>8 bujias</t>
  </si>
  <si>
    <t>Se realizo cambio de bujias pendiente</t>
  </si>
  <si>
    <t>0003-001436</t>
  </si>
  <si>
    <t>Se realiza mantenimiento preventivo, cambio de aceite, cambio de filtro de aceite y de aire, cambio de bujias (8), revision completa y limpieza en general.</t>
  </si>
  <si>
    <t>Se realiza pruebas con carga, grupo queda operativo</t>
  </si>
  <si>
    <t>3gl de aceite, filtro de aceite, filtro de aire, bujias(8)</t>
  </si>
  <si>
    <t>0003-001348</t>
  </si>
  <si>
    <t>17 KW</t>
  </si>
  <si>
    <t>0003-001350</t>
  </si>
  <si>
    <t>0003-001354</t>
  </si>
  <si>
    <t>Mantenimiento de radiador, reparacion de panal, mantenimiento e instalacion de alternador y arrancador, suministro de refrigerante.</t>
  </si>
  <si>
    <t>Se realiza pruebas con carga, grupo queda operativo.</t>
  </si>
  <si>
    <t>Faja, rodajes  y carbones de alternador, bendix de arrancador, refrigerante</t>
  </si>
  <si>
    <t>236 V</t>
  </si>
  <si>
    <t>0003-001357</t>
  </si>
  <si>
    <t>Se realizo instalacion de los componentes retirados, al momento de encender el grupo presento falla, al inspeccionar se visualizo humedad en el modulo, grupo fuera de servicio</t>
  </si>
  <si>
    <t>cambio de sello de bomba de agua, cambio de rodajes y carbon de alternador, mantenimiento de arrancador y radiador, cambio de abrazaderas del sistema de refrigeracion, cambio de refrigerante, suminstro de regulador de voltaje en el alternador</t>
  </si>
  <si>
    <t>Sello de bomba de agua, abrazaderas, rodajes y carbon de alternador, bendix y planetario de arrancador, refrigerante</t>
  </si>
  <si>
    <t>0003-001353</t>
  </si>
  <si>
    <t>Se realiza mantenimiento preventivo y correctivo, cambio de aceite y filtro de aceite, reparacion de panel y tina de radiador, cambio de sello  y prensado de bomba de agua, mantenimiento de alternador, cambio de faja, instalacion de oring trasero, cambio de refrigerante.</t>
  </si>
  <si>
    <t>Equipo queda operativo, se realiza pruebas sin carga</t>
  </si>
  <si>
    <t>1.5gl de aceite, filtro de aceite, sello de bomba de agua, rodajes y carbones de alternador, faja, oring trasero, 3 gl refrigerante</t>
  </si>
  <si>
    <t>0003-001351</t>
  </si>
  <si>
    <t>Se realiza mantenimiento preventivo y correctivo, cambio de aceite (1.5 GL) y filtro de aceite, mantenimiento de radiador, reparacion de panal, reparacion de bomba de agua, mantenimiento de alternador y cambio de rodajes y carbones, suministro de refrigerante</t>
  </si>
  <si>
    <t>Filtro de aceite, 1.5gl de aceite, sello de bomba de agua, rodajes y carbones de alternador, refrigerante (3gl)</t>
  </si>
  <si>
    <t>Se recibe llamado del plantel indicando falla del grupo</t>
  </si>
  <si>
    <t>Se realizo correctivo, se utilizo soldadura para unir cable dañado del circuito que va conectado al sensor Pickup</t>
  </si>
  <si>
    <t>falla por cable dañado</t>
  </si>
  <si>
    <t>0003-001308</t>
  </si>
  <si>
    <t>Se realiza mantenimiento preventivo, cambio de aceite 10W-30, cambio de filtro de aceite, cambio de filtro de aire, revision completa y limpieza en general</t>
  </si>
  <si>
    <t>Grupo queda operativo, se realiza pruebas con carga</t>
  </si>
  <si>
    <t>0003-001303</t>
  </si>
  <si>
    <t>Se realiza mantenimiento preventivo, cambio de aceite 10W-30, cambio de filtro de aceite y de aire, revision y limpieza en general.</t>
  </si>
  <si>
    <t>1.5gl de aceite, filtro de aceite, filtro de aire</t>
  </si>
  <si>
    <t>4G6451M/SXN3699</t>
  </si>
  <si>
    <t>Se requiere mantenimiento del radiador y alternador, presenta fuga de aceite por la parte posterior del motor, se realiza pruebas sin carga.</t>
  </si>
  <si>
    <t>0003-001437</t>
  </si>
  <si>
    <t>Se realiza mantenimiento preventivo, cambio de aceite 10W-30, cambio de filtro de aceite, cambio de filtro de aire, cambio de bujias (8), revision completa y limpieza en general</t>
  </si>
  <si>
    <t>3gl de aceite, filtro de aceite, filtro de aire, 8 bujías</t>
  </si>
  <si>
    <t>0003-001349</t>
  </si>
  <si>
    <t>se realiza pruebas con carga, queda pendiente cambio de bujias, grupo queda operativo</t>
  </si>
  <si>
    <t>0003-001347</t>
  </si>
  <si>
    <t>Grupo queda operativo, se realizan pruebas con carga, la bateria se encuentra dañada, queda pendiente cambio de bujias</t>
  </si>
  <si>
    <t>Grupo queda operativo, se realizan pruebas con carga, queda pendiente cambio de bujias</t>
  </si>
  <si>
    <t>al inspeccionar el grupo se encontro bote de aceite por el reten y cello posterior del motor, queda pendiente cambio de bujias grupo queda operativo</t>
  </si>
  <si>
    <t>Cliente no suministra limpia carburador, limpia contacto, desengrasante ni silicona, se realiza pruebas en vacio, grupo queda operativo</t>
  </si>
  <si>
    <t>Cliente no suministra carburador, no se realiza limpieza de obturador, cliente no suministra silicona y desengrasante, se realiza pruebas en vacio.</t>
  </si>
  <si>
    <t>Subir el nivel de carga, se realizaron pruebas con carga</t>
  </si>
  <si>
    <t>0003-001355</t>
  </si>
  <si>
    <t>216 °F</t>
  </si>
  <si>
    <t>En la inspeccion se encontro nivel de aceite por debajo del minimo que marca la varilla de medidor, grupo queda operativo</t>
  </si>
  <si>
    <t>0003-001438</t>
  </si>
  <si>
    <t>Se realiza mantenimiento preventivo, cambio de aceite 10W-30, cambio de filtro de aceite, cambio de bujias (8 unid), revision y limpieza en general</t>
  </si>
  <si>
    <t>Grupo fuera de servicio, se observa alternador de motor esta trancado y faja de motor rota</t>
  </si>
  <si>
    <t>Se desarmo alternador y faja del grupo 3004327725 que se encuentra fuera de servicio por problemas del motor y se le instala al grupo 3004214491</t>
  </si>
  <si>
    <t>alternador y faja quedan pendiente a reposicion, grupo queda operativo.</t>
  </si>
  <si>
    <t>0003-001341</t>
  </si>
  <si>
    <t>Se realizo mantenimiento preventivo, cambio de aceite 10W-30, filtro de aceite, revision y limpieza en general</t>
  </si>
  <si>
    <t>Se realiza mantenimiento preventivo, cambio de aceite 10W-30, cambio de filtro de aceite, revision completa y limpieza en general</t>
  </si>
  <si>
    <t>0003-001366</t>
  </si>
  <si>
    <t>0003-001367</t>
  </si>
  <si>
    <t>Equipo presenta portafiltros dañado</t>
  </si>
  <si>
    <t>Se reemplazo portafiltros y cabezal primario y secundario, se realizaropn pruebas de funcionamiento</t>
  </si>
  <si>
    <t>Grupo queda operativo, repuestos reemplazados se dejan al cliente</t>
  </si>
  <si>
    <t>portafiltros primario y secundario, cabezal de portafiltros</t>
  </si>
  <si>
    <t>Se realizo cambio de aceite (1.25gl)</t>
  </si>
  <si>
    <t>1.25GL de aceite</t>
  </si>
  <si>
    <t>Se realizo cambio de resorte de suspension</t>
  </si>
  <si>
    <t>cambio: Resortes de suspension</t>
  </si>
  <si>
    <t>0003-001439</t>
  </si>
  <si>
    <t>Se realiza mantenimiento preventivo, cambio de aceite 10W-30, filtro de aceite, limpieza de filtro de aire, limpieza de radiador, revision completa y limpieza en general</t>
  </si>
  <si>
    <t>Grupo queda operativo, se realizan pruebas con carga</t>
  </si>
  <si>
    <t>0003-001365</t>
  </si>
  <si>
    <t>Se realizo mantenimiento preventivo, cambio de aceite 10W-30, cambio de filtro de aceite, cambio de filtro de aire, revision completa y limpieza en general</t>
  </si>
  <si>
    <t>Quedan pendientes varios procedimientos que figuran en la cotizacion, se realizaron pruebas en vacio</t>
  </si>
  <si>
    <t>0003-001363</t>
  </si>
  <si>
    <t>SFM000114321</t>
  </si>
  <si>
    <t>Queda pendiente cambio de bujias, se realizan pruebas en vacio,  grupo queda operativo</t>
  </si>
  <si>
    <t>0003-001362</t>
  </si>
  <si>
    <t>Mantenimiento correctivo, cambio de sello trasero de motor, cambio de reten trasero de cigüeñal</t>
  </si>
  <si>
    <t>Al realizar inspeccion se encontraron abrazaderas del flexible en mal estado, grupo queda operativo</t>
  </si>
  <si>
    <t>Sello trasero de motor, reten trasero de cigüeñal</t>
  </si>
  <si>
    <t>27 PSI</t>
  </si>
  <si>
    <t>Se realiza prueba funcional al grupo y se observa ruido en el motor a nivel de balancines de valvula</t>
  </si>
  <si>
    <t>falla de motor (balancines)</t>
  </si>
  <si>
    <t>Grupo en buen estado, se encuentra sin alternador y faja</t>
  </si>
  <si>
    <t>Se realiza traslado del grupo ubicado en plantesl 801 para ser llevado al 804, adicionalmente se le instala alternador y faja del grupo 3004290368</t>
  </si>
  <si>
    <t>Grupo queda operativo instalado en el 804</t>
  </si>
  <si>
    <t>alternador y faja</t>
  </si>
  <si>
    <t>Grupo no se encuentra trabajando</t>
  </si>
  <si>
    <t>Se desmonta alternador y faja para colocarlo en el grupo 3004336196</t>
  </si>
  <si>
    <t>Grupo queda fuera de servicio hasta que se instalen alternador y faja</t>
  </si>
  <si>
    <t>desinstalacion de alternador y faja</t>
  </si>
  <si>
    <t xml:space="preserve">         dni:</t>
  </si>
  <si>
    <t xml:space="preserve">        dni:</t>
  </si>
  <si>
    <t>0003-001364</t>
  </si>
  <si>
    <t>Grupo presentaba fuga de aceite</t>
  </si>
  <si>
    <t>Mantenimiento correctivo, cambio de sello posterior de motor, cambio de reten posterior de motor.</t>
  </si>
  <si>
    <t>Grupo queda operativo, carga : 20KW</t>
  </si>
  <si>
    <t>Sello posterior de motor, reten posterior de motor</t>
  </si>
  <si>
    <t>14.5 V</t>
  </si>
  <si>
    <t>0003-001361</t>
  </si>
  <si>
    <t>0003-001370</t>
  </si>
  <si>
    <t>Grupo queda operativo, se realizo pruebas en vacio</t>
  </si>
  <si>
    <t>Cambio de tapas y rotor del distribuidor</t>
  </si>
  <si>
    <t>0003-001440</t>
  </si>
  <si>
    <t>0003-001441</t>
  </si>
  <si>
    <t>0003-001374</t>
  </si>
  <si>
    <t>Se realiza mantenimiento preventivo del grupo, cambio de aceite, cambio de filtro de aceite, cambio de filtro de aire, revision completa y limpieza general.</t>
  </si>
  <si>
    <t>Se hizo presencia en la granja por supuestos problemas en el grupo electrogeno</t>
  </si>
  <si>
    <t>Se inspecciono el grupo en busca de fallas visibles, el grupo encendio con normaildad, se revisaron los parametros del generador y estaban correctos, se midio el voltaje de salida</t>
  </si>
  <si>
    <t>Falla en la conexión del meneque de salida de corriente, una fase estaba conectada a tierra</t>
  </si>
  <si>
    <t>Falla por mala conexión</t>
  </si>
  <si>
    <t>0003-001373</t>
  </si>
  <si>
    <t>Se realizo mantenimiento preventivo, cambio de aceite 10W-30, cambio de filtro de aceite, cambio de filtro de aire, cambio de faja, revision completa y limpieza general</t>
  </si>
  <si>
    <t>1.5gl de aceite, filtro de aceite, filtro de aire, faja</t>
  </si>
  <si>
    <t>0003-001304</t>
  </si>
  <si>
    <t>Grupo presentaba falla, el clienete hizo cambio de bomba de agua</t>
  </si>
  <si>
    <t>Se cambio el obturador de admision por uno nuevo, se realizo pruebas funcionales, el grupo queda 100% operativo.</t>
  </si>
  <si>
    <t>el obturador reemplazado se dejo al cliente</t>
  </si>
  <si>
    <t>obturador</t>
  </si>
  <si>
    <t>0003-001293</t>
  </si>
  <si>
    <t>1.5gl de aceite, filtro de aciete, filtro de aire</t>
  </si>
  <si>
    <t>Se requiere mantenimiento al radiador, alternador y reparacion de bomba de agua, se requiere cambio de bujias para el proximo mantenimiento</t>
  </si>
  <si>
    <t>Se realizo mantenimiento preventivo, cambio de aeite, cambio de filtro de aceite, cambio de filtro de aire, revision completa y limpieza en general, grupo queda operativo</t>
  </si>
  <si>
    <t>0003-001372</t>
  </si>
  <si>
    <t>Se realiza mantenimiento preventivo, cambio de aceite 10W-30, cambio de filtro de aceite, revision completa y limpieza general</t>
  </si>
  <si>
    <t>Al inspeccionar el grupo se encontro grasa en el rodaje del generador, grupo queda operativo, se realiza pruebas en vacio</t>
  </si>
  <si>
    <t>0003-001340</t>
  </si>
  <si>
    <t>137 °F</t>
  </si>
  <si>
    <t>0003-001317</t>
  </si>
  <si>
    <t>Se realiza mantenimiento preventivo, cambio de aceite 10W-30, filtro de aceite, filtro de aire, revision completa y limpieza en general</t>
  </si>
  <si>
    <t>0003-001287</t>
  </si>
  <si>
    <t>faja, tapon trasero, reten de cigüeñal, refrigerante</t>
  </si>
  <si>
    <t>Mantenimiento correctivo, reparacion de bomba de agua, mantenimiento de radiador, alternador, arrancador, cambio de refirgerante, calibracion de valvulas, cambio de faja, reten de cigüeñal y tapon trasero de motor</t>
  </si>
  <si>
    <t>132 °F</t>
  </si>
  <si>
    <t>0003-001301</t>
  </si>
  <si>
    <t>Grupo queda operativo, grupo requiere cambio de bujias, se realiza pruebas en vacio</t>
  </si>
  <si>
    <t>466454M/SXQ4472</t>
  </si>
  <si>
    <t>0003-001323</t>
  </si>
  <si>
    <t>Se realizo mantenimiento preventico al G.E., cambio de aceite, filtro de aceite, filtro de aire, revision completa y limpieza en general</t>
  </si>
  <si>
    <t xml:space="preserve">Se relaizo cambio de AVR por garantia </t>
  </si>
  <si>
    <t>AVR tomado de grupo 3003953271 ubicado en taller (VMT)</t>
  </si>
  <si>
    <t>AVR por garantia</t>
  </si>
  <si>
    <t>96.5 PSI</t>
  </si>
  <si>
    <t>0003-001311</t>
  </si>
  <si>
    <t>4.5GL de aceite, filtro de aceite, filtro de aire, 2 filtros de combustible, pre filtro de combustible, refrigerante</t>
  </si>
  <si>
    <t>Se realiza mantenimiento preventivo, cambio de aceite, cambio de filtro de aire, cambio de filtro de petroleo primario, secundario y separador de agua, revision completa y limpieza general</t>
  </si>
  <si>
    <t>81 KW</t>
  </si>
  <si>
    <t>122 °F</t>
  </si>
  <si>
    <t>31 KW</t>
  </si>
  <si>
    <t>Grupo queda operativo, grupo opera con baja carga, se realiza pruebas con carga</t>
  </si>
  <si>
    <t>Cliente reporta que el grupo en oportunidades presenta explosiones en el motor</t>
  </si>
  <si>
    <t>Se realizo inspeccion del grupo, la falla se debe a la baja presion de combustible, esto debido a que el grupo conparte alimentacion conla calefaccion de los galpones</t>
  </si>
  <si>
    <t xml:space="preserve">Se recomienda colocar una alimentacion independiente exclusiva para el grupo </t>
  </si>
  <si>
    <t>Mala alimentacion de combustible</t>
  </si>
  <si>
    <t>1.5GL de aceite, filtro de aceite, 4 bujias</t>
  </si>
  <si>
    <t>0003-001320</t>
  </si>
  <si>
    <t>Se realiza mantenimiento preventivo, cambio de aceite 10W-30, cambio de filtro de aceite, cambio de bujias, revision completa y limpieza general</t>
  </si>
  <si>
    <t>0003-001368</t>
  </si>
  <si>
    <t>3gl de aceite 10W-30, filtro de aceite, 10 bujias</t>
  </si>
  <si>
    <t>Se realiza mantenimiento preventivo, cambio de aceite 10W-30, cambio de filtro de aceite, cambio de bujias 10unid, revision completa y limpieza general</t>
  </si>
  <si>
    <t>Grupo queda operativo, se realziza pruebas con carga</t>
  </si>
  <si>
    <t>0003-001369</t>
  </si>
  <si>
    <t>Se realiza mantenimiento preventivo, cambio de aceite 10W-30, cambio de filtro de aceite, cambio de bujias(8), revision completa y limpieza general.</t>
  </si>
  <si>
    <t>Grupo electrogeno queda operativo, se realiza pruebas con carga</t>
  </si>
  <si>
    <t>GRANJA CIELO</t>
  </si>
  <si>
    <t>Panamericana Sur Km.217 - Paramonga</t>
  </si>
  <si>
    <t>0003-001307</t>
  </si>
  <si>
    <t>Se realizo mantenimiento preventivo, cambio de aceite 15W-40, cambio de filtro de aceite, revision completa y limpieza general</t>
  </si>
  <si>
    <t>Se realizo prueba al grupo sin carga, grupo queda operativo</t>
  </si>
  <si>
    <t>0003-001302</t>
  </si>
  <si>
    <t>Grupo queda operativo, se realizo pruebas sin carga</t>
  </si>
  <si>
    <t>Se relalizo mantenimiento preventivo, cambio de aceite 10W-30, cambio de filtro de aceite, revision completa y limpieza general</t>
  </si>
  <si>
    <t>4G6454M/SXP7947</t>
  </si>
  <si>
    <t>Panamericana Sur Km174 - San vicente</t>
  </si>
  <si>
    <t>0003-001300</t>
  </si>
  <si>
    <t>Se realiza mantenimiento preventivo del grupo, cambio de aceite 10W-30, cambio de filtro de aceite, revision completa y limpieza en general.</t>
  </si>
  <si>
    <t>Grupo requiere cambio de bujias y faja, reparacion de bomba de aguia, mantenimiento de radiador y alternador, grupo queda operativo</t>
  </si>
  <si>
    <t>Se recomienda realizar mantenimiento preventivo, para el tema del motor se recomienda mantenimiento del sistema de ignicion, calibracion de valvulas y punto de ignición.</t>
  </si>
  <si>
    <t>Se realiza inspeccion visual del grupo, alternador presenta recalentamiento, motor presenta vibraciion que se asentua en funcion al nivel de carga</t>
  </si>
  <si>
    <t>Falla motor y alternador presenta recalentamiento</t>
  </si>
  <si>
    <t>No se pudo desmontar el alternador y arrancador del grupo por que no se encontraba grupo de respaldo</t>
  </si>
  <si>
    <t>Se realizo mantenimiento preventivo, cambio de filtro de aceite, cambio de faja, cambio de aceite 10W-30, cambio de filtro de aire, revision completa y limpieza en general</t>
  </si>
  <si>
    <t>0003-001371</t>
  </si>
  <si>
    <t>0003-001379</t>
  </si>
  <si>
    <t>Se instalo los componentes retirados para mantenimiento alternador y arrancador</t>
  </si>
  <si>
    <t>instalacion de arrancador y alternador reparado</t>
  </si>
  <si>
    <t>PAMPA COLORADA</t>
  </si>
  <si>
    <t>Grupo nuevo</t>
  </si>
  <si>
    <t>Se entrego bateria de 17 placas adicional por error, se recomienda el uso de terminales tipo ojal, en la salida de la llave de fuerza</t>
  </si>
  <si>
    <t>PLY200</t>
  </si>
  <si>
    <t>200 KW</t>
  </si>
  <si>
    <t>DSE-7320</t>
  </si>
  <si>
    <t>PWR024528E</t>
  </si>
  <si>
    <t>LEROY SOMMER</t>
  </si>
  <si>
    <t>27.3 V</t>
  </si>
  <si>
    <t>Puesta en marcha de grupo GENERAC modelo PLY200, se realiza pruebas en vacio</t>
  </si>
  <si>
    <t>Se realiza puesta en marcha de grupo GENERAC modelo PLY250, se realizo prueba con carga. Se realiza pruebas con carga, grupo queda operativo</t>
  </si>
  <si>
    <t>Se recomienda el uso de terminales tipo ojal en la salida de la llave de fuerza, se entrego manual.</t>
  </si>
  <si>
    <t>PLY250</t>
  </si>
  <si>
    <t>250 KW</t>
  </si>
  <si>
    <t>219 V</t>
  </si>
  <si>
    <t>LGDI1028N13734E</t>
  </si>
  <si>
    <t>72 KW</t>
  </si>
  <si>
    <t>Se realizo mantenimiento preventivo, cambio de aceite 10W-30, filtro de aceite, revision completa y limpieza general</t>
  </si>
  <si>
    <t>La polea de distribución y el templador se encuentra en mal estado, al igual que la faja, bote de aceite por el reten delantero del cigüeñal</t>
  </si>
  <si>
    <t>0003-001315</t>
  </si>
  <si>
    <t>0003-001322</t>
  </si>
  <si>
    <t>Se realiza mantenimiento correctivo, cambio de panel de radiador, mantenimiento de alternador (cambio de rodajes y carbones), manntenimiento de arrancador (cambio de bendix y planetario), suministro de refrigerante y o´ring trasero de motor</t>
  </si>
  <si>
    <t>Al momento de suministrar carga a la granja el grupo presenta fallas de sobrevoltaje, esto debido a que la llave termica en la parte superior presenta sobrcalentamiento, grupo esta operativo, es necesario cambiar llave termica</t>
  </si>
  <si>
    <t>Panel de radiador, reparacion de bomba de agua, radiador, alternador, refrigerante, O´ring trasero de motor</t>
  </si>
  <si>
    <t>231 V</t>
  </si>
  <si>
    <t>Se realiza mantenimiento preventivo, cambio de aceite 10W-30, cambio de filtro de aceite, mantenimiento de arrancador, mantenimiento de alternador DC, revision completa y limpieza en general</t>
  </si>
  <si>
    <t>0003-001443</t>
  </si>
  <si>
    <t>queda pendiente cambio de faja, polea, rotor y tapas del distribuidor, grupo queda operativo, se realiza prueabs en vacio</t>
  </si>
  <si>
    <t>3gl de aceite, filtro de aceite, mant. Arrancador y alternador</t>
  </si>
  <si>
    <t>0003-001442</t>
  </si>
  <si>
    <t>Se raliza mantenimiento preventivo, cambio de aceite 10W-30, cambio de filtro de aceite, cambio de filtro de aire, revicion completa y limpieza en general</t>
  </si>
  <si>
    <t>No se reemplazan bujias debido a que hace poco se realizo el cambio, estaba pendiente de un mantenimiento anterior, bujias se encuentran todavia en buen estado,grupo queda operativo</t>
  </si>
  <si>
    <t>Se raliza mantenimiento preventivo, cambio de aceite 10W-30, cambio de filtro de aceite, cambio de BUJIAS(8), revision completa y limpieza en general</t>
  </si>
  <si>
    <t>3gl de aceite, filtro de aceite, bujias (8)</t>
  </si>
  <si>
    <t>Se realizo cambio de bujias que estaba pendiente</t>
  </si>
  <si>
    <t>bujias (8)</t>
  </si>
  <si>
    <t>Se recomienda cambiar alternador, abrazaderas de mangueras de radiador, reparacion de bomba de agua</t>
  </si>
  <si>
    <t>Inspeccion de grupo para posterior mantenimiento, grupo requiere mantenimiento preventivo, cambio de aceite, filtro de aire y bujias, mantenimiendo de arrandor y radiador</t>
  </si>
  <si>
    <t>Revision general del grupo</t>
  </si>
  <si>
    <t>Grupo se encontraba inoperativo, el motivo por el cual estaba activado el boton de modo shutdown</t>
  </si>
  <si>
    <t>Se realizzo la liberacion del grupo, equipo queda operativo</t>
  </si>
  <si>
    <t>Se debe estar pendiente al momento del encendido del equipo que estos botones deben estar en modo 1 (hacia arriba) para evitar esta alarma</t>
  </si>
  <si>
    <t>0003-001306</t>
  </si>
  <si>
    <t>1,5gl de aceite, filtro de aceite, filtro de aire</t>
  </si>
  <si>
    <t>13,6 V</t>
  </si>
  <si>
    <t>El motor del grupo presenta minima explosion, requiere cambio de bujias, se realiza pruebas en vacio, grupo queda operativo</t>
  </si>
  <si>
    <t>0003-001305</t>
  </si>
  <si>
    <t>1,5GL de aceite, filtro de aciete, filtro de aire, bujias (4)</t>
  </si>
  <si>
    <t>13,5 V</t>
  </si>
  <si>
    <t>Se realiza mantenimiento preventivo, cambio de aceite 10W-30, cambio de filtro de aceie, cambio de filtro de aire, cambio de bujias(4), revision completa y limpieza en general</t>
  </si>
  <si>
    <t>Grupo presenta ruidos anormales por el rodamiento de alternador</t>
  </si>
  <si>
    <t>0003-001321</t>
  </si>
  <si>
    <t>Se realiza mantenimiento preventivo, cambio de aceite 10W-30, cambio de filtro de aceite, cambio de filtro de aire, cambio de bujias, revision completa y limpieza en general</t>
  </si>
  <si>
    <t>Al momento de intervencion el motor se encontro sin aceite, se requiere cambio de cable de bujias, se coloco cinta de embalaje provicional, grupo queda operativo</t>
  </si>
  <si>
    <t>3gl de aceite. Filtro de aceite, filtro de aire, bujias (8)</t>
  </si>
  <si>
    <t>243 V</t>
  </si>
  <si>
    <t>181 F</t>
  </si>
  <si>
    <t>0003-001324</t>
  </si>
  <si>
    <t>Se realizo mantenimiento de grupo, se hizo cambio de aceite 10W-30, cambio de filtro de aceite, cambio de filtro de aire, cambio de bujias(4), revision completa y limpieza en general</t>
  </si>
  <si>
    <t xml:space="preserve">1.5gl aceite, filtro de aceite, filtro de aire, bujias </t>
  </si>
  <si>
    <t>Grupo queda operativo, se realiza prueba en vacio</t>
  </si>
  <si>
    <t>0003-001332</t>
  </si>
  <si>
    <t>Se realiza mantenimiento preventivo, cambio de aceite 10W-30, filtro de aceite, bujias (4), revision completa y limpieza general</t>
  </si>
  <si>
    <t>Presenta fuga de aceite por oring trasero, requiere mantenimiento de radiador</t>
  </si>
  <si>
    <t>1.5gl de aceite, filtro de aceite, bujias (4)</t>
  </si>
  <si>
    <t>0003-001334</t>
  </si>
  <si>
    <t>Se realiza mantenimiento preventivo del grupo, cambio de aceite 10W-30, cambio de filtro de aceite, cambio de filtro de aire, revision completa y limpieza en general</t>
  </si>
  <si>
    <t>Presenta fuga de aceite por el Oring posterior, requiere mantenimiento de radiador, grupo queda operativo</t>
  </si>
  <si>
    <t>0003-001333</t>
  </si>
  <si>
    <t>Requiere mantenimiento de radiador, grupo queda operativo</t>
  </si>
  <si>
    <t>0003-001380</t>
  </si>
  <si>
    <t>Se realizo mantenimiento preventivo, cambio de aceite 10W-30, cambio de filtro de aceite, cambio de bujias, revision completa y limpieza general</t>
  </si>
  <si>
    <t>3gl de aceite, filtro de aceite, bujias(8)</t>
  </si>
  <si>
    <t>Se debe ralizar mantenimiento de alternador, cambio de polea fija, polea de templador y faja de ventilador, grupo queda operativo</t>
  </si>
  <si>
    <t>0003-001386</t>
  </si>
  <si>
    <t>Se entrega grupo encapsulado GENERAC modelo SG100(reparado), incluye su respectiva carreta</t>
  </si>
  <si>
    <t xml:space="preserve">Entrega EN SJT1 de G.E reparado </t>
  </si>
  <si>
    <t>Se incluye respectiva carrteta, grupo queda operativo</t>
  </si>
  <si>
    <t>0003-001385</t>
  </si>
  <si>
    <t>3GL de aceite, filtro de aceite, tarjeta gobernadora GENERAC</t>
  </si>
  <si>
    <t>Se realiza mantenimiento preventivo, cambio de aceite 10W-30, cambio de filtro de aceite, regulacion de grados de distribuidor de ingnicion, reemplazo de tarjeta gobernadora, revision completa y limpieza en general</t>
  </si>
  <si>
    <t>Falla de oscilacion solucionada al realizar estos cambios, grupo queda operativo, se realiza pruebas con carga</t>
  </si>
  <si>
    <t>42 KW</t>
  </si>
  <si>
    <t>0003-001382</t>
  </si>
  <si>
    <t>3GL de aceite, filtro de aceite, filtro de aire, faja</t>
  </si>
  <si>
    <t>Se realizo mantenimiento preventivo al grupo electrogeno, se realizo cambio de aceite, cambio de filtro de aceite, cambio de faja del motor, cambio de filtro de aire, revision completa y limpieza general</t>
  </si>
  <si>
    <t>Requiere cambio de reten delantero de cigüeñal, reparacion de bomba de agua, mantenimiento de radiador y alternador, cambio de refrigerante, reemplazo de templador,polea fija y abrazadera de soporte de filtro de aire</t>
  </si>
  <si>
    <t>0003-001381</t>
  </si>
  <si>
    <t>3GL de aceite, filtro de aceite, bujias(8)</t>
  </si>
  <si>
    <t>Se realiza mantenimiento preventivo, cambio de aceite 10W-30, cambio de filtro de aceite, cambio de bujias (8), revision completa y limpieza general</t>
  </si>
  <si>
    <t>Se recomienda colocar templador de faja y polea fija, se realiza pruebas en vacio, grupo queda operativo</t>
  </si>
  <si>
    <t>0003-001383</t>
  </si>
  <si>
    <t>1.5GL de aceite, filtro de aceite, bujias(4)</t>
  </si>
  <si>
    <t>Se realiza mantenimiento preventivo, cambio de aceite 10W-30, cambio de filtro de aceite, cambio de bujias (4), revision completa y limpieza general</t>
  </si>
  <si>
    <t>Requiere corectivo de arrancador, alternador, bomba de agua, faja de ventilador, reparacion de radiador (presenta fuga), cambio de refrigerante, se realiza pruebas en vacio</t>
  </si>
  <si>
    <t>Doña Maria 3</t>
  </si>
  <si>
    <t>0003-001384</t>
  </si>
  <si>
    <t xml:space="preserve">Se realizo mantenimiento preventivo al grupo,  cambio de aceite, cambio de filtro de aceite, cambio de bujias (4 unid), revision completa y limpieza general  </t>
  </si>
  <si>
    <t>0003-001352</t>
  </si>
  <si>
    <t>Sello de bomba de agua, rodajes y carbones de radiador, bendix y planetario de arrancador, 3gl de refrigerante, oring trasero de motor</t>
  </si>
  <si>
    <t>Cambio, prensado e instalacion de bomba de agua, mantenimiento e instalacion de alternador, mantenimiento de arrancador, suministro de refrigerante, instalacion de oring trasero, mantenimiento de radiador</t>
  </si>
  <si>
    <t>Se requiere cambio de faja, grupo queda operativo, se realiza pruebas en vacio</t>
  </si>
  <si>
    <t>0003-001344</t>
  </si>
  <si>
    <t>Mantenimiento preventivo del grupo, cambio de aceite, cambio de filtro de aceite, suministro e instalacion de  polea fija, templador, faja de motor, revision completa y limpieza general</t>
  </si>
  <si>
    <t>3GL de aceite, filtro de aceite, polea fija, templador, faja de motor</t>
  </si>
  <si>
    <t>0003-001329</t>
  </si>
  <si>
    <t>6GL de refrigerante, sello de bomba de agua, faja, tapon trasero, empaquetadura de carter, reten trasero</t>
  </si>
  <si>
    <t>Se realiza correctivo, cambio y prensado de sello de bomba de agua, mantenimiento de arrancador y alternador, suministro de faja, reten de cigüeñal y tapon trasero, cambio de refrigerante.</t>
  </si>
  <si>
    <t>0003-001318</t>
  </si>
  <si>
    <t>3GL de aciete, filtro de aceite, filtro de aire, bujias (8)</t>
  </si>
  <si>
    <t>Se realiza mantenimiento preventivo, cambio de aceite y filtro de motor, cambio de bujias (8), cambio de filtro de aire, revision completa y limpieza general</t>
  </si>
  <si>
    <t>Grupo queda operativo, se raliza pruebas en vacio</t>
  </si>
  <si>
    <t>123 °F</t>
  </si>
  <si>
    <t>0003-001444</t>
  </si>
  <si>
    <t>3GL de aceite, filtro de aceite, mantenimiento de arrancador y alternador</t>
  </si>
  <si>
    <t>Grupo no se apaga corectamente</t>
  </si>
  <si>
    <t>Se realiza inspeccion al grupo electrogeno, el equipo se apga en un lapso de 30 minutos</t>
  </si>
  <si>
    <t>Se sugiere reemplazo de selenoide de apagado, mantenimiento de bomba de inyeccion e inyectores, reemplazo de mangueras del sistema de refrigeracion</t>
  </si>
  <si>
    <t>Falla de selenoide de apagado</t>
  </si>
  <si>
    <t>Queda pendiente cambio de bujias, grupo queda operativo, se realiza pruebas con carga</t>
  </si>
  <si>
    <t>Se realiza mantenimiento preventivo, cambio de aceite 10W-30, cambio de filtro de aceite, mantenimiento de arrancador y alternador DC, revision completa y limpieza general.</t>
  </si>
  <si>
    <t>KALANI</t>
  </si>
  <si>
    <t>OBRA KALANI</t>
  </si>
  <si>
    <t>Panamericana Sur Km.72</t>
  </si>
  <si>
    <t>Se realizo mantenimiento preventivo, cambio de aceite, filtro de petroleo, se realizo reemplazo de condensador de generador</t>
  </si>
  <si>
    <t>aceite 15W-40, filtro de aceite, filtro de petroleo, condensador de generador</t>
  </si>
  <si>
    <t>Se realizo mantenimiento preventivo, cambio de aceite, filtro de petroleo</t>
  </si>
  <si>
    <t>aceite 15W-40, filtro de aceite, filtro de petroleo</t>
  </si>
  <si>
    <t>E101324352</t>
  </si>
  <si>
    <t>0003-001396</t>
  </si>
  <si>
    <t>Se realiza mantenimiento preventivo del grupo, cambio de aceite 10W-30, filtro de aceite, revision completa y limpieza general</t>
  </si>
  <si>
    <t>14.0 V</t>
  </si>
  <si>
    <t>0003-001394</t>
  </si>
  <si>
    <t>11GL de aceite 15W-40</t>
  </si>
  <si>
    <t>85 PSI</t>
  </si>
  <si>
    <t>Se realizo mantenimiento preventivo, cambio de aceite 15W-40 (11 gal), cambio de filtro de aceite, revision completa y limpieza general</t>
  </si>
  <si>
    <t>0003-001393</t>
  </si>
  <si>
    <t>Se realiza mantenimiento preventivo, cambio de aceite 15W-40 (5GL), cambio de filtro de aceite, revision completa y limpieza general</t>
  </si>
  <si>
    <t>Se realizo pruebas en vacio, grupo queda operativo</t>
  </si>
  <si>
    <t>5gl de aceite 15W-40, filtro de aceite</t>
  </si>
  <si>
    <t>79 PSI</t>
  </si>
  <si>
    <t>0003-001389</t>
  </si>
  <si>
    <t>Se realizo mantenimiento preventivo, cambio de aceite 10W-30, cambio de filtro de aceite, cambio de bujias (4), revision completa y limpieza general.</t>
  </si>
  <si>
    <t>1.5GL de aceite, filtro de aceite, bujias (4)</t>
  </si>
  <si>
    <t>0003-001390</t>
  </si>
  <si>
    <t>Se realizo mantenimiento preventivo, cambio de aceite 10W-30, cambio de filtro de aceite, revision completa y limpieza general.</t>
  </si>
  <si>
    <t>Grupo queda operativo, se realiza pruebas sin carga</t>
  </si>
  <si>
    <t>Se realiza cambio de bujias que estaba pendiente</t>
  </si>
  <si>
    <t>0003-001445</t>
  </si>
  <si>
    <t>Queda pendiente cambio mantenimiento de arrancador y alternador DC, cambio de tapas y rotor del distribuidor, cambio de polea y faja, grupo queda operativo.</t>
  </si>
  <si>
    <t>147 °F</t>
  </si>
  <si>
    <t>Se realiza mantenimiento preventivo, cambio de aceite 10W-30, cambio de filtro de aceite, cambio de filtro de aire, revision completa y limpieza general</t>
  </si>
  <si>
    <t>El cambio de bujias que correspondia a este mantenimiento se realizo en el mantenimiento anterior, grupo queda operativo</t>
  </si>
  <si>
    <t>Se realiza mantenimiento preventivo, cambio de aceite 10W-30, cambio de filtro de aceite, cambio de filtro de aire, cambio de bujias(8), revision completa y limpieza general</t>
  </si>
  <si>
    <t>Grupo presebta falla en la bomba de combustible</t>
  </si>
  <si>
    <t>Se suministro e instalo bomba de combustible nueva</t>
  </si>
  <si>
    <t>bomba de combustible</t>
  </si>
  <si>
    <t>Se verifico funcionamiento y parametros del grupo electrogeno, se reviso tablero de transferencia automatica, no realiza transferencia al momento del corte, tablero seguia sensando red de energia</t>
  </si>
  <si>
    <t>160 °F</t>
  </si>
  <si>
    <t>Grupo queda operativo, se notifico falla al personal encargado, se deja en automatico y llave en ON.</t>
  </si>
  <si>
    <t>0003-001502</t>
  </si>
  <si>
    <t xml:space="preserve">Suministro de 100 GL de combustible en 3 etapas, 12/09/2020 19:00 - 13/09/2020 16:00 </t>
  </si>
  <si>
    <t>Se deja el tanque totalmente lleno</t>
  </si>
  <si>
    <t>100 GL de DIESEL</t>
  </si>
  <si>
    <t>0003-001398</t>
  </si>
  <si>
    <t>1.5GL de aceite 10W-30, filtro de aceite, filtro de aire</t>
  </si>
  <si>
    <t>Se realiza mantenimiento preventivo, cambio de aceite 10W-30, cambio de filtro de aceite, cambio de filtro de aire, cambio de bujias, revision completa y limpieza general</t>
  </si>
  <si>
    <t>Al inspeccionar se verifico que una de las bobinas se encuentra defectuosa, requier cambio de bobinas y cables para buen funcionamiento</t>
  </si>
  <si>
    <t>Cambio de bobina de encendido, se realiza las pruebas predeterminadas, chequeo de entrada y salida de aire, sistema de combustible y refrigerante</t>
  </si>
  <si>
    <t>bobina de encendido</t>
  </si>
  <si>
    <t>0003-001395</t>
  </si>
  <si>
    <t>Se realiza mantenimiento preventivo del grupo, cambio de aceite 10W-30, cambio de filtro de aceite, revision completa y limpieza general.</t>
  </si>
  <si>
    <t>1.5 GL de aceite 10W-30, filtro de aceite</t>
  </si>
  <si>
    <t>27 V</t>
  </si>
  <si>
    <t>133 °F</t>
  </si>
  <si>
    <t>0003-001501</t>
  </si>
  <si>
    <t>Mantenimiento grupo electrogeno, cambio de aceite 10W-40, cambio de filtro de aceite, cambio de filtros de combustible, revision completa y limpieza general</t>
  </si>
  <si>
    <t>Presenta filtracion de refrigerante en uno de los sistemas en el area de refrigeracion</t>
  </si>
  <si>
    <t>Filtro de aceite B99, Filro de combustible(2) (BF7587) , 45gl de aceite 15W-40</t>
  </si>
  <si>
    <t>0003-001399</t>
  </si>
  <si>
    <t>Mantenimiento preventivo del grupo, cambio de aceite 10W-30, cambio de filtro de aceite, cambio de bujias, revision completa y limpieza general</t>
  </si>
  <si>
    <t>1.5GL de aceite 10W-30, filtro de aceite, bujias(4)</t>
  </si>
  <si>
    <t>0003-001506</t>
  </si>
  <si>
    <t>Se instalo componente retirado para mantenimiento (arrancador), se soluciono problema de sonido causado por mal estado de cables de bujias, se aislo y dejo grupo operativo</t>
  </si>
  <si>
    <t>mantenimiento de arrancador</t>
  </si>
  <si>
    <t>0003-001391</t>
  </si>
  <si>
    <t>Se realizo mantenimiento preventivo, cambio de aceite 10W-30, cambio de filtro de aceite, cambio de 4 bujias, cambio de filtro de aire, revision completa y limpieza general</t>
  </si>
  <si>
    <t>Al momento del encendio panel de reinica, presenta desperfecto, grupo queda no operativo</t>
  </si>
  <si>
    <t>1.5gl de aceite, filtro de aceite, filtro de aire, bujias(4)</t>
  </si>
  <si>
    <t>Se requiere cambio de modulo para el funcionamiento del grupo</t>
  </si>
  <si>
    <t>0003-001392</t>
  </si>
  <si>
    <t>Requiere reparacion del generador DC, presenta ruidos anormales, grupo queda operativo</t>
  </si>
  <si>
    <t>1.5GL de aceite 10W-30, filtro de aceite</t>
  </si>
  <si>
    <t>ALMACEN LURIN</t>
  </si>
  <si>
    <t>Se repara e instalo radiador al grupo electrogeno, se corrigio fuga de refrigerante</t>
  </si>
  <si>
    <t>instalacion de radiador</t>
  </si>
  <si>
    <t>Se realizo mantenimiento de arracador y alternador</t>
  </si>
  <si>
    <t>Grupo electrogeno queda operativo</t>
  </si>
  <si>
    <t>mant. Arrancador y alternador</t>
  </si>
  <si>
    <t>Se realizo cambio de bujias que estaba pendiente en mantenimiento anteriores</t>
  </si>
  <si>
    <t>Grupo presenta oscilaciones en las RPM</t>
  </si>
  <si>
    <t>Se realiza pruebas de funcionamiento, se realiza cambio de obturador de admision</t>
  </si>
  <si>
    <t>Grupo queda operativo, cambio de obturador por garantia</t>
  </si>
  <si>
    <t>Obturador de admision</t>
  </si>
  <si>
    <t>Queda pendiente cambio de faja, polea, tapas y rotor del distribuidor, grupo queda operativo, se realiza pruebas en vacio</t>
  </si>
  <si>
    <t xml:space="preserve">Se realiza prestamo de servicio de operación de grupos electrogenos, al mismo tiempo se reviso el grupo, el servicio consistio en una revision general </t>
  </si>
  <si>
    <t>el servicio se desarrollo desde el 04/09/2020 hasta el 05/09/2020, el grupo queda operativo y listo para trabajar</t>
  </si>
  <si>
    <t>operación del grupo</t>
  </si>
  <si>
    <t>62 °C</t>
  </si>
  <si>
    <t>92 PSI</t>
  </si>
  <si>
    <t>6.1 KW</t>
  </si>
  <si>
    <t>Se realiza cambio de aceite a las 269709 km, proximo cambio a las 274209 km.</t>
  </si>
  <si>
    <t>Cambios de aceite cada 5000 km</t>
  </si>
  <si>
    <t>aceite</t>
  </si>
  <si>
    <t>C7A-736</t>
  </si>
  <si>
    <t>FRONTIER</t>
  </si>
  <si>
    <t>Vehiculo queda 100% operativo</t>
  </si>
  <si>
    <t>mantenimeinto de frenos</t>
  </si>
  <si>
    <t>Se le realizo mantenimiento completo a los frenos de las ruedas delanteras y posteriores, se le completo el gas para el funcionamiento del aire acondicionado</t>
  </si>
  <si>
    <t>Cambio de aceite a  los 275623 km, proximo cambio a los 280123 km</t>
  </si>
  <si>
    <t>Se realizo cambio de amortiguadores delanteros, cambio de 4 rotulas y 4 terminales, bocina de trapecio y goma de la barra estabilizadora n°8</t>
  </si>
  <si>
    <t>amortiguadores delanteros, rotulas(4), terminales(4), bocina de trapecio</t>
  </si>
  <si>
    <t>Se realizo cambio de aceite a los 282843 km</t>
  </si>
  <si>
    <t>Cambio de llantas delanteras</t>
  </si>
  <si>
    <t>Cambio de aceite y mantenimiento general</t>
  </si>
  <si>
    <t>Cambio de 4 bujes de la meceta arriba (direccion)</t>
  </si>
  <si>
    <t>bujes (4)</t>
  </si>
  <si>
    <t>0003-001518</t>
  </si>
  <si>
    <t>Se realiza mantenimiento preventivo al grupo electrogeno, se realiza cambio de aceite, cambio de filtro de aceite, revision completa y limpieza general.</t>
  </si>
  <si>
    <t>Cambio de polea queda pendiente para la siguiente intervencion, requiere cambio de filtro de aire</t>
  </si>
  <si>
    <t>1.5 gl de aceite, filtro de aceite</t>
  </si>
  <si>
    <t>0003-001517</t>
  </si>
  <si>
    <t>Se realizo mantenimiento preventivo, cambio de aceite, cambio de filtro de aceite, cambio de bujias, se cambio kit de distribucion: cambio de faja de distribuidor, rodaje y templador, grupo queda operativo</t>
  </si>
  <si>
    <t>1.5gl de aceite, filtro de aceite, 4 bujias, 1 kit de distribucion</t>
  </si>
  <si>
    <t>0003-001516</t>
  </si>
  <si>
    <t>Se realizo mantenimiento preventivo al grupo, cambio de aceite 10W-30, cambio de filtro de aceite, cambio de bujias(4), revision completa y limpieza general</t>
  </si>
  <si>
    <t xml:space="preserve">1.5gl de aceite, filtro de aceite, bujias(4), </t>
  </si>
  <si>
    <t>STS6082/6G454M</t>
  </si>
  <si>
    <t>0003-001512</t>
  </si>
  <si>
    <t>Grupo queda operativo, requiere cambio de kit de distribucion, se realiza pruebas en vacio</t>
  </si>
  <si>
    <t>1.5gl de aceite, filtro de aceite, mant. de alternador y arrcandor, faja</t>
  </si>
  <si>
    <t>Se realizo mantenimiento preventivo al grupo, cambio de aceite 10W-30, cambio de filtro de aceite, cambio de faja, mantenimiento de arrancador y alternador DC, revision completa y limpieza general</t>
  </si>
  <si>
    <t>0003-001510</t>
  </si>
  <si>
    <t>Se realiza mantenimiento preventivo, cambio de aceite 10W-30, cambio de filtro de aceite, cambio de polea lisa (1), suministro de faja, cambiod e tapa y rotor de distrib uidor, mantenimiento de alternador y arrancador, revision y limpieza general</t>
  </si>
  <si>
    <t>para alternador se cambio rodajes y carbones, para arrancador se cambio bendix y planetario, grupo queda operativo</t>
  </si>
  <si>
    <t>3gl de aceite, filtro de aceite, polea lisa, fajas, mant. de alternador y arrancador</t>
  </si>
  <si>
    <t>Se realizo evaluacion de equipo para calibracion de valvulas detectandose daños severos en 4 unidades de potencia (cilindros), se realizo instalacion de alternador DC</t>
  </si>
  <si>
    <t>instalacion de alternador DC, calibracion de valvulas</t>
  </si>
  <si>
    <t>Se recomienda llevar al taller para realizar evaluacion a fondo, grupo queda fuera de servicio, la presion de aceite esta en descenso</t>
  </si>
  <si>
    <t>A5245J/001</t>
  </si>
  <si>
    <t>CITIBANK CAMINO REAL</t>
  </si>
  <si>
    <t>Se enconttraron fugas por mal ajuste de abrazaderas, filtro de aite con suciedad visible pero sin restriccion de ingreso de aire</t>
  </si>
  <si>
    <t>Mantenimiento anual del grupo, se cambio: 2 filtros de aceite, aceite, 2 filtros primarios de combustible. reajuste de bornes de baterias, se raliza prueba de encendido, revision completa y limpieza general</t>
  </si>
  <si>
    <t>El grupo se encuentra en buen estado, no se encontro alarmas activadas en el panel de control, se recomienda cambiar el filtro de aire en el proximo mantenimiento, grupo queda operativo</t>
  </si>
  <si>
    <t>aceite 15W-40, 2 filtros de aceite, 2 filtros de combustible</t>
  </si>
  <si>
    <t>PG-90</t>
  </si>
  <si>
    <t>mant. Alternador y arrancador</t>
  </si>
  <si>
    <t>Se realizo mantenimiento de arrancador (cambio de bendix y planetario) y alternador (cambio de carbones y rodamiento)</t>
  </si>
  <si>
    <t>Se realizo mantenimiento preventivo trimestral, revision y limpieza general del grupo, ajustes mecanicos del equipo, revision de filtros y pruebas en vacio</t>
  </si>
  <si>
    <t>Servicio realizado de manera satisfactoria, equipo queda 100% operativo</t>
  </si>
  <si>
    <t>revision general del grupo</t>
  </si>
  <si>
    <t>A5245J-001</t>
  </si>
  <si>
    <t>GEN PART</t>
  </si>
  <si>
    <t>Revision de grupo</t>
  </si>
  <si>
    <t>40 °C</t>
  </si>
  <si>
    <t>SE RECOMIENDA CAMBIO DE MANGUERA DEL CALENTADOR DE REFRIGERANTE, RELLENAR ACEITE Y RELLENAR REFRIGERANTE.SE REALIZO PRUEBAS EN VACIO</t>
  </si>
  <si>
    <t>Se recomienda cambiar sensor de presion de aceite, grupo queda operativo</t>
  </si>
  <si>
    <t>Se realiza mantenimiento preventivo, limpieza de filtro de aire, revision completa del grupo y limpieza general</t>
  </si>
  <si>
    <t>Se realiza mantenimiento preventivo, reajuste de borneras en ITM y abrazaderas, revision general de motor y baterias, limpieza general</t>
  </si>
  <si>
    <t>Servicio ejecutado de manera satisfactoria, grupo queda operativo, se realizan pruebas en vacio</t>
  </si>
  <si>
    <t>revision y limpieza general</t>
  </si>
  <si>
    <t>Se realizo cambio de 2 mangueras (entrada y salida) de precalentador de refrigerante, se realiza pruebas en vacio, grupo queda operativo</t>
  </si>
  <si>
    <t>Se recomienda cambiar oring o empaquetadura de tapon de carter, se reajusto tapon de drenaje de aceite, presentaba pequeño goteo de aceite</t>
  </si>
  <si>
    <t>mangueras de refrigerante</t>
  </si>
  <si>
    <t>Se realizo mantenimiento preventivo, cambio de aceite, cambio de filtro de aceite, cambio de filtro de aire, revision completa y limpieza general</t>
  </si>
  <si>
    <t>Grupo queda operativo y en buenas condiciones</t>
  </si>
  <si>
    <t>0003-001521</t>
  </si>
  <si>
    <t>Se realiza cambio de bujias que se encontraba pendiente</t>
  </si>
  <si>
    <t>Se realizo mantenimiento preventivo, cambio de filtro de aceite, cambio de filtro de aire, cambio de bujias, revision completa y limpieza general</t>
  </si>
  <si>
    <t>0003-001446</t>
  </si>
  <si>
    <t>3gl de aceite, filtro de aciete, filtro de aire, bujias (8)</t>
  </si>
  <si>
    <t>Grupo queda operativo, trabaja con baja carga, se realiza pruebas con carga</t>
  </si>
  <si>
    <t>0003-001447</t>
  </si>
  <si>
    <t>Se realizo mantenimiento preventivo, cambio de filtro de aceite, cambio de filtro de aire, limpieza de radiador, revision completa y limpieza general</t>
  </si>
  <si>
    <t>3gl de aceite, filtro de aciete, filtro de aire</t>
  </si>
  <si>
    <t>Grupo queda operativo, se realiza pruebas con carga, grupo trabaja con carga baja (18 KW)</t>
  </si>
  <si>
    <t>0003-001531</t>
  </si>
  <si>
    <t>0003-001530</t>
  </si>
  <si>
    <t>Se realiza mantenimiento preventivo, cambio de aceite, filtro de aceite, cambio de bujias (8), revision completa y limpieza general</t>
  </si>
  <si>
    <t>Se observa fuga de aceite por la parte trasera del motor, se verifica para darle solucion, grupo queda operativo</t>
  </si>
  <si>
    <t>Panel de control presenta desperfecto en el area de botones, seleccionadores de parametro, se realizara informe tecnico para solucion de problemas</t>
  </si>
  <si>
    <t>45 KW</t>
  </si>
  <si>
    <t>0003-001532</t>
  </si>
  <si>
    <t>Se inspecciono el grupo por sonido inusual, se retiro el arrancador para reparacion</t>
  </si>
  <si>
    <t>Se coloco arrancador provisional, grupo queda operativo</t>
  </si>
  <si>
    <t>Retiro de arrancador</t>
  </si>
  <si>
    <t>235 V</t>
  </si>
  <si>
    <t>0003-001535</t>
  </si>
  <si>
    <t>Se realiza matenimiento correctivo, cambio de reten delantero de cigüeñal, cambio de faja y 1gl de aceite</t>
  </si>
  <si>
    <t>Grupo queda operativo, no se puedo hacer mant. a grupo de respaldo por que este fue trasladado a otra granja</t>
  </si>
  <si>
    <t>Reten delantero, faja, 1gl de aceite</t>
  </si>
  <si>
    <t>244 V</t>
  </si>
  <si>
    <t>158 °F</t>
  </si>
  <si>
    <t>0003-001519</t>
  </si>
  <si>
    <t>Se realiza mantenimiento preventivo, cambio de aceite 10W-30, mant. De arrrancador y alternador, cambio de poleas(2), fajas, filtro de aceite, tapas y rotor del distribuidor, revision y limpieza general</t>
  </si>
  <si>
    <t>3gl de aceite, filtro de aceite, tapa y rotor del distribuidor, polea(2), faja, mant. de arrancador y alternador</t>
  </si>
  <si>
    <t>0003-001511</t>
  </si>
  <si>
    <t>Se realiza mant. Preventivo cambio de aceite, mantenimiento de radiador, reparacion de panel y tinas, mant. de alternador y arrancador, cambio de filtro de aceite, suministro de 7 galones refrigerante, cambio de poleas, revision y limpieza general</t>
  </si>
  <si>
    <t>mant. de alternador ( cambio de rodajes y carbones), mant. de arrancador (cambio de bendix y planetario), grupo queda operativo</t>
  </si>
  <si>
    <t>Filtro de aceite y aceite, polea lisa, polea del templador, 7gl de refrigerante, mant. de radiador y alternador</t>
  </si>
  <si>
    <t>0003-001514</t>
  </si>
  <si>
    <t>Se realizo mant. preventivo, se realizo cambio de aceite, cambio de filtro de aceite, revision completa y limpieza general.</t>
  </si>
  <si>
    <t>Se requiere cambio de filtro de aire, grupo qieda operativo, se realiza pruebas en vacio</t>
  </si>
  <si>
    <t>1.5 gl de aceite 10W-30, filtro de aceite</t>
  </si>
  <si>
    <t>0003-001515</t>
  </si>
  <si>
    <t>,</t>
  </si>
  <si>
    <t>Se realiza mantenimiento preventivo, cambio de aceite, cambio de filtro de aceite, revision completa y limpieza general</t>
  </si>
  <si>
    <t>14.6 V</t>
  </si>
  <si>
    <t>Se requiere cambio de cables de bujias y filtro de aire para el optimo funcionamiento del grupo</t>
  </si>
  <si>
    <t>0003-001528</t>
  </si>
  <si>
    <t>0003-001529</t>
  </si>
  <si>
    <t>0003-001448</t>
  </si>
  <si>
    <t>Se realiza mantenimiento preventivo, cambio de aceite 10W-30, cambio de filtro de aceite, cambio de filtro de aire, cambio de bujais (8), revision completa y limpieza general</t>
  </si>
  <si>
    <t>Equipo se encontraba con baja carga al momento de la revision, grupo se encuentra operativo</t>
  </si>
  <si>
    <t>3gl de aceite, filtro de aire, filtro de aceite, bujias(8)</t>
  </si>
  <si>
    <t>26KW</t>
  </si>
  <si>
    <t>CARGA (KW o %)</t>
  </si>
  <si>
    <t>0003-001546</t>
  </si>
  <si>
    <t>Se realizo mantenimiento preventivo, cambio de aceite 10W-30, cambio de filtro de aceite, revision de entrada y salida de aire, revision completa y limpieza general</t>
  </si>
  <si>
    <t>Grupo quedo operativo, se realiza pruebas sin carga</t>
  </si>
  <si>
    <t>0003-001547</t>
  </si>
  <si>
    <t>0003-001549</t>
  </si>
  <si>
    <t>0003-001550</t>
  </si>
  <si>
    <t>1.5GL de aceite, filtro de aceite, filro de aire</t>
  </si>
  <si>
    <t>Se realizo el montaje de alternador, se realizaron pruebas de funcionamiento, se verifico el voltaje de la bateria y conexiones electricas, reajuste de abrazaderas del sistema de refrigeracion</t>
  </si>
  <si>
    <t>Grupo queda operativo, se raliza pruebas con carga (8kw)</t>
  </si>
  <si>
    <t>0003-001449</t>
  </si>
  <si>
    <t>Se realiza mantenimiento preventivo, cambio de aceite 10W-30, cambio de filtro de aceite, pulverizado de filtro de aire, revision completa y limpieza general</t>
  </si>
  <si>
    <t>Grupo queda operativo, se recomiendo aumentar la carga asociada</t>
  </si>
  <si>
    <t>Grupo electrogeno debe ser evaluado, queda fuera de servicio, adicional a esto se le retira alternador y faja para instalar en otro grupo</t>
  </si>
  <si>
    <t>Se le notifica al cliente que debe subir la carga asociada para evitar daños en el equipo</t>
  </si>
  <si>
    <t>Grupo no enciende</t>
  </si>
  <si>
    <t>Se reviso sistema de ignicion y no tiene chispa en las bujias, se procede a revisar distribucion de ignicion, presenta fallas en sus componentes internosm se realizo desmontaje del distribuidor de otro grupo y se instalo en este</t>
  </si>
  <si>
    <t>Grupo queda operativo, distribuidor fue extraido el grupo 3004290364</t>
  </si>
  <si>
    <t>distribuidor</t>
  </si>
  <si>
    <t>Se desmonton distribuidor para ser colocado en grupo 3004337388</t>
  </si>
  <si>
    <t>Se desmonta alternador y faja para ser instalado en el grupo 3004214491</t>
  </si>
  <si>
    <t>Grupo esta fuera de servicio</t>
  </si>
  <si>
    <t>Se le retiro alternador y faja para ser instalados en el grupo 3004344017</t>
  </si>
  <si>
    <t>Grupo se encuentra fuera de servicio</t>
  </si>
  <si>
    <t>Se desmonta puente de diodo para ser instalado en el grupo 3004344017 del plantel 804</t>
  </si>
  <si>
    <t>Grupo se encuentra no operativo</t>
  </si>
  <si>
    <t>0003-001542</t>
  </si>
  <si>
    <t>Se realiza mantenimiento preventivo, cambio de aceite 10W-30, cambio de filtro de aceite, cambio de faja, revision completa y limpieza general</t>
  </si>
  <si>
    <t>1.5GL de aceite, filtro de aceite, faja</t>
  </si>
  <si>
    <t>Grupo presenta falla de baja carga, en una de las fases, se encontro un cable suelto en la salida de interruptor de fuerza. Se monto y se reajusto los cables</t>
  </si>
  <si>
    <t>0003-001451</t>
  </si>
  <si>
    <t>37 KW</t>
  </si>
  <si>
    <t>Se realiza mantenimiento preventivo, cambio de aceite 10W-30, cambio de filtro de aceite, mantenimiento de arrancador y alternador, revision completa y limpieza general</t>
  </si>
  <si>
    <t>Queda pendiente cambio de tapas, rotor del distribuidor, poleas, faja, grupo queda operativo</t>
  </si>
  <si>
    <t>3gl de aceite, filtro de aceite, mant. de arrancador y alternador</t>
  </si>
  <si>
    <t>0003-001450</t>
  </si>
  <si>
    <t>Se realiza mantenimiento preventivo, cambio de aceite 10W-30, cambio de filtro de aceite, cambio de filtro de aire, limpieza de radiador, revision completa y limpieza general</t>
  </si>
  <si>
    <t>Se realizo cambio de componentes del distribuidor</t>
  </si>
  <si>
    <t>componentes del distribuidor</t>
  </si>
  <si>
    <t>Grupo queda fuera de servicio</t>
  </si>
  <si>
    <t>T001-00000005</t>
  </si>
  <si>
    <t>T001-00000014</t>
  </si>
  <si>
    <t>Se realiza mantenimiento preventivo, cambio de aceite 10W-30, cambio de filtro de aceite, cambio de faja, mantenimiento de arrancador y alternador, revision completa y limpieza general</t>
  </si>
  <si>
    <t>Se realizaron pruebas en vacio, grupo queda operativo</t>
  </si>
  <si>
    <t>1.5gl de aceite, filtro de aceite, faja, mant. de arrancador y alternador</t>
  </si>
  <si>
    <t>Se realiza mantenimiento preventivo, cambio de aceite 10W-30, cambio de filtro de aceite, cambio de bujias, cambio de faja, cambio de rotor del distribuidor, mant. del alternador y arrancador, revision completa y limpieza general</t>
  </si>
  <si>
    <t>3GL de aceite, filtro de aceite, bujias(8), rotor del distribuidor, faja, mant. de arrancador y alternador</t>
  </si>
  <si>
    <t>195°F</t>
  </si>
  <si>
    <t>T001-00000013</t>
  </si>
  <si>
    <t>T001-00000011</t>
  </si>
  <si>
    <t>Se realiza cambio de sensor de presion de aceite.</t>
  </si>
  <si>
    <t>Sensor de presion de aceite</t>
  </si>
  <si>
    <t>453 V</t>
  </si>
  <si>
    <t>0003-001452</t>
  </si>
  <si>
    <t>Se realiza mantenimiento preventivo, cambio de aceite 10W-30, cambio de filtro de aceite, cambio de polea lisa y faja, revision completa y limpieza general</t>
  </si>
  <si>
    <t>3gl de aceite, filtro de aceite, polea lisa, faja</t>
  </si>
  <si>
    <t>112 °F</t>
  </si>
  <si>
    <t>32 PSI</t>
  </si>
  <si>
    <t>T001-00000010</t>
  </si>
  <si>
    <t>0003-001453</t>
  </si>
  <si>
    <t>Se realiza mantenimiento preventivo, cambio de aceite 10W-30, cambio de filtro de aceite, cambio de tapas y rotor del distribuidor, cambio de polea, cambio de faja, revision completa y limpieza general</t>
  </si>
  <si>
    <t xml:space="preserve">Queda pendiente mantenimiento de arrancador y alternador de motor, </t>
  </si>
  <si>
    <t>3gl de aceite, filtro de aceite, tapas y rotor del distribuidor, polea, faja</t>
  </si>
  <si>
    <t>0003-001454</t>
  </si>
  <si>
    <t>0003-001455</t>
  </si>
  <si>
    <t>53 KW</t>
  </si>
  <si>
    <t>Se realizo cambio de polea lisa, polea de templador, faja de rotor y tapa de distribuidor, cambios estaban pendientes de mantenimiento realizador el 03/09/2020</t>
  </si>
  <si>
    <t>polea lisa, polea de templador, faja, rotor y tapa de distribucion</t>
  </si>
  <si>
    <t>Cambio de aceite 20W-50, cambio de filtro de aceite</t>
  </si>
  <si>
    <t>Proximo mantenimiento 146510 km</t>
  </si>
  <si>
    <t>aceite 20W-50, filtro de aceite</t>
  </si>
  <si>
    <t>Realizar mantenimiento a los 141480 km</t>
  </si>
  <si>
    <t>T001-00000018</t>
  </si>
  <si>
    <t>Se realiza mantenimiento preventivo, cambio de aceite 10W-30, cambio de filtro de aceite, cambio de filtro de aire, limpieza externad del radiador, revision completa y limpieza general</t>
  </si>
  <si>
    <t>T001-00000015</t>
  </si>
  <si>
    <t>Se realiza mantenimiento preventivo, cambio de aceite 10W-30, cambio de filtro de aceite, reajuste de abrazaderas, revision completa y limpieza general</t>
  </si>
  <si>
    <t>1.5gl aceite 10W-30, filtro de aceite</t>
  </si>
  <si>
    <t>T001-00000017</t>
  </si>
  <si>
    <t>Se realiza mantenimiento preventivo, cambio de aceite 10W-30, cambio de filtro de aceite, cambio de filtro de aire, reajuste de abrazaderas y conexiones electricas, revision completa y limpieza general</t>
  </si>
  <si>
    <t>157 °F</t>
  </si>
  <si>
    <t>T001-00000021</t>
  </si>
  <si>
    <t>Se realiza mantenimiento preventivo, cambio de aceite 15W-40, cambio de filtro de aceite, cambio de pre filtro de combustible(1) y filtro de combustible(2), revision completa y limpieza general</t>
  </si>
  <si>
    <t>Grupo queda operativo, se realiza pruebas con carga, tiene baja carga asociada (32 KW)</t>
  </si>
  <si>
    <t>4.5GL de aceite, filtro de aceite, filtro de combustible(2), prefiltro de combustible(1)</t>
  </si>
  <si>
    <t>T001-00000020</t>
  </si>
  <si>
    <t>Se realiza mantenimiento preventivo, cambio de aceite 15W-40, cambio de filtro de aceite, cambio de filtros de combustibles(2), cambio de pre filtro de combustible, revision completa y limpieza general</t>
  </si>
  <si>
    <t>Grupo queda operativo, se realizan pruebas con carga (32 KW)</t>
  </si>
  <si>
    <t>4.5gl de aceite, filtro de aceite, filtro de combustible(2), prefiltro de combustible, refrigerante</t>
  </si>
  <si>
    <t>0003-001456</t>
  </si>
  <si>
    <t>Se realiza mantenimiento preventivo, cambio de aceite 10W-30, cambio de filtro de aceite, limpieza de radiador, revision completa y limpieza en general.</t>
  </si>
  <si>
    <t>Grupo queda operativo, se realiza prueba con carga (28 KW)</t>
  </si>
  <si>
    <t>T001-00000022</t>
  </si>
  <si>
    <t>Se realiza mantenimiento preventivo, cambio de aceite 15W-40, cambio de filtro de aceite, cambio de filtros de combustible (2), cambio de pre filtro de aceite, reajuste de conexiones electricas y abrazaderas, revision y limpieza general</t>
  </si>
  <si>
    <t>5gl de aceite, filtro de aceite, filtro de combustible(2), pre-filtro de combustible.</t>
  </si>
  <si>
    <t>141 °F</t>
  </si>
  <si>
    <t>Grupo presenta recalentamiento del motor</t>
  </si>
  <si>
    <t>Se realiza inspeccion visual, radiador se encuentra obstruido, se procede a limpiear el radiador con desengrasante y disolvente dielectrico</t>
  </si>
  <si>
    <t>Grupo queda operativo, se realiza pruebas con carga (21 kw)</t>
  </si>
  <si>
    <t>154 °F</t>
  </si>
  <si>
    <t>73 PSI</t>
  </si>
  <si>
    <t>T001-00000029</t>
  </si>
  <si>
    <t xml:space="preserve">Se reakiza mantenimiento preventivo, cambio de aceite 10W-30, cambio de filtro de aceite, cambio de bujias 8 unid, cambio de faja de motor, revision completa y limpieza general. </t>
  </si>
  <si>
    <t>T001-00000031</t>
  </si>
  <si>
    <t>Se realiza mantenimiento preventivo, cambio de aceite 10W-30, cambio de filtro de aceite, cambio de faja, cambio de bujias(8), revision completa y limpieza general</t>
  </si>
  <si>
    <t>3gl de aceite, filtro de aceite, faja, bujias(8)</t>
  </si>
  <si>
    <t>T001-00000030</t>
  </si>
  <si>
    <t>Se realiza mantenimiento preventivo, cambio de aceite 10W-30, cambio de filtro de aceite, cambio de bujias (8 unid), cambio de faja de motor, revision completa y limpieza general</t>
  </si>
  <si>
    <t>3gl de aceite, filtro de aceite, bujias(8), faja de motor</t>
  </si>
  <si>
    <t>T001-00000032</t>
  </si>
  <si>
    <t>Se tenia planeado realizar mantenimiento preventivo, al realizar inspeccion se aprecia daños internos de motor, se aprecia daño en el eje de levas, busos, se realizo cambio de bujias que se encontraba pendiente.</t>
  </si>
  <si>
    <t>Se recomeinda llevar el grupo a nuestras instalaciones para un diagnostico mas profundo</t>
  </si>
  <si>
    <t>T001-00000009</t>
  </si>
  <si>
    <t>Renten trasero de cigüeñal, sello trasero</t>
  </si>
  <si>
    <t>Se realiza mantenimiento correctivo, cambio de reten trasero de cigüeñal y sello trasero, el grupo quedo operativo</t>
  </si>
  <si>
    <t>Grupo queda operativo, se raliza pruebas con carga</t>
  </si>
  <si>
    <t>Se realizo inspeccion al grupo electrogeno</t>
  </si>
  <si>
    <t>0003-001544</t>
  </si>
  <si>
    <t>Se realizo mantenimiento preventivo, cambio de aceite 10W-30, cambio de filtro de aceite, cambio de filtro de aire, se realiza instalacion de arrancador retirado para mantenimiento, revision completa y limpieza general</t>
  </si>
  <si>
    <t>3gl de aceite, filtro de aceite, filtro de aire, arrancador (instalacion)</t>
  </si>
  <si>
    <t>Se encontro nivel de aceite bajo</t>
  </si>
  <si>
    <t>Se recomienda verificar el nivel de aceite, de preferencia rellenar antes de operar, grupo queda operativo</t>
  </si>
  <si>
    <t>0003-001543</t>
  </si>
  <si>
    <t>Grupo queda operativo, se realizo pruebas con carga (11kw)</t>
  </si>
  <si>
    <t>11 KW</t>
  </si>
  <si>
    <t>0003-001457</t>
  </si>
  <si>
    <t>le correspondia cambio de bujias, pero estas se encuentran en buen estado, grupo queda operativo</t>
  </si>
  <si>
    <t>Se realiza mantenimiento preventivo, cambio de aceite 10W-30, cambio de filtro de aceite, cambio de polea y faja de motor, revision completa y limpieza general</t>
  </si>
  <si>
    <t>3gl de aceite, filtro de aceite, polea lisa, faja de motor</t>
  </si>
  <si>
    <t>46 PSI</t>
  </si>
  <si>
    <t>0003-001458</t>
  </si>
  <si>
    <t>Queda pendiente cambio de tapas y rotor del distribuidor, mantenimiento de arrancador y alternador se realizo 17/09/2020, grupo queda operativo</t>
  </si>
  <si>
    <t>Queda pendiente cambio de tapas y rotor del distribuidor, mantenimiento de arrancador y alternador se realizo 18/09/2020, grupo queda operativo</t>
  </si>
  <si>
    <t>Se realiza inspeccion visula del grupo, equipo no genera</t>
  </si>
  <si>
    <t>Se realiza diagnostico utlizando captur fail, se encontro registro de evento de potencia inversa ocasionando que el puente de diodo presente circuito abierto y no genere, se realizo cambio de componente</t>
  </si>
  <si>
    <t>Esta falla se presenta cuando se realiza una mala conmutacion, grupo queda operativo</t>
  </si>
  <si>
    <t>Grupo presenta falla en el AVR, se reemplaza modulo AVR.</t>
  </si>
  <si>
    <t>Modulo se reemplazo por garantia, equipo queda operativo</t>
  </si>
  <si>
    <t>modulo AVR</t>
  </si>
  <si>
    <t>GRANJA LOBITOS</t>
  </si>
  <si>
    <t>PAN. NORTE KM.214</t>
  </si>
  <si>
    <t>Se realiza mantenimiento preventivo, cambio de aceite 10W-30, cambio de filtro de aceite, cambio de filtro de aire, reajuste de abrazaderas y conexiones electricas, revision completa y limpieza general.</t>
  </si>
  <si>
    <t>Grupo queda operativo, funciona con baja carga (15 KW)</t>
  </si>
  <si>
    <t>T001-00000048</t>
  </si>
  <si>
    <t>MANTTO SAC</t>
  </si>
  <si>
    <t>PUERTO VIEJO - CAÑETE</t>
  </si>
  <si>
    <t>Panamericana Sur Km.71 - playa puerto viejo</t>
  </si>
  <si>
    <t>Presenta falla con el encendido de los reflectores, Se realizo cambio de motor de arranque ( capacitor) principal y secundario</t>
  </si>
  <si>
    <t>motor de arranque primario y secundario</t>
  </si>
  <si>
    <t>0003-001536</t>
  </si>
  <si>
    <t>Se realizo limpieza de conectores de modulo de control y se realiza reemplazo de modulo de control</t>
  </si>
  <si>
    <t>Se realizan pruebas de funcionamiento, el equipo queda operativo.</t>
  </si>
  <si>
    <t>Panel de control OK22670</t>
  </si>
  <si>
    <t>Cambio de aceite (Tipo: 15W-40 )                   GL (Se deja        GL para rellenar)</t>
  </si>
  <si>
    <t>GRANJA GUADALUPE</t>
  </si>
  <si>
    <t>AREQUIPA</t>
  </si>
  <si>
    <t>Se realizo reparacion de motor en general, se realizaron pruebas de buen funcionamiento en campo, respondiendo el equipo al 100%</t>
  </si>
  <si>
    <t>Se recomienda realizar mantenimiento obligatorio 50 horas despues de la reparacion</t>
  </si>
  <si>
    <t>Reparacion general del motor</t>
  </si>
  <si>
    <t>PG0080</t>
  </si>
  <si>
    <t>OJ2849</t>
  </si>
  <si>
    <t>Se realizo mantenimiento preventivo, reajuste de abrazaderas, bornes de bateria, cables de entrada y salida de interruptor de fuerza, revision completa y limpieza general</t>
  </si>
  <si>
    <t>Se requiere cambio de mangueras de refrigeracion del sistema de enfriamiento de aceite, grupo queda operativo</t>
  </si>
  <si>
    <t>109 °F</t>
  </si>
  <si>
    <t>89 PSI</t>
  </si>
  <si>
    <t>T001-00000043</t>
  </si>
  <si>
    <t>Se realiza traslado de grupo con motor reparado, parte del taller VMT.</t>
  </si>
  <si>
    <t>grupo va con carreta 2 ejes, 4 llantas y tornamesa.</t>
  </si>
  <si>
    <t>T001-00000050</t>
  </si>
  <si>
    <t>Se realiza mantenimiento preventivo, cambio de aceite 15W-40, cambio de filtro de aceite, cambio de filtro de aire, revision completa y limpieza general</t>
  </si>
  <si>
    <t>Grupo presenta vibracion en el motor, se resolvio calibrando valvulas, se encontro 2 cables invertidos en el sistema de encendido, grupo queda 100% operativo</t>
  </si>
  <si>
    <t>33 KW</t>
  </si>
  <si>
    <t>ALMACEN CENTRAL - CHORRILLOS</t>
  </si>
  <si>
    <t>Se realiza mantenimiento preventivo, reajuste de pernos y abrazaderas, revision de filtro de aire y nivel de acete, limpieza general</t>
  </si>
  <si>
    <t>Se realiza mantenimeinto preventivo, reajuste de pernos, abrazaderas y conexiones electricas, revision de voltaje y bateria, limpieza general</t>
  </si>
  <si>
    <t>Jeve de la tapa del radiador reseco</t>
  </si>
  <si>
    <t>U7517796</t>
  </si>
  <si>
    <t>N4100/1</t>
  </si>
  <si>
    <t>Se realiza prueba funcional al grupo, se observa que presenta falla en el sistema de ignicion del motor, se observa tapa de distribucion y rotor en mal estado, se realiza cambio</t>
  </si>
  <si>
    <t>Grupo queda operativo, se adelanta cambio correspondiente al mantenimiento de 2150 hr</t>
  </si>
  <si>
    <t>Tapa y rotor del distribuidor</t>
  </si>
  <si>
    <t>Grupo no genera</t>
  </si>
  <si>
    <t>Se realizo prueba funcional, presenta problemas en el puente diodo, se reemplaza por garantia</t>
  </si>
  <si>
    <t>0003-001459</t>
  </si>
  <si>
    <t>Se realizo mantenimiento preventivo, cambio de aceite 15W-40, cambio de filtro de aceite, cambio de filtro de aire, cambio de bujias (8), revision completa y limpieza general.</t>
  </si>
  <si>
    <t>3GL de aceite, filtro de aceite, filtro de aire, bujias(8)</t>
  </si>
  <si>
    <t>Se realiza mantenimiento preventivo, cambio de aceite 15W-40, cambio de filtro de aceite, revision completa y limpieza general.</t>
  </si>
  <si>
    <t>0003-001460</t>
  </si>
  <si>
    <t>Se realiza mantenimiento preventivo, cambio de aceite 15W-40, cambio de filtro de aceite, cambio de filtro de aire, limpieza de radiador, revision completa y limpieza general.</t>
  </si>
  <si>
    <t>3gl de aceite, filtrod e aceite, filtro de aire</t>
  </si>
  <si>
    <t>T001-00000073</t>
  </si>
  <si>
    <t>Se realiza mantenimiento preventivo al grupo elextrogeno, se realiza cambio de aceite 15W-40, cambio de filtro de aceite, revision completa y limpieza general.</t>
  </si>
  <si>
    <t>Se realizo pruebas en vacio</t>
  </si>
  <si>
    <t>T001-00000072</t>
  </si>
  <si>
    <t>Grupo generac atendido por servicio correctivo y trasladado desde taller a granja lobitos 4</t>
  </si>
  <si>
    <t>correctivo por garantia, grupo queda operativo</t>
  </si>
  <si>
    <t>T001-00000071</t>
  </si>
  <si>
    <t>Se realizo mantenimiento preventivo al grupo electrogeno, cambio de aceite 15W-40, cambio de filtro de aceite, cambio de filtro de aire, cambio de bujias (8), instalacion de alternador nuevo, revision completa y limpieza general.</t>
  </si>
  <si>
    <t>3gl de aceite, filtro de aceite, filtro de aire, bujias(8), alternador</t>
  </si>
  <si>
    <t>T001-00000053</t>
  </si>
  <si>
    <t>Se realiza mantenimiento preventivo, cambio de aceite 15W-40, cambio de filtro de aceite, reajuste de mangueras, abrazaderas y conexiones electricas, revision completa y limpieza general.</t>
  </si>
  <si>
    <t>Grupo queda operativo, se realiza pruebas con carga (21kw)</t>
  </si>
  <si>
    <t>T001-00000057</t>
  </si>
  <si>
    <t>Se realizo cambio de templador de faja y polea, cambio de polea lisa, cambio de faja de motor</t>
  </si>
  <si>
    <t>templador de faja, polea, polea lisa, faja de motor</t>
  </si>
  <si>
    <t>SG070_1 (50 hr)</t>
  </si>
  <si>
    <t>SG070_2 (350 hr)</t>
  </si>
  <si>
    <t>SG070_3 ( 650 hr)</t>
  </si>
  <si>
    <t>SG070_4 (950 hr)</t>
  </si>
  <si>
    <t>SG070_5 (1250 hr)</t>
  </si>
  <si>
    <t>SG070_6 (1550 hr)</t>
  </si>
  <si>
    <t>SG070_7 (1850 hr)</t>
  </si>
  <si>
    <t>SG070_8 (2150 hr)</t>
  </si>
  <si>
    <t>SG070_9 (2450 hr)</t>
  </si>
  <si>
    <t>Cambio de polea y faja</t>
  </si>
  <si>
    <t>0003-001461</t>
  </si>
  <si>
    <t>Grupo queda operativo, se realizan pruebas en vacio.</t>
  </si>
  <si>
    <t>Se realiza mantenimiento preventivo, cambio de aceite 15W-40, cambio de filtro de aceite, mantenimiento de arrancador y alternador, cambio de tapas y rotor del distribuidor, cambio de polea y faja, revision completa y limpieza general.</t>
  </si>
  <si>
    <t>3gl de aceite, filtro de aceite, mant. De arrancador y alternador, polea, faja, tapas y rotor del distribuidor</t>
  </si>
  <si>
    <t>Se realiza mantenimiento de arrancador y alternador</t>
  </si>
  <si>
    <t>mant. de arrancador y alternador</t>
  </si>
  <si>
    <t>En la prueba funcional se detecto fuga de aceite a nivel del motor y generador</t>
  </si>
  <si>
    <t>Se desmonto generador para reemplazar sello trasero de cigüeñal, se realiza prueba funcional, ya no presenta fuga</t>
  </si>
  <si>
    <t>Sello trasero de cigüeñal</t>
  </si>
  <si>
    <t>mantenimiento de arrancador y alternador realizado 18/09/2020 , queda pendiente cambio de tapas y rotor del distribuidor, grupo queda operativo</t>
  </si>
  <si>
    <t>T001-00000054</t>
  </si>
  <si>
    <t>Se realiza mantenimiento preventivo, cambio de aceite 15W-40, cambio de filtro de aceite, bujias, tapas y rotor del distribuidor, cambio de polea y faja, reajuste de abrazaderas y conexiones electricas, revision completa y limpieza general</t>
  </si>
  <si>
    <t>El grupo presenta minimo resumen de refrigerante por la empaquetadura de la bomba.</t>
  </si>
  <si>
    <t>3gl de aceite, filtro de aceite, bujias, tapa y rotor del distribuidor, polea, faja</t>
  </si>
  <si>
    <t>166 °F</t>
  </si>
  <si>
    <t>Se realizo mantenimiento preventivo al grupo electrogenos, se realizo cambio de aceite, cambio de filtro de aceite, revision completa y limpieza general</t>
  </si>
  <si>
    <t>Se realiza pruebas en vacio, grupo queda operativo</t>
  </si>
  <si>
    <t>189 °F</t>
  </si>
  <si>
    <t>T001-00000086</t>
  </si>
  <si>
    <t>T001-00000075</t>
  </si>
  <si>
    <t>Se realiza mantenimiento preventivo, cambio de aceite 15W-40, cambio de filtro de aciete, cambio de filtro de aire, cambio de prefiltro de combustible, filtro de combustible, revision completa y limpieza general.</t>
  </si>
  <si>
    <t>4.5gl de aceite, filtro de aceite, filtro de aire, pre filtro y filtro de combustible</t>
  </si>
  <si>
    <t>82 PSI</t>
  </si>
  <si>
    <t>Se realiza mantenimiento preventivo, cambio de aceite, cambio de filtro de aceite, reajuste de abrazaderas, pernos del motor y faja, revision completa y limpieza general</t>
  </si>
  <si>
    <t>4G6434M</t>
  </si>
  <si>
    <t>T001-00000078</t>
  </si>
  <si>
    <t>Queda pendiente cambio de filtro de aire, cambio de polea y faja, grupo queda operativo</t>
  </si>
  <si>
    <t>T001-00000059</t>
  </si>
  <si>
    <t>Se realizo inspeccion del grupo electrogeno, se localizo falla en la tapa del distribuidor, se encontro puntos de contacto en mal estado, se procedio con el lisado y limpieza del mismo</t>
  </si>
  <si>
    <t>Grupo quedo operativo, se recomienda cambiar la tapa del distribuidor.</t>
  </si>
  <si>
    <t>Reparacion de tapa de distribuidor</t>
  </si>
  <si>
    <t>T001-00000065</t>
  </si>
  <si>
    <t>Entrega de grupo electrogeno con motor reparado con carreta 2 ejes y tornamesa</t>
  </si>
  <si>
    <t>Parte de taller egener, VMT</t>
  </si>
  <si>
    <t>3gl de aceite, filtro de aceite, polea fija, faja</t>
  </si>
  <si>
    <t>Queda pendiente cambio de tapas y rotor del distribuidor mantenimiento de arrancador y alternador se realizo 18/09/2020. Grupo queda operativo, se realiza pruebas en vacio</t>
  </si>
  <si>
    <t>Se realiza mantenimiento preventivo, cambio de aceite 10W-30, cambio de filtro de aceite, cambio de polea y faja, revision completa y limpieza general</t>
  </si>
  <si>
    <t>T001-00000052</t>
  </si>
  <si>
    <t>Se encontro bajo nivel de aceite., grupo queda operativo.</t>
  </si>
  <si>
    <t>Se realiza revision del grupo</t>
  </si>
  <si>
    <t>Grupo 100% operativo</t>
  </si>
  <si>
    <t>T001-00000095</t>
  </si>
  <si>
    <t>Se realiza mantenimiento preventivo, cambio de aceite 15W-40, cambio de filtro de aceite, cambio de filtro de aire, revision completa y limpieza general,</t>
  </si>
  <si>
    <t>Grupo se encuentra trabajando con baja carga (20 KW)</t>
  </si>
  <si>
    <t>T001-00000077</t>
  </si>
  <si>
    <t>Se realizo mantenimiento preventivo, cambio de aceite 10W-30, cambio de filtro de aceite, reajuste de mangueras, abrazaderas y conexiones electricas, revision completa y limpieza general.</t>
  </si>
  <si>
    <t>T001-00000061</t>
  </si>
  <si>
    <t>Se realiza mantenimiento preventivo al grupo electrogeno, se realizo cambio de filtro de aceite, cambio de aceite, se reajusto pernos y conexiones electricas, revision completa y limpieza general.</t>
  </si>
  <si>
    <t>1.5gl de aceite 15W-40, filtro de aceite</t>
  </si>
  <si>
    <t>T001-00000098</t>
  </si>
  <si>
    <t>Se realizo correctivo, cambio de renten trasero del cigüeñal, se realizo cambio de sello posterior de eje de levas, grupo queda operativo</t>
  </si>
  <si>
    <t>Se realizo mantenimiento preventivo, cambio de aceite 15W-40, cambio de filtro de aceite, cambio de filtro de aire, cambio de bujias, mantenimiento de arrancador y alternador, revision completa y limpieza general.</t>
  </si>
  <si>
    <t>Aceite, filtro de aceite y aire, mant. de arrancador y alternador, bujias, polea, faja, retene posterior de cigüeñal, sello posterior de eje de levas</t>
  </si>
  <si>
    <t>Grupo electrogeno se le realizo reparacion general del motor</t>
  </si>
  <si>
    <t>Se instalo grupo y se realizaron pruebas en vacio y con carga.</t>
  </si>
  <si>
    <t>Grupo queda 100% operativo, se debe realizar cambio de aceite del grupo a las 1657.5 horas</t>
  </si>
  <si>
    <t>Se realiza mantenimiento preventivo, cambio de aceite 15W-40, cambio de filtro de aceite, revision completa y limpieza general</t>
  </si>
  <si>
    <t>Se realizaron pruebas en vacio, grupo quedo operativo</t>
  </si>
  <si>
    <t>T001-00000060</t>
  </si>
  <si>
    <t>0003-001463</t>
  </si>
  <si>
    <t>Se realiza mantenimiento preventivo, cambio de aceite, cambio de filtro de aire, cambio de bujias, revision completa y limpieza general</t>
  </si>
  <si>
    <t>Grupo queda operativo, se realiza pruebas con carga (38kw)</t>
  </si>
  <si>
    <t>Se realiza mantenimiento preventivo, cambio de aceite 15W-40, cambio de filtro de aceite, cambio de tapas y rotor del distribuidor, revision completa y limpieza general</t>
  </si>
  <si>
    <t>Grupo queda operativo, se realiza pruebas con carga (39kw)</t>
  </si>
  <si>
    <t>3gl de aceite, filtro de aceite, tapas y rotor del distribuidor</t>
  </si>
  <si>
    <t>Se realiza mantenimiento preventivo, cambio de aceite 15W-40, cambio de filtro de aceite, cambio de filtro de aire, limpieza de radiador, revision completa y limpieza general</t>
  </si>
  <si>
    <t>3gl de aceite, filtro de aceite, Filtro de aire</t>
  </si>
  <si>
    <t>0003-001462</t>
  </si>
  <si>
    <t>Se realiza mantenimiento preventivo, cambio de aceite 15W-40, cambio de filtro de aceite, limpieza de radiador, revision completa y limpieza general</t>
  </si>
  <si>
    <t>Grupo queda operativo, se realiza pruebas con carga (25kw)</t>
  </si>
  <si>
    <t>PLAZA VEA</t>
  </si>
  <si>
    <t>CC. PLAZA CENTER (PLAZA VEA LURIN)</t>
  </si>
  <si>
    <t>Panamericana Sur antigua, cruze con Av.san Pedro</t>
  </si>
  <si>
    <t>T001-00000124</t>
  </si>
  <si>
    <t>Se realizo mantenimiento preventivo, cambio de aceite, cambio de filtro de aceite, cambio de filtros de combustible, limpieza de filtro de aire, revision completa y limpieza general</t>
  </si>
  <si>
    <t>Mantener el tanque del combustible lleno, se encontraba a 3/4 de su capacidad, grupo queda operativo</t>
  </si>
  <si>
    <t>Filtros de combustible(2), Filtros de aceite(3), 10gl de aceite</t>
  </si>
  <si>
    <t>Jorge Chávarry</t>
  </si>
  <si>
    <t>OP1925GVLS</t>
  </si>
  <si>
    <t>360I</t>
  </si>
  <si>
    <t>360 KW</t>
  </si>
  <si>
    <t>400 V</t>
  </si>
  <si>
    <t>DSE7320</t>
  </si>
  <si>
    <t>VOLVO PENTA</t>
  </si>
  <si>
    <t>28.6 V</t>
  </si>
  <si>
    <t>29 °C</t>
  </si>
  <si>
    <t>7 BAR</t>
  </si>
  <si>
    <t>Se realizo inspeccion del grupo electrogeno</t>
  </si>
  <si>
    <t>Se realizo cambio de tapa de distribuidor y rotor del distribuidor que estaba pendiente de mantenimiento anterior</t>
  </si>
  <si>
    <t>tapa y rotor del distribuidor</t>
  </si>
  <si>
    <t>Se realizo prueba funcional, se pudo observar que el motor falla</t>
  </si>
  <si>
    <t>Se reviso la distribucion de encendido y se observa que el mismo presenta desgaste en las pesas o valanciadores y rotor partido, se realizo cambio de distribucion de encendido</t>
  </si>
  <si>
    <t>Grupo queda operativo, cambio realizado por garantia</t>
  </si>
  <si>
    <t>distribucion de encendido</t>
  </si>
  <si>
    <t>Se realiza prueba funcional del grupo, se observa variacion en las RPM del motor, se realizo diagnostivco y se observo que el obturador de admision presenta problemas, se realizo cambio de obturador.</t>
  </si>
  <si>
    <t>Grupo queda operativo, cambio por garantia.</t>
  </si>
  <si>
    <t>Se realiza inspeccion visual y se observo que los flexibles se encuentran rotos, se reemplazan flexibles izquierdo y derecho.</t>
  </si>
  <si>
    <t>Grupo queda opeartivo, partes reemplazadas por garantia.</t>
  </si>
  <si>
    <t>Flexibles de escape</t>
  </si>
  <si>
    <t>T001-00000074</t>
  </si>
  <si>
    <t>Se realizo mantenimiento preventivo, cambio de aceite, cambio de filtro de aceite, cambio de filtro de combustible, cambio de pre-filtro de combustible, cambio de filtro de aire, reajuste de mangueras y abrazaderas, revision completa y limpieza general.</t>
  </si>
  <si>
    <t>Grupo queda operativo, trabja con baja carga (19 KW)</t>
  </si>
  <si>
    <t>4.5gl de aceite, filtro de aceite, filtro de aire, filtro y pre-filtro de combustible.</t>
  </si>
  <si>
    <t>149 °F</t>
  </si>
  <si>
    <t>T001-00000089</t>
  </si>
  <si>
    <t>Se realizo mantenimiento preventivo, cambio de aceite 15W-40, cambio de filtro de aceite, cambio de filtro de aire, reajuste de mangueras, revision completa y limpieza general.</t>
  </si>
  <si>
    <t>Grupo queda operativo, se realizan pruebas en vacio (1803 RPM)</t>
  </si>
  <si>
    <t>Se realizo inspeccion del grupo</t>
  </si>
  <si>
    <t>Grupo operativo, nos comunica el encargado que los galpones trabajan en monofasico</t>
  </si>
  <si>
    <t>T001-00000088</t>
  </si>
  <si>
    <t>Grupo queda operativo, se encontro el nivel de aceite bajo</t>
  </si>
  <si>
    <t>Se realiza cambio de tapa de rotor de distribuidor, se realizaron pruebas de campo, se reajusto tuerca del escape (provocaba sonido anormal).</t>
  </si>
  <si>
    <t>Tapa de distribuidor</t>
  </si>
  <si>
    <t>T001-00000090</t>
  </si>
  <si>
    <t>Se realiza mantenimiento preventivo, cambio de aceite 10W-30, cambio de filtro de aceite, reajuste de mangueras y abrazaderas, revision completa y limpieza general.</t>
  </si>
  <si>
    <t>Grupo queda operativo, se realizaron pruebas en vacio, no se cambiaron bujias</t>
  </si>
  <si>
    <t>T001-00000079</t>
  </si>
  <si>
    <t>Cambio de filtro de aceite y aceite, cambio de filtro de aire, cambio de bujias, reajuste de borneras, revision completa y limpieza general</t>
  </si>
  <si>
    <t>Filtro de aceite, Filtro de aire, Bujias, 1/2gl de aceite 10W-30</t>
  </si>
  <si>
    <t>EMPRESA MINERA PANCHO VILLA EIRL.</t>
  </si>
  <si>
    <t>MINERA PANCHO VILLA</t>
  </si>
  <si>
    <t>T001-00000070</t>
  </si>
  <si>
    <t>Se entrega grupo con manuales y llaves</t>
  </si>
  <si>
    <t>Venta de grupo insonorizado diesel, interruotir magnetico, silenciador , tubo flexible de escape, baterua 12VDC, pre calentador del agua - regfrigerante</t>
  </si>
  <si>
    <t>PEE2616605</t>
  </si>
  <si>
    <t>PMY155</t>
  </si>
  <si>
    <t>151 KW</t>
  </si>
  <si>
    <t>440 V</t>
  </si>
  <si>
    <t>PERKINS / UO58442C</t>
  </si>
  <si>
    <t>4202/1800</t>
  </si>
  <si>
    <t>Se realizo cambio de 4 bujias, se inspecciono grupo y se reajusto abrazaderas</t>
  </si>
  <si>
    <t>Tenia fuga de refrigerante, falla fue corregida, grupo queda operativo</t>
  </si>
  <si>
    <t>bujias(4)</t>
  </si>
  <si>
    <t>T001-00000109</t>
  </si>
  <si>
    <t>Se realizo cambio de filtro de aire al grupo electrogeno</t>
  </si>
  <si>
    <t>T001-00000085</t>
  </si>
  <si>
    <t>Se realiza mantenimiento preventivo al grupo, se realia cambio de filtro de aceite, cambio de aceite,reajuste de manguras y abrazaderas, revision completa y limpieza general</t>
  </si>
  <si>
    <t>Requiere cambio de bujias y filtro de aire, radiador necesita mantenimiento y reparacion, se encontro refrigerante por el tiro superior del radiador</t>
  </si>
  <si>
    <t>Grupo se encuentra operativo, cliente nos indica que se realizo cambio del distribuidor</t>
  </si>
  <si>
    <t>Distribuidor (hecho por cliente)</t>
  </si>
  <si>
    <t>T001-00000126</t>
  </si>
  <si>
    <t>Se realizo mantenimiento preventivo al grupo electrogeno, se realizo cambio de aceite, cambio de filtro de aceite, revision completa y limpieza general</t>
  </si>
  <si>
    <t>Requiere cambio de filtro de aire, grupo queda operativo</t>
  </si>
  <si>
    <t>Se inspecciono grupo RG022, presenta osilacion con respecto al sistema de ingnicion, se probaron todas las bobinas, presentan baja chispa de alta tension.</t>
  </si>
  <si>
    <t>Se recomienda cambiar las bobinas y cables de bujias.</t>
  </si>
  <si>
    <t>Se procede a realizar pruebas de arranque al grupo electrogeno, se detecto lo siguiente: bateria baja, sensor pick up con cable expuesto, se cargo bateria, se ralizo prueba de encendido, se cambio sensor pickup</t>
  </si>
  <si>
    <t>Sensor Pick Up</t>
  </si>
  <si>
    <t>Se realizo cambio de tuberia flexibles de escape(2 abrazaderas, 1 tubo flexible) , se desmonto 1 tuberia Flexible rota</t>
  </si>
  <si>
    <t>1 tuberia flexible, 2 abrazaderas</t>
  </si>
  <si>
    <t>T001-00000122</t>
  </si>
  <si>
    <t>Mant. de arrancador, alternador y radiador, refrigerante, sello de bomba de agua</t>
  </si>
  <si>
    <t>Se realizo mantenimiento de alternador, arrancador y radiador, cambio de sello de bomba de agua, suministro de refrigerante</t>
  </si>
  <si>
    <t>T001-00000121</t>
  </si>
  <si>
    <t>Se reemplaza Kit de distribucion (2fajas, 2 templadores y 1 guia de faja), cambio de termostato.</t>
  </si>
  <si>
    <t>Kit distribucion, termostato</t>
  </si>
  <si>
    <t>Se realizo mantenimiento preventivo al grupo electrogeno, se realizo cambio de aceite, cambio de filtro de aceite, cambio de filtro de aire, se realizo cambio de polea y faja de alternador, revision completa y limpieza general</t>
  </si>
  <si>
    <t>1.5gl de aceite, filtro de aceite, filtro de aire, polea y faja de alternador</t>
  </si>
  <si>
    <t>Grupo queda operativo, se realizaron pruebas en vacio</t>
  </si>
  <si>
    <t>T001-00000120</t>
  </si>
  <si>
    <t>T001-00000127</t>
  </si>
  <si>
    <t>Se encontro fuga de refrigerante, se reajusto mangueras del radiador, grupo queda operativo</t>
  </si>
  <si>
    <t>Se realizo mantenimiento preventivo, cambio de aceite 15W-40, cambio de filtro de aceite, reajuste de mangueras y abrazaderas, revision completa y limpieza general</t>
  </si>
  <si>
    <t>180 °F</t>
  </si>
  <si>
    <t>T001-00000130</t>
  </si>
  <si>
    <t>Suministro e instalacion de bujias</t>
  </si>
  <si>
    <t>4 bujias</t>
  </si>
  <si>
    <t>07512321</t>
  </si>
  <si>
    <t>T001-00000137</t>
  </si>
  <si>
    <t>Grupo quedo operativo</t>
  </si>
  <si>
    <t>obturador (NP: OE4392)</t>
  </si>
  <si>
    <t>Se realizo cambio de obturador (NP: OE4392) por falla, se realizaron pruebas con carga</t>
  </si>
  <si>
    <t>0003-001464</t>
  </si>
  <si>
    <t>Se realiza mantenimiento preventivo, cambio de aceite, cambio de filtro de aceite, mantenimiento del arrancador y alternador, cambio de tapas y rotor del distribuidor, cambio de faja, revision completa y limpieza general</t>
  </si>
  <si>
    <t>Queda pendiente cambio de polea, se realizo cambio de distribuidor, grupo queda operativo</t>
  </si>
  <si>
    <t>3GL de aceite, filtro de aceite, mant. de arrancador y alternador, tapas y rotor del distribuidor, faja, distribuidor</t>
  </si>
  <si>
    <t>0003-001465</t>
  </si>
  <si>
    <t>grupo queda operativo, se realizan pruebas con carga</t>
  </si>
  <si>
    <t>3GL  de aceite, filtro de aceite</t>
  </si>
  <si>
    <t>Se realiza cambio de aceite 15W-40 y cambio de filtro de aceite, correspondiente a 50 horas despues de haber instalado el grupo con motor reparado</t>
  </si>
  <si>
    <t>0003-001466</t>
  </si>
  <si>
    <t>Se relizo instalacion de grupo electrogenos con motor reparado</t>
  </si>
  <si>
    <t>Grupo queda operativo, se realiza pruebas en vacio y con carga, se debe realizar cambio de aceite a las 1197.1 horas</t>
  </si>
  <si>
    <t>Grupo queda operativo, se realiza pruebas en vacio y con carga, se debe realizar cambio de aceite a las 891.6 horas</t>
  </si>
  <si>
    <t>0003-001468</t>
  </si>
  <si>
    <t>Se realizo cambio de polea y faja de motor</t>
  </si>
  <si>
    <t>0003-001467</t>
  </si>
  <si>
    <t>3gl de aceite, filtro de aceite, faja, polea lisa</t>
  </si>
  <si>
    <t>Se realizo: mantenimiento preventivo, cambio de aceite 15W-40, cambio de filtro de aceite, cambio de polea y faja, revision completa y limpieza general</t>
  </si>
  <si>
    <t>Queda pendiente cambio de tapas y rotor del distribuidor, mantenimiento de arrancador y alternador, grupo queda operativo</t>
  </si>
  <si>
    <t>T001-00000146</t>
  </si>
  <si>
    <t>Se realizo cambio de reten delantero de cigüeñal, cambio de sello y prensado de bomba de agua, suministro de refrigerante (6gl), reparacion de tina y panal del radiador, cambio de abrazaderas y suporte del filtro de aire, mantenimiento de arrancador</t>
  </si>
  <si>
    <t>Reten delantero de cigüeñal, sello de bomba de agua, reparacion de radiador, mant. de arrancador, 6gl de refrigerante</t>
  </si>
  <si>
    <t>T001-00000151</t>
  </si>
  <si>
    <t>Se realizo mantenimiento preventivo al grupo, se realizo cambio de aceite, cambio de bujias (4 unid), cambio de filtro de aceite, revision completa y limpieza general</t>
  </si>
  <si>
    <t>Filtro de aire requiere cambio, grupo queda operativo</t>
  </si>
  <si>
    <t>1.5gl de aceite, filtro de aceite, bujias(4)</t>
  </si>
  <si>
    <t>Luis Quispe</t>
  </si>
  <si>
    <t>T001-00000155</t>
  </si>
  <si>
    <t>Arrancador presenta ruidos extraños, grupo queda operativo</t>
  </si>
  <si>
    <t>T001-00000154</t>
  </si>
  <si>
    <t>Se realizo mantenimiento preventivo, cambio de aceite, cambio de filtro de aceite, mantenimiento de arrancador y alternador, revision completa y limpieza general</t>
  </si>
  <si>
    <t>T001-00000081</t>
  </si>
  <si>
    <t>Se realizo mantenimiento preventivo, cambio de aceite 15W-40, cambio de filtro de aceite, cambio de filtro de aire, cambio de bujias (10 unid), revision completa y limpieza general</t>
  </si>
  <si>
    <t>Se realizo limpieza de radiador , grupo queda operativo</t>
  </si>
  <si>
    <t>3gl de aceite, filtro de aceite, filtro de aire, bujias</t>
  </si>
  <si>
    <t>Se realizo instalacion de arrancador al que se realizo mantenimiento por presentar ruidos al arranque</t>
  </si>
  <si>
    <t>Grupo quedo operativo, no presenta ruidos extraños</t>
  </si>
  <si>
    <t>Mant. de arrancador</t>
  </si>
  <si>
    <t>T001-00000147</t>
  </si>
  <si>
    <t>Se realizo mantenimiento de radiador, mantenimiento de arrancador y alternador, suministro de 6 galones de refrigerante</t>
  </si>
  <si>
    <t>6gl de refrigerante, mant. de alternador, arrancador y radiador</t>
  </si>
  <si>
    <t>T001-00000148</t>
  </si>
  <si>
    <t>Se realizo cambio de polea de alternador, se realizaron pruebas determinadas de funcionamiento del grupo electrogeno</t>
  </si>
  <si>
    <t>polea</t>
  </si>
  <si>
    <t>Se realiz cambio de reten delantero de cigüeñal, cambio de sello y prensado de bomba de agua, suministro de 6 galones de refrigerante, reparacion de panal y tina del radiador, cambio de abrazadera de soporte de filtro de aire, mantenimiento de arrancador</t>
  </si>
  <si>
    <t>Grupo queda operativo, trabaja con baja carga (16 KW)</t>
  </si>
  <si>
    <t>Reten delantero de cigüeñal, sello de bomba de agua, mantenimiento de arrancador y radiador, abrazadera de soporte de filtro de aire</t>
  </si>
  <si>
    <t>Se realizo instalacion del motor reparado, se realizaron pruebas con el banco de carga llevandolo a 70 KW, durante las pruebas el motor funciono en optimas condiciones</t>
  </si>
  <si>
    <t>instalacion de motor reparado</t>
  </si>
  <si>
    <t>Se realizo mantenimiento correctivo del grupo, se realizo cambio de manguera del calentador de refrigerante, limpieza interna del radiador, suministro de 8 galones de refrigerante</t>
  </si>
  <si>
    <t>Se recomienda hacer mantenimiento al radiador, grupo queda operativo</t>
  </si>
  <si>
    <t>manguera del calentador, 8 galones de refrigerante</t>
  </si>
  <si>
    <t>Se realizo cambio de tuberia de combustible (mangueras de suministro y retorno de combustible), cambio de tuberia de precalentador de refrigerante</t>
  </si>
  <si>
    <t>Manguera de suministro y retorno de combustible, mangueras de refrigerante</t>
  </si>
  <si>
    <t>Se realizo instalacion de grupo electrogneno luego de haber realizado reparacion general del motor</t>
  </si>
  <si>
    <t>Se debe realizar cambio de aceite al grupo a las 1900 horas, grupo queda operativo</t>
  </si>
  <si>
    <t>Se realizo mantenimiento preventivo, cambio de filtro de aceite, filtro de combustible y separador de combustible, suministro de 2.5gl de aceite, revision y limpieza general</t>
  </si>
  <si>
    <t>Grupo queda opeartivo</t>
  </si>
  <si>
    <t>2.5gl de aceite, filtro de aceite, filtro de combustible, separador de combustible</t>
  </si>
  <si>
    <t>S010963</t>
  </si>
  <si>
    <t>044699001</t>
  </si>
  <si>
    <t>23.2 V</t>
  </si>
  <si>
    <t>61 °C</t>
  </si>
  <si>
    <t>T001-00000123</t>
  </si>
  <si>
    <t>Se realiza mantenimiento preventivo, cambio de aceite 15W-40 (5gl), cambio de filtro de aceite, aire y combustible, cambio de elemto de filtro de combustible (2), revision completa y limpieza general</t>
  </si>
  <si>
    <t>T001-00000128</t>
  </si>
  <si>
    <t>Se realizo mantenimiento preventivo, cambio de aceite, cambio de filtro de aceite, cambio de bujias(4), revision completa y limpieza general</t>
  </si>
  <si>
    <t>Grupo queda operativo, requiere cambio de filtro de aire</t>
  </si>
  <si>
    <t>Se reviso grupo electrogeno, se encontro humedad y restos de sulfuracion en los conectores, se reviso sensor pickup</t>
  </si>
  <si>
    <t>Grupo presenta sonido en el rodamiento del alternador del grupo, se recomienda realizar correctivo</t>
  </si>
  <si>
    <t>T001-00000129</t>
  </si>
  <si>
    <t>T001-00000152</t>
  </si>
  <si>
    <t>No se pudo revisar la observacion reportada debido a que no se pudo apagar el grupo</t>
  </si>
  <si>
    <t>T001-00000097</t>
  </si>
  <si>
    <t>1.5gl de aceite 10W-30, filtro de aciete, filtro de aire, mantenimiento de alternador, mantenimiento de arrancador, faja, polea</t>
  </si>
  <si>
    <t>Se realiza mantenimiento preventivo del grupo, mant. de arrancador y alternador, cambio de aceite y filtro de aceite, cambio de filtro de aite, faja de alternador y polea, pulverizado del grupo y limpieza</t>
  </si>
  <si>
    <t>Se deja 1/4  de galon de aceite para rellenar, grupo queda operativo</t>
  </si>
  <si>
    <t>0003-001104</t>
  </si>
  <si>
    <t>Se realizo instalacion de un alternador, polea y templador de la misma y polea lisa</t>
  </si>
  <si>
    <t>Alternador, polea y templador, polea lisa</t>
  </si>
  <si>
    <t>No se pudo probar grupo debido a que grupo de respaldo esta encendido, se requiere refrigerante para relleno</t>
  </si>
  <si>
    <t>T001-00000136</t>
  </si>
  <si>
    <t>Grupo con motor reparado</t>
  </si>
  <si>
    <t>Traslado de grupo hacia cabeza de toro (chincha)</t>
  </si>
  <si>
    <t>traslado hacia cabeza de toro</t>
  </si>
  <si>
    <t>T001-00000096</t>
  </si>
  <si>
    <t>3gl de aceite 15W-40, filtro de aceite</t>
  </si>
  <si>
    <t>162 °F</t>
  </si>
  <si>
    <t>Grupo queda operativo, se realizan pruebas en vacio</t>
  </si>
  <si>
    <t>T001-00000082</t>
  </si>
  <si>
    <t>3GL de aceite, filtro de aceite, filtro de aire, bujias(10)</t>
  </si>
  <si>
    <t>Se realizo mantenimiento preventivo, cambio de aceite 15W-40, cambio de filtro de aceite, cambio de filtro de aire, cambio de bujias(10), revision completa y limpieza general</t>
  </si>
  <si>
    <t>Queda pendiente mant. de arrancador y alternador cambio de polea y faja, grupo queda operativo</t>
  </si>
  <si>
    <t>Se realizo mantenimiento preventivo, cambio de aceite 15W-40, cambio de filtro de aceite, cambio de filtro de aire, se relleno radiador con refrigerante, revision completa y limpieza general</t>
  </si>
  <si>
    <t>3gl de aceite, filtro de aceite, filtro de aire, 1gl de refrigerante</t>
  </si>
  <si>
    <t>T001-00000108</t>
  </si>
  <si>
    <t>Se realizo mantenimiento preventivo, cambio de aceite 15W-40, cambio de filtro de aceite, cambio de filtro de aire, cambio de bujias(8), mant. De arrancador y alternador, polea y faja, revision completa y limpieza general</t>
  </si>
  <si>
    <t>3gl de aceite, filtro de aceite, filtro de aire, bujias(8), mant. de arrancador y alternador, polea y faja</t>
  </si>
  <si>
    <t>T001-00000099</t>
  </si>
  <si>
    <t>Se retiro AVR y puente diodo del grupo para ser enviados a chincha, quedan pendientes de r eposicion</t>
  </si>
  <si>
    <t>Grupo se encuentra en taller para reparacion de motor</t>
  </si>
  <si>
    <t>AVR y puente diodo retirado</t>
  </si>
  <si>
    <t>Motor de grupo estropeado</t>
  </si>
  <si>
    <t>Cambio de motor del grupo</t>
  </si>
  <si>
    <t>Motor</t>
  </si>
  <si>
    <t>T001-00000160</t>
  </si>
  <si>
    <t>Se realiza mantenimiento preventivo, cambio de aceite 15W-40, cambio filtro de aceite, revision completa y limpieza general</t>
  </si>
  <si>
    <t>Grupo queda operativo, se realizaron pruebas con carga (14 KW)</t>
  </si>
  <si>
    <t>Se inspecciona el grupo electrógeno observándose fuga de aceite por la parte trasera entre el generador y el motor</t>
  </si>
  <si>
    <t>Revisar y cambiar reten trasero de cigüeñal y sello trasero de motor, Requiere del incremento de carga urgente</t>
  </si>
  <si>
    <t>T001-00000159</t>
  </si>
  <si>
    <t>Se realiza traslado de grupo 3004290368 con motor reparado</t>
  </si>
  <si>
    <t>Serie de motor: 3004346829, grupo parte hacia cabeza de toro</t>
  </si>
  <si>
    <t>Traslado de grupo, motor reparado</t>
  </si>
  <si>
    <t>Se realizo cambio de aceite 15W-40, se deja 1/2gl para rellenar, se realizo cambio de filtro de aceite</t>
  </si>
  <si>
    <t>Cambio correponde a 50 horas despues de reparacion general del motor</t>
  </si>
  <si>
    <t>3gl de aceite, filro de aceite</t>
  </si>
  <si>
    <t>0003-001469</t>
  </si>
  <si>
    <t>0003-001470</t>
  </si>
  <si>
    <t>Se realizo mantenimiento preventivo, cambio de aceite 15W-40, cambio de filtro de aceite, cambio de filtro de aire, bujias (8), revision completa y limpieza general</t>
  </si>
  <si>
    <t>Grupo queda operativo, se realiza pruebas con carga (35 KW)</t>
  </si>
  <si>
    <t>3gl de aceite, filro de aceite, filtro de aire, bujias</t>
  </si>
  <si>
    <t>Se realizo mantenimiento preventivo, cambio de aceite 15W-40, cambio de filtro de aceite, cambio de tapas y rotor del distribuidor, revision completa y limpieza general</t>
  </si>
  <si>
    <t>Queda pendiente mant. de arrancador y alternador, camb. de polea y faja,grupo queda operativo, se realiza pruebas con carga (40 KW)</t>
  </si>
  <si>
    <t>3gl de aceite, filro de aceite, tapas y rotor del distribuidor</t>
  </si>
  <si>
    <t>Se realizo mantenimiento preventivo, cambio de aceite 15W-40, cambio de filtro de aceite, limpieza de radiador, revision completa y limpieza general</t>
  </si>
  <si>
    <t>Grupo queda operativo, se realiza pruebas con carga (40 KW)</t>
  </si>
  <si>
    <t>0003-001473</t>
  </si>
  <si>
    <t>Queda pendiente mant del Arrancador y Alternador de motor, cambio de tapas y rotor del distribuidor, polea y faja. Grupo queda operativo, se realiza pruebas con carga (25 KW)</t>
  </si>
  <si>
    <t>0003-001471</t>
  </si>
  <si>
    <t>Se realizo mantenimiento preventivo, cambio de aceite 15W-40, cambio de filtro de aceite, cambio de filtro de aire, limpieza del radiador revision completa y limpieza general</t>
  </si>
  <si>
    <t>Grupo queda operativo, se realiza pruebas con carga (39 KW)</t>
  </si>
  <si>
    <t>3gl de aceite, filro de aceite, filtro de aire</t>
  </si>
  <si>
    <t>0003-001472</t>
  </si>
  <si>
    <t>Se realizo mantenimiento preventivo, cambio de aceite 15W-40, cambio de filtro de aceite, cambio de filtro de aire, limpieza del radiador, revision completa y limpieza general</t>
  </si>
  <si>
    <t>Queda pendiente del arrancador y alternador de motor, cambio de tapas y rotor del distribuidor, polea y faja.Grupo queda operativo, se realiza pruebas con carga (38 KW)</t>
  </si>
  <si>
    <t>Se realizo mantenimiento preventivo, cambio de aceite 15W-40, cambio de filtro de aceite, mantenimiento de arrancador y alternador del motor, revision completa y limpieza general</t>
  </si>
  <si>
    <t>Queda pendiente cambio de tapas y rotor del distribuidor, polea y faja.Grupo queda operativo, se realiza pruebas con carga (26 KW)</t>
  </si>
  <si>
    <t>Se realizo mantenimiento preventivo, cambio de aceite 15W-40, cambio de filtro de aceite, cambio de filtro de aire, cambio de bujias (8), revision completa y limpieza general</t>
  </si>
  <si>
    <t>Grupo queda operativo, se realiza pruebas con carga (36 KW)</t>
  </si>
  <si>
    <t>3gl de aceite, filro de aceite, cambio de filtro de aire, cambio de bujias (8)</t>
  </si>
  <si>
    <t>3gl de aceite, filro de aceite, cambio de filtro de aire</t>
  </si>
  <si>
    <t>llenar lo de amarillo</t>
  </si>
  <si>
    <t>Temperatura de motor</t>
  </si>
  <si>
    <t>AZUL AUTOMÁTICO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</si>
</sst>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b/>
      <sz val="11"/>
      <color theme="0"/>
      <name val="Calibri"/>
      <family val="2"/>
      <scheme val="minor"/>
    </font>
    <font>
      <b/>
      <sz val="11"/>
      <color theme="1"/>
      <name val="Calibri"/>
      <family val="2"/>
      <scheme val="minor"/>
    </font>
    <font>
      <b/>
      <sz val="12"/>
      <color theme="0"/>
      <name val="Calibri"/>
      <family val="2"/>
      <scheme val="minor"/>
    </font>
    <font>
      <sz val="10"/>
      <color theme="1"/>
      <name val="Calibri"/>
      <family val="2"/>
      <scheme val="minor"/>
    </font>
    <font>
      <b/>
      <sz val="10"/>
      <color theme="1"/>
      <name val="Calibri"/>
      <family val="2"/>
      <scheme val="minor"/>
    </font>
    <font>
      <sz val="10"/>
      <name val="Calibri"/>
      <family val="2"/>
      <scheme val="minor"/>
    </font>
    <font>
      <b/>
      <sz val="10"/>
      <name val="Calibri"/>
      <family val="2"/>
      <scheme val="minor"/>
    </font>
    <font>
      <u/>
      <sz val="11"/>
      <color theme="10"/>
      <name val="Calibri"/>
      <family val="2"/>
      <scheme val="minor"/>
    </font>
    <font>
      <b/>
      <sz val="14"/>
      <color theme="1"/>
      <name val="Calibri"/>
      <family val="2"/>
      <scheme val="minor"/>
    </font>
    <font>
      <sz val="11"/>
      <color theme="0"/>
      <name val="Calibri"/>
      <family val="2"/>
      <scheme val="minor"/>
    </font>
    <font>
      <sz val="11"/>
      <name val="Calibri"/>
      <family val="2"/>
      <scheme val="minor"/>
    </font>
    <font>
      <sz val="12"/>
      <color theme="0"/>
      <name val="Calibri"/>
      <family val="2"/>
      <scheme val="minor"/>
    </font>
    <font>
      <sz val="9"/>
      <color rgb="FF000000"/>
      <name val="Calibri"/>
      <family val="2"/>
    </font>
    <font>
      <b/>
      <sz val="12"/>
      <color theme="1"/>
      <name val="Calibri"/>
      <family val="2"/>
      <scheme val="minor"/>
    </font>
    <font>
      <sz val="13"/>
      <color theme="1"/>
      <name val="Calibri"/>
      <family val="2"/>
      <scheme val="minor"/>
    </font>
    <font>
      <sz val="12"/>
      <color theme="1"/>
      <name val="Calibri"/>
      <family val="2"/>
      <scheme val="minor"/>
    </font>
    <font>
      <sz val="14"/>
      <color theme="1"/>
      <name val="Calibri"/>
      <family val="2"/>
      <scheme val="minor"/>
    </font>
    <font>
      <b/>
      <sz val="20"/>
      <color theme="1"/>
      <name val="Calibri"/>
      <family val="2"/>
      <scheme val="minor"/>
    </font>
    <font>
      <b/>
      <sz val="13"/>
      <color theme="1"/>
      <name val="Calibri"/>
      <family val="2"/>
      <scheme val="minor"/>
    </font>
    <font>
      <b/>
      <sz val="12"/>
      <name val="Calibri"/>
      <family val="2"/>
      <scheme val="minor"/>
    </font>
    <font>
      <b/>
      <sz val="11"/>
      <name val="Calibri"/>
      <family val="2"/>
      <scheme val="minor"/>
    </font>
    <font>
      <sz val="14"/>
      <name val="Calibri"/>
      <family val="2"/>
      <scheme val="minor"/>
    </font>
    <font>
      <b/>
      <sz val="11"/>
      <color rgb="FF000000"/>
      <name val="Calibri"/>
      <family val="2"/>
    </font>
    <font>
      <sz val="11"/>
      <color rgb="FF000000"/>
      <name val="Calibri"/>
      <family val="2"/>
    </font>
    <font>
      <b/>
      <sz val="9"/>
      <color indexed="81"/>
      <name val="Tahoma"/>
      <family val="2"/>
    </font>
    <font>
      <b/>
      <sz val="14"/>
      <color theme="0"/>
      <name val="Calibri"/>
      <family val="2"/>
      <scheme val="minor"/>
    </font>
    <font>
      <sz val="9"/>
      <color indexed="81"/>
      <name val="Tahoma"/>
      <family val="2"/>
    </font>
    <font>
      <sz val="8"/>
      <name val="Calibri"/>
      <family val="2"/>
      <scheme val="minor"/>
    </font>
    <font>
      <b/>
      <sz val="48"/>
      <color theme="0"/>
      <name val="Calibri"/>
      <family val="2"/>
      <scheme val="minor"/>
    </font>
    <font>
      <b/>
      <sz val="16"/>
      <color theme="0"/>
      <name val="Calibri"/>
      <family val="2"/>
      <scheme val="minor"/>
    </font>
    <font>
      <b/>
      <sz val="14"/>
      <name val="Calibri"/>
      <family val="2"/>
      <scheme val="minor"/>
    </font>
    <font>
      <sz val="11"/>
      <color rgb="FF002060"/>
      <name val="Calibri"/>
      <family val="2"/>
      <scheme val="minor"/>
    </font>
    <font>
      <sz val="11"/>
      <color theme="5"/>
      <name val="Calibri"/>
      <family val="2"/>
      <scheme val="minor"/>
    </font>
    <font>
      <sz val="9"/>
      <name val="Calibri"/>
      <family val="2"/>
      <scheme val="minor"/>
    </font>
  </fonts>
  <fills count="41">
    <fill>
      <patternFill patternType="none"/>
    </fill>
    <fill>
      <patternFill patternType="gray125"/>
    </fill>
    <fill>
      <patternFill patternType="solid">
        <fgColor theme="8" tint="-0.249977111117893"/>
        <bgColor indexed="64"/>
      </patternFill>
    </fill>
    <fill>
      <patternFill patternType="solid">
        <fgColor theme="4" tint="-0.499984740745262"/>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theme="0"/>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B0F0"/>
        <bgColor indexed="64"/>
      </patternFill>
    </fill>
    <fill>
      <patternFill patternType="solid">
        <fgColor theme="8"/>
        <bgColor indexed="64"/>
      </patternFill>
    </fill>
    <fill>
      <patternFill patternType="solid">
        <fgColor rgb="FF00B050"/>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bgColor indexed="64"/>
      </patternFill>
    </fill>
    <fill>
      <patternFill patternType="solid">
        <fgColor theme="5" tint="0.59999389629810485"/>
        <bgColor indexed="64"/>
      </patternFill>
    </fill>
    <fill>
      <patternFill patternType="solid">
        <fgColor theme="7"/>
        <bgColor indexed="64"/>
      </patternFill>
    </fill>
    <fill>
      <patternFill patternType="solid">
        <fgColor theme="4" tint="0.79998168889431442"/>
        <bgColor theme="4" tint="0.79998168889431442"/>
      </patternFill>
    </fill>
    <fill>
      <patternFill patternType="solid">
        <fgColor theme="3"/>
        <bgColor indexed="64"/>
      </patternFill>
    </fill>
    <fill>
      <patternFill patternType="solid">
        <fgColor theme="1"/>
        <bgColor indexed="64"/>
      </patternFill>
    </fill>
    <fill>
      <patternFill patternType="solid">
        <fgColor rgb="FFFFC000"/>
        <bgColor indexed="64"/>
      </patternFill>
    </fill>
    <fill>
      <patternFill patternType="solid">
        <fgColor rgb="FFFF0000"/>
        <bgColor indexed="64"/>
      </patternFill>
    </fill>
    <fill>
      <patternFill patternType="solid">
        <fgColor rgb="FFC73737"/>
        <bgColor indexed="64"/>
      </patternFill>
    </fill>
    <fill>
      <patternFill patternType="solid">
        <fgColor rgb="FF7030A0"/>
        <bgColor indexed="64"/>
      </patternFill>
    </fill>
    <fill>
      <patternFill patternType="solid">
        <fgColor rgb="FF62D1D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rgb="FFFF3300"/>
        <bgColor indexed="64"/>
      </patternFill>
    </fill>
    <fill>
      <patternFill patternType="solid">
        <fgColor rgb="FFFF6969"/>
        <bgColor indexed="64"/>
      </patternFill>
    </fill>
    <fill>
      <patternFill patternType="solid">
        <fgColor rgb="FFFF3B3B"/>
        <bgColor indexed="64"/>
      </patternFill>
    </fill>
    <fill>
      <patternFill patternType="solid">
        <fgColor rgb="FF420042"/>
        <bgColor indexed="64"/>
      </patternFill>
    </fill>
    <fill>
      <patternFill patternType="solid">
        <fgColor theme="5" tint="0.79998168889431442"/>
        <bgColor indexed="64"/>
      </patternFill>
    </fill>
    <fill>
      <patternFill patternType="solid">
        <fgColor rgb="FFFFFF00"/>
        <bgColor indexed="64"/>
      </patternFill>
    </fill>
  </fills>
  <borders count="11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right style="thin">
        <color indexed="64"/>
      </right>
      <top style="dotted">
        <color theme="2" tint="-9.9948118533890809E-2"/>
      </top>
      <bottom style="thin">
        <color indexed="64"/>
      </bottom>
      <diagonal/>
    </border>
    <border>
      <left/>
      <right/>
      <top style="dotted">
        <color theme="2" tint="-9.9948118533890809E-2"/>
      </top>
      <bottom style="thin">
        <color indexed="64"/>
      </bottom>
      <diagonal/>
    </border>
    <border>
      <left style="thin">
        <color indexed="64"/>
      </left>
      <right/>
      <top style="dotted">
        <color theme="2" tint="-9.9948118533890809E-2"/>
      </top>
      <bottom style="thin">
        <color indexed="64"/>
      </bottom>
      <diagonal/>
    </border>
    <border>
      <left/>
      <right/>
      <top style="dotted">
        <color theme="2" tint="-9.9948118533890809E-2"/>
      </top>
      <bottom style="dotted">
        <color theme="2" tint="-9.9948118533890809E-2"/>
      </bottom>
      <diagonal/>
    </border>
    <border>
      <left style="thin">
        <color indexed="64"/>
      </left>
      <right/>
      <top style="dotted">
        <color theme="2" tint="-9.9948118533890809E-2"/>
      </top>
      <bottom style="dotted">
        <color theme="2" tint="-9.9948118533890809E-2"/>
      </bottom>
      <diagonal/>
    </border>
    <border>
      <left/>
      <right/>
      <top style="thin">
        <color indexed="64"/>
      </top>
      <bottom style="dotted">
        <color theme="2" tint="-9.9948118533890809E-2"/>
      </bottom>
      <diagonal/>
    </border>
    <border>
      <left style="thin">
        <color indexed="64"/>
      </left>
      <right/>
      <top style="thin">
        <color indexed="64"/>
      </top>
      <bottom style="dotted">
        <color theme="2" tint="-9.9948118533890809E-2"/>
      </bottom>
      <diagonal/>
    </border>
    <border>
      <left style="thin">
        <color indexed="64"/>
      </left>
      <right style="thin">
        <color indexed="64"/>
      </right>
      <top style="thin">
        <color theme="4" tint="0.39997558519241921"/>
      </top>
      <bottom style="thin">
        <color indexed="64"/>
      </bottom>
      <diagonal/>
    </border>
    <border>
      <left/>
      <right style="thin">
        <color indexed="64"/>
      </right>
      <top style="dashed">
        <color theme="2" tint="-0.24994659260841701"/>
      </top>
      <bottom style="thin">
        <color indexed="64"/>
      </bottom>
      <diagonal/>
    </border>
    <border>
      <left/>
      <right/>
      <top style="dashed">
        <color theme="2" tint="-0.24994659260841701"/>
      </top>
      <bottom style="thin">
        <color indexed="64"/>
      </bottom>
      <diagonal/>
    </border>
    <border>
      <left style="thin">
        <color indexed="64"/>
      </left>
      <right/>
      <top style="dashed">
        <color theme="2" tint="-0.24994659260841701"/>
      </top>
      <bottom style="thin">
        <color indexed="64"/>
      </bottom>
      <diagonal/>
    </border>
    <border>
      <left/>
      <right style="thin">
        <color indexed="64"/>
      </right>
      <top style="dashed">
        <color theme="2" tint="-0.24994659260841701"/>
      </top>
      <bottom style="dashed">
        <color theme="2" tint="-0.24994659260841701"/>
      </bottom>
      <diagonal/>
    </border>
    <border>
      <left/>
      <right/>
      <top style="dashed">
        <color theme="2" tint="-0.24994659260841701"/>
      </top>
      <bottom style="dashed">
        <color theme="2" tint="-0.24994659260841701"/>
      </bottom>
      <diagonal/>
    </border>
    <border>
      <left style="thin">
        <color indexed="64"/>
      </left>
      <right/>
      <top style="dashed">
        <color theme="2" tint="-0.24994659260841701"/>
      </top>
      <bottom style="dashed">
        <color theme="2" tint="-0.24994659260841701"/>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dotted">
        <color theme="2" tint="-9.9948118533890809E-2"/>
      </bottom>
      <diagonal/>
    </border>
    <border>
      <left/>
      <right style="thin">
        <color indexed="64"/>
      </right>
      <top/>
      <bottom style="dashed">
        <color theme="2" tint="-0.24994659260841701"/>
      </bottom>
      <diagonal/>
    </border>
    <border>
      <left style="thin">
        <color indexed="64"/>
      </left>
      <right/>
      <top/>
      <bottom style="dashed">
        <color theme="2" tint="-0.24994659260841701"/>
      </bottom>
      <diagonal/>
    </border>
    <border>
      <left/>
      <right/>
      <top/>
      <bottom style="dashed">
        <color theme="2" tint="-0.24994659260841701"/>
      </bottom>
      <diagonal/>
    </border>
    <border>
      <left/>
      <right style="thin">
        <color indexed="64"/>
      </right>
      <top style="thin">
        <color indexed="64"/>
      </top>
      <bottom style="dotted">
        <color theme="2" tint="-0.24994659260841701"/>
      </bottom>
      <diagonal/>
    </border>
    <border>
      <left/>
      <right style="thin">
        <color indexed="64"/>
      </right>
      <top style="dotted">
        <color theme="2" tint="-0.24994659260841701"/>
      </top>
      <bottom style="dotted">
        <color theme="2" tint="-0.24994659260841701"/>
      </bottom>
      <diagonal/>
    </border>
    <border>
      <left style="thin">
        <color indexed="64"/>
      </left>
      <right/>
      <top style="thin">
        <color indexed="64"/>
      </top>
      <bottom style="dotted">
        <color theme="2" tint="-0.24994659260841701"/>
      </bottom>
      <diagonal/>
    </border>
    <border>
      <left/>
      <right/>
      <top style="thin">
        <color indexed="64"/>
      </top>
      <bottom style="dotted">
        <color theme="2" tint="-0.24994659260841701"/>
      </bottom>
      <diagonal/>
    </border>
    <border>
      <left style="thin">
        <color indexed="64"/>
      </left>
      <right/>
      <top style="dotted">
        <color theme="2" tint="-0.24994659260841701"/>
      </top>
      <bottom style="dotted">
        <color theme="2" tint="-0.24994659260841701"/>
      </bottom>
      <diagonal/>
    </border>
    <border>
      <left/>
      <right/>
      <top style="dotted">
        <color theme="2" tint="-0.24994659260841701"/>
      </top>
      <bottom style="dotted">
        <color theme="2" tint="-0.24994659260841701"/>
      </bottom>
      <diagonal/>
    </border>
    <border>
      <left style="thin">
        <color indexed="64"/>
      </left>
      <right style="medium">
        <color indexed="64"/>
      </right>
      <top style="thin">
        <color indexed="64"/>
      </top>
      <bottom/>
      <diagonal/>
    </border>
    <border>
      <left style="thin">
        <color indexed="64"/>
      </left>
      <right/>
      <top/>
      <bottom style="dotted">
        <color theme="2" tint="-9.9948118533890809E-2"/>
      </bottom>
      <diagonal/>
    </border>
    <border>
      <left/>
      <right/>
      <top/>
      <bottom style="dotted">
        <color theme="2" tint="-9.9948118533890809E-2"/>
      </bottom>
      <diagonal/>
    </border>
    <border>
      <left style="thin">
        <color indexed="64"/>
      </left>
      <right/>
      <top style="dotted">
        <color theme="2" tint="-9.9948118533890809E-2"/>
      </top>
      <bottom style="dashed">
        <color indexed="64"/>
      </bottom>
      <diagonal/>
    </border>
    <border>
      <left/>
      <right/>
      <top style="dotted">
        <color theme="2" tint="-9.9948118533890809E-2"/>
      </top>
      <bottom style="dashed">
        <color indexed="64"/>
      </bottom>
      <diagonal/>
    </border>
    <border>
      <left/>
      <right style="thin">
        <color indexed="64"/>
      </right>
      <top style="dotted">
        <color theme="2" tint="-0.24994659260841701"/>
      </top>
      <bottom style="dashed">
        <color indexed="64"/>
      </bottom>
      <diagonal/>
    </border>
    <border>
      <left style="thin">
        <color indexed="64"/>
      </left>
      <right/>
      <top style="thin">
        <color indexed="64"/>
      </top>
      <bottom style="dashed">
        <color theme="2" tint="-0.24994659260841701"/>
      </bottom>
      <diagonal/>
    </border>
    <border>
      <left/>
      <right/>
      <top style="thin">
        <color indexed="64"/>
      </top>
      <bottom style="dashed">
        <color theme="2" tint="-0.24994659260841701"/>
      </bottom>
      <diagonal/>
    </border>
    <border>
      <left/>
      <right style="thin">
        <color indexed="64"/>
      </right>
      <top style="thin">
        <color indexed="64"/>
      </top>
      <bottom style="dashed">
        <color theme="2" tint="-0.24994659260841701"/>
      </bottom>
      <diagonal/>
    </border>
    <border>
      <left style="thin">
        <color indexed="64"/>
      </left>
      <right/>
      <top style="dashed">
        <color theme="2" tint="-0.24994659260841701"/>
      </top>
      <bottom style="dashed">
        <color auto="1"/>
      </bottom>
      <diagonal/>
    </border>
    <border>
      <left/>
      <right/>
      <top style="dashed">
        <color theme="2" tint="-0.24994659260841701"/>
      </top>
      <bottom style="dashed">
        <color auto="1"/>
      </bottom>
      <diagonal/>
    </border>
    <border>
      <left/>
      <right style="thin">
        <color indexed="64"/>
      </right>
      <top style="dashed">
        <color theme="2" tint="-0.24994659260841701"/>
      </top>
      <bottom style="dashed">
        <color auto="1"/>
      </bottom>
      <diagonal/>
    </border>
    <border>
      <left/>
      <right/>
      <top style="dashed">
        <color auto="1"/>
      </top>
      <bottom style="dashed">
        <color theme="2" tint="-0.24994659260841701"/>
      </bottom>
      <diagonal/>
    </border>
    <border>
      <left/>
      <right style="thin">
        <color indexed="64"/>
      </right>
      <top style="dashed">
        <color auto="1"/>
      </top>
      <bottom style="dashed">
        <color theme="2" tint="-0.24994659260841701"/>
      </bottom>
      <diagonal/>
    </border>
    <border>
      <left style="thin">
        <color indexed="64"/>
      </left>
      <right/>
      <top style="dotted">
        <color theme="2" tint="-0.24994659260841701"/>
      </top>
      <bottom style="thin">
        <color indexed="64"/>
      </bottom>
      <diagonal/>
    </border>
    <border>
      <left/>
      <right/>
      <top style="dotted">
        <color theme="2" tint="-0.24994659260841701"/>
      </top>
      <bottom style="thin">
        <color indexed="64"/>
      </bottom>
      <diagonal/>
    </border>
    <border>
      <left/>
      <right style="thin">
        <color indexed="64"/>
      </right>
      <top style="dotted">
        <color theme="2" tint="-0.24994659260841701"/>
      </top>
      <bottom style="thin">
        <color indexed="64"/>
      </bottom>
      <diagonal/>
    </border>
    <border>
      <left style="thin">
        <color indexed="64"/>
      </left>
      <right/>
      <top style="dashed">
        <color auto="1"/>
      </top>
      <bottom style="dashed">
        <color theme="0" tint="-0.34998626667073579"/>
      </bottom>
      <diagonal/>
    </border>
    <border>
      <left/>
      <right/>
      <top style="dashed">
        <color auto="1"/>
      </top>
      <bottom style="dashed">
        <color theme="0" tint="-0.34998626667073579"/>
      </bottom>
      <diagonal/>
    </border>
    <border>
      <left/>
      <right style="thin">
        <color indexed="64"/>
      </right>
      <top style="dashed">
        <color auto="1"/>
      </top>
      <bottom style="dashed">
        <color theme="0" tint="-0.34998626667073579"/>
      </bottom>
      <diagonal/>
    </border>
    <border>
      <left style="thin">
        <color indexed="64"/>
      </left>
      <right/>
      <top style="dashed">
        <color theme="0" tint="-0.34998626667073579"/>
      </top>
      <bottom style="dashed">
        <color theme="0" tint="-0.34998626667073579"/>
      </bottom>
      <diagonal/>
    </border>
    <border>
      <left/>
      <right/>
      <top style="dashed">
        <color theme="0" tint="-0.34998626667073579"/>
      </top>
      <bottom style="dashed">
        <color theme="0" tint="-0.34998626667073579"/>
      </bottom>
      <diagonal/>
    </border>
    <border>
      <left/>
      <right style="thin">
        <color indexed="64"/>
      </right>
      <top style="dashed">
        <color theme="0" tint="-0.34998626667073579"/>
      </top>
      <bottom style="dashed">
        <color theme="0" tint="-0.34998626667073579"/>
      </bottom>
      <diagonal/>
    </border>
    <border>
      <left style="thin">
        <color indexed="64"/>
      </left>
      <right/>
      <top style="medium">
        <color indexed="64"/>
      </top>
      <bottom style="medium">
        <color indexed="64"/>
      </bottom>
      <diagonal/>
    </border>
    <border>
      <left style="thin">
        <color auto="1"/>
      </left>
      <right style="thin">
        <color indexed="64"/>
      </right>
      <top style="thin">
        <color indexed="64"/>
      </top>
      <bottom style="thin">
        <color indexed="64"/>
      </bottom>
      <diagonal/>
    </border>
    <border>
      <left/>
      <right style="thin">
        <color auto="1"/>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1177">
    <xf numFmtId="0" fontId="0" fillId="0" borderId="0" xfId="0"/>
    <xf numFmtId="0" fontId="0" fillId="4" borderId="0" xfId="0" applyFill="1"/>
    <xf numFmtId="0" fontId="0" fillId="0" borderId="14" xfId="0" applyFill="1" applyBorder="1" applyAlignment="1" applyProtection="1">
      <alignment horizontal="center" vertical="center" wrapText="1"/>
      <protection locked="0"/>
    </xf>
    <xf numFmtId="0" fontId="4" fillId="0" borderId="12" xfId="0" applyFont="1" applyFill="1" applyBorder="1"/>
    <xf numFmtId="14" fontId="6" fillId="0" borderId="12" xfId="0" applyNumberFormat="1" applyFont="1" applyFill="1" applyBorder="1" applyAlignment="1" applyProtection="1">
      <alignment horizontal="center" vertical="center" wrapText="1"/>
      <protection locked="0"/>
    </xf>
    <xf numFmtId="0" fontId="4" fillId="0" borderId="12" xfId="0" applyFont="1" applyFill="1" applyBorder="1" applyAlignment="1">
      <alignment horizontal="left" vertical="center" wrapText="1"/>
    </xf>
    <xf numFmtId="0" fontId="4" fillId="0" borderId="12" xfId="0" applyFont="1" applyFill="1" applyBorder="1" applyAlignment="1">
      <alignment horizontal="center" vertical="center" wrapText="1"/>
    </xf>
    <xf numFmtId="0" fontId="0" fillId="4" borderId="0" xfId="0" applyFont="1" applyFill="1" applyAlignment="1">
      <alignment horizontal="left" vertical="center" wrapText="1"/>
    </xf>
    <xf numFmtId="0" fontId="6" fillId="0" borderId="12" xfId="0" applyNumberFormat="1" applyFont="1" applyFill="1" applyBorder="1" applyAlignment="1" applyProtection="1">
      <alignment horizontal="center" vertical="center" wrapText="1"/>
      <protection locked="0"/>
    </xf>
    <xf numFmtId="0" fontId="8" fillId="0" borderId="12" xfId="1" applyFill="1" applyBorder="1" applyAlignment="1" applyProtection="1">
      <alignment horizontal="center" vertical="center" wrapText="1"/>
      <protection locked="0"/>
    </xf>
    <xf numFmtId="49" fontId="6" fillId="0" borderId="12" xfId="0" applyNumberFormat="1" applyFont="1" applyFill="1" applyBorder="1" applyAlignment="1" applyProtection="1">
      <alignment horizontal="center" vertical="center" wrapText="1"/>
      <protection locked="0"/>
    </xf>
    <xf numFmtId="0" fontId="2" fillId="4" borderId="0" xfId="0" applyNumberFormat="1" applyFont="1" applyFill="1"/>
    <xf numFmtId="2" fontId="7" fillId="0" borderId="12" xfId="0" applyNumberFormat="1" applyFont="1" applyFill="1" applyBorder="1" applyAlignment="1" applyProtection="1">
      <alignment horizontal="center" vertical="center" wrapText="1"/>
      <protection locked="0"/>
    </xf>
    <xf numFmtId="2" fontId="2" fillId="4" borderId="0" xfId="0" applyNumberFormat="1" applyFont="1" applyFill="1"/>
    <xf numFmtId="0" fontId="6" fillId="0" borderId="12" xfId="0" applyFont="1" applyFill="1" applyBorder="1" applyAlignment="1" applyProtection="1">
      <alignment horizontal="center" vertical="center" wrapText="1"/>
      <protection locked="0"/>
    </xf>
    <xf numFmtId="0" fontId="7" fillId="0" borderId="12" xfId="0" applyFont="1" applyFill="1" applyBorder="1" applyAlignment="1" applyProtection="1">
      <alignment horizontal="center" vertical="center" wrapText="1"/>
      <protection locked="0"/>
    </xf>
    <xf numFmtId="0" fontId="4" fillId="0" borderId="12" xfId="0" applyFont="1" applyFill="1" applyBorder="1" applyAlignment="1">
      <alignment horizontal="center" vertical="center"/>
    </xf>
    <xf numFmtId="0" fontId="0" fillId="0" borderId="14" xfId="0" applyFill="1" applyBorder="1" applyAlignment="1" applyProtection="1">
      <alignment horizontal="left" vertical="center" wrapText="1"/>
      <protection locked="0"/>
    </xf>
    <xf numFmtId="14" fontId="7" fillId="0" borderId="12" xfId="0" applyNumberFormat="1" applyFont="1" applyFill="1" applyBorder="1" applyAlignment="1" applyProtection="1">
      <alignment horizontal="center" vertical="center" wrapText="1"/>
      <protection hidden="1"/>
    </xf>
    <xf numFmtId="0" fontId="6" fillId="0" borderId="12" xfId="0" applyFont="1" applyFill="1" applyBorder="1" applyAlignment="1">
      <alignment horizontal="center" vertical="center" wrapText="1"/>
    </xf>
    <xf numFmtId="0" fontId="8" fillId="0" borderId="12" xfId="1" applyFill="1" applyBorder="1" applyAlignment="1" applyProtection="1">
      <alignment horizontal="center" vertical="center" wrapText="1"/>
      <protection hidden="1"/>
    </xf>
    <xf numFmtId="0" fontId="5" fillId="0" borderId="12" xfId="0" applyFont="1" applyFill="1" applyBorder="1" applyAlignment="1" applyProtection="1">
      <alignment horizontal="center" vertical="center" wrapText="1"/>
      <protection hidden="1"/>
    </xf>
    <xf numFmtId="0" fontId="6" fillId="0" borderId="12" xfId="0" applyFont="1" applyFill="1" applyBorder="1" applyAlignment="1" applyProtection="1">
      <alignment horizontal="center" vertical="center" wrapText="1"/>
      <protection hidden="1"/>
    </xf>
    <xf numFmtId="0" fontId="4" fillId="0" borderId="12" xfId="0" applyFont="1" applyFill="1" applyBorder="1" applyAlignment="1" applyProtection="1">
      <alignment horizontal="center" vertical="center" wrapText="1"/>
      <protection hidden="1"/>
    </xf>
    <xf numFmtId="0" fontId="6" fillId="0" borderId="12" xfId="0" applyFont="1" applyFill="1" applyBorder="1" applyAlignment="1" applyProtection="1">
      <alignment horizontal="center" wrapText="1"/>
      <protection hidden="1"/>
    </xf>
    <xf numFmtId="0" fontId="4" fillId="0" borderId="12" xfId="0" applyFont="1" applyFill="1" applyBorder="1" applyAlignment="1" applyProtection="1">
      <alignment horizontal="center" wrapText="1"/>
      <protection hidden="1"/>
    </xf>
    <xf numFmtId="2" fontId="7" fillId="0" borderId="12" xfId="0" applyNumberFormat="1" applyFont="1" applyFill="1" applyBorder="1" applyAlignment="1" applyProtection="1">
      <alignment horizontal="center" vertical="center" wrapText="1"/>
      <protection hidden="1"/>
    </xf>
    <xf numFmtId="2" fontId="5" fillId="0" borderId="12" xfId="0" applyNumberFormat="1" applyFont="1" applyFill="1" applyBorder="1" applyAlignment="1" applyProtection="1">
      <alignment horizontal="center" vertical="center" wrapText="1"/>
      <protection hidden="1"/>
    </xf>
    <xf numFmtId="0" fontId="0" fillId="7" borderId="0" xfId="0" applyFill="1"/>
    <xf numFmtId="0" fontId="4" fillId="0" borderId="12" xfId="0" applyNumberFormat="1" applyFont="1" applyFill="1" applyBorder="1" applyAlignment="1">
      <alignment horizontal="left" vertical="center" wrapText="1"/>
    </xf>
    <xf numFmtId="14" fontId="7" fillId="0" borderId="12" xfId="0" applyNumberFormat="1" applyFont="1" applyFill="1" applyBorder="1" applyAlignment="1">
      <alignment horizontal="center" vertical="center" wrapText="1"/>
    </xf>
    <xf numFmtId="0" fontId="7" fillId="0" borderId="12" xfId="0" applyFont="1" applyFill="1" applyBorder="1" applyAlignment="1">
      <alignment horizontal="center" vertical="center" wrapText="1"/>
    </xf>
    <xf numFmtId="14" fontId="6" fillId="0" borderId="12" xfId="0" applyNumberFormat="1" applyFont="1" applyFill="1" applyBorder="1" applyAlignment="1" applyProtection="1">
      <alignment horizontal="left" vertical="center" wrapText="1"/>
      <protection hidden="1"/>
    </xf>
    <xf numFmtId="14" fontId="4" fillId="0" borderId="12" xfId="0" applyNumberFormat="1" applyFont="1" applyFill="1" applyBorder="1" applyAlignment="1" applyProtection="1">
      <alignment horizontal="left" vertical="center" wrapText="1"/>
      <protection hidden="1"/>
    </xf>
    <xf numFmtId="14" fontId="6" fillId="0" borderId="12" xfId="0" applyNumberFormat="1" applyFont="1" applyFill="1" applyBorder="1" applyAlignment="1">
      <alignment horizontal="left" vertical="center" wrapText="1"/>
    </xf>
    <xf numFmtId="0" fontId="4" fillId="0" borderId="12" xfId="0" applyNumberFormat="1" applyFont="1" applyFill="1" applyBorder="1"/>
    <xf numFmtId="14" fontId="6" fillId="0" borderId="12" xfId="0" applyNumberFormat="1" applyFont="1" applyFill="1" applyBorder="1" applyAlignment="1" applyProtection="1">
      <alignment horizontal="center" vertical="center" wrapText="1"/>
      <protection hidden="1"/>
    </xf>
    <xf numFmtId="14" fontId="6" fillId="0" borderId="12" xfId="0" applyNumberFormat="1" applyFont="1" applyFill="1" applyBorder="1" applyAlignment="1">
      <alignment horizontal="center" vertical="center" wrapText="1"/>
    </xf>
    <xf numFmtId="14" fontId="4" fillId="0" borderId="12" xfId="0" applyNumberFormat="1" applyFont="1" applyFill="1" applyBorder="1" applyAlignment="1" applyProtection="1">
      <alignment horizontal="center" vertical="center" wrapText="1"/>
      <protection hidden="1"/>
    </xf>
    <xf numFmtId="0" fontId="0" fillId="0" borderId="14" xfId="0" applyFont="1" applyBorder="1" applyAlignment="1">
      <alignment horizontal="center" vertical="center" wrapText="1"/>
    </xf>
    <xf numFmtId="0" fontId="7" fillId="0" borderId="12" xfId="0" applyFont="1" applyFill="1" applyBorder="1" applyAlignment="1" applyProtection="1">
      <alignment horizontal="center" vertical="center" wrapText="1"/>
      <protection hidden="1"/>
    </xf>
    <xf numFmtId="0" fontId="0" fillId="12" borderId="12" xfId="0" applyFill="1" applyBorder="1"/>
    <xf numFmtId="0" fontId="0" fillId="12" borderId="0" xfId="0" applyFill="1"/>
    <xf numFmtId="0" fontId="0" fillId="0" borderId="12" xfId="0" applyBorder="1"/>
    <xf numFmtId="49" fontId="0" fillId="0" borderId="12" xfId="0" applyNumberFormat="1" applyBorder="1"/>
    <xf numFmtId="0" fontId="0" fillId="0" borderId="16" xfId="0" applyBorder="1"/>
    <xf numFmtId="49" fontId="0" fillId="0" borderId="16" xfId="0" applyNumberFormat="1" applyBorder="1"/>
    <xf numFmtId="0" fontId="0" fillId="12" borderId="16" xfId="0" applyFill="1" applyBorder="1"/>
    <xf numFmtId="14" fontId="0" fillId="9" borderId="15" xfId="0" applyNumberFormat="1" applyFill="1" applyBorder="1"/>
    <xf numFmtId="14" fontId="0" fillId="7" borderId="0" xfId="0" applyNumberFormat="1" applyFill="1"/>
    <xf numFmtId="0" fontId="0" fillId="8" borderId="20" xfId="0" applyFill="1" applyBorder="1"/>
    <xf numFmtId="0" fontId="0" fillId="6" borderId="25" xfId="0" applyFill="1" applyBorder="1"/>
    <xf numFmtId="0" fontId="0" fillId="8" borderId="26" xfId="0" applyFill="1" applyBorder="1"/>
    <xf numFmtId="0" fontId="0" fillId="6" borderId="27" xfId="0" applyFill="1" applyBorder="1"/>
    <xf numFmtId="0" fontId="11" fillId="6" borderId="25" xfId="0" applyFont="1" applyFill="1" applyBorder="1"/>
    <xf numFmtId="0" fontId="11" fillId="6" borderId="27" xfId="0" applyFont="1" applyFill="1" applyBorder="1"/>
    <xf numFmtId="0" fontId="0" fillId="6" borderId="11" xfId="0" applyFill="1" applyBorder="1"/>
    <xf numFmtId="0" fontId="0" fillId="8" borderId="28" xfId="0" applyFill="1" applyBorder="1"/>
    <xf numFmtId="0" fontId="0" fillId="8" borderId="20" xfId="0" applyFill="1" applyBorder="1" applyAlignment="1">
      <alignment horizontal="left" vertical="center"/>
    </xf>
    <xf numFmtId="0" fontId="0" fillId="8" borderId="20" xfId="0" applyFill="1" applyBorder="1" applyAlignment="1">
      <alignment horizontal="left" vertical="center" wrapText="1"/>
    </xf>
    <xf numFmtId="0" fontId="0" fillId="8" borderId="26" xfId="0" applyFill="1" applyBorder="1" applyAlignment="1">
      <alignment horizontal="left" vertical="center"/>
    </xf>
    <xf numFmtId="0" fontId="0" fillId="8" borderId="21" xfId="0" applyFill="1" applyBorder="1"/>
    <xf numFmtId="0" fontId="0" fillId="0" borderId="37" xfId="0" applyFill="1" applyBorder="1" applyAlignment="1">
      <alignment horizontal="center" vertical="center"/>
    </xf>
    <xf numFmtId="0" fontId="0" fillId="0" borderId="36" xfId="0" applyFill="1" applyBorder="1" applyAlignment="1">
      <alignment horizontal="center" vertical="center"/>
    </xf>
    <xf numFmtId="0" fontId="13" fillId="0" borderId="33" xfId="0" applyFont="1" applyFill="1" applyBorder="1" applyAlignment="1">
      <alignment horizontal="center" vertical="center"/>
    </xf>
    <xf numFmtId="0" fontId="0" fillId="0" borderId="16" xfId="0" applyFill="1" applyBorder="1" applyAlignment="1">
      <alignment horizontal="center" vertical="center"/>
    </xf>
    <xf numFmtId="0" fontId="13" fillId="0" borderId="33" xfId="0" quotePrefix="1" applyFont="1" applyFill="1" applyBorder="1" applyAlignment="1">
      <alignment horizontal="center" vertical="center"/>
    </xf>
    <xf numFmtId="0" fontId="13" fillId="0" borderId="35" xfId="0" applyFont="1" applyFill="1" applyBorder="1" applyAlignment="1">
      <alignment horizontal="center" vertical="center"/>
    </xf>
    <xf numFmtId="0" fontId="0" fillId="0" borderId="34" xfId="0" applyFill="1" applyBorder="1" applyAlignment="1">
      <alignment horizontal="center" vertical="center"/>
    </xf>
    <xf numFmtId="0" fontId="0" fillId="8" borderId="20" xfId="0" applyFill="1" applyBorder="1" applyAlignment="1">
      <alignment horizontal="center" vertical="center"/>
    </xf>
    <xf numFmtId="0" fontId="0" fillId="0" borderId="12" xfId="0" applyFill="1" applyBorder="1"/>
    <xf numFmtId="0" fontId="0" fillId="0" borderId="12" xfId="0" applyNumberFormat="1" applyFill="1" applyBorder="1" applyAlignment="1">
      <alignment horizontal="center" vertical="center"/>
    </xf>
    <xf numFmtId="0" fontId="0" fillId="0" borderId="12" xfId="0" applyFill="1" applyBorder="1" applyAlignment="1">
      <alignment horizontal="center" vertical="center"/>
    </xf>
    <xf numFmtId="0" fontId="11" fillId="15" borderId="25" xfId="0" applyFont="1" applyFill="1" applyBorder="1"/>
    <xf numFmtId="0" fontId="0" fillId="15" borderId="25" xfId="0" applyFill="1" applyBorder="1"/>
    <xf numFmtId="0" fontId="0" fillId="17" borderId="0" xfId="0" applyFill="1"/>
    <xf numFmtId="2" fontId="0" fillId="17" borderId="0" xfId="0" applyNumberFormat="1" applyFill="1" applyAlignment="1">
      <alignment horizontal="center" vertical="center"/>
    </xf>
    <xf numFmtId="2" fontId="0" fillId="0" borderId="12" xfId="0" applyNumberFormat="1" applyFill="1" applyBorder="1" applyAlignment="1">
      <alignment horizontal="center" vertical="center"/>
    </xf>
    <xf numFmtId="0" fontId="0" fillId="16" borderId="0" xfId="0" applyFill="1"/>
    <xf numFmtId="0" fontId="0" fillId="16" borderId="0" xfId="0" applyFill="1" applyAlignment="1">
      <alignment horizontal="left"/>
    </xf>
    <xf numFmtId="0" fontId="1" fillId="16" borderId="0" xfId="0" applyFont="1" applyFill="1" applyBorder="1" applyAlignment="1"/>
    <xf numFmtId="0" fontId="0" fillId="16" borderId="0" xfId="0" applyFill="1" applyBorder="1"/>
    <xf numFmtId="0" fontId="11" fillId="6" borderId="18" xfId="0" applyFont="1" applyFill="1" applyBorder="1" applyAlignment="1">
      <alignment horizontal="left"/>
    </xf>
    <xf numFmtId="0" fontId="0" fillId="10" borderId="42" xfId="0" applyFill="1" applyBorder="1" applyAlignment="1">
      <alignment horizontal="center" vertical="center" wrapText="1"/>
    </xf>
    <xf numFmtId="0" fontId="0" fillId="10" borderId="41" xfId="0" applyFill="1" applyBorder="1" applyAlignment="1">
      <alignment horizontal="center" vertical="center" wrapText="1"/>
    </xf>
    <xf numFmtId="0" fontId="4" fillId="0" borderId="12" xfId="0" applyFont="1" applyFill="1" applyBorder="1" applyAlignment="1" applyProtection="1">
      <alignment horizontal="center" vertical="center" wrapText="1"/>
      <protection locked="0"/>
    </xf>
    <xf numFmtId="0" fontId="0" fillId="0" borderId="43" xfId="0" applyBorder="1"/>
    <xf numFmtId="0" fontId="0" fillId="0" borderId="35" xfId="0" applyBorder="1"/>
    <xf numFmtId="0" fontId="0" fillId="0" borderId="44" xfId="0" applyBorder="1"/>
    <xf numFmtId="0" fontId="0" fillId="0" borderId="36" xfId="0" applyBorder="1"/>
    <xf numFmtId="0" fontId="0" fillId="0" borderId="46" xfId="0" applyBorder="1"/>
    <xf numFmtId="0" fontId="0" fillId="0" borderId="37" xfId="0" applyBorder="1"/>
    <xf numFmtId="0" fontId="0" fillId="0" borderId="0" xfId="0" applyBorder="1"/>
    <xf numFmtId="0" fontId="0" fillId="0" borderId="0" xfId="0" applyBorder="1" applyAlignment="1">
      <alignment vertical="center" wrapText="1"/>
    </xf>
    <xf numFmtId="0" fontId="0" fillId="0" borderId="37" xfId="0" applyBorder="1" applyAlignment="1">
      <alignment vertical="center" wrapText="1"/>
    </xf>
    <xf numFmtId="0" fontId="0" fillId="0" borderId="36" xfId="0" applyBorder="1" applyAlignment="1">
      <alignment vertical="center" wrapText="1"/>
    </xf>
    <xf numFmtId="0" fontId="0" fillId="0" borderId="45" xfId="0" applyBorder="1" applyAlignment="1">
      <alignment vertical="center" wrapText="1"/>
    </xf>
    <xf numFmtId="0" fontId="0" fillId="0" borderId="35" xfId="0" applyBorder="1" applyAlignment="1">
      <alignment vertical="center" wrapText="1"/>
    </xf>
    <xf numFmtId="0" fontId="0" fillId="0" borderId="43" xfId="0" applyBorder="1" applyAlignment="1">
      <alignment vertical="center" wrapText="1"/>
    </xf>
    <xf numFmtId="0" fontId="0" fillId="0" borderId="0" xfId="0" applyBorder="1" applyAlignment="1">
      <alignment horizontal="justify" vertical="center" wrapText="1"/>
    </xf>
    <xf numFmtId="0" fontId="0" fillId="0" borderId="47" xfId="0" applyBorder="1"/>
    <xf numFmtId="0" fontId="0" fillId="0" borderId="12" xfId="0" applyBorder="1" applyAlignment="1">
      <alignment horizontal="justify" vertical="center" wrapText="1"/>
    </xf>
    <xf numFmtId="0" fontId="0" fillId="0" borderId="0" xfId="0" applyAlignment="1">
      <alignment horizontal="center" vertical="center"/>
    </xf>
    <xf numFmtId="0" fontId="0" fillId="0" borderId="0" xfId="0" applyBorder="1" applyAlignment="1">
      <alignment horizontal="center" vertical="center" wrapText="1"/>
    </xf>
    <xf numFmtId="0" fontId="0" fillId="0" borderId="12" xfId="0" applyBorder="1" applyAlignment="1">
      <alignment horizontal="center" vertical="center" wrapText="1"/>
    </xf>
    <xf numFmtId="0" fontId="0" fillId="0" borderId="12" xfId="0" applyBorder="1" applyAlignment="1">
      <alignment horizontal="center" vertical="center"/>
    </xf>
    <xf numFmtId="0" fontId="9" fillId="0" borderId="0" xfId="0" applyFont="1" applyAlignment="1">
      <alignment horizontal="center" vertical="center"/>
    </xf>
    <xf numFmtId="0" fontId="2" fillId="0" borderId="0" xfId="0" applyFont="1"/>
    <xf numFmtId="0" fontId="0" fillId="0" borderId="0" xfId="0" applyAlignment="1">
      <alignment horizontal="left" vertical="center"/>
    </xf>
    <xf numFmtId="0" fontId="0" fillId="0" borderId="13" xfId="0" applyBorder="1" applyAlignment="1">
      <alignment horizontal="justify" vertical="center" wrapText="1"/>
    </xf>
    <xf numFmtId="0" fontId="0" fillId="0" borderId="43" xfId="0" applyBorder="1" applyAlignment="1">
      <alignment horizontal="justify" vertical="center" wrapText="1"/>
    </xf>
    <xf numFmtId="0" fontId="0" fillId="0" borderId="12" xfId="0" applyBorder="1" applyAlignment="1">
      <alignment horizontal="center" vertical="center" wrapText="1"/>
    </xf>
    <xf numFmtId="0" fontId="0" fillId="0" borderId="64" xfId="0" applyBorder="1"/>
    <xf numFmtId="0" fontId="9" fillId="0" borderId="64" xfId="0" applyFont="1" applyBorder="1" applyAlignment="1">
      <alignment horizontal="center" vertical="center"/>
    </xf>
    <xf numFmtId="0" fontId="0" fillId="10" borderId="0" xfId="0" applyFill="1" applyBorder="1"/>
    <xf numFmtId="0" fontId="0" fillId="10" borderId="0" xfId="0" applyFill="1" applyBorder="1" applyAlignment="1">
      <alignment horizontal="center" vertical="center"/>
    </xf>
    <xf numFmtId="0" fontId="0" fillId="10" borderId="1" xfId="0" applyFill="1" applyBorder="1"/>
    <xf numFmtId="0" fontId="0" fillId="10" borderId="2" xfId="0" applyFill="1" applyBorder="1"/>
    <xf numFmtId="0" fontId="0" fillId="10" borderId="3" xfId="0" applyFill="1" applyBorder="1"/>
    <xf numFmtId="0" fontId="0" fillId="10" borderId="17" xfId="0" applyFill="1" applyBorder="1"/>
    <xf numFmtId="0" fontId="0" fillId="10" borderId="18" xfId="0" applyFill="1" applyBorder="1"/>
    <xf numFmtId="0" fontId="9" fillId="10" borderId="17" xfId="0" applyFont="1" applyFill="1" applyBorder="1" applyAlignment="1">
      <alignment horizontal="center" vertical="center" wrapText="1"/>
    </xf>
    <xf numFmtId="0" fontId="0" fillId="10" borderId="18" xfId="0" applyFill="1" applyBorder="1" applyAlignment="1">
      <alignment horizontal="center" vertical="center"/>
    </xf>
    <xf numFmtId="0" fontId="0" fillId="10" borderId="17" xfId="0" applyFill="1" applyBorder="1" applyAlignment="1">
      <alignment horizontal="justify" vertical="center" wrapText="1"/>
    </xf>
    <xf numFmtId="0" fontId="0" fillId="10" borderId="4" xfId="0" applyFill="1" applyBorder="1" applyAlignment="1">
      <alignment vertical="center" wrapText="1"/>
    </xf>
    <xf numFmtId="0" fontId="0" fillId="10" borderId="5" xfId="0" applyFill="1" applyBorder="1"/>
    <xf numFmtId="0" fontId="0" fillId="10" borderId="6" xfId="0" applyFill="1" applyBorder="1"/>
    <xf numFmtId="0" fontId="8" fillId="0" borderId="12" xfId="1" applyFill="1" applyBorder="1" applyAlignment="1">
      <alignment horizontal="center" vertical="center" wrapText="1"/>
    </xf>
    <xf numFmtId="0" fontId="0" fillId="24" borderId="14" xfId="0" applyFill="1" applyBorder="1" applyAlignment="1" applyProtection="1">
      <alignment horizontal="center" vertical="center" wrapText="1"/>
      <protection locked="0"/>
    </xf>
    <xf numFmtId="0" fontId="0" fillId="0" borderId="12" xfId="0" applyFill="1" applyBorder="1" applyAlignment="1" applyProtection="1">
      <alignment horizontal="center" vertical="center" wrapText="1"/>
      <protection locked="0"/>
    </xf>
    <xf numFmtId="0" fontId="5" fillId="0" borderId="12" xfId="0" applyFont="1" applyFill="1" applyBorder="1" applyAlignment="1" applyProtection="1">
      <alignment horizontal="center" vertical="center" wrapText="1"/>
      <protection locked="0"/>
    </xf>
    <xf numFmtId="14" fontId="4" fillId="0" borderId="12" xfId="0" applyNumberFormat="1" applyFont="1" applyFill="1" applyBorder="1" applyAlignment="1" applyProtection="1">
      <alignment horizontal="center" vertical="center" wrapText="1"/>
      <protection locked="0"/>
    </xf>
    <xf numFmtId="2" fontId="5" fillId="0" borderId="12" xfId="0" applyNumberFormat="1" applyFont="1" applyFill="1" applyBorder="1" applyAlignment="1" applyProtection="1">
      <alignment horizontal="center" vertical="center" wrapText="1"/>
      <protection locked="0"/>
    </xf>
    <xf numFmtId="0" fontId="0" fillId="25" borderId="14" xfId="0" applyFill="1" applyBorder="1" applyAlignment="1" applyProtection="1">
      <alignment horizontal="center" vertical="center" wrapText="1"/>
      <protection locked="0"/>
    </xf>
    <xf numFmtId="0" fontId="2" fillId="16" borderId="0" xfId="0" applyFont="1" applyFill="1"/>
    <xf numFmtId="0" fontId="7" fillId="0" borderId="12" xfId="0" applyNumberFormat="1"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6" xfId="0" applyFont="1" applyBorder="1" applyAlignment="1">
      <alignment horizontal="justify" vertical="center" wrapText="1"/>
    </xf>
    <xf numFmtId="0" fontId="9" fillId="10" borderId="4" xfId="0" applyFont="1" applyFill="1" applyBorder="1" applyAlignment="1">
      <alignment horizontal="center" vertical="center" wrapText="1"/>
    </xf>
    <xf numFmtId="0" fontId="0" fillId="10" borderId="5" xfId="0" applyFill="1" applyBorder="1" applyAlignment="1">
      <alignment horizontal="center" vertical="center"/>
    </xf>
    <xf numFmtId="0" fontId="0" fillId="10" borderId="6" xfId="0" applyFill="1" applyBorder="1" applyAlignment="1">
      <alignment horizontal="center" vertical="center"/>
    </xf>
    <xf numFmtId="0" fontId="9" fillId="0" borderId="12" xfId="0" applyFont="1" applyBorder="1" applyAlignment="1">
      <alignment vertical="center" wrapText="1"/>
    </xf>
    <xf numFmtId="0" fontId="9" fillId="0" borderId="13" xfId="0" applyFont="1" applyBorder="1" applyAlignment="1">
      <alignment vertical="center" wrapText="1"/>
    </xf>
    <xf numFmtId="0" fontId="2" fillId="0" borderId="16" xfId="0" applyFont="1" applyBorder="1"/>
    <xf numFmtId="0" fontId="2" fillId="0" borderId="47" xfId="0" applyFont="1" applyBorder="1"/>
    <xf numFmtId="0" fontId="4" fillId="0" borderId="12" xfId="0" applyFont="1" applyFill="1" applyBorder="1" applyAlignment="1">
      <alignment horizontal="center" wrapText="1"/>
    </xf>
    <xf numFmtId="2" fontId="7" fillId="0" borderId="12" xfId="0" applyNumberFormat="1" applyFont="1" applyFill="1" applyBorder="1" applyAlignment="1">
      <alignment horizontal="center" vertical="center" wrapText="1"/>
    </xf>
    <xf numFmtId="0" fontId="0" fillId="0" borderId="0" xfId="0" applyAlignment="1">
      <alignment horizontal="center" vertical="center"/>
    </xf>
    <xf numFmtId="14" fontId="0" fillId="0" borderId="0" xfId="0" applyNumberFormat="1" applyAlignment="1">
      <alignment horizontal="center" vertical="center"/>
    </xf>
    <xf numFmtId="2" fontId="0" fillId="0" borderId="0" xfId="0" applyNumberFormat="1" applyAlignment="1">
      <alignment horizontal="center" vertical="center"/>
    </xf>
    <xf numFmtId="0" fontId="1" fillId="28" borderId="17" xfId="0" applyFont="1" applyFill="1" applyBorder="1" applyAlignment="1"/>
    <xf numFmtId="0" fontId="1" fillId="28" borderId="0" xfId="0" applyFont="1" applyFill="1" applyBorder="1" applyAlignment="1"/>
    <xf numFmtId="0" fontId="21" fillId="6" borderId="65" xfId="0" applyFont="1" applyFill="1" applyBorder="1" applyAlignment="1">
      <alignment horizontal="center" vertical="center"/>
    </xf>
    <xf numFmtId="0" fontId="0" fillId="0" borderId="13" xfId="0" applyBorder="1" applyAlignment="1">
      <alignment horizontal="center" vertical="center" wrapText="1"/>
    </xf>
    <xf numFmtId="14" fontId="0" fillId="0" borderId="13" xfId="0" applyNumberFormat="1" applyBorder="1" applyAlignment="1">
      <alignment horizontal="center" vertical="center" wrapText="1"/>
    </xf>
    <xf numFmtId="2" fontId="0" fillId="0" borderId="13" xfId="0" applyNumberFormat="1" applyBorder="1" applyAlignment="1">
      <alignment horizontal="center" vertical="center" wrapText="1"/>
    </xf>
    <xf numFmtId="0" fontId="7" fillId="0" borderId="15" xfId="0" applyFont="1" applyFill="1" applyBorder="1" applyAlignment="1">
      <alignment horizontal="center" vertical="center" wrapText="1"/>
    </xf>
    <xf numFmtId="49" fontId="8" fillId="0" borderId="12" xfId="1" applyNumberFormat="1" applyFill="1" applyBorder="1" applyAlignment="1" applyProtection="1">
      <alignment horizontal="center" vertical="center" wrapText="1"/>
      <protection locked="0"/>
    </xf>
    <xf numFmtId="0" fontId="4" fillId="0" borderId="12" xfId="0" applyFont="1" applyBorder="1" applyAlignment="1">
      <alignment horizontal="center" vertical="center" wrapText="1"/>
    </xf>
    <xf numFmtId="14" fontId="0" fillId="0" borderId="0" xfId="0" applyNumberFormat="1"/>
    <xf numFmtId="0" fontId="4" fillId="0" borderId="36" xfId="0" applyFont="1" applyBorder="1" applyAlignment="1">
      <alignment horizontal="center" vertical="center" wrapText="1"/>
    </xf>
    <xf numFmtId="0" fontId="4" fillId="0" borderId="15" xfId="0" applyFont="1" applyBorder="1" applyAlignment="1">
      <alignment horizontal="center" vertical="center" wrapText="1"/>
    </xf>
    <xf numFmtId="14" fontId="4" fillId="0" borderId="15" xfId="0" applyNumberFormat="1" applyFont="1" applyBorder="1" applyAlignment="1">
      <alignment horizontal="center" vertical="center" wrapText="1"/>
    </xf>
    <xf numFmtId="0" fontId="4" fillId="0" borderId="37" xfId="0" applyFont="1" applyBorder="1" applyAlignment="1">
      <alignment horizontal="center" vertical="center" wrapText="1"/>
    </xf>
    <xf numFmtId="0" fontId="4" fillId="0" borderId="12" xfId="0" applyNumberFormat="1" applyFont="1" applyBorder="1" applyAlignment="1">
      <alignment horizontal="center" vertical="center" wrapText="1"/>
    </xf>
    <xf numFmtId="0" fontId="11" fillId="0" borderId="12" xfId="1" applyFont="1" applyFill="1" applyBorder="1" applyAlignment="1">
      <alignment horizontal="center" vertical="center" wrapText="1"/>
    </xf>
    <xf numFmtId="0" fontId="0" fillId="14" borderId="0" xfId="0" applyFill="1"/>
    <xf numFmtId="0" fontId="0" fillId="10" borderId="45" xfId="0" applyFill="1" applyBorder="1" applyAlignment="1">
      <alignment horizontal="center" vertical="center" wrapText="1"/>
    </xf>
    <xf numFmtId="0" fontId="0" fillId="10" borderId="14" xfId="0" applyFill="1" applyBorder="1" applyAlignment="1">
      <alignment horizontal="center" vertical="center" wrapText="1"/>
    </xf>
    <xf numFmtId="2" fontId="0" fillId="10" borderId="14" xfId="0" applyNumberFormat="1" applyFill="1" applyBorder="1" applyAlignment="1">
      <alignment horizontal="left" vertical="center" wrapText="1"/>
    </xf>
    <xf numFmtId="0" fontId="0" fillId="10" borderId="44" xfId="0" applyFill="1" applyBorder="1" applyAlignment="1">
      <alignment horizontal="center" vertical="center" wrapText="1"/>
    </xf>
    <xf numFmtId="0" fontId="2" fillId="10" borderId="14" xfId="0" applyFont="1" applyFill="1" applyBorder="1" applyAlignment="1">
      <alignment horizontal="center" vertical="center" wrapText="1"/>
    </xf>
    <xf numFmtId="0" fontId="11" fillId="0" borderId="12" xfId="0" applyFont="1" applyFill="1" applyBorder="1" applyAlignment="1">
      <alignment horizontal="center" vertical="center" wrapText="1"/>
    </xf>
    <xf numFmtId="2" fontId="11" fillId="0" borderId="12" xfId="0" applyNumberFormat="1" applyFont="1" applyFill="1" applyBorder="1" applyAlignment="1">
      <alignment horizontal="center" vertical="center" wrapText="1"/>
    </xf>
    <xf numFmtId="0" fontId="21" fillId="0" borderId="12" xfId="0" applyFont="1" applyFill="1" applyBorder="1" applyAlignment="1">
      <alignment horizontal="center" vertical="center" wrapText="1"/>
    </xf>
    <xf numFmtId="0" fontId="2" fillId="10" borderId="12" xfId="0" applyFont="1" applyFill="1" applyBorder="1" applyAlignment="1">
      <alignment horizontal="center" vertical="center" wrapText="1"/>
    </xf>
    <xf numFmtId="0" fontId="2" fillId="4" borderId="0" xfId="0" applyFont="1" applyFill="1"/>
    <xf numFmtId="0" fontId="2" fillId="12" borderId="0" xfId="0" applyFont="1" applyFill="1"/>
    <xf numFmtId="0" fontId="2" fillId="0" borderId="14" xfId="0" applyFont="1" applyFill="1" applyBorder="1" applyAlignment="1" applyProtection="1">
      <alignment horizontal="center" vertical="center" wrapText="1"/>
      <protection locked="0"/>
    </xf>
    <xf numFmtId="0" fontId="11" fillId="0" borderId="33" xfId="0" applyFont="1" applyFill="1" applyBorder="1" applyAlignment="1">
      <alignment horizontal="center" vertical="center" wrapText="1"/>
    </xf>
    <xf numFmtId="0" fontId="11" fillId="0" borderId="16" xfId="0" applyFont="1" applyFill="1" applyBorder="1" applyAlignment="1">
      <alignment horizontal="center" vertical="center" wrapText="1"/>
    </xf>
    <xf numFmtId="0" fontId="0" fillId="0" borderId="33" xfId="0" applyFill="1" applyBorder="1" applyAlignment="1">
      <alignment horizontal="center" vertical="center"/>
    </xf>
    <xf numFmtId="0" fontId="0" fillId="10" borderId="0" xfId="0" applyFill="1" applyBorder="1" applyAlignment="1">
      <alignment horizontal="center" vertical="center" wrapText="1"/>
    </xf>
    <xf numFmtId="0" fontId="2" fillId="10" borderId="73" xfId="0" applyFont="1" applyFill="1" applyBorder="1" applyAlignment="1">
      <alignment horizontal="center" vertical="center" wrapText="1"/>
    </xf>
    <xf numFmtId="0" fontId="0" fillId="16" borderId="0" xfId="0" applyFill="1" applyBorder="1" applyAlignment="1">
      <alignment horizontal="left"/>
    </xf>
    <xf numFmtId="2" fontId="0" fillId="16" borderId="0" xfId="0" applyNumberFormat="1" applyFill="1" applyBorder="1"/>
    <xf numFmtId="0" fontId="2" fillId="16" borderId="0" xfId="0" applyFont="1" applyFill="1" applyBorder="1"/>
    <xf numFmtId="0" fontId="2" fillId="0" borderId="12" xfId="0" applyNumberFormat="1" applyFont="1" applyFill="1" applyBorder="1" applyAlignment="1">
      <alignment horizontal="center" vertical="center"/>
    </xf>
    <xf numFmtId="0" fontId="0" fillId="14" borderId="0" xfId="0" applyFill="1" applyAlignment="1">
      <alignment wrapText="1"/>
    </xf>
    <xf numFmtId="2" fontId="0" fillId="14" borderId="0" xfId="0" applyNumberFormat="1" applyFill="1" applyAlignment="1">
      <alignment horizontal="center" vertical="center"/>
    </xf>
    <xf numFmtId="0" fontId="0" fillId="14" borderId="0" xfId="0" applyFill="1" applyBorder="1"/>
    <xf numFmtId="0" fontId="0" fillId="30" borderId="0" xfId="0" applyFill="1"/>
    <xf numFmtId="0" fontId="0" fillId="0" borderId="15" xfId="0" applyNumberFormat="1" applyFill="1" applyBorder="1" applyAlignment="1">
      <alignment horizontal="center" vertical="center"/>
    </xf>
    <xf numFmtId="0" fontId="0" fillId="0" borderId="15" xfId="0" applyFill="1" applyBorder="1" applyAlignment="1">
      <alignment horizontal="center" vertical="center"/>
    </xf>
    <xf numFmtId="2" fontId="0" fillId="0" borderId="15" xfId="0" applyNumberFormat="1" applyFill="1" applyBorder="1" applyAlignment="1">
      <alignment horizontal="center" vertical="center"/>
    </xf>
    <xf numFmtId="0" fontId="2" fillId="0" borderId="15" xfId="0" applyNumberFormat="1" applyFont="1" applyFill="1" applyBorder="1" applyAlignment="1">
      <alignment horizontal="center" vertical="center"/>
    </xf>
    <xf numFmtId="0" fontId="0" fillId="0" borderId="33" xfId="0" applyNumberFormat="1" applyFill="1" applyBorder="1" applyAlignment="1">
      <alignment horizontal="center" vertical="center"/>
    </xf>
    <xf numFmtId="0" fontId="1" fillId="8" borderId="19" xfId="0" applyFont="1" applyFill="1" applyBorder="1" applyAlignment="1">
      <alignment horizontal="center" vertical="center"/>
    </xf>
    <xf numFmtId="0" fontId="2" fillId="10" borderId="44" xfId="0" applyFont="1" applyFill="1" applyBorder="1" applyAlignment="1">
      <alignment horizontal="center" vertical="center" wrapText="1"/>
    </xf>
    <xf numFmtId="0" fontId="2" fillId="0" borderId="33" xfId="0" applyNumberFormat="1" applyFont="1" applyFill="1" applyBorder="1" applyAlignment="1">
      <alignment horizontal="center" vertical="center"/>
    </xf>
    <xf numFmtId="0" fontId="8" fillId="0" borderId="12" xfId="1" applyFill="1" applyBorder="1" applyAlignment="1">
      <alignment horizontal="center" vertical="center"/>
    </xf>
    <xf numFmtId="0" fontId="11" fillId="0" borderId="12" xfId="0" applyFont="1" applyFill="1" applyBorder="1" applyAlignment="1">
      <alignment horizontal="center" vertical="center"/>
    </xf>
    <xf numFmtId="0" fontId="0" fillId="0" borderId="0" xfId="0" applyBorder="1" applyAlignment="1">
      <alignment horizontal="left" vertical="center"/>
    </xf>
    <xf numFmtId="0" fontId="0" fillId="30" borderId="0" xfId="0" applyFill="1" applyBorder="1"/>
    <xf numFmtId="0" fontId="0" fillId="30" borderId="3" xfId="0" applyFill="1" applyBorder="1"/>
    <xf numFmtId="0" fontId="0" fillId="30" borderId="18" xfId="0" applyFill="1" applyBorder="1"/>
    <xf numFmtId="0" fontId="0" fillId="30" borderId="18" xfId="0" applyFill="1" applyBorder="1" applyAlignment="1">
      <alignment horizontal="left" vertical="center"/>
    </xf>
    <xf numFmtId="0" fontId="0" fillId="30" borderId="2" xfId="0" applyFill="1" applyBorder="1" applyAlignment="1"/>
    <xf numFmtId="0" fontId="0" fillId="30" borderId="0" xfId="0" applyFill="1" applyBorder="1" applyAlignment="1"/>
    <xf numFmtId="0" fontId="0" fillId="30" borderId="2" xfId="0" applyFill="1" applyBorder="1"/>
    <xf numFmtId="0" fontId="0" fillId="30" borderId="5" xfId="0" applyFill="1" applyBorder="1"/>
    <xf numFmtId="0" fontId="0" fillId="30" borderId="6" xfId="0" applyFill="1" applyBorder="1" applyAlignment="1">
      <alignment horizontal="left" vertical="center"/>
    </xf>
    <xf numFmtId="2" fontId="14" fillId="10" borderId="14" xfId="0" applyNumberFormat="1" applyFont="1" applyFill="1" applyBorder="1" applyAlignment="1">
      <alignment horizontal="center" vertical="center" wrapText="1"/>
    </xf>
    <xf numFmtId="0" fontId="21" fillId="22" borderId="55" xfId="0" applyNumberFormat="1" applyFont="1" applyFill="1" applyBorder="1" applyAlignment="1">
      <alignment horizontal="center" vertical="center" wrapText="1"/>
    </xf>
    <xf numFmtId="0" fontId="0" fillId="0" borderId="12" xfId="0" applyBorder="1" applyAlignment="1">
      <alignment horizontal="center" vertical="center"/>
    </xf>
    <xf numFmtId="0" fontId="4" fillId="0" borderId="12" xfId="0" applyFont="1" applyFill="1" applyBorder="1" applyAlignment="1" applyProtection="1">
      <alignment horizontal="center" vertical="center" wrapText="1"/>
    </xf>
    <xf numFmtId="0" fontId="8" fillId="0" borderId="12" xfId="1" applyFill="1" applyBorder="1" applyAlignment="1" applyProtection="1">
      <alignment horizontal="center" vertical="center" wrapText="1"/>
    </xf>
    <xf numFmtId="0" fontId="0" fillId="0" borderId="15" xfId="0" applyBorder="1" applyAlignment="1">
      <alignment horizontal="center" vertical="center" wrapText="1"/>
    </xf>
    <xf numFmtId="0" fontId="0" fillId="0" borderId="37" xfId="0" applyBorder="1" applyAlignment="1">
      <alignment horizontal="center" vertical="center" wrapText="1"/>
    </xf>
    <xf numFmtId="0" fontId="17" fillId="11" borderId="12" xfId="0" applyFont="1" applyFill="1" applyBorder="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vertical="center"/>
    </xf>
    <xf numFmtId="0" fontId="4" fillId="0" borderId="12" xfId="0" applyFont="1" applyFill="1" applyBorder="1" applyAlignment="1" applyProtection="1">
      <alignment horizontal="left" vertical="center" wrapText="1"/>
      <protection locked="0"/>
    </xf>
    <xf numFmtId="14" fontId="6" fillId="0" borderId="12" xfId="0" applyNumberFormat="1" applyFont="1" applyFill="1" applyBorder="1" applyAlignment="1" applyProtection="1">
      <alignment horizontal="left" vertical="center" wrapText="1"/>
      <protection locked="0"/>
    </xf>
    <xf numFmtId="0" fontId="4" fillId="0" borderId="12" xfId="0" applyNumberFormat="1" applyFont="1" applyFill="1" applyBorder="1" applyAlignment="1" applyProtection="1">
      <alignment horizontal="center" vertical="center" wrapText="1"/>
      <protection locked="0"/>
    </xf>
    <xf numFmtId="0" fontId="4" fillId="0" borderId="12" xfId="0" applyNumberFormat="1" applyFont="1" applyFill="1" applyBorder="1" applyAlignment="1" applyProtection="1">
      <alignment horizontal="left" vertical="center" wrapText="1"/>
      <protection locked="0"/>
    </xf>
    <xf numFmtId="14" fontId="4" fillId="0" borderId="12" xfId="0" applyNumberFormat="1" applyFont="1" applyFill="1" applyBorder="1" applyAlignment="1">
      <alignment horizontal="center" vertical="center" wrapText="1"/>
    </xf>
    <xf numFmtId="0" fontId="5" fillId="0" borderId="12" xfId="0" applyFont="1" applyFill="1" applyBorder="1" applyAlignment="1">
      <alignment horizontal="center" vertical="center" wrapText="1"/>
    </xf>
    <xf numFmtId="2" fontId="5" fillId="0" borderId="12" xfId="0" applyNumberFormat="1" applyFont="1" applyFill="1" applyBorder="1" applyAlignment="1">
      <alignment horizontal="center" vertical="center" wrapText="1"/>
    </xf>
    <xf numFmtId="2" fontId="14" fillId="16" borderId="0" xfId="0" applyNumberFormat="1" applyFont="1" applyFill="1" applyAlignment="1">
      <alignment horizontal="center" vertical="center"/>
    </xf>
    <xf numFmtId="2" fontId="14" fillId="0" borderId="12" xfId="0" applyNumberFormat="1" applyFont="1" applyFill="1" applyBorder="1" applyAlignment="1">
      <alignment horizontal="center" vertical="center"/>
    </xf>
    <xf numFmtId="0" fontId="0" fillId="32" borderId="12" xfId="0" applyFill="1" applyBorder="1" applyAlignment="1">
      <alignment horizontal="center" vertical="center"/>
    </xf>
    <xf numFmtId="0" fontId="0" fillId="32" borderId="12" xfId="0" applyFill="1" applyBorder="1" applyAlignment="1">
      <alignment horizontal="center" vertical="center" wrapText="1"/>
    </xf>
    <xf numFmtId="0" fontId="0" fillId="0" borderId="12" xfId="0" applyBorder="1" applyAlignment="1">
      <alignment horizontal="center" vertical="center"/>
    </xf>
    <xf numFmtId="0" fontId="14" fillId="0" borderId="33" xfId="0" applyFont="1" applyBorder="1" applyAlignment="1">
      <alignment horizontal="left"/>
    </xf>
    <xf numFmtId="0" fontId="14" fillId="0" borderId="33" xfId="0" applyFont="1" applyBorder="1" applyAlignment="1">
      <alignment horizontal="left" vertical="center"/>
    </xf>
    <xf numFmtId="0" fontId="0" fillId="0" borderId="0" xfId="0" applyProtection="1">
      <protection hidden="1"/>
    </xf>
    <xf numFmtId="0" fontId="0" fillId="0" borderId="0" xfId="0" applyBorder="1" applyProtection="1">
      <protection hidden="1"/>
    </xf>
    <xf numFmtId="0" fontId="16" fillId="0" borderId="0" xfId="0" applyFont="1" applyProtection="1">
      <protection hidden="1"/>
    </xf>
    <xf numFmtId="0" fontId="0" fillId="0" borderId="12" xfId="0" applyBorder="1" applyAlignment="1" applyProtection="1">
      <alignment horizontal="center" vertical="center"/>
      <protection hidden="1"/>
    </xf>
    <xf numFmtId="0" fontId="0" fillId="7" borderId="0" xfId="0" applyFill="1" applyBorder="1" applyProtection="1">
      <protection hidden="1"/>
    </xf>
    <xf numFmtId="0" fontId="1" fillId="10" borderId="72" xfId="0" applyFont="1" applyFill="1" applyBorder="1" applyAlignment="1" applyProtection="1">
      <alignment horizontal="center" vertical="center"/>
      <protection hidden="1"/>
    </xf>
    <xf numFmtId="0" fontId="1" fillId="10" borderId="12" xfId="0" applyFont="1" applyFill="1" applyBorder="1" applyAlignment="1" applyProtection="1">
      <alignment horizontal="center" vertical="center"/>
      <protection hidden="1"/>
    </xf>
    <xf numFmtId="0" fontId="1" fillId="7" borderId="0" xfId="0" applyFont="1" applyFill="1" applyBorder="1" applyAlignment="1" applyProtection="1">
      <alignment horizontal="center" vertical="center"/>
      <protection hidden="1"/>
    </xf>
    <xf numFmtId="0" fontId="14" fillId="0" borderId="0" xfId="0" applyFont="1" applyProtection="1">
      <protection hidden="1"/>
    </xf>
    <xf numFmtId="0" fontId="0" fillId="0" borderId="0" xfId="0" applyAlignment="1" applyProtection="1">
      <alignment horizontal="right"/>
      <protection hidden="1"/>
    </xf>
    <xf numFmtId="0" fontId="2" fillId="0" borderId="0" xfId="0" applyFont="1" applyProtection="1">
      <protection hidden="1"/>
    </xf>
    <xf numFmtId="0" fontId="0" fillId="7" borderId="5" xfId="0" applyFill="1" applyBorder="1" applyProtection="1">
      <protection hidden="1"/>
    </xf>
    <xf numFmtId="0" fontId="0" fillId="0" borderId="53" xfId="0" applyBorder="1" applyAlignment="1" applyProtection="1">
      <alignment horizontal="left" vertical="center"/>
      <protection hidden="1"/>
    </xf>
    <xf numFmtId="0" fontId="0" fillId="0" borderId="81" xfId="0" applyFill="1" applyBorder="1" applyAlignment="1" applyProtection="1">
      <alignment horizontal="center" vertical="center"/>
      <protection hidden="1"/>
    </xf>
    <xf numFmtId="0" fontId="0" fillId="0" borderId="51" xfId="0" applyBorder="1" applyAlignment="1" applyProtection="1">
      <alignment horizontal="left" vertical="center"/>
      <protection hidden="1"/>
    </xf>
    <xf numFmtId="0" fontId="0" fillId="0" borderId="82" xfId="0" applyFill="1" applyBorder="1" applyAlignment="1" applyProtection="1">
      <alignment horizontal="center" vertical="center"/>
      <protection hidden="1"/>
    </xf>
    <xf numFmtId="0" fontId="0" fillId="0" borderId="34" xfId="0" applyBorder="1" applyProtection="1">
      <protection hidden="1"/>
    </xf>
    <xf numFmtId="0" fontId="0" fillId="0" borderId="43" xfId="0" applyBorder="1" applyProtection="1">
      <protection hidden="1"/>
    </xf>
    <xf numFmtId="0" fontId="0" fillId="0" borderId="35" xfId="0" applyBorder="1" applyProtection="1">
      <protection hidden="1"/>
    </xf>
    <xf numFmtId="0" fontId="0" fillId="0" borderId="44" xfId="0" applyBorder="1" applyProtection="1">
      <protection hidden="1"/>
    </xf>
    <xf numFmtId="0" fontId="0" fillId="0" borderId="45" xfId="0" applyBorder="1" applyProtection="1">
      <protection hidden="1"/>
    </xf>
    <xf numFmtId="0" fontId="0" fillId="0" borderId="36" xfId="0" applyBorder="1" applyProtection="1">
      <protection hidden="1"/>
    </xf>
    <xf numFmtId="0" fontId="0" fillId="0" borderId="46" xfId="0" applyBorder="1" applyProtection="1">
      <protection hidden="1"/>
    </xf>
    <xf numFmtId="0" fontId="0" fillId="0" borderId="37" xfId="0" applyBorder="1" applyProtection="1">
      <protection hidden="1"/>
    </xf>
    <xf numFmtId="0" fontId="15" fillId="15" borderId="34" xfId="0" applyFont="1" applyFill="1" applyBorder="1" applyProtection="1">
      <protection hidden="1"/>
    </xf>
    <xf numFmtId="0" fontId="15" fillId="15" borderId="43" xfId="0" applyFont="1" applyFill="1" applyBorder="1" applyProtection="1">
      <protection hidden="1"/>
    </xf>
    <xf numFmtId="0" fontId="15" fillId="15" borderId="35" xfId="0" applyFont="1" applyFill="1" applyBorder="1" applyProtection="1">
      <protection hidden="1"/>
    </xf>
    <xf numFmtId="0" fontId="15" fillId="15" borderId="44" xfId="0" applyFont="1" applyFill="1" applyBorder="1" applyProtection="1">
      <protection hidden="1"/>
    </xf>
    <xf numFmtId="0" fontId="15" fillId="15" borderId="0" xfId="0" applyFont="1" applyFill="1" applyBorder="1" applyProtection="1">
      <protection hidden="1"/>
    </xf>
    <xf numFmtId="0" fontId="15" fillId="15" borderId="45" xfId="0" applyFont="1" applyFill="1" applyBorder="1" applyProtection="1">
      <protection hidden="1"/>
    </xf>
    <xf numFmtId="0" fontId="15" fillId="15" borderId="36" xfId="0" applyFont="1" applyFill="1" applyBorder="1" applyProtection="1">
      <protection hidden="1"/>
    </xf>
    <xf numFmtId="0" fontId="15" fillId="15" borderId="46" xfId="0" applyFont="1" applyFill="1" applyBorder="1" applyProtection="1">
      <protection hidden="1"/>
    </xf>
    <xf numFmtId="0" fontId="15" fillId="15" borderId="37" xfId="0" applyFont="1" applyFill="1" applyBorder="1" applyProtection="1">
      <protection hidden="1"/>
    </xf>
    <xf numFmtId="0" fontId="4" fillId="0" borderId="0" xfId="0" applyFont="1" applyBorder="1" applyAlignment="1" applyProtection="1">
      <alignment horizontal="center"/>
      <protection hidden="1"/>
    </xf>
    <xf numFmtId="0" fontId="5" fillId="22" borderId="55" xfId="0" applyFont="1" applyFill="1" applyBorder="1" applyAlignment="1" applyProtection="1">
      <alignment horizontal="center" vertical="center" wrapText="1"/>
      <protection locked="0"/>
    </xf>
    <xf numFmtId="0" fontId="14" fillId="9" borderId="12" xfId="0" applyFont="1" applyFill="1" applyBorder="1" applyProtection="1">
      <protection locked="0"/>
    </xf>
    <xf numFmtId="0" fontId="0" fillId="0" borderId="0" xfId="0" applyProtection="1">
      <protection locked="0"/>
    </xf>
    <xf numFmtId="0" fontId="0" fillId="0" borderId="0" xfId="0" applyBorder="1" applyProtection="1">
      <protection locked="0"/>
    </xf>
    <xf numFmtId="0" fontId="0" fillId="0" borderId="0" xfId="0" applyFill="1" applyProtection="1">
      <protection locked="0"/>
    </xf>
    <xf numFmtId="0" fontId="0" fillId="7" borderId="17" xfId="0" applyFill="1" applyBorder="1" applyProtection="1">
      <protection locked="0"/>
    </xf>
    <xf numFmtId="0" fontId="0" fillId="7" borderId="0" xfId="0" applyFill="1" applyBorder="1" applyProtection="1">
      <protection locked="0"/>
    </xf>
    <xf numFmtId="0" fontId="0" fillId="7" borderId="18" xfId="0" applyFill="1" applyBorder="1" applyProtection="1">
      <protection locked="0"/>
    </xf>
    <xf numFmtId="0" fontId="11" fillId="7" borderId="0" xfId="0" applyFont="1" applyFill="1" applyBorder="1" applyProtection="1">
      <protection locked="0"/>
    </xf>
    <xf numFmtId="0" fontId="0" fillId="7" borderId="5" xfId="0" applyFill="1" applyBorder="1" applyProtection="1">
      <protection locked="0"/>
    </xf>
    <xf numFmtId="2" fontId="21" fillId="9" borderId="12" xfId="0" applyNumberFormat="1" applyFont="1" applyFill="1" applyBorder="1" applyProtection="1">
      <protection locked="0" hidden="1"/>
    </xf>
    <xf numFmtId="2" fontId="2" fillId="9" borderId="12" xfId="0" applyNumberFormat="1" applyFont="1" applyFill="1" applyBorder="1" applyProtection="1">
      <protection locked="0" hidden="1"/>
    </xf>
    <xf numFmtId="0" fontId="0" fillId="0" borderId="0" xfId="0" applyProtection="1">
      <protection locked="0" hidden="1"/>
    </xf>
    <xf numFmtId="0" fontId="0" fillId="27" borderId="0" xfId="0" applyFill="1" applyBorder="1" applyProtection="1">
      <protection locked="0" hidden="1"/>
    </xf>
    <xf numFmtId="0" fontId="0" fillId="27" borderId="18" xfId="0" applyFill="1" applyBorder="1" applyProtection="1">
      <protection locked="0" hidden="1"/>
    </xf>
    <xf numFmtId="0" fontId="11" fillId="6" borderId="65" xfId="0" applyFont="1" applyFill="1" applyBorder="1" applyProtection="1">
      <protection locked="0" hidden="1"/>
    </xf>
    <xf numFmtId="0" fontId="11" fillId="4" borderId="71" xfId="0" applyFont="1" applyFill="1" applyBorder="1" applyProtection="1">
      <protection locked="0" hidden="1"/>
    </xf>
    <xf numFmtId="0" fontId="11" fillId="4" borderId="68" xfId="0" applyFont="1" applyFill="1" applyBorder="1" applyProtection="1">
      <protection locked="0" hidden="1"/>
    </xf>
    <xf numFmtId="0" fontId="11" fillId="4" borderId="40" xfId="0" applyFont="1" applyFill="1" applyBorder="1" applyProtection="1">
      <protection locked="0" hidden="1"/>
    </xf>
    <xf numFmtId="0" fontId="0" fillId="4" borderId="12" xfId="0" applyFill="1" applyBorder="1" applyProtection="1">
      <protection locked="0" hidden="1"/>
    </xf>
    <xf numFmtId="0" fontId="0" fillId="27" borderId="5" xfId="0" applyFill="1" applyBorder="1" applyProtection="1">
      <protection locked="0" hidden="1"/>
    </xf>
    <xf numFmtId="0" fontId="0" fillId="27" borderId="6" xfId="0" applyFill="1" applyBorder="1" applyProtection="1">
      <protection locked="0" hidden="1"/>
    </xf>
    <xf numFmtId="0" fontId="0" fillId="0" borderId="16" xfId="0" applyBorder="1" applyProtection="1">
      <protection hidden="1"/>
    </xf>
    <xf numFmtId="0" fontId="0" fillId="0" borderId="47" xfId="0" applyBorder="1" applyProtection="1">
      <protection hidden="1"/>
    </xf>
    <xf numFmtId="0" fontId="0" fillId="0" borderId="33" xfId="0" applyBorder="1" applyProtection="1">
      <protection hidden="1"/>
    </xf>
    <xf numFmtId="0" fontId="0" fillId="0" borderId="44" xfId="0" quotePrefix="1" applyBorder="1" applyAlignment="1" applyProtection="1">
      <alignment horizontal="right"/>
      <protection hidden="1"/>
    </xf>
    <xf numFmtId="0" fontId="0" fillId="0" borderId="0" xfId="0" applyBorder="1" applyAlignment="1" applyProtection="1">
      <alignment horizontal="right"/>
      <protection hidden="1"/>
    </xf>
    <xf numFmtId="0" fontId="0" fillId="0" borderId="0" xfId="0" applyFill="1" applyBorder="1" applyProtection="1">
      <protection hidden="1"/>
    </xf>
    <xf numFmtId="0" fontId="0" fillId="0" borderId="44" xfId="0" quotePrefix="1" applyBorder="1" applyAlignment="1" applyProtection="1">
      <alignment horizontal="left"/>
      <protection hidden="1"/>
    </xf>
    <xf numFmtId="0" fontId="3" fillId="27" borderId="17" xfId="0" applyFont="1" applyFill="1" applyBorder="1" applyAlignment="1" applyProtection="1">
      <alignment horizontal="center" vertical="center"/>
      <protection hidden="1"/>
    </xf>
    <xf numFmtId="0" fontId="3" fillId="27" borderId="0" xfId="0" applyFont="1" applyFill="1" applyBorder="1" applyAlignment="1" applyProtection="1">
      <alignment horizontal="center" vertical="center"/>
      <protection hidden="1"/>
    </xf>
    <xf numFmtId="0" fontId="3" fillId="27" borderId="18" xfId="0" applyFont="1" applyFill="1" applyBorder="1" applyAlignment="1" applyProtection="1">
      <alignment horizontal="center" vertical="center"/>
      <protection hidden="1"/>
    </xf>
    <xf numFmtId="0" fontId="0" fillId="27" borderId="17" xfId="0" applyFill="1" applyBorder="1" applyProtection="1">
      <protection hidden="1"/>
    </xf>
    <xf numFmtId="0" fontId="0" fillId="27" borderId="0" xfId="0" applyFill="1" applyBorder="1" applyProtection="1">
      <protection hidden="1"/>
    </xf>
    <xf numFmtId="0" fontId="0" fillId="27" borderId="18" xfId="0" applyFill="1" applyBorder="1" applyProtection="1">
      <protection hidden="1"/>
    </xf>
    <xf numFmtId="0" fontId="1" fillId="26" borderId="9" xfId="0" applyFont="1" applyFill="1" applyBorder="1" applyAlignment="1" applyProtection="1">
      <alignment horizontal="center" vertical="center"/>
      <protection hidden="1"/>
    </xf>
    <xf numFmtId="0" fontId="1" fillId="26" borderId="70" xfId="0" applyFont="1" applyFill="1" applyBorder="1" applyProtection="1">
      <protection hidden="1"/>
    </xf>
    <xf numFmtId="0" fontId="1" fillId="26" borderId="23" xfId="0" applyFont="1" applyFill="1" applyBorder="1" applyProtection="1">
      <protection hidden="1"/>
    </xf>
    <xf numFmtId="0" fontId="1" fillId="26" borderId="69" xfId="0" applyFont="1" applyFill="1" applyBorder="1" applyProtection="1">
      <protection hidden="1"/>
    </xf>
    <xf numFmtId="0" fontId="1" fillId="26" borderId="12" xfId="0" applyFont="1" applyFill="1" applyBorder="1" applyProtection="1">
      <protection hidden="1"/>
    </xf>
    <xf numFmtId="0" fontId="0" fillId="27" borderId="4" xfId="0" applyFill="1" applyBorder="1" applyProtection="1">
      <protection hidden="1"/>
    </xf>
    <xf numFmtId="0" fontId="0" fillId="27" borderId="5" xfId="0" applyFill="1" applyBorder="1" applyProtection="1">
      <protection hidden="1"/>
    </xf>
    <xf numFmtId="0" fontId="3" fillId="23" borderId="12" xfId="0" applyFont="1" applyFill="1" applyBorder="1" applyAlignment="1">
      <alignment horizontal="center" vertical="center"/>
    </xf>
    <xf numFmtId="0" fontId="0" fillId="21" borderId="13" xfId="0" applyFill="1" applyBorder="1" applyAlignment="1" applyProtection="1">
      <alignment horizontal="center" vertical="center" wrapText="1"/>
      <protection locked="0"/>
    </xf>
    <xf numFmtId="0" fontId="0" fillId="8" borderId="65" xfId="0" applyFill="1" applyBorder="1"/>
    <xf numFmtId="0" fontId="11" fillId="15" borderId="87" xfId="0" applyFont="1" applyFill="1" applyBorder="1"/>
    <xf numFmtId="0" fontId="11" fillId="0" borderId="11" xfId="0" applyFont="1" applyFill="1" applyBorder="1"/>
    <xf numFmtId="0" fontId="0" fillId="8" borderId="72" xfId="0" applyFill="1" applyBorder="1"/>
    <xf numFmtId="0" fontId="0" fillId="7" borderId="0" xfId="0" applyFill="1" applyBorder="1" applyAlignment="1">
      <alignment horizontal="center"/>
    </xf>
    <xf numFmtId="0" fontId="1" fillId="7" borderId="0" xfId="0" applyFont="1" applyFill="1" applyBorder="1" applyAlignment="1">
      <alignment horizontal="center" vertical="center"/>
    </xf>
    <xf numFmtId="0" fontId="1" fillId="7" borderId="0" xfId="0" applyFont="1" applyFill="1" applyBorder="1" applyAlignment="1">
      <alignment horizontal="center"/>
    </xf>
    <xf numFmtId="0" fontId="0" fillId="7" borderId="0" xfId="0" applyFill="1" applyBorder="1"/>
    <xf numFmtId="2" fontId="0" fillId="4" borderId="0" xfId="0" applyNumberFormat="1" applyFill="1"/>
    <xf numFmtId="2" fontId="0" fillId="0" borderId="14" xfId="0" applyNumberFormat="1" applyFill="1" applyBorder="1" applyAlignment="1" applyProtection="1">
      <alignment horizontal="center" vertical="center" wrapText="1"/>
      <protection locked="0"/>
    </xf>
    <xf numFmtId="2" fontId="4" fillId="0" borderId="12" xfId="0" applyNumberFormat="1" applyFont="1" applyFill="1" applyBorder="1" applyAlignment="1">
      <alignment horizontal="left" vertical="center" wrapText="1"/>
    </xf>
    <xf numFmtId="0" fontId="4" fillId="0" borderId="12" xfId="0" applyNumberFormat="1" applyFont="1" applyFill="1" applyBorder="1" applyAlignment="1">
      <alignment horizontal="center" vertical="center" wrapText="1"/>
    </xf>
    <xf numFmtId="2" fontId="4" fillId="0" borderId="12" xfId="0" applyNumberFormat="1" applyFont="1" applyFill="1" applyBorder="1" applyAlignment="1">
      <alignment horizontal="center" vertical="center" wrapText="1"/>
    </xf>
    <xf numFmtId="14" fontId="0" fillId="0" borderId="33" xfId="0" applyNumberFormat="1" applyBorder="1" applyAlignment="1">
      <alignment horizontal="center"/>
    </xf>
    <xf numFmtId="0" fontId="0" fillId="0" borderId="12" xfId="0" applyBorder="1" applyAlignment="1">
      <alignment horizontal="center" vertical="center"/>
    </xf>
    <xf numFmtId="0" fontId="9" fillId="0" borderId="0" xfId="0" applyFont="1" applyFill="1" applyBorder="1" applyAlignment="1" applyProtection="1">
      <protection hidden="1"/>
    </xf>
    <xf numFmtId="0" fontId="9" fillId="0" borderId="5" xfId="0" applyFont="1" applyFill="1" applyBorder="1" applyAlignment="1" applyProtection="1">
      <protection hidden="1"/>
    </xf>
    <xf numFmtId="0" fontId="15" fillId="0" borderId="0" xfId="0" applyFont="1" applyProtection="1">
      <protection hidden="1"/>
    </xf>
    <xf numFmtId="0" fontId="15" fillId="0" borderId="0" xfId="0" applyFont="1" applyAlignment="1" applyProtection="1">
      <alignment horizontal="left"/>
      <protection hidden="1"/>
    </xf>
    <xf numFmtId="0" fontId="16" fillId="0" borderId="0" xfId="0" applyFont="1" applyBorder="1" applyProtection="1">
      <protection hidden="1"/>
    </xf>
    <xf numFmtId="0" fontId="16" fillId="0" borderId="44" xfId="0" applyFont="1" applyBorder="1" applyProtection="1">
      <protection hidden="1"/>
    </xf>
    <xf numFmtId="0" fontId="0" fillId="0" borderId="33" xfId="0" applyBorder="1" applyAlignment="1">
      <alignment horizontal="center" vertical="center"/>
    </xf>
    <xf numFmtId="0" fontId="0" fillId="0" borderId="12" xfId="0" applyBorder="1" applyAlignment="1">
      <alignment horizontal="center" vertical="center"/>
    </xf>
    <xf numFmtId="0" fontId="1" fillId="2" borderId="12" xfId="0" applyFont="1" applyFill="1" applyBorder="1" applyProtection="1">
      <protection hidden="1"/>
    </xf>
    <xf numFmtId="0" fontId="14" fillId="0" borderId="0" xfId="0" applyFont="1" applyAlignment="1" applyProtection="1">
      <alignment horizontal="right"/>
      <protection hidden="1"/>
    </xf>
    <xf numFmtId="0" fontId="16" fillId="0" borderId="52" xfId="0" applyFont="1" applyBorder="1" applyAlignment="1" applyProtection="1">
      <alignment horizontal="left" vertical="center"/>
      <protection hidden="1"/>
    </xf>
    <xf numFmtId="0" fontId="16" fillId="0" borderId="54" xfId="0" applyFont="1" applyBorder="1" applyAlignment="1" applyProtection="1">
      <alignment horizontal="left" vertical="center"/>
      <protection hidden="1"/>
    </xf>
    <xf numFmtId="0" fontId="16" fillId="0" borderId="77" xfId="0" applyFont="1" applyFill="1" applyBorder="1" applyAlignment="1" applyProtection="1">
      <alignment horizontal="left" vertical="center"/>
      <protection locked="0"/>
    </xf>
    <xf numFmtId="0" fontId="16" fillId="0" borderId="49" xfId="0" applyFont="1" applyBorder="1" applyAlignment="1" applyProtection="1">
      <alignment horizontal="left" vertical="center"/>
      <protection locked="0"/>
    </xf>
    <xf numFmtId="0" fontId="16" fillId="0" borderId="48" xfId="0" applyFont="1" applyFill="1" applyBorder="1" applyAlignment="1" applyProtection="1">
      <alignment horizontal="left" vertical="center"/>
      <protection locked="0"/>
    </xf>
    <xf numFmtId="0" fontId="16" fillId="0" borderId="50" xfId="0" applyFont="1" applyBorder="1" applyAlignment="1" applyProtection="1">
      <alignment horizontal="center" vertical="center"/>
      <protection hidden="1"/>
    </xf>
    <xf numFmtId="0" fontId="16" fillId="0" borderId="49" xfId="0" applyFont="1" applyBorder="1" applyAlignment="1" applyProtection="1">
      <alignment horizontal="center" vertical="center"/>
      <protection hidden="1"/>
    </xf>
    <xf numFmtId="0" fontId="16" fillId="0" borderId="88" xfId="0" applyFont="1" applyBorder="1" applyAlignment="1" applyProtection="1">
      <alignment horizontal="center" vertical="center"/>
      <protection hidden="1"/>
    </xf>
    <xf numFmtId="0" fontId="16" fillId="0" borderId="89" xfId="0" applyFont="1" applyBorder="1" applyAlignment="1" applyProtection="1">
      <alignment horizontal="left" vertical="center"/>
      <protection locked="0"/>
    </xf>
    <xf numFmtId="0" fontId="16" fillId="0" borderId="89" xfId="0" applyFont="1" applyBorder="1" applyAlignment="1" applyProtection="1">
      <alignment horizontal="center" vertical="center"/>
      <protection hidden="1"/>
    </xf>
    <xf numFmtId="0" fontId="14" fillId="0" borderId="89" xfId="0" applyFont="1" applyBorder="1" applyAlignment="1" applyProtection="1">
      <alignment horizontal="left" vertical="center"/>
      <protection locked="0" hidden="1"/>
    </xf>
    <xf numFmtId="0" fontId="16" fillId="0" borderId="89" xfId="0" applyFont="1" applyBorder="1" applyAlignment="1" applyProtection="1">
      <alignment vertical="center"/>
      <protection hidden="1"/>
    </xf>
    <xf numFmtId="0" fontId="16" fillId="0" borderId="90" xfId="0" applyFont="1" applyBorder="1" applyAlignment="1" applyProtection="1">
      <alignment horizontal="left" vertical="center"/>
      <protection hidden="1"/>
    </xf>
    <xf numFmtId="0" fontId="0" fillId="0" borderId="91" xfId="0" applyBorder="1" applyAlignment="1" applyProtection="1">
      <alignment horizontal="left" vertical="center"/>
      <protection hidden="1"/>
    </xf>
    <xf numFmtId="0" fontId="0" fillId="0" borderId="92" xfId="0" applyFill="1" applyBorder="1" applyAlignment="1" applyProtection="1">
      <alignment horizontal="center" vertical="center"/>
      <protection hidden="1"/>
    </xf>
    <xf numFmtId="0" fontId="16" fillId="0" borderId="93" xfId="0" applyFont="1" applyBorder="1" applyProtection="1">
      <protection hidden="1"/>
    </xf>
    <xf numFmtId="0" fontId="0" fillId="0" borderId="94" xfId="0" applyBorder="1" applyAlignment="1" applyProtection="1">
      <alignment horizontal="left" vertical="center"/>
      <protection hidden="1"/>
    </xf>
    <xf numFmtId="0" fontId="0" fillId="0" borderId="94" xfId="0" applyFill="1" applyBorder="1" applyAlignment="1" applyProtection="1">
      <alignment horizontal="center" vertical="center"/>
      <protection hidden="1"/>
    </xf>
    <xf numFmtId="0" fontId="16" fillId="0" borderId="61" xfId="0" applyFont="1" applyBorder="1" applyProtection="1">
      <protection hidden="1"/>
    </xf>
    <xf numFmtId="0" fontId="0" fillId="0" borderId="60" xfId="0" applyBorder="1" applyAlignment="1" applyProtection="1">
      <alignment horizontal="left" vertical="center"/>
      <protection hidden="1"/>
    </xf>
    <xf numFmtId="0" fontId="0" fillId="0" borderId="60" xfId="0" applyFill="1" applyBorder="1" applyAlignment="1" applyProtection="1">
      <alignment horizontal="center" vertical="center"/>
      <protection hidden="1"/>
    </xf>
    <xf numFmtId="0" fontId="0" fillId="0" borderId="79" xfId="0" applyBorder="1" applyAlignment="1" applyProtection="1">
      <alignment horizontal="left" vertical="center"/>
      <protection hidden="1"/>
    </xf>
    <xf numFmtId="0" fontId="2" fillId="0" borderId="80" xfId="0" applyFont="1" applyBorder="1" applyAlignment="1" applyProtection="1">
      <alignment horizontal="left" vertical="center"/>
      <protection hidden="1"/>
    </xf>
    <xf numFmtId="0" fontId="16" fillId="0" borderId="96" xfId="0" applyFont="1" applyBorder="1" applyProtection="1">
      <protection hidden="1"/>
    </xf>
    <xf numFmtId="0" fontId="0" fillId="0" borderId="97" xfId="0" applyBorder="1" applyAlignment="1" applyProtection="1">
      <alignment horizontal="left" vertical="center"/>
      <protection hidden="1"/>
    </xf>
    <xf numFmtId="0" fontId="0" fillId="0" borderId="97" xfId="0" applyFill="1" applyBorder="1" applyAlignment="1" applyProtection="1">
      <alignment horizontal="center" vertical="center"/>
      <protection hidden="1"/>
    </xf>
    <xf numFmtId="0" fontId="0" fillId="0" borderId="97" xfId="0" applyBorder="1" applyProtection="1">
      <protection hidden="1"/>
    </xf>
    <xf numFmtId="0" fontId="2" fillId="0" borderId="97" xfId="0" applyFont="1" applyBorder="1" applyProtection="1">
      <protection hidden="1"/>
    </xf>
    <xf numFmtId="0" fontId="0" fillId="0" borderId="98" xfId="0" applyBorder="1" applyProtection="1">
      <protection hidden="1"/>
    </xf>
    <xf numFmtId="0" fontId="0" fillId="0" borderId="16" xfId="0" applyBorder="1" applyAlignment="1" applyProtection="1">
      <alignment horizontal="center" vertical="center"/>
      <protection hidden="1"/>
    </xf>
    <xf numFmtId="0" fontId="14" fillId="0" borderId="34" xfId="0" applyFont="1" applyBorder="1" applyAlignment="1">
      <alignment horizontal="center" vertical="center" wrapText="1"/>
    </xf>
    <xf numFmtId="0" fontId="14" fillId="0" borderId="12" xfId="0" applyFont="1" applyBorder="1" applyAlignment="1">
      <alignment horizontal="center" vertical="center" wrapText="1"/>
    </xf>
    <xf numFmtId="0" fontId="2" fillId="9" borderId="12" xfId="0" applyFont="1" applyFill="1" applyBorder="1" applyProtection="1">
      <protection locked="0" hidden="1"/>
    </xf>
    <xf numFmtId="0" fontId="0" fillId="33" borderId="62" xfId="0" applyFill="1" applyBorder="1" applyAlignment="1">
      <alignment horizontal="center" vertical="center" wrapText="1"/>
    </xf>
    <xf numFmtId="0" fontId="0" fillId="33" borderId="12" xfId="0" applyFill="1" applyBorder="1" applyAlignment="1">
      <alignment horizontal="center" vertical="center" wrapText="1"/>
    </xf>
    <xf numFmtId="0" fontId="0" fillId="33" borderId="22" xfId="0" applyFill="1" applyBorder="1" applyAlignment="1">
      <alignment horizontal="center" vertical="center" wrapText="1"/>
    </xf>
    <xf numFmtId="0" fontId="0" fillId="33" borderId="25" xfId="0" applyFill="1" applyBorder="1" applyAlignment="1">
      <alignment horizontal="center" vertical="center" wrapText="1"/>
    </xf>
    <xf numFmtId="0" fontId="0" fillId="34" borderId="63" xfId="0" applyFill="1" applyBorder="1" applyAlignment="1">
      <alignment horizontal="center" vertical="center" wrapText="1"/>
    </xf>
    <xf numFmtId="0" fontId="0" fillId="34" borderId="27" xfId="0" applyFill="1" applyBorder="1" applyAlignment="1">
      <alignment horizontal="center" vertical="center" wrapText="1"/>
    </xf>
    <xf numFmtId="0" fontId="0" fillId="19" borderId="12" xfId="0" applyFill="1" applyBorder="1" applyAlignment="1">
      <alignment horizontal="center" vertical="center" wrapText="1"/>
    </xf>
    <xf numFmtId="0" fontId="0" fillId="19" borderId="25" xfId="0" applyFill="1" applyBorder="1" applyAlignment="1">
      <alignment horizontal="center" vertical="center" wrapText="1"/>
    </xf>
    <xf numFmtId="0" fontId="0" fillId="13" borderId="12" xfId="0" applyFill="1" applyBorder="1" applyAlignment="1">
      <alignment horizontal="center" vertical="center" wrapText="1"/>
    </xf>
    <xf numFmtId="0" fontId="17" fillId="33" borderId="66" xfId="0" applyFont="1" applyFill="1" applyBorder="1" applyAlignment="1">
      <alignment horizontal="center" vertical="center" wrapText="1"/>
    </xf>
    <xf numFmtId="0" fontId="17" fillId="33" borderId="33" xfId="0" applyFont="1" applyFill="1" applyBorder="1" applyAlignment="1">
      <alignment horizontal="center" vertical="center" wrapText="1"/>
    </xf>
    <xf numFmtId="0" fontId="17" fillId="13" borderId="33" xfId="0" applyFont="1" applyFill="1" applyBorder="1" applyAlignment="1">
      <alignment horizontal="center" vertical="center" wrapText="1"/>
    </xf>
    <xf numFmtId="0" fontId="17" fillId="21" borderId="33" xfId="0" applyFont="1" applyFill="1" applyBorder="1" applyAlignment="1">
      <alignment horizontal="center" vertical="center" wrapText="1"/>
    </xf>
    <xf numFmtId="0" fontId="17" fillId="19" borderId="33" xfId="0" applyFont="1" applyFill="1" applyBorder="1" applyAlignment="1">
      <alignment horizontal="center" vertical="center" wrapText="1"/>
    </xf>
    <xf numFmtId="0" fontId="22" fillId="21" borderId="33" xfId="0" applyFont="1" applyFill="1" applyBorder="1" applyAlignment="1">
      <alignment horizontal="center" vertical="center" wrapText="1"/>
    </xf>
    <xf numFmtId="0" fontId="17" fillId="35" borderId="33" xfId="0" applyFont="1" applyFill="1" applyBorder="1" applyAlignment="1">
      <alignment horizontal="center" vertical="center" wrapText="1"/>
    </xf>
    <xf numFmtId="0" fontId="17" fillId="6" borderId="33" xfId="0" applyFont="1" applyFill="1" applyBorder="1" applyAlignment="1">
      <alignment horizontal="center" vertical="center" wrapText="1"/>
    </xf>
    <xf numFmtId="0" fontId="17" fillId="34" borderId="67" xfId="0" applyFont="1" applyFill="1" applyBorder="1" applyAlignment="1">
      <alignment horizontal="center" vertical="center" wrapText="1"/>
    </xf>
    <xf numFmtId="0" fontId="0" fillId="21" borderId="12" xfId="0" applyFill="1" applyBorder="1" applyAlignment="1">
      <alignment horizontal="center" vertical="center" wrapText="1"/>
    </xf>
    <xf numFmtId="0" fontId="0" fillId="35" borderId="12" xfId="0" applyFill="1" applyBorder="1" applyAlignment="1">
      <alignment horizontal="center" vertical="center" wrapText="1"/>
    </xf>
    <xf numFmtId="0" fontId="0" fillId="35" borderId="25" xfId="0" applyFill="1" applyBorder="1" applyAlignment="1">
      <alignment horizontal="center" vertical="center" wrapText="1"/>
    </xf>
    <xf numFmtId="0" fontId="0" fillId="21" borderId="25" xfId="0" applyFill="1" applyBorder="1" applyAlignment="1">
      <alignment horizontal="center" vertical="center" wrapText="1"/>
    </xf>
    <xf numFmtId="0" fontId="0" fillId="13" borderId="25"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25" xfId="0" applyFill="1" applyBorder="1" applyAlignment="1">
      <alignment horizontal="center" vertical="center" wrapText="1"/>
    </xf>
    <xf numFmtId="0" fontId="0" fillId="7" borderId="18" xfId="0" applyFill="1" applyBorder="1" applyProtection="1">
      <protection hidden="1"/>
    </xf>
    <xf numFmtId="0" fontId="0" fillId="7" borderId="6" xfId="0" applyFill="1" applyBorder="1" applyProtection="1">
      <protection hidden="1"/>
    </xf>
    <xf numFmtId="0" fontId="0" fillId="7" borderId="17" xfId="0" applyFill="1" applyBorder="1" applyProtection="1">
      <protection hidden="1"/>
    </xf>
    <xf numFmtId="0" fontId="0" fillId="7" borderId="4" xfId="0" applyFill="1" applyBorder="1" applyProtection="1">
      <protection hidden="1"/>
    </xf>
    <xf numFmtId="0" fontId="2" fillId="0" borderId="96" xfId="0" applyFont="1" applyBorder="1" applyProtection="1">
      <protection hidden="1"/>
    </xf>
    <xf numFmtId="0" fontId="14" fillId="0" borderId="43" xfId="0" applyFont="1" applyBorder="1" applyProtection="1">
      <protection hidden="1"/>
    </xf>
    <xf numFmtId="0" fontId="16" fillId="0" borderId="95" xfId="0" applyFont="1" applyFill="1" applyBorder="1" applyAlignment="1" applyProtection="1">
      <alignment horizontal="right" vertical="center"/>
      <protection hidden="1"/>
    </xf>
    <xf numFmtId="0" fontId="16" fillId="0" borderId="59" xfId="0" applyFont="1" applyFill="1" applyBorder="1" applyAlignment="1" applyProtection="1">
      <alignment horizontal="right" vertical="center"/>
      <protection hidden="1"/>
    </xf>
    <xf numFmtId="0" fontId="16" fillId="0" borderId="98" xfId="0" applyFont="1" applyFill="1" applyBorder="1" applyAlignment="1" applyProtection="1">
      <alignment horizontal="right" vertical="center"/>
      <protection hidden="1"/>
    </xf>
    <xf numFmtId="0" fontId="0" fillId="0" borderId="12" xfId="0" applyBorder="1" applyProtection="1">
      <protection locked="0" hidden="1"/>
    </xf>
    <xf numFmtId="0" fontId="0" fillId="0" borderId="47" xfId="0" applyBorder="1" applyProtection="1">
      <protection locked="0" hidden="1"/>
    </xf>
    <xf numFmtId="0" fontId="0" fillId="0" borderId="16" xfId="0" applyBorder="1" applyProtection="1">
      <protection locked="0" hidden="1"/>
    </xf>
    <xf numFmtId="0" fontId="0" fillId="0" borderId="33" xfId="0" applyBorder="1" applyProtection="1">
      <protection locked="0" hidden="1"/>
    </xf>
    <xf numFmtId="0" fontId="16" fillId="0" borderId="80" xfId="0" applyFont="1" applyBorder="1" applyProtection="1">
      <protection hidden="1"/>
    </xf>
    <xf numFmtId="0" fontId="16" fillId="0" borderId="80" xfId="0" applyFont="1" applyBorder="1" applyAlignment="1" applyProtection="1">
      <alignment horizontal="left"/>
      <protection hidden="1"/>
    </xf>
    <xf numFmtId="0" fontId="16" fillId="0" borderId="78" xfId="0" applyFont="1" applyBorder="1" applyProtection="1">
      <protection hidden="1"/>
    </xf>
    <xf numFmtId="0" fontId="16" fillId="0" borderId="58" xfId="0" applyFont="1" applyBorder="1" applyProtection="1">
      <protection locked="0" hidden="1"/>
    </xf>
    <xf numFmtId="0" fontId="16" fillId="0" borderId="57" xfId="0" applyFont="1" applyBorder="1" applyAlignment="1" applyProtection="1">
      <alignment horizontal="left"/>
      <protection hidden="1"/>
    </xf>
    <xf numFmtId="0" fontId="16" fillId="0" borderId="57" xfId="0" applyFont="1" applyBorder="1" applyProtection="1">
      <protection hidden="1"/>
    </xf>
    <xf numFmtId="0" fontId="16" fillId="0" borderId="56" xfId="0" applyFont="1" applyBorder="1" applyProtection="1">
      <protection hidden="1"/>
    </xf>
    <xf numFmtId="0" fontId="0" fillId="0" borderId="83" xfId="0" applyFont="1" applyBorder="1" applyAlignment="1" applyProtection="1">
      <alignment horizontal="left" vertical="center"/>
      <protection hidden="1"/>
    </xf>
    <xf numFmtId="0" fontId="0" fillId="0" borderId="84" xfId="0" applyFont="1" applyBorder="1" applyProtection="1">
      <protection hidden="1"/>
    </xf>
    <xf numFmtId="0" fontId="0" fillId="0" borderId="81" xfId="0" applyFont="1" applyFill="1" applyBorder="1" applyAlignment="1" applyProtection="1">
      <alignment horizontal="center" vertical="center"/>
      <protection hidden="1"/>
    </xf>
    <xf numFmtId="0" fontId="0" fillId="0" borderId="85" xfId="0" applyFont="1" applyBorder="1" applyProtection="1">
      <protection hidden="1"/>
    </xf>
    <xf numFmtId="0" fontId="0" fillId="0" borderId="86" xfId="0" applyFont="1" applyBorder="1" applyProtection="1">
      <protection hidden="1"/>
    </xf>
    <xf numFmtId="0" fontId="0" fillId="0" borderId="82" xfId="0" applyFont="1" applyFill="1" applyBorder="1" applyAlignment="1" applyProtection="1">
      <alignment horizontal="center" vertical="center"/>
      <protection hidden="1"/>
    </xf>
    <xf numFmtId="0" fontId="0" fillId="0" borderId="0" xfId="0" applyFont="1" applyProtection="1">
      <protection hidden="1"/>
    </xf>
    <xf numFmtId="0" fontId="16" fillId="0" borderId="79" xfId="0" applyFont="1" applyBorder="1" applyAlignment="1" applyProtection="1">
      <alignment horizontal="left"/>
      <protection hidden="1"/>
    </xf>
    <xf numFmtId="0" fontId="0" fillId="0" borderId="101" xfId="0" applyFont="1" applyBorder="1" applyProtection="1">
      <protection hidden="1"/>
    </xf>
    <xf numFmtId="0" fontId="0" fillId="0" borderId="102" xfId="0" applyFont="1" applyBorder="1" applyProtection="1">
      <protection hidden="1"/>
    </xf>
    <xf numFmtId="0" fontId="0" fillId="0" borderId="103" xfId="0" applyFont="1" applyFill="1" applyBorder="1" applyAlignment="1" applyProtection="1">
      <alignment horizontal="center" vertical="center"/>
      <protection hidden="1"/>
    </xf>
    <xf numFmtId="0" fontId="16" fillId="0" borderId="79" xfId="0" applyFont="1" applyBorder="1" applyProtection="1">
      <protection locked="0" hidden="1"/>
    </xf>
    <xf numFmtId="0" fontId="16" fillId="0" borderId="80" xfId="0" applyFont="1" applyBorder="1" applyAlignment="1" applyProtection="1">
      <alignment vertical="center"/>
      <protection locked="0" hidden="1"/>
    </xf>
    <xf numFmtId="0" fontId="16" fillId="0" borderId="80" xfId="0" applyFont="1" applyBorder="1" applyProtection="1">
      <protection locked="0" hidden="1"/>
    </xf>
    <xf numFmtId="0" fontId="16" fillId="0" borderId="80" xfId="0" applyFont="1" applyBorder="1" applyAlignment="1" applyProtection="1">
      <alignment horizontal="left" vertical="center"/>
      <protection hidden="1"/>
    </xf>
    <xf numFmtId="0" fontId="16" fillId="0" borderId="96" xfId="0" applyFont="1" applyBorder="1" applyAlignment="1" applyProtection="1">
      <alignment horizontal="left" vertical="center"/>
      <protection hidden="1"/>
    </xf>
    <xf numFmtId="0" fontId="16" fillId="0" borderId="97" xfId="0" applyFont="1" applyBorder="1" applyProtection="1">
      <protection hidden="1"/>
    </xf>
    <xf numFmtId="0" fontId="16" fillId="0" borderId="97" xfId="0" applyFont="1" applyBorder="1" applyAlignment="1" applyProtection="1">
      <alignment horizontal="left" vertical="center"/>
      <protection hidden="1"/>
    </xf>
    <xf numFmtId="0" fontId="16" fillId="0" borderId="97" xfId="0" applyFont="1" applyBorder="1" applyAlignment="1" applyProtection="1">
      <alignment horizontal="right"/>
      <protection hidden="1"/>
    </xf>
    <xf numFmtId="0" fontId="16" fillId="0" borderId="98" xfId="0" applyFont="1" applyBorder="1" applyProtection="1">
      <protection hidden="1"/>
    </xf>
    <xf numFmtId="0" fontId="16" fillId="0" borderId="80" xfId="0" applyFont="1" applyBorder="1" applyAlignment="1" applyProtection="1">
      <alignment vertical="center"/>
      <protection hidden="1"/>
    </xf>
    <xf numFmtId="0" fontId="16" fillId="0" borderId="57" xfId="0" applyFont="1" applyBorder="1" applyAlignment="1" applyProtection="1">
      <alignment horizontal="right"/>
      <protection hidden="1"/>
    </xf>
    <xf numFmtId="0" fontId="16" fillId="0" borderId="80" xfId="0" applyFont="1" applyBorder="1" applyAlignment="1" applyProtection="1">
      <alignment horizontal="right"/>
      <protection hidden="1"/>
    </xf>
    <xf numFmtId="0" fontId="2" fillId="0" borderId="34" xfId="0" applyFont="1" applyBorder="1" applyAlignment="1" applyProtection="1">
      <alignment horizontal="left" vertical="center"/>
      <protection hidden="1"/>
    </xf>
    <xf numFmtId="0" fontId="0" fillId="0" borderId="43" xfId="0" applyBorder="1" applyAlignment="1" applyProtection="1">
      <protection hidden="1"/>
    </xf>
    <xf numFmtId="0" fontId="2" fillId="0" borderId="44" xfId="0" applyFont="1" applyBorder="1" applyAlignment="1" applyProtection="1">
      <alignment horizontal="left" vertical="center"/>
      <protection hidden="1"/>
    </xf>
    <xf numFmtId="0" fontId="0" fillId="0" borderId="0" xfId="0" quotePrefix="1" applyBorder="1" applyAlignment="1" applyProtection="1">
      <protection hidden="1"/>
    </xf>
    <xf numFmtId="0" fontId="2" fillId="0" borderId="36" xfId="0" applyFont="1" applyBorder="1" applyAlignment="1" applyProtection="1">
      <alignment horizontal="left" vertical="center"/>
      <protection hidden="1"/>
    </xf>
    <xf numFmtId="0" fontId="0" fillId="0" borderId="37" xfId="0" applyBorder="1" applyAlignment="1" applyProtection="1">
      <protection hidden="1"/>
    </xf>
    <xf numFmtId="0" fontId="0" fillId="0" borderId="37" xfId="0" applyBorder="1" applyAlignment="1" applyProtection="1">
      <alignment horizontal="center" vertical="center"/>
      <protection hidden="1"/>
    </xf>
    <xf numFmtId="0" fontId="0" fillId="0" borderId="15" xfId="0" applyBorder="1" applyAlignment="1" applyProtection="1">
      <protection hidden="1"/>
    </xf>
    <xf numFmtId="0" fontId="2" fillId="0" borderId="104" xfId="0" applyFont="1" applyBorder="1" applyProtection="1">
      <protection hidden="1"/>
    </xf>
    <xf numFmtId="0" fontId="0" fillId="0" borderId="105" xfId="0" applyBorder="1" applyProtection="1">
      <protection hidden="1"/>
    </xf>
    <xf numFmtId="0" fontId="2" fillId="0" borderId="105" xfId="0" applyFont="1" applyBorder="1" applyProtection="1">
      <protection hidden="1"/>
    </xf>
    <xf numFmtId="0" fontId="0" fillId="0" borderId="106" xfId="0" applyBorder="1" applyProtection="1">
      <protection hidden="1"/>
    </xf>
    <xf numFmtId="0" fontId="2" fillId="0" borderId="107" xfId="0" applyFont="1" applyBorder="1" applyProtection="1">
      <protection hidden="1"/>
    </xf>
    <xf numFmtId="0" fontId="0" fillId="0" borderId="108" xfId="0" applyBorder="1" applyProtection="1">
      <protection hidden="1"/>
    </xf>
    <xf numFmtId="0" fontId="2" fillId="0" borderId="108" xfId="0" applyFont="1" applyBorder="1" applyProtection="1">
      <protection hidden="1"/>
    </xf>
    <xf numFmtId="0" fontId="0" fillId="0" borderId="109" xfId="0" applyBorder="1" applyProtection="1">
      <protection hidden="1"/>
    </xf>
    <xf numFmtId="0" fontId="14" fillId="0" borderId="12" xfId="0" applyFont="1" applyBorder="1" applyAlignment="1" applyProtection="1">
      <alignment horizontal="center" vertical="center"/>
      <protection locked="0" hidden="1"/>
    </xf>
    <xf numFmtId="0" fontId="16" fillId="0" borderId="12" xfId="0" applyFont="1" applyBorder="1" applyAlignment="1" applyProtection="1">
      <alignment horizontal="center" vertical="center"/>
      <protection locked="0" hidden="1"/>
    </xf>
    <xf numFmtId="0" fontId="2" fillId="0" borderId="12"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16" fillId="6" borderId="16" xfId="0" applyFont="1" applyFill="1" applyBorder="1" applyAlignment="1" applyProtection="1">
      <alignment horizontal="left" vertical="center"/>
      <protection hidden="1"/>
    </xf>
    <xf numFmtId="0" fontId="16" fillId="0" borderId="47" xfId="0" applyFont="1" applyFill="1" applyBorder="1" applyAlignment="1" applyProtection="1">
      <alignment horizontal="left" vertical="center"/>
      <protection hidden="1"/>
    </xf>
    <xf numFmtId="0" fontId="16" fillId="0" borderId="46" xfId="0" applyFont="1" applyFill="1" applyBorder="1" applyAlignment="1" applyProtection="1">
      <alignment horizontal="left" vertical="center"/>
      <protection hidden="1"/>
    </xf>
    <xf numFmtId="0" fontId="16" fillId="0" borderId="37" xfId="0" applyFont="1" applyFill="1" applyBorder="1" applyAlignment="1" applyProtection="1">
      <alignment horizontal="left" vertical="center"/>
      <protection hidden="1"/>
    </xf>
    <xf numFmtId="0" fontId="16" fillId="0" borderId="33" xfId="0" applyFont="1" applyFill="1" applyBorder="1" applyAlignment="1" applyProtection="1">
      <alignment horizontal="left" vertical="center"/>
      <protection hidden="1"/>
    </xf>
    <xf numFmtId="0" fontId="16" fillId="6" borderId="36" xfId="0" applyFont="1" applyFill="1" applyBorder="1" applyAlignment="1" applyProtection="1">
      <alignment horizontal="left" vertical="center"/>
      <protection hidden="1"/>
    </xf>
    <xf numFmtId="0" fontId="14" fillId="6" borderId="0" xfId="0" applyFont="1" applyFill="1" applyBorder="1" applyAlignment="1" applyProtection="1">
      <alignment horizontal="left" vertical="center"/>
      <protection hidden="1"/>
    </xf>
    <xf numFmtId="0" fontId="5" fillId="6" borderId="0" xfId="0" applyFont="1" applyFill="1" applyBorder="1" applyAlignment="1" applyProtection="1">
      <alignment horizontal="left" vertical="center"/>
      <protection hidden="1"/>
    </xf>
    <xf numFmtId="0" fontId="0" fillId="0" borderId="0" xfId="0" applyBorder="1" applyAlignment="1" applyProtection="1">
      <alignment horizontal="center" vertical="center"/>
      <protection hidden="1"/>
    </xf>
    <xf numFmtId="0" fontId="5" fillId="6" borderId="46" xfId="0" applyFont="1" applyFill="1" applyBorder="1" applyAlignment="1" applyProtection="1">
      <alignment horizontal="left" vertical="center"/>
      <protection hidden="1"/>
    </xf>
    <xf numFmtId="0" fontId="5" fillId="6" borderId="47" xfId="0" applyFont="1" applyFill="1" applyBorder="1" applyAlignment="1" applyProtection="1">
      <alignment horizontal="left" vertical="center"/>
      <protection hidden="1"/>
    </xf>
    <xf numFmtId="0" fontId="0" fillId="0" borderId="47" xfId="0" applyBorder="1" applyAlignment="1" applyProtection="1">
      <alignment horizontal="center" vertical="center"/>
      <protection hidden="1"/>
    </xf>
    <xf numFmtId="0" fontId="0" fillId="0" borderId="46" xfId="0" applyBorder="1" applyAlignment="1" applyProtection="1">
      <alignment horizontal="center" vertical="center"/>
      <protection hidden="1"/>
    </xf>
    <xf numFmtId="0" fontId="16" fillId="0" borderId="0" xfId="0" applyFont="1" applyAlignment="1" applyProtection="1">
      <alignment horizontal="left" vertical="center"/>
      <protection hidden="1"/>
    </xf>
    <xf numFmtId="0" fontId="17" fillId="0" borderId="43" xfId="0" applyFont="1" applyBorder="1" applyAlignment="1" applyProtection="1">
      <alignment horizontal="center"/>
      <protection hidden="1"/>
    </xf>
    <xf numFmtId="0" fontId="17" fillId="0" borderId="43" xfId="0" applyFont="1" applyBorder="1" applyProtection="1">
      <protection hidden="1"/>
    </xf>
    <xf numFmtId="0" fontId="14" fillId="0" borderId="0" xfId="0" applyFont="1" applyAlignment="1" applyProtection="1">
      <alignment horizontal="center" vertical="center"/>
      <protection hidden="1"/>
    </xf>
    <xf numFmtId="0" fontId="3" fillId="23" borderId="12" xfId="0" applyFont="1" applyFill="1" applyBorder="1" applyAlignment="1" applyProtection="1">
      <alignment horizontal="center" vertical="center"/>
      <protection hidden="1"/>
    </xf>
    <xf numFmtId="14" fontId="16" fillId="0" borderId="12" xfId="0" applyNumberFormat="1" applyFont="1" applyBorder="1" applyAlignment="1" applyProtection="1">
      <alignment horizontal="center" vertical="center"/>
      <protection locked="0" hidden="1"/>
    </xf>
    <xf numFmtId="0" fontId="14" fillId="19" borderId="21" xfId="0" applyFont="1" applyFill="1" applyBorder="1" applyProtection="1">
      <protection hidden="1"/>
    </xf>
    <xf numFmtId="0" fontId="14" fillId="19" borderId="20" xfId="0" applyFont="1" applyFill="1" applyBorder="1" applyProtection="1">
      <protection hidden="1"/>
    </xf>
    <xf numFmtId="0" fontId="14" fillId="19" borderId="26" xfId="0" applyFont="1" applyFill="1" applyBorder="1" applyProtection="1">
      <protection hidden="1"/>
    </xf>
    <xf numFmtId="0" fontId="0" fillId="36" borderId="17" xfId="0" applyFill="1" applyBorder="1"/>
    <xf numFmtId="0" fontId="1" fillId="26" borderId="12" xfId="0" applyFont="1" applyFill="1" applyBorder="1" applyAlignment="1" applyProtection="1">
      <alignment horizontal="center" vertical="center"/>
      <protection hidden="1"/>
    </xf>
    <xf numFmtId="0" fontId="15" fillId="0" borderId="22" xfId="0" applyFont="1" applyBorder="1" applyAlignment="1" applyProtection="1">
      <alignment horizontal="center" vertical="center"/>
      <protection locked="0"/>
    </xf>
    <xf numFmtId="0" fontId="15" fillId="20" borderId="25" xfId="0" applyFont="1" applyFill="1" applyBorder="1" applyAlignment="1" applyProtection="1">
      <alignment horizontal="center" vertical="center"/>
      <protection locked="0" hidden="1"/>
    </xf>
    <xf numFmtId="0" fontId="2" fillId="6" borderId="12" xfId="0" applyFont="1" applyFill="1" applyBorder="1" applyProtection="1">
      <protection locked="0" hidden="1"/>
    </xf>
    <xf numFmtId="0" fontId="0" fillId="36" borderId="0" xfId="0" applyFill="1" applyBorder="1" applyProtection="1">
      <protection hidden="1"/>
    </xf>
    <xf numFmtId="0" fontId="0" fillId="36" borderId="17" xfId="0" applyFill="1" applyBorder="1" applyProtection="1">
      <protection hidden="1"/>
    </xf>
    <xf numFmtId="0" fontId="0" fillId="36" borderId="18" xfId="0" applyFill="1" applyBorder="1" applyProtection="1">
      <protection hidden="1"/>
    </xf>
    <xf numFmtId="0" fontId="0" fillId="36" borderId="4" xfId="0" applyFill="1" applyBorder="1" applyProtection="1">
      <protection hidden="1"/>
    </xf>
    <xf numFmtId="0" fontId="0" fillId="36" borderId="5" xfId="0" applyFill="1" applyBorder="1" applyProtection="1">
      <protection hidden="1"/>
    </xf>
    <xf numFmtId="0" fontId="0" fillId="36" borderId="6" xfId="0" applyFill="1" applyBorder="1" applyProtection="1">
      <protection hidden="1"/>
    </xf>
    <xf numFmtId="0" fontId="0" fillId="30" borderId="1" xfId="0" applyFill="1" applyBorder="1" applyAlignment="1"/>
    <xf numFmtId="0" fontId="0" fillId="30" borderId="17" xfId="0" applyFill="1" applyBorder="1" applyAlignment="1"/>
    <xf numFmtId="0" fontId="14" fillId="30" borderId="0" xfId="0" applyFont="1" applyFill="1" applyBorder="1" applyProtection="1">
      <protection hidden="1"/>
    </xf>
    <xf numFmtId="0" fontId="15" fillId="30" borderId="0" xfId="0" applyFont="1" applyFill="1" applyBorder="1" applyAlignment="1" applyProtection="1">
      <alignment horizontal="center" vertical="center"/>
      <protection locked="0" hidden="1"/>
    </xf>
    <xf numFmtId="0" fontId="15" fillId="20" borderId="27" xfId="0" applyFont="1" applyFill="1" applyBorder="1" applyAlignment="1" applyProtection="1">
      <alignment horizontal="center" vertical="center"/>
      <protection locked="0" hidden="1"/>
    </xf>
    <xf numFmtId="0" fontId="14" fillId="19" borderId="72" xfId="0" applyFont="1" applyFill="1" applyBorder="1" applyProtection="1">
      <protection hidden="1"/>
    </xf>
    <xf numFmtId="0" fontId="9" fillId="6" borderId="76" xfId="0" applyFont="1" applyFill="1" applyBorder="1" applyAlignment="1" applyProtection="1">
      <alignment horizontal="center" vertical="center"/>
      <protection locked="0"/>
    </xf>
    <xf numFmtId="0" fontId="0" fillId="6" borderId="12" xfId="0" applyFill="1" applyBorder="1" applyAlignment="1" applyProtection="1">
      <alignment horizontal="center" vertical="center"/>
      <protection locked="0" hidden="1"/>
    </xf>
    <xf numFmtId="0" fontId="0" fillId="6" borderId="12" xfId="0" applyFill="1" applyBorder="1" applyAlignment="1" applyProtection="1">
      <alignment horizontal="center"/>
      <protection locked="0" hidden="1"/>
    </xf>
    <xf numFmtId="0" fontId="14" fillId="0" borderId="16" xfId="0" applyFont="1" applyBorder="1"/>
    <xf numFmtId="0" fontId="14" fillId="0" borderId="16" xfId="0" applyFont="1" applyBorder="1" applyAlignment="1">
      <alignment vertical="center" wrapText="1"/>
    </xf>
    <xf numFmtId="0" fontId="14" fillId="0" borderId="16" xfId="0" applyFont="1" applyBorder="1" applyAlignment="1">
      <alignment horizontal="left" vertical="center" wrapText="1"/>
    </xf>
    <xf numFmtId="0" fontId="16" fillId="0" borderId="0" xfId="0" applyFont="1"/>
    <xf numFmtId="0" fontId="16" fillId="0" borderId="0" xfId="0" applyFont="1" applyBorder="1"/>
    <xf numFmtId="0" fontId="16" fillId="0" borderId="46" xfId="0" applyFont="1" applyBorder="1"/>
    <xf numFmtId="0" fontId="16" fillId="0" borderId="0" xfId="0" applyFont="1" applyBorder="1" applyAlignment="1">
      <alignment horizontal="center"/>
    </xf>
    <xf numFmtId="0" fontId="14" fillId="0" borderId="16" xfId="0" applyFont="1" applyBorder="1" applyAlignment="1">
      <alignment horizontal="center" wrapText="1"/>
    </xf>
    <xf numFmtId="0" fontId="4" fillId="0" borderId="12" xfId="0" applyFont="1" applyBorder="1" applyAlignment="1" applyProtection="1">
      <alignment horizontal="center" vertical="center" wrapText="1"/>
      <protection locked="0"/>
    </xf>
    <xf numFmtId="14" fontId="4" fillId="0" borderId="12" xfId="0" applyNumberFormat="1" applyFont="1" applyBorder="1" applyAlignment="1" applyProtection="1">
      <alignment horizontal="center" vertical="center" wrapText="1"/>
      <protection locked="0"/>
    </xf>
    <xf numFmtId="0" fontId="3" fillId="10" borderId="0" xfId="0" applyFont="1" applyFill="1" applyBorder="1" applyAlignment="1">
      <alignment vertical="center"/>
    </xf>
    <xf numFmtId="14" fontId="6" fillId="0" borderId="12" xfId="0" applyNumberFormat="1" applyFont="1" applyFill="1" applyBorder="1" applyAlignment="1" applyProtection="1">
      <alignment horizontal="center" vertical="center" wrapText="1"/>
      <protection locked="0"/>
    </xf>
    <xf numFmtId="2" fontId="6" fillId="0" borderId="12" xfId="0" applyNumberFormat="1" applyFont="1" applyFill="1" applyBorder="1" applyAlignment="1" applyProtection="1">
      <alignment horizontal="center" vertical="center" wrapText="1"/>
      <protection locked="0"/>
    </xf>
    <xf numFmtId="2" fontId="4" fillId="0" borderId="12" xfId="0" applyNumberFormat="1" applyFont="1" applyBorder="1" applyAlignment="1" applyProtection="1">
      <alignment horizontal="center" vertical="center" wrapText="1"/>
      <protection locked="0"/>
    </xf>
    <xf numFmtId="0" fontId="11" fillId="2" borderId="0" xfId="0" applyFont="1" applyFill="1" applyProtection="1">
      <protection hidden="1"/>
    </xf>
    <xf numFmtId="0" fontId="11" fillId="2" borderId="1" xfId="0" applyFont="1" applyFill="1" applyBorder="1" applyProtection="1">
      <protection hidden="1"/>
    </xf>
    <xf numFmtId="0" fontId="11" fillId="2" borderId="2" xfId="0" applyFont="1" applyFill="1" applyBorder="1" applyProtection="1">
      <protection hidden="1"/>
    </xf>
    <xf numFmtId="0" fontId="11" fillId="2" borderId="3" xfId="0" applyFont="1" applyFill="1" applyBorder="1" applyProtection="1">
      <protection hidden="1"/>
    </xf>
    <xf numFmtId="0" fontId="11" fillId="2" borderId="17" xfId="0" applyFont="1" applyFill="1" applyBorder="1" applyProtection="1">
      <protection hidden="1"/>
    </xf>
    <xf numFmtId="0" fontId="31" fillId="2" borderId="18" xfId="0" applyFont="1" applyFill="1" applyBorder="1" applyAlignment="1" applyProtection="1">
      <alignment vertical="center"/>
      <protection hidden="1"/>
    </xf>
    <xf numFmtId="0" fontId="11" fillId="2" borderId="0" xfId="0" applyFont="1" applyFill="1" applyBorder="1" applyProtection="1">
      <protection hidden="1"/>
    </xf>
    <xf numFmtId="0" fontId="11" fillId="2" borderId="18" xfId="0" applyFont="1" applyFill="1" applyBorder="1" applyProtection="1">
      <protection hidden="1"/>
    </xf>
    <xf numFmtId="0" fontId="11" fillId="2" borderId="4" xfId="0" applyFont="1" applyFill="1" applyBorder="1" applyProtection="1">
      <protection hidden="1"/>
    </xf>
    <xf numFmtId="0" fontId="11" fillId="2" borderId="5" xfId="0" applyFont="1" applyFill="1" applyBorder="1" applyProtection="1">
      <protection hidden="1"/>
    </xf>
    <xf numFmtId="0" fontId="11" fillId="2" borderId="6" xfId="0" applyFont="1" applyFill="1" applyBorder="1" applyProtection="1">
      <protection hidden="1"/>
    </xf>
    <xf numFmtId="0" fontId="11" fillId="2" borderId="17" xfId="0" applyFont="1" applyFill="1" applyBorder="1" applyAlignment="1" applyProtection="1">
      <protection hidden="1"/>
    </xf>
    <xf numFmtId="0" fontId="11" fillId="2" borderId="0" xfId="0" applyFont="1" applyFill="1" applyBorder="1" applyAlignment="1" applyProtection="1">
      <protection hidden="1"/>
    </xf>
    <xf numFmtId="0" fontId="11" fillId="2" borderId="18" xfId="0" applyFont="1" applyFill="1" applyBorder="1" applyAlignment="1" applyProtection="1">
      <protection hidden="1"/>
    </xf>
    <xf numFmtId="0" fontId="11" fillId="2" borderId="4" xfId="0" applyFont="1" applyFill="1" applyBorder="1" applyAlignment="1" applyProtection="1">
      <protection hidden="1"/>
    </xf>
    <xf numFmtId="0" fontId="11" fillId="2" borderId="5" xfId="0" applyFont="1" applyFill="1" applyBorder="1" applyAlignment="1" applyProtection="1">
      <protection hidden="1"/>
    </xf>
    <xf numFmtId="0" fontId="11" fillId="2" borderId="6" xfId="0" applyFont="1" applyFill="1" applyBorder="1" applyAlignment="1" applyProtection="1">
      <protection hidden="1"/>
    </xf>
    <xf numFmtId="0" fontId="0" fillId="28" borderId="0" xfId="0" applyFill="1"/>
    <xf numFmtId="0" fontId="0" fillId="0" borderId="13" xfId="0" applyFill="1" applyBorder="1" applyAlignment="1">
      <alignment horizontal="center" vertical="center"/>
    </xf>
    <xf numFmtId="2" fontId="0" fillId="0" borderId="13" xfId="0" applyNumberFormat="1" applyFill="1" applyBorder="1" applyAlignment="1">
      <alignment horizontal="center" vertical="center"/>
    </xf>
    <xf numFmtId="0" fontId="2" fillId="0" borderId="13" xfId="0" applyNumberFormat="1" applyFont="1" applyFill="1" applyBorder="1" applyAlignment="1">
      <alignment horizontal="center" vertical="center"/>
    </xf>
    <xf numFmtId="0" fontId="0" fillId="0" borderId="35" xfId="0" applyNumberFormat="1" applyFill="1" applyBorder="1" applyAlignment="1">
      <alignment horizontal="center" vertical="center"/>
    </xf>
    <xf numFmtId="0" fontId="2" fillId="0" borderId="35" xfId="0" applyNumberFormat="1" applyFont="1" applyFill="1" applyBorder="1" applyAlignment="1">
      <alignment horizontal="center" vertical="center"/>
    </xf>
    <xf numFmtId="2" fontId="14" fillId="0" borderId="13" xfId="0" applyNumberFormat="1" applyFont="1" applyFill="1" applyBorder="1" applyAlignment="1">
      <alignment horizontal="center" vertical="center"/>
    </xf>
    <xf numFmtId="0" fontId="0" fillId="0" borderId="35" xfId="0" applyFill="1" applyBorder="1" applyAlignment="1">
      <alignment horizontal="center" vertical="center"/>
    </xf>
    <xf numFmtId="0" fontId="0" fillId="28" borderId="0" xfId="0" applyFill="1" applyAlignment="1">
      <alignment horizontal="center" vertical="center"/>
    </xf>
    <xf numFmtId="0" fontId="1" fillId="38" borderId="37" xfId="0" applyFont="1" applyFill="1" applyBorder="1" applyAlignment="1">
      <alignment horizontal="center" vertical="center" wrapText="1"/>
    </xf>
    <xf numFmtId="0" fontId="1" fillId="38" borderId="15" xfId="0" applyFont="1" applyFill="1" applyBorder="1" applyAlignment="1">
      <alignment horizontal="center" vertical="center" wrapText="1"/>
    </xf>
    <xf numFmtId="2" fontId="1" fillId="38" borderId="15" xfId="0" applyNumberFormat="1" applyFont="1" applyFill="1" applyBorder="1" applyAlignment="1">
      <alignment horizontal="center" vertical="center" wrapText="1"/>
    </xf>
    <xf numFmtId="2" fontId="3" fillId="38" borderId="36" xfId="0" applyNumberFormat="1" applyFont="1" applyFill="1" applyBorder="1" applyAlignment="1">
      <alignment horizontal="center" vertical="center" wrapText="1"/>
    </xf>
    <xf numFmtId="0" fontId="1" fillId="37" borderId="15" xfId="0" applyFont="1" applyFill="1" applyBorder="1" applyAlignment="1">
      <alignment horizontal="center" vertical="center" wrapText="1"/>
    </xf>
    <xf numFmtId="2" fontId="1" fillId="37" borderId="15" xfId="0" applyNumberFormat="1" applyFont="1" applyFill="1" applyBorder="1" applyAlignment="1">
      <alignment horizontal="center" vertical="center" wrapText="1"/>
    </xf>
    <xf numFmtId="2" fontId="0" fillId="28" borderId="0" xfId="0" applyNumberFormat="1" applyFill="1"/>
    <xf numFmtId="0" fontId="0" fillId="32" borderId="0" xfId="0" applyFill="1"/>
    <xf numFmtId="0" fontId="3" fillId="32" borderId="0" xfId="0" applyFont="1" applyFill="1" applyBorder="1" applyAlignment="1">
      <alignment vertical="center"/>
    </xf>
    <xf numFmtId="14" fontId="0" fillId="32" borderId="0" xfId="0" applyNumberFormat="1" applyFill="1"/>
    <xf numFmtId="0" fontId="0" fillId="0" borderId="36" xfId="0" applyBorder="1" applyAlignment="1">
      <alignment horizontal="center" vertical="center" wrapText="1"/>
    </xf>
    <xf numFmtId="0" fontId="0" fillId="0" borderId="0" xfId="0" applyAlignment="1" applyProtection="1">
      <alignment horizontal="center" vertical="center"/>
      <protection hidden="1"/>
    </xf>
    <xf numFmtId="0" fontId="2" fillId="24" borderId="14" xfId="0" applyNumberFormat="1" applyFont="1" applyFill="1" applyBorder="1" applyAlignment="1" applyProtection="1">
      <alignment horizontal="center" vertical="center" wrapText="1"/>
      <protection locked="0"/>
    </xf>
    <xf numFmtId="0" fontId="0" fillId="9" borderId="74" xfId="0" applyFill="1" applyBorder="1" applyProtection="1">
      <protection locked="0" hidden="1"/>
    </xf>
    <xf numFmtId="0" fontId="0" fillId="9" borderId="24" xfId="0" applyFill="1" applyBorder="1" applyProtection="1">
      <protection locked="0" hidden="1"/>
    </xf>
    <xf numFmtId="0" fontId="0" fillId="0" borderId="33" xfId="0" applyFill="1" applyBorder="1" applyProtection="1">
      <protection hidden="1"/>
    </xf>
    <xf numFmtId="14" fontId="0" fillId="0" borderId="12" xfId="0" applyNumberFormat="1" applyFill="1" applyBorder="1" applyProtection="1">
      <protection hidden="1"/>
    </xf>
    <xf numFmtId="0" fontId="0" fillId="0" borderId="12" xfId="0" applyFill="1" applyBorder="1" applyProtection="1">
      <protection hidden="1"/>
    </xf>
    <xf numFmtId="2" fontId="0" fillId="0" borderId="12" xfId="0" applyNumberFormat="1" applyFill="1" applyBorder="1" applyAlignment="1" applyProtection="1">
      <alignment horizontal="center" vertical="center"/>
      <protection hidden="1"/>
    </xf>
    <xf numFmtId="0" fontId="0" fillId="0" borderId="0" xfId="0" applyFill="1" applyProtection="1">
      <protection hidden="1"/>
    </xf>
    <xf numFmtId="0" fontId="0" fillId="0" borderId="16" xfId="0" applyFill="1" applyBorder="1" applyProtection="1">
      <protection hidden="1"/>
    </xf>
    <xf numFmtId="0" fontId="0" fillId="0" borderId="35" xfId="0" applyFill="1" applyBorder="1" applyProtection="1">
      <protection hidden="1"/>
    </xf>
    <xf numFmtId="0" fontId="0" fillId="0" borderId="34" xfId="0" applyFill="1" applyBorder="1" applyProtection="1">
      <protection hidden="1"/>
    </xf>
    <xf numFmtId="0" fontId="0" fillId="0" borderId="34" xfId="0" applyNumberFormat="1" applyFill="1" applyBorder="1" applyProtection="1">
      <protection hidden="1"/>
    </xf>
    <xf numFmtId="0" fontId="0" fillId="9" borderId="38" xfId="0" applyFill="1" applyBorder="1" applyProtection="1">
      <protection locked="0" hidden="1"/>
    </xf>
    <xf numFmtId="0" fontId="7" fillId="22" borderId="65" xfId="0" applyFont="1" applyFill="1" applyBorder="1" applyAlignment="1" applyProtection="1">
      <alignment horizontal="center" vertical="center" wrapText="1"/>
      <protection locked="0" hidden="1"/>
    </xf>
    <xf numFmtId="0" fontId="0" fillId="0" borderId="6" xfId="0" applyFill="1" applyBorder="1" applyProtection="1">
      <protection locked="0" hidden="1"/>
    </xf>
    <xf numFmtId="0" fontId="2" fillId="18" borderId="39" xfId="0" applyFont="1" applyFill="1" applyBorder="1" applyAlignment="1" applyProtection="1">
      <alignment wrapText="1"/>
      <protection hidden="1"/>
    </xf>
    <xf numFmtId="0" fontId="2" fillId="18" borderId="40" xfId="0" applyFont="1" applyFill="1" applyBorder="1" applyAlignment="1" applyProtection="1">
      <alignment wrapText="1"/>
      <protection hidden="1"/>
    </xf>
    <xf numFmtId="0" fontId="0" fillId="14" borderId="0" xfId="0" applyFill="1" applyProtection="1">
      <protection hidden="1"/>
    </xf>
    <xf numFmtId="0" fontId="10" fillId="14" borderId="37" xfId="0" applyFont="1" applyFill="1" applyBorder="1" applyAlignment="1" applyProtection="1">
      <alignment horizontal="left" vertical="center" wrapText="1"/>
      <protection hidden="1"/>
    </xf>
    <xf numFmtId="0" fontId="10" fillId="14" borderId="15" xfId="0" applyFont="1" applyFill="1" applyBorder="1" applyAlignment="1" applyProtection="1">
      <alignment horizontal="center" vertical="center" wrapText="1"/>
      <protection hidden="1"/>
    </xf>
    <xf numFmtId="0" fontId="1" fillId="14" borderId="15" xfId="0" applyFont="1" applyFill="1" applyBorder="1" applyAlignment="1" applyProtection="1">
      <alignment horizontal="center" vertical="center" wrapText="1"/>
      <protection hidden="1"/>
    </xf>
    <xf numFmtId="2" fontId="10" fillId="14" borderId="15" xfId="0" applyNumberFormat="1" applyFont="1" applyFill="1" applyBorder="1" applyAlignment="1" applyProtection="1">
      <alignment horizontal="center" vertical="center" wrapText="1"/>
      <protection hidden="1"/>
    </xf>
    <xf numFmtId="14" fontId="20" fillId="6" borderId="6" xfId="0" applyNumberFormat="1" applyFont="1" applyFill="1" applyBorder="1" applyAlignment="1" applyProtection="1">
      <alignment horizontal="center" vertical="center"/>
      <protection locked="0" hidden="1"/>
    </xf>
    <xf numFmtId="0" fontId="0" fillId="30" borderId="0" xfId="0" applyFill="1" applyProtection="1">
      <protection hidden="1"/>
    </xf>
    <xf numFmtId="0" fontId="0" fillId="19" borderId="1" xfId="0" applyFill="1" applyBorder="1" applyProtection="1">
      <protection hidden="1"/>
    </xf>
    <xf numFmtId="0" fontId="0" fillId="19" borderId="2" xfId="0" applyFill="1" applyBorder="1" applyProtection="1">
      <protection hidden="1"/>
    </xf>
    <xf numFmtId="0" fontId="0" fillId="19" borderId="3" xfId="0" applyFill="1" applyBorder="1" applyProtection="1">
      <protection hidden="1"/>
    </xf>
    <xf numFmtId="0" fontId="0" fillId="19" borderId="17" xfId="0" applyFill="1" applyBorder="1" applyProtection="1">
      <protection hidden="1"/>
    </xf>
    <xf numFmtId="0" fontId="0" fillId="19" borderId="18" xfId="0" applyFill="1" applyBorder="1" applyProtection="1">
      <protection hidden="1"/>
    </xf>
    <xf numFmtId="0" fontId="1" fillId="19" borderId="65" xfId="0" applyFont="1" applyFill="1" applyBorder="1" applyAlignment="1" applyProtection="1">
      <alignment horizontal="center" vertical="center"/>
      <protection hidden="1"/>
    </xf>
    <xf numFmtId="0" fontId="0" fillId="19" borderId="0" xfId="0" applyFill="1" applyBorder="1" applyProtection="1">
      <protection hidden="1"/>
    </xf>
    <xf numFmtId="0" fontId="0" fillId="19" borderId="72" xfId="0" applyFont="1" applyFill="1" applyBorder="1" applyAlignment="1" applyProtection="1">
      <alignment horizontal="center" vertical="center" wrapText="1"/>
      <protection hidden="1"/>
    </xf>
    <xf numFmtId="0" fontId="0" fillId="19" borderId="75" xfId="0" applyFont="1" applyFill="1" applyBorder="1" applyAlignment="1" applyProtection="1">
      <alignment horizontal="center" vertical="center" wrapText="1"/>
      <protection hidden="1"/>
    </xf>
    <xf numFmtId="0" fontId="0" fillId="0" borderId="45" xfId="0" applyFill="1" applyBorder="1" applyAlignment="1" applyProtection="1">
      <alignment horizontal="center" wrapText="1"/>
      <protection hidden="1"/>
    </xf>
    <xf numFmtId="0" fontId="2" fillId="0" borderId="14" xfId="0" applyFont="1" applyFill="1" applyBorder="1" applyAlignment="1" applyProtection="1">
      <alignment horizontal="center" vertical="center" wrapText="1"/>
      <protection hidden="1"/>
    </xf>
    <xf numFmtId="0" fontId="0" fillId="0" borderId="14" xfId="0" applyFill="1" applyBorder="1" applyAlignment="1" applyProtection="1">
      <alignment horizontal="center" vertical="center" wrapText="1"/>
      <protection hidden="1"/>
    </xf>
    <xf numFmtId="0" fontId="0" fillId="0" borderId="14" xfId="0" applyFill="1" applyBorder="1" applyAlignment="1" applyProtection="1">
      <alignment wrapText="1"/>
      <protection hidden="1"/>
    </xf>
    <xf numFmtId="0" fontId="0" fillId="0" borderId="44" xfId="0" applyFill="1" applyBorder="1" applyAlignment="1" applyProtection="1">
      <alignment horizontal="center" vertical="center" wrapText="1"/>
      <protection hidden="1"/>
    </xf>
    <xf numFmtId="0" fontId="0" fillId="0" borderId="35" xfId="0" applyFill="1" applyBorder="1" applyAlignment="1" applyProtection="1">
      <alignment horizontal="center" wrapText="1"/>
      <protection hidden="1"/>
    </xf>
    <xf numFmtId="0" fontId="2" fillId="0" borderId="13" xfId="0" applyFont="1" applyFill="1" applyBorder="1" applyAlignment="1" applyProtection="1">
      <alignment horizontal="center" vertical="center" wrapText="1"/>
      <protection hidden="1"/>
    </xf>
    <xf numFmtId="0" fontId="0" fillId="0" borderId="13" xfId="0" applyFill="1" applyBorder="1" applyAlignment="1" applyProtection="1">
      <alignment horizontal="center" vertical="center" wrapText="1"/>
      <protection hidden="1"/>
    </xf>
    <xf numFmtId="0" fontId="0" fillId="0" borderId="13" xfId="0" applyFill="1" applyBorder="1" applyAlignment="1" applyProtection="1">
      <alignment wrapText="1"/>
      <protection hidden="1"/>
    </xf>
    <xf numFmtId="0" fontId="0" fillId="0" borderId="34" xfId="0" applyFill="1" applyBorder="1" applyAlignment="1" applyProtection="1">
      <alignment horizontal="center" vertical="center" wrapText="1"/>
      <protection hidden="1"/>
    </xf>
    <xf numFmtId="0" fontId="0" fillId="19" borderId="0" xfId="0" applyFill="1" applyProtection="1">
      <protection hidden="1"/>
    </xf>
    <xf numFmtId="0" fontId="0" fillId="6" borderId="1" xfId="0" applyFill="1" applyBorder="1" applyProtection="1">
      <protection hidden="1"/>
    </xf>
    <xf numFmtId="0" fontId="0" fillId="6" borderId="2" xfId="0" applyFill="1" applyBorder="1" applyProtection="1">
      <protection hidden="1"/>
    </xf>
    <xf numFmtId="0" fontId="0" fillId="6" borderId="17" xfId="0" applyFill="1" applyBorder="1" applyProtection="1">
      <protection hidden="1"/>
    </xf>
    <xf numFmtId="0" fontId="14" fillId="6" borderId="18" xfId="0" applyFont="1" applyFill="1" applyBorder="1" applyAlignment="1" applyProtection="1">
      <alignment vertical="center"/>
      <protection hidden="1"/>
    </xf>
    <xf numFmtId="0" fontId="0" fillId="6" borderId="4" xfId="0" applyFill="1" applyBorder="1" applyProtection="1">
      <protection hidden="1"/>
    </xf>
    <xf numFmtId="0" fontId="0" fillId="6" borderId="5" xfId="0" applyFill="1" applyBorder="1" applyProtection="1">
      <protection hidden="1"/>
    </xf>
    <xf numFmtId="0" fontId="0" fillId="39" borderId="0" xfId="0" applyFill="1" applyBorder="1" applyProtection="1">
      <protection hidden="1"/>
    </xf>
    <xf numFmtId="0" fontId="14" fillId="39" borderId="0" xfId="0" applyFont="1" applyFill="1" applyBorder="1" applyAlignment="1" applyProtection="1">
      <alignment vertical="center"/>
      <protection hidden="1"/>
    </xf>
    <xf numFmtId="0" fontId="2" fillId="39" borderId="66" xfId="0" applyFont="1" applyFill="1" applyBorder="1" applyAlignment="1" applyProtection="1">
      <alignment horizontal="center" vertical="center"/>
      <protection hidden="1"/>
    </xf>
    <xf numFmtId="0" fontId="2" fillId="39" borderId="62" xfId="0" applyFont="1" applyFill="1" applyBorder="1" applyProtection="1">
      <protection hidden="1"/>
    </xf>
    <xf numFmtId="0" fontId="0" fillId="6" borderId="62" xfId="0" applyFont="1" applyFill="1" applyBorder="1" applyProtection="1">
      <protection hidden="1"/>
    </xf>
    <xf numFmtId="0" fontId="2" fillId="39" borderId="62" xfId="0" applyFont="1" applyFill="1" applyBorder="1" applyAlignment="1" applyProtection="1">
      <alignment horizontal="center" vertical="center"/>
      <protection hidden="1"/>
    </xf>
    <xf numFmtId="0" fontId="2" fillId="39" borderId="33" xfId="0" applyFont="1" applyFill="1" applyBorder="1" applyAlignment="1" applyProtection="1">
      <alignment horizontal="center" vertical="center"/>
      <protection hidden="1"/>
    </xf>
    <xf numFmtId="0" fontId="2" fillId="39" borderId="12" xfId="0" applyFont="1" applyFill="1" applyBorder="1" applyProtection="1">
      <protection hidden="1"/>
    </xf>
    <xf numFmtId="0" fontId="0" fillId="6" borderId="12" xfId="0" applyFont="1" applyFill="1" applyBorder="1" applyProtection="1">
      <protection hidden="1"/>
    </xf>
    <xf numFmtId="0" fontId="2" fillId="39" borderId="12" xfId="0" applyFont="1" applyFill="1" applyBorder="1" applyAlignment="1" applyProtection="1">
      <alignment horizontal="center" vertical="center"/>
      <protection hidden="1"/>
    </xf>
    <xf numFmtId="0" fontId="2" fillId="39" borderId="67" xfId="0" applyFont="1" applyFill="1" applyBorder="1" applyAlignment="1" applyProtection="1">
      <alignment horizontal="center" vertical="center"/>
      <protection hidden="1"/>
    </xf>
    <xf numFmtId="0" fontId="2" fillId="39" borderId="63" xfId="0" applyFont="1" applyFill="1" applyBorder="1" applyProtection="1">
      <protection hidden="1"/>
    </xf>
    <xf numFmtId="0" fontId="0" fillId="6" borderId="63" xfId="0" applyFont="1" applyFill="1" applyBorder="1" applyProtection="1">
      <protection hidden="1"/>
    </xf>
    <xf numFmtId="0" fontId="2" fillId="39" borderId="63" xfId="0" applyFont="1" applyFill="1" applyBorder="1" applyAlignment="1" applyProtection="1">
      <alignment horizontal="center" vertical="center"/>
      <protection hidden="1"/>
    </xf>
    <xf numFmtId="0" fontId="2" fillId="39" borderId="66" xfId="0" applyFont="1" applyFill="1" applyBorder="1" applyProtection="1">
      <protection hidden="1"/>
    </xf>
    <xf numFmtId="0" fontId="2" fillId="39" borderId="33" xfId="0" applyFont="1" applyFill="1" applyBorder="1" applyProtection="1">
      <protection hidden="1"/>
    </xf>
    <xf numFmtId="0" fontId="2" fillId="39" borderId="67" xfId="0" applyFont="1" applyFill="1" applyBorder="1" applyProtection="1">
      <protection hidden="1"/>
    </xf>
    <xf numFmtId="0" fontId="33" fillId="19" borderId="0" xfId="0" applyFont="1" applyFill="1" applyProtection="1">
      <protection hidden="1"/>
    </xf>
    <xf numFmtId="14" fontId="34" fillId="6" borderId="15" xfId="0" applyNumberFormat="1" applyFont="1" applyFill="1" applyBorder="1" applyAlignment="1" applyProtection="1">
      <alignment horizontal="center" vertical="center" wrapText="1"/>
      <protection hidden="1"/>
    </xf>
    <xf numFmtId="0" fontId="34" fillId="6" borderId="15" xfId="0" applyFont="1" applyFill="1" applyBorder="1" applyAlignment="1" applyProtection="1">
      <alignment horizontal="center" vertical="center" wrapText="1"/>
      <protection hidden="1"/>
    </xf>
    <xf numFmtId="0" fontId="14" fillId="19" borderId="0" xfId="0" applyFont="1" applyFill="1" applyBorder="1" applyAlignment="1" applyProtection="1">
      <alignment vertical="center"/>
      <protection hidden="1"/>
    </xf>
    <xf numFmtId="0" fontId="0" fillId="17" borderId="65" xfId="0" applyFill="1" applyBorder="1" applyProtection="1">
      <protection locked="0" hidden="1"/>
    </xf>
    <xf numFmtId="0" fontId="14" fillId="6" borderId="19" xfId="0" applyFont="1" applyFill="1" applyBorder="1" applyAlignment="1" applyProtection="1">
      <alignment vertical="center"/>
      <protection hidden="1"/>
    </xf>
    <xf numFmtId="0" fontId="0" fillId="6" borderId="19" xfId="0" applyFill="1" applyBorder="1" applyProtection="1">
      <protection hidden="1"/>
    </xf>
    <xf numFmtId="0" fontId="0" fillId="6" borderId="8" xfId="0" applyFill="1" applyBorder="1" applyProtection="1">
      <protection hidden="1"/>
    </xf>
    <xf numFmtId="0" fontId="0" fillId="6" borderId="3" xfId="0" applyFill="1" applyBorder="1" applyProtection="1">
      <protection hidden="1"/>
    </xf>
    <xf numFmtId="0" fontId="14" fillId="6" borderId="17" xfId="0" applyFont="1" applyFill="1" applyBorder="1" applyAlignment="1" applyProtection="1">
      <alignment vertical="center"/>
      <protection hidden="1"/>
    </xf>
    <xf numFmtId="0" fontId="5" fillId="6" borderId="18" xfId="0" applyFont="1" applyFill="1" applyBorder="1" applyAlignment="1" applyProtection="1">
      <protection hidden="1"/>
    </xf>
    <xf numFmtId="0" fontId="0" fillId="6" borderId="18" xfId="0" applyFill="1" applyBorder="1" applyProtection="1">
      <protection hidden="1"/>
    </xf>
    <xf numFmtId="0" fontId="0" fillId="6" borderId="6" xfId="0" applyFill="1" applyBorder="1" applyProtection="1">
      <protection hidden="1"/>
    </xf>
    <xf numFmtId="0" fontId="0" fillId="6" borderId="62" xfId="0" applyFont="1" applyFill="1" applyBorder="1" applyAlignment="1" applyProtection="1">
      <alignment horizontal="center" vertical="center"/>
      <protection hidden="1"/>
    </xf>
    <xf numFmtId="0" fontId="0" fillId="6" borderId="12" xfId="0" applyFont="1" applyFill="1" applyBorder="1" applyAlignment="1" applyProtection="1">
      <alignment horizontal="center" vertical="center"/>
      <protection hidden="1"/>
    </xf>
    <xf numFmtId="0" fontId="0" fillId="6" borderId="63" xfId="0" applyFont="1" applyFill="1" applyBorder="1" applyAlignment="1" applyProtection="1">
      <alignment horizontal="center" vertical="center"/>
      <protection hidden="1"/>
    </xf>
    <xf numFmtId="0" fontId="0" fillId="6" borderId="62" xfId="0" applyFont="1" applyFill="1" applyBorder="1" applyAlignment="1" applyProtection="1">
      <alignment horizontal="center" vertical="top"/>
      <protection hidden="1"/>
    </xf>
    <xf numFmtId="0" fontId="0" fillId="6" borderId="12" xfId="0" applyFont="1" applyFill="1" applyBorder="1" applyAlignment="1" applyProtection="1">
      <alignment horizontal="center" vertical="top"/>
      <protection hidden="1"/>
    </xf>
    <xf numFmtId="0" fontId="0" fillId="6" borderId="63" xfId="0" applyFont="1" applyFill="1" applyBorder="1" applyAlignment="1" applyProtection="1">
      <alignment horizontal="center" vertical="top"/>
      <protection hidden="1"/>
    </xf>
    <xf numFmtId="0" fontId="5" fillId="6" borderId="65" xfId="0" applyFont="1" applyFill="1" applyBorder="1" applyAlignment="1" applyProtection="1">
      <alignment horizontal="center" vertical="center"/>
      <protection hidden="1"/>
    </xf>
    <xf numFmtId="0" fontId="1" fillId="2" borderId="0" xfId="0" applyFont="1" applyFill="1" applyProtection="1">
      <protection hidden="1"/>
    </xf>
    <xf numFmtId="0" fontId="1" fillId="2" borderId="1" xfId="0" applyFont="1" applyFill="1" applyBorder="1" applyProtection="1">
      <protection hidden="1"/>
    </xf>
    <xf numFmtId="0" fontId="1" fillId="2" borderId="2" xfId="0" applyFont="1" applyFill="1" applyBorder="1" applyProtection="1">
      <protection hidden="1"/>
    </xf>
    <xf numFmtId="0" fontId="9" fillId="0" borderId="0" xfId="0" applyFont="1" applyBorder="1" applyAlignment="1">
      <alignment vertical="center" wrapText="1"/>
    </xf>
    <xf numFmtId="0" fontId="0" fillId="12" borderId="0" xfId="0" applyNumberFormat="1" applyFill="1"/>
    <xf numFmtId="0" fontId="0" fillId="15" borderId="110" xfId="0" applyFill="1" applyBorder="1"/>
    <xf numFmtId="0" fontId="0" fillId="8" borderId="7" xfId="0" applyFill="1" applyBorder="1"/>
    <xf numFmtId="0" fontId="0" fillId="6" borderId="3" xfId="0" applyFill="1" applyBorder="1"/>
    <xf numFmtId="0" fontId="1" fillId="13" borderId="65" xfId="0" applyFont="1" applyFill="1" applyBorder="1"/>
    <xf numFmtId="0" fontId="0" fillId="0" borderId="13" xfId="0" applyNumberFormat="1" applyFill="1" applyBorder="1" applyProtection="1">
      <protection hidden="1"/>
    </xf>
    <xf numFmtId="14" fontId="0" fillId="0" borderId="13" xfId="0" applyNumberFormat="1" applyFill="1" applyBorder="1" applyProtection="1">
      <protection hidden="1"/>
    </xf>
    <xf numFmtId="2" fontId="0" fillId="0" borderId="13" xfId="0" applyNumberFormat="1" applyFill="1" applyBorder="1" applyAlignment="1" applyProtection="1">
      <alignment horizontal="center" vertical="center"/>
      <protection hidden="1"/>
    </xf>
    <xf numFmtId="0" fontId="0" fillId="6" borderId="0" xfId="0" applyFill="1" applyProtection="1">
      <protection hidden="1"/>
    </xf>
    <xf numFmtId="0" fontId="0" fillId="11" borderId="4" xfId="0" applyFill="1" applyBorder="1" applyProtection="1">
      <protection hidden="1"/>
    </xf>
    <xf numFmtId="0" fontId="0" fillId="11" borderId="5" xfId="0" applyFill="1" applyBorder="1" applyProtection="1">
      <protection hidden="1"/>
    </xf>
    <xf numFmtId="0" fontId="0" fillId="11" borderId="5" xfId="0" applyFill="1" applyBorder="1" applyAlignment="1" applyProtection="1">
      <protection hidden="1"/>
    </xf>
    <xf numFmtId="0" fontId="0" fillId="11" borderId="6" xfId="0" applyFill="1" applyBorder="1" applyAlignment="1" applyProtection="1">
      <protection hidden="1"/>
    </xf>
    <xf numFmtId="0" fontId="0" fillId="0" borderId="12" xfId="0" applyFill="1" applyBorder="1" applyAlignment="1" applyProtection="1">
      <alignment horizontal="center" vertical="center"/>
      <protection hidden="1"/>
    </xf>
    <xf numFmtId="0" fontId="14" fillId="6" borderId="65" xfId="0" applyFont="1" applyFill="1" applyBorder="1" applyAlignment="1" applyProtection="1">
      <alignment horizontal="center" vertical="center"/>
      <protection locked="0" hidden="1"/>
    </xf>
    <xf numFmtId="0" fontId="10" fillId="6" borderId="0" xfId="0" applyFont="1" applyFill="1" applyProtection="1">
      <protection hidden="1"/>
    </xf>
    <xf numFmtId="0" fontId="0" fillId="6" borderId="0" xfId="0" applyFill="1" applyBorder="1" applyProtection="1">
      <protection hidden="1"/>
    </xf>
    <xf numFmtId="0" fontId="3" fillId="6" borderId="0" xfId="0" applyFont="1" applyFill="1" applyBorder="1" applyAlignment="1" applyProtection="1">
      <protection hidden="1"/>
    </xf>
    <xf numFmtId="0" fontId="0" fillId="11" borderId="18" xfId="0" applyFill="1" applyBorder="1" applyAlignment="1" applyProtection="1">
      <protection hidden="1"/>
    </xf>
    <xf numFmtId="0" fontId="0" fillId="10" borderId="0" xfId="0" applyFill="1" applyBorder="1" applyAlignment="1" applyProtection="1">
      <alignment horizontal="center" vertical="center" wrapText="1"/>
      <protection hidden="1"/>
    </xf>
    <xf numFmtId="14" fontId="0" fillId="0" borderId="33" xfId="0" applyNumberFormat="1" applyFill="1" applyBorder="1" applyAlignment="1" applyProtection="1">
      <alignment horizontal="center" vertical="center"/>
      <protection hidden="1"/>
    </xf>
    <xf numFmtId="0" fontId="0" fillId="0" borderId="36" xfId="0" applyNumberFormat="1" applyFill="1" applyBorder="1" applyAlignment="1" applyProtection="1">
      <alignment horizontal="center" vertical="center"/>
      <protection hidden="1"/>
    </xf>
    <xf numFmtId="0" fontId="0" fillId="0" borderId="16" xfId="0" applyNumberFormat="1" applyFill="1" applyBorder="1" applyAlignment="1" applyProtection="1">
      <alignment horizontal="center" vertical="center"/>
      <protection hidden="1"/>
    </xf>
    <xf numFmtId="14" fontId="0" fillId="0" borderId="35" xfId="0" applyNumberFormat="1" applyFill="1" applyBorder="1" applyAlignment="1" applyProtection="1">
      <alignment horizontal="center" vertical="center"/>
      <protection hidden="1"/>
    </xf>
    <xf numFmtId="0" fontId="0" fillId="0" borderId="13" xfId="0" applyFill="1" applyBorder="1" applyAlignment="1" applyProtection="1">
      <alignment horizontal="center" vertical="center"/>
      <protection hidden="1"/>
    </xf>
    <xf numFmtId="0" fontId="0" fillId="0" borderId="34" xfId="0" applyNumberFormat="1" applyFill="1" applyBorder="1" applyAlignment="1" applyProtection="1">
      <alignment horizontal="center" vertical="center"/>
      <protection hidden="1"/>
    </xf>
    <xf numFmtId="0" fontId="2" fillId="6" borderId="0" xfId="0" applyFont="1" applyFill="1" applyProtection="1">
      <protection hidden="1"/>
    </xf>
    <xf numFmtId="0" fontId="3" fillId="11" borderId="1" xfId="0" applyFont="1" applyFill="1" applyBorder="1" applyAlignment="1" applyProtection="1">
      <alignment horizontal="center" vertical="center"/>
      <protection hidden="1"/>
    </xf>
    <xf numFmtId="0" fontId="3" fillId="11" borderId="10" xfId="0" applyFont="1" applyFill="1" applyBorder="1" applyAlignment="1" applyProtection="1">
      <alignment horizontal="center" vertical="center"/>
      <protection hidden="1"/>
    </xf>
    <xf numFmtId="0" fontId="3" fillId="11" borderId="2" xfId="0" applyFont="1" applyFill="1" applyBorder="1" applyAlignment="1" applyProtection="1">
      <alignment horizontal="center" vertical="center"/>
      <protection hidden="1"/>
    </xf>
    <xf numFmtId="0" fontId="3" fillId="11" borderId="3" xfId="0" applyFont="1" applyFill="1" applyBorder="1" applyAlignment="1" applyProtection="1">
      <alignment horizontal="center" vertical="center"/>
      <protection hidden="1"/>
    </xf>
    <xf numFmtId="0" fontId="2" fillId="11" borderId="17" xfId="0" applyFont="1" applyFill="1" applyBorder="1" applyAlignment="1" applyProtection="1">
      <alignment horizontal="right" vertical="center"/>
      <protection hidden="1"/>
    </xf>
    <xf numFmtId="0" fontId="14" fillId="11" borderId="0" xfId="0" applyFont="1" applyFill="1" applyBorder="1" applyAlignment="1" applyProtection="1">
      <alignment horizontal="center" vertical="center"/>
      <protection locked="0" hidden="1"/>
    </xf>
    <xf numFmtId="0" fontId="14" fillId="11" borderId="0" xfId="0" applyFont="1" applyFill="1" applyBorder="1" applyAlignment="1" applyProtection="1">
      <alignment horizontal="right" vertical="center"/>
      <protection locked="0" hidden="1"/>
    </xf>
    <xf numFmtId="0" fontId="11" fillId="15" borderId="65" xfId="0" applyFont="1" applyFill="1" applyBorder="1" applyAlignment="1" applyProtection="1">
      <protection hidden="1"/>
    </xf>
    <xf numFmtId="2" fontId="2" fillId="0" borderId="12" xfId="0" applyNumberFormat="1" applyFont="1" applyFill="1" applyBorder="1" applyAlignment="1" applyProtection="1">
      <alignment horizontal="center" vertical="center" wrapText="1"/>
      <protection locked="0"/>
    </xf>
    <xf numFmtId="0" fontId="0" fillId="0" borderId="12" xfId="0" applyNumberFormat="1" applyFill="1" applyBorder="1" applyAlignment="1" applyProtection="1">
      <alignment horizontal="center" vertical="center" wrapText="1"/>
    </xf>
    <xf numFmtId="14" fontId="4" fillId="0" borderId="15" xfId="0" applyNumberFormat="1" applyFont="1" applyFill="1" applyBorder="1" applyAlignment="1" applyProtection="1">
      <alignment horizontal="center" vertical="center" wrapText="1"/>
      <protection locked="0"/>
    </xf>
    <xf numFmtId="0" fontId="4" fillId="0" borderId="15" xfId="0" applyFont="1" applyFill="1" applyBorder="1" applyAlignment="1" applyProtection="1">
      <alignment horizontal="center" vertical="center" wrapText="1"/>
      <protection locked="0"/>
    </xf>
    <xf numFmtId="2" fontId="5" fillId="0" borderId="15" xfId="0" applyNumberFormat="1" applyFont="1" applyFill="1" applyBorder="1" applyAlignment="1" applyProtection="1">
      <alignment horizontal="center" vertical="center" wrapText="1"/>
      <protection locked="0"/>
    </xf>
    <xf numFmtId="0" fontId="0" fillId="0" borderId="44" xfId="0" applyFill="1" applyBorder="1" applyAlignment="1" applyProtection="1">
      <alignment horizontal="center" vertical="center" wrapText="1"/>
      <protection locked="0"/>
    </xf>
    <xf numFmtId="0" fontId="4" fillId="0" borderId="15" xfId="0" applyFont="1" applyFill="1" applyBorder="1" applyAlignment="1">
      <alignment horizontal="center" vertical="center" wrapText="1"/>
    </xf>
    <xf numFmtId="0" fontId="7" fillId="0" borderId="15" xfId="0" applyFont="1" applyFill="1" applyBorder="1" applyAlignment="1" applyProtection="1">
      <alignment horizontal="center" vertical="center" wrapText="1"/>
      <protection locked="0"/>
    </xf>
    <xf numFmtId="0" fontId="8" fillId="0" borderId="15" xfId="1" applyFill="1" applyBorder="1" applyAlignment="1" applyProtection="1">
      <alignment horizontal="center" vertical="center" wrapText="1"/>
      <protection locked="0"/>
    </xf>
    <xf numFmtId="0" fontId="4" fillId="0" borderId="16" xfId="0" applyFont="1" applyFill="1" applyBorder="1" applyAlignment="1" applyProtection="1">
      <alignment horizontal="center" vertical="center" wrapText="1"/>
      <protection locked="0"/>
    </xf>
    <xf numFmtId="0" fontId="4" fillId="0" borderId="33" xfId="0" applyFont="1" applyFill="1" applyBorder="1" applyAlignment="1" applyProtection="1">
      <alignment horizontal="center" vertical="center" wrapText="1"/>
      <protection locked="0"/>
    </xf>
    <xf numFmtId="0" fontId="4" fillId="0" borderId="36" xfId="0" applyFont="1" applyFill="1" applyBorder="1" applyAlignment="1" applyProtection="1">
      <alignment horizontal="center" vertical="center" wrapText="1"/>
      <protection locked="0"/>
    </xf>
    <xf numFmtId="0" fontId="4" fillId="0" borderId="37" xfId="0" applyFont="1" applyFill="1" applyBorder="1" applyAlignment="1" applyProtection="1">
      <alignment horizontal="center" vertical="center" wrapText="1"/>
      <protection locked="0"/>
    </xf>
    <xf numFmtId="0" fontId="11" fillId="0" borderId="13" xfId="0" applyFont="1" applyFill="1" applyBorder="1" applyAlignment="1">
      <alignment horizontal="center" vertical="center"/>
    </xf>
    <xf numFmtId="0" fontId="7" fillId="0" borderId="13" xfId="0" applyFont="1" applyFill="1" applyBorder="1" applyAlignment="1">
      <alignment horizontal="center" vertical="center"/>
    </xf>
    <xf numFmtId="0" fontId="14" fillId="0" borderId="0" xfId="0" applyFont="1" applyBorder="1" applyAlignment="1">
      <alignment horizontal="justify" vertical="center" wrapText="1"/>
    </xf>
    <xf numFmtId="0" fontId="16" fillId="0" borderId="0" xfId="0" applyFont="1" applyBorder="1" applyAlignment="1">
      <alignment horizontal="center" vertical="center" wrapText="1"/>
    </xf>
    <xf numFmtId="0" fontId="6" fillId="0" borderId="15" xfId="0" applyFont="1" applyFill="1" applyBorder="1" applyAlignment="1" applyProtection="1">
      <alignment horizontal="center" vertical="center" wrapText="1"/>
      <protection locked="0"/>
    </xf>
    <xf numFmtId="14" fontId="6" fillId="0" borderId="15" xfId="0" applyNumberFormat="1" applyFont="1" applyFill="1" applyBorder="1" applyAlignment="1" applyProtection="1">
      <alignment horizontal="center" vertical="center" wrapText="1"/>
      <protection locked="0"/>
    </xf>
    <xf numFmtId="0" fontId="4" fillId="0" borderId="15" xfId="0" applyFont="1" applyBorder="1" applyAlignment="1" applyProtection="1">
      <alignment horizontal="center" vertical="center" wrapText="1"/>
      <protection locked="0"/>
    </xf>
    <xf numFmtId="2" fontId="6" fillId="0" borderId="15" xfId="0" applyNumberFormat="1" applyFont="1" applyFill="1" applyBorder="1" applyAlignment="1" applyProtection="1">
      <alignment horizontal="center" vertical="center" wrapText="1"/>
      <protection locked="0"/>
    </xf>
    <xf numFmtId="0" fontId="0" fillId="0" borderId="34" xfId="0" applyBorder="1" applyProtection="1">
      <protection locked="0" hidden="1"/>
    </xf>
    <xf numFmtId="0" fontId="0" fillId="0" borderId="44" xfId="0" applyBorder="1" applyProtection="1">
      <protection locked="0" hidden="1"/>
    </xf>
    <xf numFmtId="0" fontId="0" fillId="0" borderId="36" xfId="0" applyBorder="1" applyProtection="1">
      <protection locked="0" hidden="1"/>
    </xf>
    <xf numFmtId="0" fontId="0" fillId="0" borderId="44" xfId="0" applyFill="1" applyBorder="1"/>
    <xf numFmtId="2" fontId="11" fillId="0" borderId="12" xfId="0" applyNumberFormat="1" applyFont="1" applyFill="1" applyBorder="1" applyAlignment="1">
      <alignment horizontal="center" wrapText="1"/>
    </xf>
    <xf numFmtId="17" fontId="16" fillId="0" borderId="37" xfId="0" applyNumberFormat="1" applyFont="1" applyBorder="1" applyAlignment="1">
      <alignment horizontal="center" vertical="center"/>
    </xf>
    <xf numFmtId="0" fontId="2" fillId="39" borderId="62" xfId="0" applyFont="1" applyFill="1" applyBorder="1" applyAlignment="1" applyProtection="1">
      <alignment horizontal="center"/>
      <protection hidden="1"/>
    </xf>
    <xf numFmtId="0" fontId="2" fillId="39" borderId="12" xfId="0" applyFont="1" applyFill="1" applyBorder="1" applyAlignment="1" applyProtection="1">
      <alignment horizontal="center"/>
      <protection hidden="1"/>
    </xf>
    <xf numFmtId="0" fontId="2" fillId="39" borderId="63" xfId="0" applyFont="1" applyFill="1" applyBorder="1" applyAlignment="1" applyProtection="1">
      <alignment horizontal="center"/>
      <protection hidden="1"/>
    </xf>
    <xf numFmtId="0" fontId="2" fillId="39" borderId="9" xfId="0" applyFont="1" applyFill="1" applyBorder="1" applyAlignment="1" applyProtection="1">
      <alignment horizontal="center" vertical="center"/>
      <protection hidden="1"/>
    </xf>
    <xf numFmtId="0" fontId="2" fillId="39" borderId="11" xfId="0" applyFont="1" applyFill="1" applyBorder="1" applyAlignment="1" applyProtection="1">
      <alignment horizontal="center" vertical="center"/>
      <protection hidden="1"/>
    </xf>
    <xf numFmtId="0" fontId="0" fillId="39" borderId="1" xfId="0" applyFill="1" applyBorder="1" applyProtection="1">
      <protection hidden="1"/>
    </xf>
    <xf numFmtId="0" fontId="0" fillId="39" borderId="2" xfId="0" applyFill="1" applyBorder="1" applyProtection="1">
      <protection hidden="1"/>
    </xf>
    <xf numFmtId="0" fontId="14" fillId="39" borderId="2" xfId="0" applyFont="1" applyFill="1" applyBorder="1" applyAlignment="1" applyProtection="1">
      <alignment vertical="center"/>
      <protection hidden="1"/>
    </xf>
    <xf numFmtId="0" fontId="14" fillId="39" borderId="3" xfId="0" applyFont="1" applyFill="1" applyBorder="1" applyAlignment="1" applyProtection="1">
      <alignment vertical="center" wrapText="1"/>
      <protection hidden="1"/>
    </xf>
    <xf numFmtId="0" fontId="0" fillId="39" borderId="17" xfId="0" applyFill="1" applyBorder="1" applyProtection="1">
      <protection hidden="1"/>
    </xf>
    <xf numFmtId="0" fontId="14" fillId="39" borderId="18" xfId="0" applyFont="1" applyFill="1" applyBorder="1" applyAlignment="1" applyProtection="1">
      <alignment vertical="center" wrapText="1"/>
      <protection hidden="1"/>
    </xf>
    <xf numFmtId="0" fontId="14" fillId="39" borderId="18" xfId="0" applyFont="1" applyFill="1" applyBorder="1" applyAlignment="1" applyProtection="1">
      <alignment vertical="center"/>
      <protection hidden="1"/>
    </xf>
    <xf numFmtId="0" fontId="0" fillId="6" borderId="22" xfId="0" applyFont="1" applyFill="1" applyBorder="1" applyAlignment="1" applyProtection="1">
      <alignment horizontal="center" vertical="center"/>
      <protection hidden="1"/>
    </xf>
    <xf numFmtId="0" fontId="0" fillId="6" borderId="25" xfId="0" applyFont="1" applyFill="1" applyBorder="1" applyAlignment="1" applyProtection="1">
      <alignment horizontal="center" vertical="center"/>
      <protection hidden="1"/>
    </xf>
    <xf numFmtId="0" fontId="0" fillId="6" borderId="27" xfId="0" applyFont="1" applyFill="1" applyBorder="1" applyAlignment="1" applyProtection="1">
      <alignment horizontal="center" vertical="center"/>
      <protection hidden="1"/>
    </xf>
    <xf numFmtId="0" fontId="4" fillId="0" borderId="15" xfId="0" applyFont="1" applyFill="1" applyBorder="1" applyAlignment="1">
      <alignment horizontal="center" vertical="center"/>
    </xf>
    <xf numFmtId="14" fontId="6" fillId="0" borderId="12" xfId="0" applyNumberFormat="1" applyFont="1" applyFill="1" applyBorder="1" applyAlignment="1" applyProtection="1">
      <alignment horizontal="center" vertical="center" wrapText="1"/>
      <protection locked="0"/>
    </xf>
    <xf numFmtId="0" fontId="8" fillId="0" borderId="12" xfId="1" applyBorder="1" applyAlignment="1">
      <alignment horizontal="center" vertical="center"/>
    </xf>
    <xf numFmtId="0" fontId="5" fillId="0" borderId="15" xfId="0" applyFont="1" applyFill="1" applyBorder="1" applyAlignment="1" applyProtection="1">
      <alignment horizontal="center" vertical="center" wrapText="1"/>
      <protection locked="0"/>
    </xf>
    <xf numFmtId="0" fontId="0" fillId="0" borderId="12" xfId="0" applyFill="1" applyBorder="1" applyAlignment="1">
      <alignment horizontal="center" vertical="center" wrapText="1"/>
    </xf>
    <xf numFmtId="0" fontId="2" fillId="0" borderId="12" xfId="0" applyFont="1" applyFill="1" applyBorder="1" applyAlignment="1">
      <alignment horizontal="center" vertical="center" wrapText="1"/>
    </xf>
    <xf numFmtId="2" fontId="14" fillId="0" borderId="12" xfId="0" applyNumberFormat="1" applyFont="1" applyFill="1" applyBorder="1" applyAlignment="1">
      <alignment horizontal="center" vertical="center" wrapText="1"/>
    </xf>
    <xf numFmtId="0" fontId="0" fillId="0" borderId="33" xfId="0" applyFill="1" applyBorder="1" applyAlignment="1">
      <alignment horizontal="center" vertical="center" wrapText="1"/>
    </xf>
    <xf numFmtId="0" fontId="0" fillId="0" borderId="45" xfId="0" applyNumberFormat="1" applyFill="1" applyBorder="1" applyAlignment="1">
      <alignment horizontal="center" vertical="center"/>
    </xf>
    <xf numFmtId="0" fontId="2" fillId="0" borderId="0" xfId="0" applyNumberFormat="1" applyFont="1" applyFill="1" applyBorder="1" applyAlignment="1">
      <alignment horizontal="center" vertical="center"/>
    </xf>
    <xf numFmtId="0" fontId="2" fillId="0" borderId="44"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2" fontId="14" fillId="0" borderId="14" xfId="0" applyNumberFormat="1" applyFont="1" applyFill="1" applyBorder="1" applyAlignment="1">
      <alignment horizontal="center" vertical="center"/>
    </xf>
    <xf numFmtId="2" fontId="0" fillId="0" borderId="12" xfId="0" applyNumberFormat="1" applyFill="1" applyBorder="1" applyAlignment="1" applyProtection="1">
      <alignment horizontal="center" vertical="center" wrapText="1"/>
      <protection locked="0"/>
    </xf>
    <xf numFmtId="2" fontId="2" fillId="0" borderId="33" xfId="0" applyNumberFormat="1" applyFont="1" applyFill="1" applyBorder="1" applyAlignment="1" applyProtection="1">
      <alignment horizontal="center" vertical="center" wrapText="1"/>
      <protection locked="0"/>
    </xf>
    <xf numFmtId="0" fontId="1" fillId="26" borderId="12" xfId="0" applyFont="1" applyFill="1" applyBorder="1" applyAlignment="1">
      <alignment horizontal="center" vertical="center" wrapText="1"/>
    </xf>
    <xf numFmtId="2" fontId="0" fillId="26" borderId="12" xfId="0" applyNumberFormat="1" applyFill="1" applyBorder="1" applyAlignment="1">
      <alignment horizontal="center" vertical="center" wrapText="1"/>
    </xf>
    <xf numFmtId="14" fontId="7" fillId="0" borderId="15" xfId="0" applyNumberFormat="1" applyFont="1" applyFill="1" applyBorder="1" applyAlignment="1">
      <alignment horizontal="center" vertical="center" wrapText="1"/>
    </xf>
    <xf numFmtId="0" fontId="6" fillId="0" borderId="15" xfId="0" applyFont="1" applyFill="1" applyBorder="1" applyAlignment="1">
      <alignment horizontal="center" vertical="center" wrapText="1"/>
    </xf>
    <xf numFmtId="0" fontId="6" fillId="0" borderId="36" xfId="0" applyFont="1" applyFill="1" applyBorder="1" applyAlignment="1">
      <alignment horizontal="center" vertical="center" wrapText="1"/>
    </xf>
    <xf numFmtId="0" fontId="8" fillId="0" borderId="0" xfId="1" applyFill="1" applyBorder="1" applyAlignment="1">
      <alignment horizontal="center" vertical="center"/>
    </xf>
    <xf numFmtId="0" fontId="16" fillId="0" borderId="46" xfId="0" applyFont="1" applyBorder="1" applyAlignment="1" applyProtection="1">
      <alignment horizontal="left" vertical="center"/>
      <protection locked="0" hidden="1"/>
    </xf>
    <xf numFmtId="0" fontId="8" fillId="0" borderId="15" xfId="1" applyBorder="1" applyAlignment="1">
      <alignment horizontal="center" vertical="center"/>
    </xf>
    <xf numFmtId="0" fontId="2" fillId="0" borderId="0" xfId="0" applyFont="1" applyBorder="1" applyAlignment="1" applyProtection="1">
      <alignment horizontal="center" vertical="center"/>
      <protection hidden="1"/>
    </xf>
    <xf numFmtId="0" fontId="16" fillId="0" borderId="0" xfId="0" applyFont="1" applyBorder="1" applyAlignment="1" applyProtection="1">
      <alignment horizontal="left" vertical="center"/>
      <protection locked="0" hidden="1"/>
    </xf>
    <xf numFmtId="0" fontId="16" fillId="0" borderId="46" xfId="0" applyFont="1" applyBorder="1" applyAlignment="1" applyProtection="1">
      <alignment vertical="center"/>
      <protection locked="0" hidden="1"/>
    </xf>
    <xf numFmtId="0" fontId="16" fillId="0" borderId="47" xfId="0" applyFont="1" applyBorder="1" applyAlignment="1" applyProtection="1">
      <alignment vertical="center"/>
      <protection locked="0" hidden="1"/>
    </xf>
    <xf numFmtId="0" fontId="16" fillId="0" borderId="0" xfId="0" applyFont="1" applyBorder="1" applyAlignment="1" applyProtection="1">
      <alignment vertical="center"/>
      <protection locked="0" hidden="1"/>
    </xf>
    <xf numFmtId="0" fontId="0" fillId="7" borderId="0" xfId="0" applyFill="1" applyAlignment="1">
      <alignment horizontal="center" vertical="center"/>
    </xf>
    <xf numFmtId="0" fontId="0" fillId="0" borderId="33" xfId="0" applyFill="1" applyBorder="1"/>
    <xf numFmtId="0" fontId="0" fillId="0" borderId="14" xfId="0" applyFill="1" applyBorder="1"/>
    <xf numFmtId="0" fontId="8" fillId="0" borderId="0" xfId="1" applyFill="1" applyBorder="1" applyAlignment="1" applyProtection="1">
      <alignment horizontal="center" vertical="center" wrapText="1"/>
      <protection locked="0"/>
    </xf>
    <xf numFmtId="0" fontId="0" fillId="25" borderId="12" xfId="0" applyFill="1" applyBorder="1" applyAlignment="1">
      <alignment horizontal="center" vertical="center" wrapText="1"/>
    </xf>
    <xf numFmtId="0" fontId="17" fillId="25" borderId="12" xfId="0" applyFont="1" applyFill="1" applyBorder="1" applyAlignment="1">
      <alignment horizontal="center" vertical="center" wrapText="1"/>
    </xf>
    <xf numFmtId="0" fontId="0" fillId="34" borderId="13" xfId="0" applyFill="1" applyBorder="1" applyAlignment="1">
      <alignment horizontal="center" vertical="center" wrapText="1"/>
    </xf>
    <xf numFmtId="0" fontId="0" fillId="7" borderId="43" xfId="0" applyFill="1" applyBorder="1" applyAlignment="1">
      <alignment vertical="center"/>
    </xf>
    <xf numFmtId="0" fontId="0" fillId="7" borderId="0" xfId="0" applyFill="1" applyAlignment="1">
      <alignment vertical="center"/>
    </xf>
    <xf numFmtId="0" fontId="0" fillId="7" borderId="5" xfId="0" applyFill="1" applyBorder="1" applyAlignment="1">
      <alignment vertical="center"/>
    </xf>
    <xf numFmtId="0" fontId="8" fillId="0" borderId="0" xfId="1" applyBorder="1" applyAlignment="1">
      <alignment horizontal="center" vertical="center"/>
    </xf>
    <xf numFmtId="0" fontId="4" fillId="0" borderId="111" xfId="0" applyFont="1" applyFill="1" applyBorder="1" applyAlignment="1" applyProtection="1">
      <alignment horizontal="center" vertical="center" wrapText="1"/>
      <protection locked="0"/>
    </xf>
    <xf numFmtId="2" fontId="2" fillId="0" borderId="112" xfId="0" applyNumberFormat="1" applyFont="1" applyFill="1" applyBorder="1" applyAlignment="1" applyProtection="1">
      <alignment horizontal="center" vertical="center" wrapText="1"/>
      <protection locked="0"/>
    </xf>
    <xf numFmtId="14" fontId="4" fillId="0" borderId="111" xfId="0" applyNumberFormat="1" applyFont="1" applyFill="1" applyBorder="1" applyAlignment="1" applyProtection="1">
      <alignment horizontal="center" vertical="center" wrapText="1"/>
      <protection locked="0"/>
    </xf>
    <xf numFmtId="2" fontId="5" fillId="0" borderId="111" xfId="0" applyNumberFormat="1" applyFont="1" applyFill="1" applyBorder="1" applyAlignment="1" applyProtection="1">
      <alignment horizontal="center" vertical="center" wrapText="1"/>
      <protection locked="0"/>
    </xf>
    <xf numFmtId="0" fontId="4" fillId="0" borderId="111" xfId="0" applyFont="1" applyFill="1" applyBorder="1" applyAlignment="1">
      <alignment horizontal="center" vertical="center" wrapText="1"/>
    </xf>
    <xf numFmtId="0" fontId="7" fillId="0" borderId="111" xfId="0" applyFont="1" applyFill="1" applyBorder="1" applyAlignment="1" applyProtection="1">
      <alignment horizontal="center" vertical="center" wrapText="1"/>
      <protection locked="0"/>
    </xf>
    <xf numFmtId="0" fontId="6" fillId="0" borderId="37" xfId="0" applyFont="1" applyFill="1" applyBorder="1" applyAlignment="1">
      <alignment horizontal="center" vertical="center" wrapText="1"/>
    </xf>
    <xf numFmtId="0" fontId="0" fillId="0" borderId="12" xfId="0" applyBorder="1" applyAlignment="1" applyProtection="1">
      <alignment horizontal="center" vertical="center"/>
      <protection locked="0"/>
    </xf>
    <xf numFmtId="0" fontId="8" fillId="0" borderId="111" xfId="1" applyFill="1" applyBorder="1" applyAlignment="1" applyProtection="1">
      <alignment horizontal="center" vertical="center" wrapText="1"/>
      <protection locked="0"/>
    </xf>
    <xf numFmtId="2" fontId="5" fillId="0" borderId="112" xfId="0" applyNumberFormat="1" applyFont="1" applyFill="1" applyBorder="1" applyAlignment="1" applyProtection="1">
      <alignment horizontal="center" vertical="center" wrapText="1"/>
      <protection locked="0"/>
    </xf>
    <xf numFmtId="0" fontId="6" fillId="0" borderId="111" xfId="0" applyFont="1" applyFill="1" applyBorder="1" applyAlignment="1">
      <alignment horizontal="center" vertical="center" wrapText="1"/>
    </xf>
    <xf numFmtId="0" fontId="8" fillId="0" borderId="111" xfId="1" applyFill="1" applyBorder="1" applyAlignment="1">
      <alignment horizontal="center" vertical="center" wrapText="1"/>
    </xf>
    <xf numFmtId="0" fontId="4" fillId="0" borderId="111" xfId="0" applyNumberFormat="1" applyFont="1" applyFill="1" applyBorder="1" applyAlignment="1">
      <alignment horizontal="left" vertical="center" wrapText="1"/>
    </xf>
    <xf numFmtId="0" fontId="8" fillId="0" borderId="111" xfId="1" applyBorder="1" applyAlignment="1">
      <alignment horizontal="center" vertical="center"/>
    </xf>
    <xf numFmtId="0" fontId="0" fillId="0" borderId="111" xfId="0" applyNumberFormat="1" applyBorder="1" applyAlignment="1">
      <alignment horizontal="center" vertical="center"/>
    </xf>
    <xf numFmtId="0" fontId="0" fillId="0" borderId="111" xfId="0" applyBorder="1" applyAlignment="1">
      <alignment horizontal="center" vertical="center"/>
    </xf>
    <xf numFmtId="2" fontId="0" fillId="0" borderId="111" xfId="0" applyNumberFormat="1" applyBorder="1" applyAlignment="1">
      <alignment horizontal="center" vertical="center"/>
    </xf>
    <xf numFmtId="0" fontId="6" fillId="0" borderId="36" xfId="0" applyFont="1" applyFill="1" applyBorder="1" applyAlignment="1" applyProtection="1">
      <alignment horizontal="center" vertical="center" wrapText="1"/>
      <protection locked="0"/>
    </xf>
    <xf numFmtId="0" fontId="6" fillId="0" borderId="37" xfId="0" applyFont="1" applyFill="1" applyBorder="1" applyAlignment="1" applyProtection="1">
      <alignment horizontal="center" vertical="center" wrapText="1"/>
      <protection locked="0"/>
    </xf>
    <xf numFmtId="0" fontId="4" fillId="0" borderId="37" xfId="0" applyFont="1" applyFill="1" applyBorder="1" applyAlignment="1">
      <alignment horizontal="center" vertical="center"/>
    </xf>
    <xf numFmtId="0" fontId="4" fillId="0" borderId="0" xfId="0" applyFont="1" applyFill="1" applyBorder="1" applyAlignment="1" applyProtection="1">
      <alignment horizontal="center" vertical="center" wrapText="1"/>
      <protection locked="0"/>
    </xf>
    <xf numFmtId="2" fontId="4" fillId="0" borderId="111" xfId="0" applyNumberFormat="1" applyFont="1" applyFill="1" applyBorder="1" applyAlignment="1">
      <alignment horizontal="left" vertical="center" wrapText="1"/>
    </xf>
    <xf numFmtId="0" fontId="4" fillId="0" borderId="15" xfId="0" applyNumberFormat="1" applyFont="1" applyFill="1" applyBorder="1" applyAlignment="1">
      <alignment horizontal="center" vertical="center" wrapText="1"/>
    </xf>
    <xf numFmtId="0" fontId="7" fillId="0" borderId="111" xfId="0" applyFont="1" applyFill="1" applyBorder="1" applyAlignment="1">
      <alignment horizontal="center" vertical="center" wrapText="1"/>
    </xf>
    <xf numFmtId="0" fontId="4" fillId="0" borderId="111" xfId="0" applyFont="1" applyFill="1" applyBorder="1" applyAlignment="1">
      <alignment horizontal="center" vertical="center"/>
    </xf>
    <xf numFmtId="14" fontId="6" fillId="0" borderId="111" xfId="0" applyNumberFormat="1" applyFont="1" applyFill="1" applyBorder="1" applyAlignment="1">
      <alignment horizontal="center" vertical="center" wrapText="1"/>
    </xf>
    <xf numFmtId="14" fontId="7" fillId="0" borderId="111" xfId="0" applyNumberFormat="1" applyFont="1" applyFill="1" applyBorder="1" applyAlignment="1">
      <alignment horizontal="center" vertical="center" wrapText="1"/>
    </xf>
    <xf numFmtId="2" fontId="7" fillId="0" borderId="111" xfId="0" applyNumberFormat="1" applyFont="1" applyFill="1" applyBorder="1" applyAlignment="1">
      <alignment horizontal="center" vertical="center" wrapText="1"/>
    </xf>
    <xf numFmtId="0" fontId="4" fillId="0" borderId="111" xfId="0" applyFont="1" applyFill="1" applyBorder="1" applyAlignment="1">
      <alignment horizontal="left" vertical="center" wrapText="1"/>
    </xf>
    <xf numFmtId="0" fontId="4" fillId="0" borderId="111" xfId="0" applyNumberFormat="1" applyFont="1" applyFill="1" applyBorder="1" applyAlignment="1">
      <alignment horizontal="center" vertical="center" wrapText="1"/>
    </xf>
    <xf numFmtId="0" fontId="4" fillId="0" borderId="112" xfId="0" applyFont="1" applyFill="1" applyBorder="1" applyAlignment="1" applyProtection="1">
      <alignment horizontal="center" vertical="center" wrapText="1"/>
      <protection locked="0"/>
    </xf>
    <xf numFmtId="2" fontId="5" fillId="0" borderId="37" xfId="0" applyNumberFormat="1" applyFont="1" applyFill="1" applyBorder="1" applyAlignment="1" applyProtection="1">
      <alignment horizontal="center" vertical="center" wrapText="1"/>
      <protection locked="0"/>
    </xf>
    <xf numFmtId="0" fontId="0" fillId="0" borderId="112" xfId="0" applyBorder="1" applyAlignment="1">
      <alignment horizontal="center" vertical="center"/>
    </xf>
    <xf numFmtId="0" fontId="0" fillId="0" borderId="0" xfId="0" applyBorder="1" applyAlignment="1">
      <alignment horizontal="center" vertical="center"/>
    </xf>
    <xf numFmtId="0" fontId="17" fillId="29" borderId="66" xfId="0" applyFont="1" applyFill="1" applyBorder="1" applyAlignment="1">
      <alignment horizontal="center" vertical="center" wrapText="1"/>
    </xf>
    <xf numFmtId="0" fontId="17" fillId="29" borderId="33" xfId="0" applyFont="1" applyFill="1" applyBorder="1" applyAlignment="1">
      <alignment horizontal="center" vertical="center" wrapText="1"/>
    </xf>
    <xf numFmtId="0" fontId="17" fillId="29" borderId="12" xfId="0" applyFont="1" applyFill="1" applyBorder="1" applyAlignment="1">
      <alignment horizontal="center" vertical="center" wrapText="1"/>
    </xf>
    <xf numFmtId="2" fontId="2" fillId="0" borderId="15" xfId="0" applyNumberFormat="1" applyFont="1" applyFill="1" applyBorder="1" applyAlignment="1" applyProtection="1">
      <alignment horizontal="center" vertical="center" wrapText="1"/>
      <protection locked="0"/>
    </xf>
    <xf numFmtId="49" fontId="13" fillId="0" borderId="33" xfId="0" applyNumberFormat="1" applyFont="1" applyFill="1" applyBorder="1" applyAlignment="1">
      <alignment horizontal="center" vertical="center"/>
    </xf>
    <xf numFmtId="0" fontId="0" fillId="15" borderId="25" xfId="0" applyNumberFormat="1" applyFill="1" applyBorder="1"/>
    <xf numFmtId="0" fontId="7" fillId="0" borderId="111" xfId="0" applyNumberFormat="1" applyFont="1" applyFill="1" applyBorder="1" applyAlignment="1">
      <alignment horizontal="center" vertical="center" wrapText="1"/>
    </xf>
    <xf numFmtId="14" fontId="0" fillId="0" borderId="111" xfId="0" applyNumberFormat="1" applyBorder="1" applyAlignment="1">
      <alignment horizontal="center" vertical="center"/>
    </xf>
    <xf numFmtId="0" fontId="7" fillId="0" borderId="15" xfId="0" applyNumberFormat="1" applyFont="1" applyFill="1" applyBorder="1" applyAlignment="1">
      <alignment horizontal="center" vertical="center" wrapText="1"/>
    </xf>
    <xf numFmtId="0" fontId="0" fillId="0" borderId="15" xfId="0" applyNumberFormat="1" applyBorder="1" applyAlignment="1">
      <alignment horizontal="center" vertical="center"/>
    </xf>
    <xf numFmtId="0" fontId="0" fillId="0" borderId="15" xfId="0" applyBorder="1" applyAlignment="1">
      <alignment horizontal="center" vertical="center"/>
    </xf>
    <xf numFmtId="14" fontId="0" fillId="0" borderId="15" xfId="0" applyNumberFormat="1" applyBorder="1" applyAlignment="1">
      <alignment horizontal="center" vertical="center"/>
    </xf>
    <xf numFmtId="2" fontId="0" fillId="0" borderId="15" xfId="0" applyNumberFormat="1" applyBorder="1" applyAlignment="1">
      <alignment horizontal="center" vertical="center"/>
    </xf>
    <xf numFmtId="0" fontId="6" fillId="0" borderId="111" xfId="0" applyFont="1" applyFill="1" applyBorder="1" applyAlignment="1" applyProtection="1">
      <alignment horizontal="center" vertical="center" wrapText="1"/>
      <protection locked="0"/>
    </xf>
    <xf numFmtId="0" fontId="8" fillId="0" borderId="111" xfId="1" applyFill="1" applyBorder="1" applyAlignment="1">
      <alignment horizontal="center" vertical="center"/>
    </xf>
    <xf numFmtId="0" fontId="5" fillId="0" borderId="111" xfId="0" applyFont="1" applyFill="1" applyBorder="1" applyAlignment="1" applyProtection="1">
      <alignment horizontal="center" vertical="center" wrapText="1"/>
      <protection locked="0"/>
    </xf>
    <xf numFmtId="0" fontId="20" fillId="11" borderId="1" xfId="0" applyFont="1" applyFill="1" applyBorder="1" applyAlignment="1" applyProtection="1">
      <alignment horizontal="center" vertical="center"/>
      <protection hidden="1"/>
    </xf>
    <xf numFmtId="0" fontId="20" fillId="11" borderId="2" xfId="0" applyFont="1" applyFill="1" applyBorder="1" applyAlignment="1" applyProtection="1">
      <alignment horizontal="center" vertical="center"/>
      <protection hidden="1"/>
    </xf>
    <xf numFmtId="0" fontId="20" fillId="11" borderId="3" xfId="0" applyFont="1" applyFill="1" applyBorder="1" applyAlignment="1" applyProtection="1">
      <alignment horizontal="center" vertical="center"/>
      <protection hidden="1"/>
    </xf>
    <xf numFmtId="0" fontId="20" fillId="11" borderId="17" xfId="0" applyFont="1" applyFill="1" applyBorder="1" applyAlignment="1" applyProtection="1">
      <alignment horizontal="center" vertical="center"/>
      <protection hidden="1"/>
    </xf>
    <xf numFmtId="0" fontId="20" fillId="11" borderId="0" xfId="0" applyFont="1" applyFill="1" applyBorder="1" applyAlignment="1" applyProtection="1">
      <alignment horizontal="center" vertical="center"/>
      <protection hidden="1"/>
    </xf>
    <xf numFmtId="0" fontId="20" fillId="11" borderId="18" xfId="0" applyFont="1" applyFill="1" applyBorder="1" applyAlignment="1" applyProtection="1">
      <alignment horizontal="center" vertical="center"/>
      <protection hidden="1"/>
    </xf>
    <xf numFmtId="0" fontId="20" fillId="11" borderId="4" xfId="0" applyFont="1" applyFill="1" applyBorder="1" applyAlignment="1" applyProtection="1">
      <alignment horizontal="center" vertical="center"/>
      <protection hidden="1"/>
    </xf>
    <xf numFmtId="0" fontId="20" fillId="11" borderId="5" xfId="0" applyFont="1" applyFill="1" applyBorder="1" applyAlignment="1" applyProtection="1">
      <alignment horizontal="center" vertical="center"/>
      <protection hidden="1"/>
    </xf>
    <xf numFmtId="0" fontId="20" fillId="11" borderId="6" xfId="0" applyFont="1" applyFill="1" applyBorder="1" applyAlignment="1" applyProtection="1">
      <alignment horizontal="center" vertical="center"/>
      <protection hidden="1"/>
    </xf>
    <xf numFmtId="0" fontId="3" fillId="10" borderId="9" xfId="0" applyFont="1" applyFill="1" applyBorder="1" applyAlignment="1" applyProtection="1">
      <alignment horizontal="center"/>
      <protection hidden="1"/>
    </xf>
    <xf numFmtId="0" fontId="3" fillId="10" borderId="10" xfId="0" applyFont="1" applyFill="1" applyBorder="1" applyAlignment="1" applyProtection="1">
      <alignment horizontal="center"/>
      <protection hidden="1"/>
    </xf>
    <xf numFmtId="0" fontId="3" fillId="10" borderId="11" xfId="0" applyFont="1" applyFill="1" applyBorder="1" applyAlignment="1" applyProtection="1">
      <alignment horizontal="center"/>
      <protection hidden="1"/>
    </xf>
    <xf numFmtId="0" fontId="11" fillId="11" borderId="1" xfId="0" applyFont="1" applyFill="1" applyBorder="1" applyAlignment="1" applyProtection="1">
      <alignment horizontal="center"/>
      <protection hidden="1"/>
    </xf>
    <xf numFmtId="0" fontId="11" fillId="11" borderId="17" xfId="0" applyFont="1" applyFill="1" applyBorder="1" applyAlignment="1" applyProtection="1">
      <alignment horizontal="center"/>
      <protection hidden="1"/>
    </xf>
    <xf numFmtId="0" fontId="11" fillId="11" borderId="4" xfId="0" applyFont="1" applyFill="1" applyBorder="1" applyAlignment="1" applyProtection="1">
      <alignment horizontal="center"/>
      <protection hidden="1"/>
    </xf>
    <xf numFmtId="0" fontId="20" fillId="11" borderId="21" xfId="0" applyFont="1" applyFill="1" applyBorder="1" applyAlignment="1" applyProtection="1">
      <alignment horizontal="center" vertical="center"/>
      <protection hidden="1"/>
    </xf>
    <xf numFmtId="0" fontId="20" fillId="11" borderId="62" xfId="0" applyFont="1" applyFill="1" applyBorder="1" applyAlignment="1" applyProtection="1">
      <alignment horizontal="center" vertical="center"/>
      <protection hidden="1"/>
    </xf>
    <xf numFmtId="0" fontId="20" fillId="11" borderId="22" xfId="0" applyFont="1" applyFill="1" applyBorder="1" applyAlignment="1" applyProtection="1">
      <alignment horizontal="center" vertical="center"/>
      <protection hidden="1"/>
    </xf>
    <xf numFmtId="0" fontId="20" fillId="11" borderId="20" xfId="0" applyFont="1" applyFill="1" applyBorder="1" applyAlignment="1" applyProtection="1">
      <alignment horizontal="center" vertical="center"/>
      <protection hidden="1"/>
    </xf>
    <xf numFmtId="0" fontId="20" fillId="11" borderId="12" xfId="0" applyFont="1" applyFill="1" applyBorder="1" applyAlignment="1" applyProtection="1">
      <alignment horizontal="center" vertical="center"/>
      <protection hidden="1"/>
    </xf>
    <xf numFmtId="0" fontId="20" fillId="11" borderId="25" xfId="0" applyFont="1" applyFill="1" applyBorder="1" applyAlignment="1" applyProtection="1">
      <alignment horizontal="center" vertical="center"/>
      <protection hidden="1"/>
    </xf>
    <xf numFmtId="0" fontId="20" fillId="11" borderId="26" xfId="0" applyFont="1" applyFill="1" applyBorder="1" applyAlignment="1" applyProtection="1">
      <alignment horizontal="center" vertical="center"/>
      <protection hidden="1"/>
    </xf>
    <xf numFmtId="0" fontId="20" fillId="11" borderId="63" xfId="0" applyFont="1" applyFill="1" applyBorder="1" applyAlignment="1" applyProtection="1">
      <alignment horizontal="center" vertical="center"/>
      <protection hidden="1"/>
    </xf>
    <xf numFmtId="0" fontId="20" fillId="11" borderId="27" xfId="0" applyFont="1" applyFill="1" applyBorder="1" applyAlignment="1" applyProtection="1">
      <alignment horizontal="center" vertical="center"/>
      <protection hidden="1"/>
    </xf>
    <xf numFmtId="0" fontId="11" fillId="11" borderId="7" xfId="0" applyFont="1" applyFill="1" applyBorder="1" applyAlignment="1" applyProtection="1">
      <alignment horizontal="center"/>
      <protection hidden="1"/>
    </xf>
    <xf numFmtId="0" fontId="11" fillId="11" borderId="19" xfId="0" applyFont="1" applyFill="1" applyBorder="1" applyAlignment="1" applyProtection="1">
      <alignment horizontal="center"/>
      <protection hidden="1"/>
    </xf>
    <xf numFmtId="0" fontId="11" fillId="11" borderId="8" xfId="0" applyFont="1" applyFill="1" applyBorder="1" applyAlignment="1" applyProtection="1">
      <alignment horizontal="center"/>
      <protection hidden="1"/>
    </xf>
    <xf numFmtId="0" fontId="3" fillId="10" borderId="21" xfId="0" applyFont="1" applyFill="1" applyBorder="1" applyAlignment="1" applyProtection="1">
      <alignment horizontal="center" vertical="center"/>
      <protection hidden="1"/>
    </xf>
    <xf numFmtId="0" fontId="3" fillId="10" borderId="62" xfId="0" applyFont="1" applyFill="1" applyBorder="1" applyAlignment="1" applyProtection="1">
      <alignment horizontal="center" vertical="center"/>
      <protection hidden="1"/>
    </xf>
    <xf numFmtId="0" fontId="3" fillId="10" borderId="22" xfId="0" applyFont="1" applyFill="1" applyBorder="1" applyAlignment="1" applyProtection="1">
      <alignment horizontal="center" vertical="center"/>
      <protection hidden="1"/>
    </xf>
    <xf numFmtId="0" fontId="3" fillId="10" borderId="26" xfId="0" applyFont="1" applyFill="1" applyBorder="1" applyAlignment="1" applyProtection="1">
      <alignment horizontal="center" vertical="center"/>
      <protection hidden="1"/>
    </xf>
    <xf numFmtId="0" fontId="3" fillId="10" borderId="63" xfId="0" applyFont="1" applyFill="1" applyBorder="1" applyAlignment="1" applyProtection="1">
      <alignment horizontal="center" vertical="center"/>
      <protection hidden="1"/>
    </xf>
    <xf numFmtId="0" fontId="3" fillId="10" borderId="27" xfId="0" applyFont="1" applyFill="1" applyBorder="1" applyAlignment="1" applyProtection="1">
      <alignment horizontal="center" vertical="center"/>
      <protection hidden="1"/>
    </xf>
    <xf numFmtId="0" fontId="20" fillId="11" borderId="2" xfId="0" applyFont="1" applyFill="1" applyBorder="1" applyAlignment="1" applyProtection="1">
      <alignment horizontal="center" vertical="center" wrapText="1"/>
      <protection hidden="1"/>
    </xf>
    <xf numFmtId="0" fontId="20" fillId="11" borderId="3" xfId="0" applyFont="1" applyFill="1" applyBorder="1" applyAlignment="1" applyProtection="1">
      <alignment horizontal="center" vertical="center" wrapText="1"/>
      <protection hidden="1"/>
    </xf>
    <xf numFmtId="0" fontId="20" fillId="11" borderId="0" xfId="0" applyFont="1" applyFill="1" applyBorder="1" applyAlignment="1" applyProtection="1">
      <alignment horizontal="center" vertical="center" wrapText="1"/>
      <protection hidden="1"/>
    </xf>
    <xf numFmtId="0" fontId="20" fillId="11" borderId="18" xfId="0" applyFont="1" applyFill="1" applyBorder="1" applyAlignment="1" applyProtection="1">
      <alignment horizontal="center" vertical="center" wrapText="1"/>
      <protection hidden="1"/>
    </xf>
    <xf numFmtId="0" fontId="20" fillId="11" borderId="5" xfId="0" applyFont="1" applyFill="1" applyBorder="1" applyAlignment="1" applyProtection="1">
      <alignment horizontal="center" vertical="center" wrapText="1"/>
      <protection hidden="1"/>
    </xf>
    <xf numFmtId="0" fontId="20" fillId="11" borderId="6" xfId="0" applyFont="1" applyFill="1" applyBorder="1" applyAlignment="1" applyProtection="1">
      <alignment horizontal="center" vertical="center" wrapText="1"/>
      <protection hidden="1"/>
    </xf>
    <xf numFmtId="0" fontId="1" fillId="10" borderId="9" xfId="0" applyFont="1" applyFill="1" applyBorder="1" applyAlignment="1" applyProtection="1">
      <alignment horizontal="center"/>
      <protection hidden="1"/>
    </xf>
    <xf numFmtId="0" fontId="1" fillId="10" borderId="10" xfId="0" applyFont="1" applyFill="1" applyBorder="1" applyAlignment="1" applyProtection="1">
      <alignment horizontal="center"/>
      <protection hidden="1"/>
    </xf>
    <xf numFmtId="0" fontId="1" fillId="10" borderId="11" xfId="0" applyFont="1" applyFill="1" applyBorder="1" applyAlignment="1" applyProtection="1">
      <alignment horizontal="center"/>
      <protection hidden="1"/>
    </xf>
    <xf numFmtId="0" fontId="31" fillId="6" borderId="1" xfId="0" applyFont="1" applyFill="1" applyBorder="1" applyAlignment="1" applyProtection="1">
      <alignment horizontal="center" vertical="center"/>
      <protection hidden="1"/>
    </xf>
    <xf numFmtId="0" fontId="31" fillId="6" borderId="2" xfId="0" applyFont="1" applyFill="1" applyBorder="1" applyAlignment="1" applyProtection="1">
      <alignment horizontal="center" vertical="center"/>
      <protection hidden="1"/>
    </xf>
    <xf numFmtId="0" fontId="31" fillId="6" borderId="3" xfId="0" applyFont="1" applyFill="1" applyBorder="1" applyAlignment="1" applyProtection="1">
      <alignment horizontal="center" vertical="center"/>
      <protection hidden="1"/>
    </xf>
    <xf numFmtId="0" fontId="31" fillId="6" borderId="17" xfId="0" applyFont="1" applyFill="1" applyBorder="1" applyAlignment="1" applyProtection="1">
      <alignment horizontal="center" vertical="center"/>
      <protection hidden="1"/>
    </xf>
    <xf numFmtId="0" fontId="31" fillId="6" borderId="0" xfId="0" applyFont="1" applyFill="1" applyBorder="1" applyAlignment="1" applyProtection="1">
      <alignment horizontal="center" vertical="center"/>
      <protection hidden="1"/>
    </xf>
    <xf numFmtId="0" fontId="31" fillId="6" borderId="18" xfId="0" applyFont="1" applyFill="1" applyBorder="1" applyAlignment="1" applyProtection="1">
      <alignment horizontal="center" vertical="center"/>
      <protection hidden="1"/>
    </xf>
    <xf numFmtId="0" fontId="31" fillId="6" borderId="4" xfId="0" applyFont="1" applyFill="1" applyBorder="1" applyAlignment="1" applyProtection="1">
      <alignment horizontal="center" vertical="center"/>
      <protection hidden="1"/>
    </xf>
    <xf numFmtId="0" fontId="31" fillId="6" borderId="5" xfId="0" applyFont="1" applyFill="1" applyBorder="1" applyAlignment="1" applyProtection="1">
      <alignment horizontal="center" vertical="center"/>
      <protection hidden="1"/>
    </xf>
    <xf numFmtId="0" fontId="31" fillId="6" borderId="6" xfId="0" applyFont="1" applyFill="1" applyBorder="1" applyAlignment="1" applyProtection="1">
      <alignment horizontal="center" vertical="center"/>
      <protection hidden="1"/>
    </xf>
    <xf numFmtId="0" fontId="11" fillId="2" borderId="0" xfId="0" applyFont="1" applyFill="1" applyBorder="1" applyAlignment="1" applyProtection="1">
      <alignment horizontal="center"/>
      <protection hidden="1"/>
    </xf>
    <xf numFmtId="0" fontId="11" fillId="29" borderId="7" xfId="0" applyFont="1" applyFill="1" applyBorder="1" applyAlignment="1" applyProtection="1">
      <alignment horizontal="center"/>
      <protection hidden="1"/>
    </xf>
    <xf numFmtId="0" fontId="11" fillId="29" borderId="19" xfId="0" applyFont="1" applyFill="1" applyBorder="1" applyAlignment="1" applyProtection="1">
      <alignment horizontal="center"/>
      <protection hidden="1"/>
    </xf>
    <xf numFmtId="0" fontId="11" fillId="29" borderId="8" xfId="0" applyFont="1" applyFill="1" applyBorder="1" applyAlignment="1" applyProtection="1">
      <alignment horizontal="center"/>
      <protection hidden="1"/>
    </xf>
    <xf numFmtId="0" fontId="7" fillId="11" borderId="1" xfId="0" applyFont="1" applyFill="1" applyBorder="1" applyAlignment="1" applyProtection="1">
      <alignment horizontal="left" vertical="center" wrapText="1"/>
      <protection hidden="1"/>
    </xf>
    <xf numFmtId="0" fontId="7" fillId="11" borderId="2" xfId="0" applyFont="1" applyFill="1" applyBorder="1" applyAlignment="1" applyProtection="1">
      <alignment horizontal="left" vertical="center" wrapText="1"/>
      <protection hidden="1"/>
    </xf>
    <xf numFmtId="0" fontId="7" fillId="11" borderId="3" xfId="0" applyFont="1" applyFill="1" applyBorder="1" applyAlignment="1" applyProtection="1">
      <alignment horizontal="left" vertical="center" wrapText="1"/>
      <protection hidden="1"/>
    </xf>
    <xf numFmtId="0" fontId="7" fillId="11" borderId="17" xfId="0" applyFont="1" applyFill="1" applyBorder="1" applyAlignment="1" applyProtection="1">
      <alignment horizontal="left" vertical="center" wrapText="1"/>
      <protection hidden="1"/>
    </xf>
    <xf numFmtId="0" fontId="7" fillId="11" borderId="0" xfId="0" applyFont="1" applyFill="1" applyBorder="1" applyAlignment="1" applyProtection="1">
      <alignment horizontal="left" vertical="center" wrapText="1"/>
      <protection hidden="1"/>
    </xf>
    <xf numFmtId="0" fontId="7" fillId="11" borderId="18" xfId="0" applyFont="1" applyFill="1" applyBorder="1" applyAlignment="1" applyProtection="1">
      <alignment horizontal="left" vertical="center" wrapText="1"/>
      <protection hidden="1"/>
    </xf>
    <xf numFmtId="0" fontId="7" fillId="11" borderId="4" xfId="0" applyFont="1" applyFill="1" applyBorder="1" applyAlignment="1" applyProtection="1">
      <alignment horizontal="left" vertical="center" wrapText="1"/>
      <protection hidden="1"/>
    </xf>
    <xf numFmtId="0" fontId="7" fillId="11" borderId="5" xfId="0" applyFont="1" applyFill="1" applyBorder="1" applyAlignment="1" applyProtection="1">
      <alignment horizontal="left" vertical="center" wrapText="1"/>
      <protection hidden="1"/>
    </xf>
    <xf numFmtId="0" fontId="7" fillId="11" borderId="6" xfId="0" applyFont="1" applyFill="1" applyBorder="1" applyAlignment="1" applyProtection="1">
      <alignment horizontal="left" vertical="center" wrapText="1"/>
      <protection hidden="1"/>
    </xf>
    <xf numFmtId="0" fontId="3" fillId="10" borderId="1" xfId="0" applyFont="1" applyFill="1" applyBorder="1" applyAlignment="1" applyProtection="1">
      <alignment horizontal="center" vertical="center"/>
      <protection hidden="1"/>
    </xf>
    <xf numFmtId="0" fontId="3" fillId="10" borderId="2" xfId="0" applyFont="1" applyFill="1" applyBorder="1" applyAlignment="1" applyProtection="1">
      <alignment horizontal="center" vertical="center"/>
      <protection hidden="1"/>
    </xf>
    <xf numFmtId="0" fontId="3" fillId="10" borderId="3" xfId="0" applyFont="1" applyFill="1" applyBorder="1" applyAlignment="1" applyProtection="1">
      <alignment horizontal="center" vertical="center"/>
      <protection hidden="1"/>
    </xf>
    <xf numFmtId="0" fontId="3" fillId="10" borderId="4" xfId="0" applyFont="1" applyFill="1" applyBorder="1" applyAlignment="1" applyProtection="1">
      <alignment horizontal="center" vertical="center"/>
      <protection hidden="1"/>
    </xf>
    <xf numFmtId="0" fontId="3" fillId="10" borderId="5" xfId="0" applyFont="1" applyFill="1" applyBorder="1" applyAlignment="1" applyProtection="1">
      <alignment horizontal="center" vertical="center"/>
      <protection hidden="1"/>
    </xf>
    <xf numFmtId="0" fontId="3" fillId="10" borderId="6" xfId="0" applyFont="1" applyFill="1" applyBorder="1" applyAlignment="1" applyProtection="1">
      <alignment horizontal="center" vertical="center"/>
      <protection hidden="1"/>
    </xf>
    <xf numFmtId="0" fontId="9" fillId="15" borderId="16" xfId="0" applyFont="1" applyFill="1" applyBorder="1" applyAlignment="1" applyProtection="1">
      <alignment horizontal="center"/>
      <protection hidden="1"/>
    </xf>
    <xf numFmtId="0" fontId="9" fillId="15" borderId="47" xfId="0" applyFont="1" applyFill="1" applyBorder="1" applyAlignment="1" applyProtection="1">
      <alignment horizontal="center"/>
      <protection hidden="1"/>
    </xf>
    <xf numFmtId="0" fontId="9" fillId="15" borderId="33" xfId="0" applyFont="1" applyFill="1" applyBorder="1" applyAlignment="1" applyProtection="1">
      <alignment horizontal="center"/>
      <protection hidden="1"/>
    </xf>
    <xf numFmtId="0" fontId="16" fillId="0" borderId="43" xfId="0" applyFont="1" applyBorder="1" applyAlignment="1" applyProtection="1">
      <alignment horizontal="center" vertical="center"/>
      <protection hidden="1"/>
    </xf>
    <xf numFmtId="0" fontId="0" fillId="0" borderId="16" xfId="0" applyBorder="1" applyAlignment="1" applyProtection="1">
      <alignment horizontal="center" vertical="center"/>
      <protection hidden="1"/>
    </xf>
    <xf numFmtId="0" fontId="0" fillId="0" borderId="33" xfId="0" applyBorder="1" applyAlignment="1" applyProtection="1">
      <alignment horizontal="center" vertical="center"/>
      <protection hidden="1"/>
    </xf>
    <xf numFmtId="0" fontId="0" fillId="0" borderId="16"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16" xfId="0" applyBorder="1" applyAlignment="1" applyProtection="1">
      <alignment horizontal="center"/>
      <protection locked="0"/>
    </xf>
    <xf numFmtId="0" fontId="0" fillId="0" borderId="47" xfId="0" applyBorder="1" applyAlignment="1" applyProtection="1">
      <alignment horizontal="center"/>
      <protection locked="0"/>
    </xf>
    <xf numFmtId="0" fontId="0" fillId="0" borderId="33" xfId="0" applyBorder="1" applyAlignment="1" applyProtection="1">
      <alignment horizontal="center"/>
      <protection locked="0"/>
    </xf>
    <xf numFmtId="0" fontId="16" fillId="0" borderId="16" xfId="0" applyFont="1" applyBorder="1" applyAlignment="1" applyProtection="1">
      <alignment horizontal="left"/>
      <protection hidden="1"/>
    </xf>
    <xf numFmtId="0" fontId="16" fillId="0" borderId="47" xfId="0" applyFont="1" applyBorder="1" applyAlignment="1" applyProtection="1">
      <alignment horizontal="left"/>
      <protection hidden="1"/>
    </xf>
    <xf numFmtId="0" fontId="16" fillId="0" borderId="33" xfId="0" applyFont="1" applyBorder="1" applyAlignment="1" applyProtection="1">
      <alignment horizontal="left"/>
      <protection hidden="1"/>
    </xf>
    <xf numFmtId="0" fontId="2" fillId="0" borderId="12" xfId="0" applyFont="1" applyBorder="1" applyAlignment="1" applyProtection="1">
      <alignment horizontal="center" vertical="center"/>
      <protection locked="0"/>
    </xf>
    <xf numFmtId="0" fontId="2" fillId="0" borderId="16" xfId="0" applyFont="1" applyBorder="1" applyAlignment="1" applyProtection="1">
      <alignment horizontal="center" vertical="center"/>
      <protection locked="0"/>
    </xf>
    <xf numFmtId="0" fontId="2" fillId="0" borderId="47" xfId="0" applyFont="1" applyBorder="1" applyAlignment="1" applyProtection="1">
      <alignment horizontal="center" vertical="center"/>
      <protection locked="0"/>
    </xf>
    <xf numFmtId="0" fontId="2" fillId="0" borderId="33" xfId="0" applyFont="1" applyBorder="1" applyAlignment="1" applyProtection="1">
      <alignment horizontal="center" vertical="center"/>
      <protection locked="0"/>
    </xf>
    <xf numFmtId="0" fontId="14" fillId="0" borderId="89" xfId="0" applyFont="1" applyBorder="1" applyAlignment="1" applyProtection="1">
      <alignment horizontal="left" vertical="center"/>
      <protection locked="0" hidden="1"/>
    </xf>
    <xf numFmtId="0" fontId="14" fillId="0" borderId="49" xfId="0" applyFont="1" applyBorder="1" applyAlignment="1" applyProtection="1">
      <alignment horizontal="left" vertical="center"/>
      <protection locked="0" hidden="1"/>
    </xf>
    <xf numFmtId="0" fontId="1" fillId="10" borderId="16" xfId="0" applyFont="1" applyFill="1" applyBorder="1" applyAlignment="1" applyProtection="1">
      <alignment horizontal="center"/>
      <protection hidden="1"/>
    </xf>
    <xf numFmtId="0" fontId="1" fillId="10" borderId="33" xfId="0" applyFont="1" applyFill="1" applyBorder="1" applyAlignment="1" applyProtection="1">
      <alignment horizontal="center"/>
      <protection hidden="1"/>
    </xf>
    <xf numFmtId="0" fontId="3" fillId="26" borderId="1" xfId="0" applyFont="1" applyFill="1" applyBorder="1" applyAlignment="1" applyProtection="1">
      <alignment horizontal="center" vertical="center"/>
      <protection hidden="1"/>
    </xf>
    <xf numFmtId="0" fontId="3" fillId="26" borderId="2" xfId="0" applyFont="1" applyFill="1" applyBorder="1" applyAlignment="1" applyProtection="1">
      <alignment horizontal="center" vertical="center"/>
      <protection hidden="1"/>
    </xf>
    <xf numFmtId="0" fontId="3" fillId="26" borderId="3" xfId="0" applyFont="1" applyFill="1" applyBorder="1" applyAlignment="1" applyProtection="1">
      <alignment horizontal="center" vertical="center"/>
      <protection hidden="1"/>
    </xf>
    <xf numFmtId="0" fontId="3" fillId="26" borderId="4" xfId="0" applyFont="1" applyFill="1" applyBorder="1" applyAlignment="1" applyProtection="1">
      <alignment horizontal="center" vertical="center"/>
      <protection hidden="1"/>
    </xf>
    <xf numFmtId="0" fontId="3" fillId="26" borderId="5" xfId="0" applyFont="1" applyFill="1" applyBorder="1" applyAlignment="1" applyProtection="1">
      <alignment horizontal="center" vertical="center"/>
      <protection hidden="1"/>
    </xf>
    <xf numFmtId="0" fontId="3" fillId="26" borderId="6" xfId="0" applyFont="1" applyFill="1" applyBorder="1" applyAlignment="1" applyProtection="1">
      <alignment horizontal="center" vertical="center"/>
      <protection hidden="1"/>
    </xf>
    <xf numFmtId="14" fontId="0" fillId="0" borderId="36" xfId="0" applyNumberFormat="1" applyBorder="1" applyAlignment="1" applyProtection="1">
      <alignment horizontal="left"/>
      <protection hidden="1"/>
    </xf>
    <xf numFmtId="0" fontId="0" fillId="0" borderId="37" xfId="0" applyBorder="1" applyAlignment="1" applyProtection="1">
      <alignment horizontal="left"/>
      <protection hidden="1"/>
    </xf>
    <xf numFmtId="0" fontId="0" fillId="0" borderId="16" xfId="0" applyBorder="1" applyAlignment="1" applyProtection="1">
      <alignment horizontal="center"/>
      <protection locked="0" hidden="1"/>
    </xf>
    <xf numFmtId="0" fontId="0" fillId="0" borderId="47" xfId="0" applyBorder="1" applyAlignment="1" applyProtection="1">
      <alignment horizontal="center"/>
      <protection locked="0" hidden="1"/>
    </xf>
    <xf numFmtId="0" fontId="0" fillId="0" borderId="33" xfId="0" applyBorder="1" applyAlignment="1" applyProtection="1">
      <alignment horizontal="center"/>
      <protection locked="0" hidden="1"/>
    </xf>
    <xf numFmtId="0" fontId="0" fillId="0" borderId="12" xfId="0" applyBorder="1" applyAlignment="1" applyProtection="1">
      <alignment horizontal="center"/>
      <protection locked="0" hidden="1"/>
    </xf>
    <xf numFmtId="0" fontId="0" fillId="0" borderId="12" xfId="0" applyBorder="1" applyAlignment="1" applyProtection="1">
      <alignment horizontal="center"/>
      <protection hidden="1"/>
    </xf>
    <xf numFmtId="0" fontId="5" fillId="0" borderId="12" xfId="0" applyFont="1" applyBorder="1" applyAlignment="1" applyProtection="1">
      <alignment horizontal="center" vertical="center" wrapText="1"/>
      <protection hidden="1"/>
    </xf>
    <xf numFmtId="0" fontId="5" fillId="0" borderId="12" xfId="0" applyFont="1" applyBorder="1" applyAlignment="1" applyProtection="1">
      <alignment horizontal="center" vertical="center"/>
      <protection hidden="1"/>
    </xf>
    <xf numFmtId="0" fontId="5" fillId="0" borderId="16" xfId="0" applyFont="1" applyBorder="1" applyAlignment="1" applyProtection="1">
      <alignment horizontal="center" vertical="center"/>
      <protection hidden="1"/>
    </xf>
    <xf numFmtId="0" fontId="2" fillId="0" borderId="12" xfId="0" applyFont="1" applyBorder="1" applyAlignment="1" applyProtection="1">
      <alignment horizontal="left"/>
      <protection hidden="1"/>
    </xf>
    <xf numFmtId="0" fontId="2" fillId="0" borderId="16" xfId="0" applyFont="1" applyBorder="1" applyAlignment="1" applyProtection="1">
      <alignment horizontal="left"/>
      <protection hidden="1"/>
    </xf>
    <xf numFmtId="0" fontId="4" fillId="0" borderId="34" xfId="0" applyFont="1" applyBorder="1" applyAlignment="1" applyProtection="1">
      <alignment horizontal="center"/>
      <protection hidden="1"/>
    </xf>
    <xf numFmtId="0" fontId="4" fillId="0" borderId="35" xfId="0" applyFont="1" applyBorder="1" applyAlignment="1" applyProtection="1">
      <alignment horizontal="center"/>
      <protection hidden="1"/>
    </xf>
    <xf numFmtId="0" fontId="2" fillId="15" borderId="12" xfId="0" applyFont="1" applyFill="1" applyBorder="1" applyAlignment="1" applyProtection="1">
      <alignment horizontal="center" vertical="center"/>
      <protection hidden="1"/>
    </xf>
    <xf numFmtId="0" fontId="0" fillId="0" borderId="43" xfId="0" applyBorder="1" applyAlignment="1" applyProtection="1">
      <alignment horizontal="center"/>
      <protection hidden="1"/>
    </xf>
    <xf numFmtId="0" fontId="0" fillId="0" borderId="13" xfId="0" applyBorder="1" applyAlignment="1" applyProtection="1">
      <alignment horizontal="center" vertical="center"/>
      <protection hidden="1"/>
    </xf>
    <xf numFmtId="0" fontId="0" fillId="0" borderId="0" xfId="0" applyAlignment="1" applyProtection="1">
      <alignment horizontal="center" vertical="center"/>
      <protection hidden="1"/>
    </xf>
    <xf numFmtId="0" fontId="14" fillId="15" borderId="34" xfId="0" applyFont="1" applyFill="1" applyBorder="1" applyAlignment="1" applyProtection="1">
      <alignment horizontal="center"/>
      <protection hidden="1"/>
    </xf>
    <xf numFmtId="0" fontId="14" fillId="15" borderId="43" xfId="0" applyFont="1" applyFill="1" applyBorder="1" applyAlignment="1" applyProtection="1">
      <alignment horizontal="center"/>
      <protection hidden="1"/>
    </xf>
    <xf numFmtId="0" fontId="14" fillId="15" borderId="35" xfId="0" applyFont="1" applyFill="1" applyBorder="1" applyAlignment="1" applyProtection="1">
      <alignment horizontal="center"/>
      <protection hidden="1"/>
    </xf>
    <xf numFmtId="0" fontId="16" fillId="15" borderId="36" xfId="0" applyFont="1" applyFill="1" applyBorder="1" applyAlignment="1" applyProtection="1">
      <alignment horizontal="center"/>
      <protection hidden="1"/>
    </xf>
    <xf numFmtId="0" fontId="16" fillId="15" borderId="46" xfId="0" applyFont="1" applyFill="1" applyBorder="1" applyAlignment="1" applyProtection="1">
      <alignment horizontal="center"/>
      <protection hidden="1"/>
    </xf>
    <xf numFmtId="0" fontId="16" fillId="15" borderId="37" xfId="0" applyFont="1" applyFill="1" applyBorder="1" applyAlignment="1" applyProtection="1">
      <alignment horizontal="center"/>
      <protection hidden="1"/>
    </xf>
    <xf numFmtId="0" fontId="16" fillId="0" borderId="99" xfId="0" applyFont="1" applyBorder="1" applyAlignment="1" applyProtection="1">
      <alignment horizontal="center" vertical="center"/>
      <protection locked="0" hidden="1"/>
    </xf>
    <xf numFmtId="0" fontId="16" fillId="0" borderId="57" xfId="0" applyFont="1" applyBorder="1" applyAlignment="1" applyProtection="1">
      <alignment horizontal="center" vertical="center"/>
      <protection locked="0" hidden="1"/>
    </xf>
    <xf numFmtId="0" fontId="14" fillId="0" borderId="57" xfId="0" applyFont="1" applyBorder="1" applyAlignment="1" applyProtection="1">
      <alignment horizontal="center" vertical="center"/>
      <protection locked="0" hidden="1"/>
    </xf>
    <xf numFmtId="0" fontId="16" fillId="0" borderId="80" xfId="0" applyFont="1" applyBorder="1" applyAlignment="1" applyProtection="1">
      <alignment horizontal="center" vertical="center"/>
      <protection locked="0" hidden="1"/>
    </xf>
    <xf numFmtId="0" fontId="26" fillId="31" borderId="1" xfId="0" applyFont="1" applyFill="1" applyBorder="1" applyAlignment="1" applyProtection="1">
      <alignment horizontal="center" vertical="center"/>
      <protection hidden="1"/>
    </xf>
    <xf numFmtId="0" fontId="26" fillId="31" borderId="2" xfId="0" applyFont="1" applyFill="1" applyBorder="1" applyAlignment="1" applyProtection="1">
      <alignment horizontal="center" vertical="center"/>
      <protection hidden="1"/>
    </xf>
    <xf numFmtId="0" fontId="26" fillId="31" borderId="3" xfId="0" applyFont="1" applyFill="1" applyBorder="1" applyAlignment="1" applyProtection="1">
      <alignment horizontal="center" vertical="center"/>
      <protection hidden="1"/>
    </xf>
    <xf numFmtId="0" fontId="26" fillId="31" borderId="4" xfId="0" applyFont="1" applyFill="1" applyBorder="1" applyAlignment="1" applyProtection="1">
      <alignment horizontal="center" vertical="center"/>
      <protection hidden="1"/>
    </xf>
    <xf numFmtId="0" fontId="26" fillId="31" borderId="5" xfId="0" applyFont="1" applyFill="1" applyBorder="1" applyAlignment="1" applyProtection="1">
      <alignment horizontal="center" vertical="center"/>
      <protection hidden="1"/>
    </xf>
    <xf numFmtId="0" fontId="26" fillId="31" borderId="6" xfId="0" applyFont="1" applyFill="1" applyBorder="1" applyAlignment="1" applyProtection="1">
      <alignment horizontal="center" vertical="center"/>
      <protection hidden="1"/>
    </xf>
    <xf numFmtId="0" fontId="0" fillId="30" borderId="4" xfId="0" applyFill="1" applyBorder="1" applyAlignment="1">
      <alignment horizontal="center" vertical="center"/>
    </xf>
    <xf numFmtId="0" fontId="0" fillId="30" borderId="5" xfId="0" applyFill="1" applyBorder="1" applyAlignment="1">
      <alignment horizontal="center" vertical="center"/>
    </xf>
    <xf numFmtId="0" fontId="0" fillId="30" borderId="2" xfId="0" applyFill="1" applyBorder="1" applyAlignment="1">
      <alignment horizontal="center"/>
    </xf>
    <xf numFmtId="0" fontId="18" fillId="0" borderId="34" xfId="0" applyFont="1" applyBorder="1" applyAlignment="1" applyProtection="1">
      <alignment horizontal="center" vertical="center"/>
      <protection hidden="1"/>
    </xf>
    <xf numFmtId="0" fontId="18" fillId="0" borderId="44" xfId="0" applyFont="1" applyBorder="1" applyAlignment="1" applyProtection="1">
      <alignment horizontal="center" vertical="center"/>
      <protection hidden="1"/>
    </xf>
    <xf numFmtId="0" fontId="18" fillId="0" borderId="36" xfId="0" applyFont="1" applyBorder="1" applyAlignment="1" applyProtection="1">
      <alignment horizontal="center" vertical="center"/>
      <protection hidden="1"/>
    </xf>
    <xf numFmtId="0" fontId="14" fillId="0" borderId="12" xfId="0" applyFont="1" applyBorder="1" applyAlignment="1" applyProtection="1">
      <alignment horizontal="center" vertical="center"/>
      <protection hidden="1"/>
    </xf>
    <xf numFmtId="0" fontId="19" fillId="0" borderId="12" xfId="0" applyFont="1" applyBorder="1" applyAlignment="1" applyProtection="1">
      <alignment horizontal="center" vertical="center" wrapText="1"/>
      <protection hidden="1"/>
    </xf>
    <xf numFmtId="0" fontId="16" fillId="0" borderId="16" xfId="0" applyFont="1" applyBorder="1" applyAlignment="1" applyProtection="1">
      <alignment horizontal="left" vertical="center"/>
      <protection locked="0" hidden="1"/>
    </xf>
    <xf numFmtId="0" fontId="16" fillId="0" borderId="47" xfId="0" applyFont="1" applyBorder="1" applyAlignment="1" applyProtection="1">
      <alignment horizontal="left" vertical="center"/>
      <protection locked="0" hidden="1"/>
    </xf>
    <xf numFmtId="0" fontId="16" fillId="0" borderId="33" xfId="0" applyFont="1" applyBorder="1" applyAlignment="1" applyProtection="1">
      <alignment horizontal="left" vertical="center"/>
      <protection locked="0" hidden="1"/>
    </xf>
    <xf numFmtId="0" fontId="16" fillId="0" borderId="16" xfId="0" applyFont="1" applyBorder="1" applyAlignment="1" applyProtection="1">
      <alignment horizontal="center" vertical="center"/>
      <protection locked="0" hidden="1"/>
    </xf>
    <xf numFmtId="0" fontId="16" fillId="0" borderId="33" xfId="0" applyFont="1" applyBorder="1" applyAlignment="1" applyProtection="1">
      <alignment horizontal="center" vertical="center"/>
      <protection locked="0" hidden="1"/>
    </xf>
    <xf numFmtId="0" fontId="0" fillId="0" borderId="47" xfId="0" applyBorder="1" applyAlignment="1" applyProtection="1">
      <alignment horizontal="center" vertical="center"/>
      <protection hidden="1"/>
    </xf>
    <xf numFmtId="0" fontId="3" fillId="23" borderId="16" xfId="0" applyFont="1" applyFill="1" applyBorder="1" applyAlignment="1" applyProtection="1">
      <alignment horizontal="center" vertical="center"/>
      <protection hidden="1"/>
    </xf>
    <xf numFmtId="0" fontId="3" fillId="23" borderId="47" xfId="0" applyFont="1" applyFill="1" applyBorder="1" applyAlignment="1" applyProtection="1">
      <alignment horizontal="center" vertical="center"/>
      <protection hidden="1"/>
    </xf>
    <xf numFmtId="0" fontId="3" fillId="23" borderId="43" xfId="0" applyFont="1" applyFill="1" applyBorder="1" applyAlignment="1" applyProtection="1">
      <alignment horizontal="center" vertical="center"/>
      <protection hidden="1"/>
    </xf>
    <xf numFmtId="0" fontId="0" fillId="0" borderId="12" xfId="0" applyBorder="1" applyAlignment="1" applyProtection="1">
      <alignment horizontal="center" vertical="center"/>
      <protection hidden="1"/>
    </xf>
    <xf numFmtId="0" fontId="30" fillId="26" borderId="1" xfId="0" applyFont="1" applyFill="1" applyBorder="1" applyAlignment="1" applyProtection="1">
      <alignment horizontal="center" vertical="center"/>
      <protection hidden="1"/>
    </xf>
    <xf numFmtId="0" fontId="30" fillId="26" borderId="2" xfId="0" applyFont="1" applyFill="1" applyBorder="1" applyAlignment="1" applyProtection="1">
      <alignment horizontal="center" vertical="center"/>
      <protection hidden="1"/>
    </xf>
    <xf numFmtId="0" fontId="30" fillId="26" borderId="3" xfId="0" applyFont="1" applyFill="1" applyBorder="1" applyAlignment="1" applyProtection="1">
      <alignment horizontal="center" vertical="center"/>
      <protection hidden="1"/>
    </xf>
    <xf numFmtId="0" fontId="30" fillId="26" borderId="4" xfId="0" applyFont="1" applyFill="1" applyBorder="1" applyAlignment="1" applyProtection="1">
      <alignment horizontal="center" vertical="center"/>
      <protection hidden="1"/>
    </xf>
    <xf numFmtId="0" fontId="30" fillId="26" borderId="5" xfId="0" applyFont="1" applyFill="1" applyBorder="1" applyAlignment="1" applyProtection="1">
      <alignment horizontal="center" vertical="center"/>
      <protection hidden="1"/>
    </xf>
    <xf numFmtId="0" fontId="30" fillId="26" borderId="6" xfId="0" applyFont="1" applyFill="1" applyBorder="1" applyAlignment="1" applyProtection="1">
      <alignment horizontal="center" vertical="center"/>
      <protection hidden="1"/>
    </xf>
    <xf numFmtId="0" fontId="14" fillId="0" borderId="99" xfId="0" applyFont="1" applyBorder="1" applyAlignment="1" applyProtection="1">
      <alignment horizontal="center" vertical="center"/>
      <protection locked="0" hidden="1"/>
    </xf>
    <xf numFmtId="0" fontId="2" fillId="0" borderId="46" xfId="0" applyFont="1" applyBorder="1" applyAlignment="1" applyProtection="1">
      <alignment horizontal="center" vertical="center"/>
      <protection locked="0" hidden="1"/>
    </xf>
    <xf numFmtId="0" fontId="16" fillId="0" borderId="99" xfId="0" applyFont="1" applyFill="1" applyBorder="1" applyAlignment="1" applyProtection="1">
      <alignment horizontal="center" vertical="center"/>
      <protection locked="0" hidden="1"/>
    </xf>
    <xf numFmtId="0" fontId="16" fillId="0" borderId="100" xfId="0" applyFont="1" applyFill="1" applyBorder="1" applyAlignment="1" applyProtection="1">
      <alignment horizontal="center" vertical="center"/>
      <protection locked="0" hidden="1"/>
    </xf>
    <xf numFmtId="0" fontId="2" fillId="0" borderId="0" xfId="0" applyFont="1" applyBorder="1" applyAlignment="1" applyProtection="1">
      <alignment horizontal="center" vertical="center"/>
      <protection hidden="1"/>
    </xf>
    <xf numFmtId="0" fontId="14" fillId="0" borderId="46" xfId="0" applyFont="1" applyBorder="1" applyAlignment="1" applyProtection="1">
      <alignment horizontal="center"/>
      <protection locked="0" hidden="1"/>
    </xf>
    <xf numFmtId="0" fontId="2" fillId="0" borderId="47" xfId="0" applyFont="1" applyBorder="1" applyAlignment="1" applyProtection="1">
      <alignment horizontal="center" wrapText="1"/>
      <protection locked="0" hidden="1"/>
    </xf>
    <xf numFmtId="0" fontId="16" fillId="0" borderId="0" xfId="0" applyFont="1" applyAlignment="1" applyProtection="1">
      <alignment horizontal="center" vertical="center"/>
      <protection hidden="1"/>
    </xf>
    <xf numFmtId="0" fontId="29" fillId="28" borderId="2" xfId="0" applyFont="1" applyFill="1" applyBorder="1" applyAlignment="1">
      <alignment horizontal="center" vertical="center" wrapText="1"/>
    </xf>
    <xf numFmtId="0" fontId="29" fillId="28" borderId="0" xfId="0" applyFont="1" applyFill="1" applyBorder="1" applyAlignment="1">
      <alignment horizontal="center" vertical="center" wrapText="1"/>
    </xf>
    <xf numFmtId="0" fontId="3" fillId="10" borderId="1" xfId="0" applyFont="1" applyFill="1" applyBorder="1" applyAlignment="1">
      <alignment horizontal="center" vertical="center"/>
    </xf>
    <xf numFmtId="0" fontId="3" fillId="10" borderId="2" xfId="0" applyFont="1" applyFill="1" applyBorder="1" applyAlignment="1">
      <alignment horizontal="center" vertical="center"/>
    </xf>
    <xf numFmtId="0" fontId="3" fillId="10" borderId="3" xfId="0" applyFont="1" applyFill="1" applyBorder="1" applyAlignment="1">
      <alignment horizontal="center" vertical="center"/>
    </xf>
    <xf numFmtId="0" fontId="3" fillId="10" borderId="4" xfId="0" applyFont="1" applyFill="1" applyBorder="1" applyAlignment="1">
      <alignment horizontal="center" vertical="center"/>
    </xf>
    <xf numFmtId="0" fontId="3" fillId="10" borderId="5" xfId="0" applyFont="1" applyFill="1" applyBorder="1" applyAlignment="1">
      <alignment horizontal="center" vertical="center"/>
    </xf>
    <xf numFmtId="0" fontId="3" fillId="10" borderId="6" xfId="0" applyFont="1" applyFill="1" applyBorder="1" applyAlignment="1">
      <alignment horizontal="center" vertical="center"/>
    </xf>
    <xf numFmtId="0" fontId="2" fillId="8" borderId="21" xfId="0" applyFont="1" applyFill="1" applyBorder="1" applyAlignment="1">
      <alignment horizontal="center" vertical="center" wrapText="1"/>
    </xf>
    <xf numFmtId="0" fontId="2" fillId="8" borderId="22" xfId="0" applyFont="1" applyFill="1" applyBorder="1" applyAlignment="1">
      <alignment horizontal="center" vertical="center" wrapText="1"/>
    </xf>
    <xf numFmtId="0" fontId="2" fillId="8" borderId="26" xfId="0" applyFont="1" applyFill="1" applyBorder="1" applyAlignment="1">
      <alignment horizontal="center" vertical="center" wrapText="1"/>
    </xf>
    <xf numFmtId="0" fontId="2" fillId="8" borderId="27" xfId="0" applyFont="1" applyFill="1" applyBorder="1" applyAlignment="1">
      <alignment horizontal="center" vertical="center" wrapText="1"/>
    </xf>
    <xf numFmtId="0" fontId="0" fillId="6" borderId="66" xfId="0" applyFill="1" applyBorder="1" applyAlignment="1">
      <alignment horizontal="center"/>
    </xf>
    <xf numFmtId="0" fontId="0" fillId="6" borderId="22" xfId="0" applyFill="1" applyBorder="1" applyAlignment="1">
      <alignment horizontal="center"/>
    </xf>
    <xf numFmtId="0" fontId="0" fillId="6" borderId="67" xfId="0" applyFill="1" applyBorder="1" applyAlignment="1">
      <alignment horizontal="center"/>
    </xf>
    <xf numFmtId="0" fontId="0" fillId="6" borderId="27" xfId="0" applyFill="1" applyBorder="1" applyAlignment="1">
      <alignment horizontal="center"/>
    </xf>
    <xf numFmtId="0" fontId="2" fillId="0" borderId="16" xfId="0" applyFont="1" applyBorder="1" applyAlignment="1">
      <alignment horizontal="center" vertical="center" wrapText="1"/>
    </xf>
    <xf numFmtId="0" fontId="2" fillId="0" borderId="47" xfId="0" applyFont="1" applyBorder="1" applyAlignment="1">
      <alignment horizontal="center" vertical="center" wrapText="1"/>
    </xf>
    <xf numFmtId="0" fontId="2" fillId="0" borderId="33" xfId="0" applyFont="1" applyBorder="1" applyAlignment="1">
      <alignment horizontal="center" vertical="center" wrapText="1"/>
    </xf>
    <xf numFmtId="0" fontId="2" fillId="0" borderId="16" xfId="0" applyFont="1" applyBorder="1" applyAlignment="1">
      <alignment horizontal="center" vertical="center"/>
    </xf>
    <xf numFmtId="0" fontId="2" fillId="0" borderId="47" xfId="0" applyFont="1" applyBorder="1" applyAlignment="1">
      <alignment horizontal="center" vertical="center"/>
    </xf>
    <xf numFmtId="0" fontId="2" fillId="0" borderId="33" xfId="0" applyFont="1" applyBorder="1" applyAlignment="1">
      <alignment horizontal="center" vertical="center"/>
    </xf>
    <xf numFmtId="0" fontId="14" fillId="0" borderId="16" xfId="0" applyFont="1" applyBorder="1" applyAlignment="1">
      <alignment horizontal="center" vertical="center" wrapText="1"/>
    </xf>
    <xf numFmtId="0" fontId="14" fillId="0" borderId="47" xfId="0" applyFont="1" applyBorder="1" applyAlignment="1">
      <alignment horizontal="center" vertical="center" wrapText="1"/>
    </xf>
    <xf numFmtId="0" fontId="14" fillId="0" borderId="33" xfId="0" applyFont="1" applyBorder="1" applyAlignment="1">
      <alignment horizontal="center" vertical="center" wrapText="1"/>
    </xf>
    <xf numFmtId="0" fontId="0" fillId="0" borderId="47" xfId="0" applyBorder="1" applyAlignment="1">
      <alignment horizontal="left"/>
    </xf>
    <xf numFmtId="0" fontId="0" fillId="0" borderId="47" xfId="0" applyBorder="1" applyAlignment="1">
      <alignment horizontal="left" vertical="center" wrapText="1"/>
    </xf>
    <xf numFmtId="0" fontId="0" fillId="0" borderId="43" xfId="0" applyBorder="1" applyAlignment="1">
      <alignment horizontal="left" vertical="center" wrapText="1"/>
    </xf>
    <xf numFmtId="0" fontId="0" fillId="0" borderId="33" xfId="0" applyBorder="1" applyAlignment="1">
      <alignment horizontal="left" vertical="center" wrapText="1"/>
    </xf>
    <xf numFmtId="0" fontId="9" fillId="0" borderId="16" xfId="0" applyFont="1" applyBorder="1" applyAlignment="1">
      <alignment horizontal="center" vertical="center" wrapText="1"/>
    </xf>
    <xf numFmtId="0" fontId="9" fillId="0" borderId="47" xfId="0" applyFont="1" applyBorder="1" applyAlignment="1">
      <alignment horizontal="center" vertical="center" wrapText="1"/>
    </xf>
    <xf numFmtId="0" fontId="9" fillId="0" borderId="33" xfId="0" applyFont="1" applyBorder="1" applyAlignment="1">
      <alignment horizontal="center" vertical="center" wrapText="1"/>
    </xf>
    <xf numFmtId="0" fontId="9" fillId="0" borderId="0" xfId="0" applyFont="1" applyBorder="1" applyAlignment="1">
      <alignment horizontal="center" vertical="center" wrapText="1"/>
    </xf>
    <xf numFmtId="0" fontId="0" fillId="0" borderId="64" xfId="0" applyBorder="1" applyAlignment="1">
      <alignment horizontal="center"/>
    </xf>
    <xf numFmtId="0" fontId="16" fillId="0" borderId="47" xfId="0" applyFont="1" applyBorder="1" applyAlignment="1">
      <alignment horizontal="left" vertical="center" wrapText="1"/>
    </xf>
    <xf numFmtId="0" fontId="16" fillId="0" borderId="33" xfId="0" applyFont="1" applyBorder="1" applyAlignment="1">
      <alignment horizontal="left" vertical="center" wrapText="1"/>
    </xf>
    <xf numFmtId="0" fontId="16" fillId="0" borderId="47" xfId="0" applyFont="1" applyBorder="1" applyAlignment="1">
      <alignment horizontal="left" vertical="center"/>
    </xf>
    <xf numFmtId="0" fontId="16" fillId="0" borderId="33" xfId="0" applyFont="1" applyBorder="1" applyAlignment="1">
      <alignment horizontal="left" vertical="center"/>
    </xf>
    <xf numFmtId="0" fontId="0" fillId="0" borderId="16" xfId="0" applyBorder="1" applyAlignment="1">
      <alignment horizontal="center" vertical="center" wrapText="1"/>
    </xf>
    <xf numFmtId="0" fontId="0" fillId="0" borderId="33" xfId="0" applyBorder="1" applyAlignment="1">
      <alignment horizontal="center" vertical="center" wrapText="1"/>
    </xf>
    <xf numFmtId="0" fontId="2" fillId="0" borderId="12" xfId="0" applyFont="1" applyBorder="1" applyAlignment="1">
      <alignment horizontal="center" vertical="center" wrapText="1"/>
    </xf>
    <xf numFmtId="0" fontId="9" fillId="0" borderId="34" xfId="0" applyFont="1" applyBorder="1" applyAlignment="1">
      <alignment horizontal="left" vertical="center" wrapText="1"/>
    </xf>
    <xf numFmtId="0" fontId="9" fillId="0" borderId="43" xfId="0" applyFont="1" applyBorder="1" applyAlignment="1">
      <alignment horizontal="left" vertical="center" wrapText="1"/>
    </xf>
    <xf numFmtId="0" fontId="14" fillId="0" borderId="34" xfId="0" applyFont="1" applyBorder="1" applyAlignment="1">
      <alignment horizontal="center" vertical="center" wrapText="1"/>
    </xf>
    <xf numFmtId="0" fontId="14" fillId="0" borderId="43" xfId="0" applyFont="1" applyBorder="1" applyAlignment="1">
      <alignment horizontal="center" vertical="center" wrapText="1"/>
    </xf>
    <xf numFmtId="0" fontId="16" fillId="0" borderId="47" xfId="0" applyFont="1" applyBorder="1" applyAlignment="1">
      <alignment horizontal="left"/>
    </xf>
    <xf numFmtId="0" fontId="16" fillId="0" borderId="33" xfId="0" applyFont="1" applyBorder="1" applyAlignment="1">
      <alignment horizontal="left"/>
    </xf>
    <xf numFmtId="0" fontId="16" fillId="0" borderId="12" xfId="0" applyFont="1" applyBorder="1" applyAlignment="1">
      <alignment horizontal="center" vertical="top" wrapText="1"/>
    </xf>
    <xf numFmtId="0" fontId="14" fillId="0" borderId="12" xfId="0" applyFont="1" applyBorder="1" applyAlignment="1">
      <alignment horizontal="center" vertical="center"/>
    </xf>
    <xf numFmtId="0" fontId="0" fillId="0" borderId="12" xfId="0" applyBorder="1" applyAlignment="1">
      <alignment horizontal="center"/>
    </xf>
    <xf numFmtId="0" fontId="9" fillId="0" borderId="15" xfId="0" applyFont="1" applyBorder="1" applyAlignment="1">
      <alignment horizontal="center" vertical="center"/>
    </xf>
    <xf numFmtId="0" fontId="9" fillId="0" borderId="12" xfId="0" applyFont="1" applyBorder="1" applyAlignment="1">
      <alignment horizontal="center" vertical="center"/>
    </xf>
    <xf numFmtId="0" fontId="20" fillId="6" borderId="10" xfId="0" applyFont="1" applyFill="1" applyBorder="1" applyAlignment="1" applyProtection="1">
      <alignment horizontal="center" vertical="center"/>
      <protection locked="0"/>
    </xf>
    <xf numFmtId="0" fontId="20" fillId="6" borderId="11" xfId="0" applyFont="1" applyFill="1" applyBorder="1" applyAlignment="1" applyProtection="1">
      <alignment horizontal="center" vertical="center"/>
      <protection locked="0"/>
    </xf>
    <xf numFmtId="0" fontId="21" fillId="8" borderId="9" xfId="0" applyFont="1" applyFill="1" applyBorder="1" applyAlignment="1">
      <alignment horizontal="center" vertical="center" wrapText="1"/>
    </xf>
    <xf numFmtId="0" fontId="21" fillId="8" borderId="10" xfId="0" applyFont="1" applyFill="1" applyBorder="1" applyAlignment="1">
      <alignment horizontal="center" vertical="center" wrapText="1"/>
    </xf>
    <xf numFmtId="0" fontId="21" fillId="8" borderId="11" xfId="0" applyFont="1" applyFill="1" applyBorder="1" applyAlignment="1">
      <alignment horizontal="center" vertical="center" wrapText="1"/>
    </xf>
    <xf numFmtId="0" fontId="14" fillId="0" borderId="12" xfId="0" applyFont="1" applyBorder="1" applyAlignment="1">
      <alignment horizontal="center" vertical="center" wrapText="1"/>
    </xf>
    <xf numFmtId="0" fontId="16" fillId="0" borderId="12" xfId="0" applyFont="1" applyBorder="1" applyAlignment="1">
      <alignment horizontal="left" vertical="center" wrapText="1"/>
    </xf>
    <xf numFmtId="0" fontId="0" fillId="0" borderId="47" xfId="0" applyBorder="1" applyAlignment="1">
      <alignment horizontal="left" vertical="center"/>
    </xf>
    <xf numFmtId="0" fontId="16" fillId="0" borderId="47" xfId="0" applyFont="1" applyBorder="1" applyAlignment="1">
      <alignment horizontal="center" vertical="center" wrapText="1"/>
    </xf>
    <xf numFmtId="0" fontId="16" fillId="0" borderId="33" xfId="0" applyFont="1" applyBorder="1" applyAlignment="1">
      <alignment horizontal="center" vertical="center" wrapText="1"/>
    </xf>
    <xf numFmtId="0" fontId="14" fillId="0" borderId="16" xfId="0" applyFont="1" applyBorder="1" applyAlignment="1">
      <alignment horizontal="center" vertical="center"/>
    </xf>
    <xf numFmtId="0" fontId="14" fillId="0" borderId="33" xfId="0" applyFont="1" applyBorder="1" applyAlignment="1">
      <alignment horizontal="center" vertical="center"/>
    </xf>
    <xf numFmtId="0" fontId="16" fillId="0" borderId="16" xfId="0" applyFont="1" applyBorder="1" applyAlignment="1">
      <alignment horizontal="center" vertical="center" wrapText="1"/>
    </xf>
    <xf numFmtId="0" fontId="14" fillId="0" borderId="46" xfId="0" applyFont="1" applyBorder="1" applyAlignment="1">
      <alignment horizontal="left" vertical="center" wrapText="1"/>
    </xf>
    <xf numFmtId="0" fontId="0" fillId="0" borderId="12" xfId="0" applyBorder="1" applyAlignment="1">
      <alignment horizontal="center" vertical="top" wrapText="1"/>
    </xf>
    <xf numFmtId="0" fontId="0" fillId="0" borderId="12" xfId="0" applyBorder="1" applyAlignment="1">
      <alignment horizontal="center" vertical="center" wrapText="1"/>
    </xf>
    <xf numFmtId="0" fontId="1" fillId="10" borderId="9" xfId="0" applyFont="1" applyFill="1" applyBorder="1" applyAlignment="1">
      <alignment horizontal="left"/>
    </xf>
    <xf numFmtId="0" fontId="1" fillId="10" borderId="11" xfId="0" applyFont="1" applyFill="1" applyBorder="1" applyAlignment="1">
      <alignment horizontal="left"/>
    </xf>
    <xf numFmtId="0" fontId="3" fillId="10" borderId="4" xfId="0" applyFont="1" applyFill="1" applyBorder="1" applyAlignment="1" applyProtection="1">
      <alignment horizontal="left" vertical="center"/>
      <protection hidden="1"/>
    </xf>
    <xf numFmtId="0" fontId="3" fillId="10" borderId="5" xfId="0" applyFont="1" applyFill="1" applyBorder="1" applyAlignment="1" applyProtection="1">
      <alignment horizontal="left" vertical="center"/>
      <protection hidden="1"/>
    </xf>
    <xf numFmtId="0" fontId="2" fillId="14" borderId="9" xfId="0" applyFont="1" applyFill="1" applyBorder="1" applyAlignment="1" applyProtection="1">
      <alignment horizontal="center"/>
      <protection hidden="1"/>
    </xf>
    <xf numFmtId="0" fontId="2" fillId="14" borderId="11" xfId="0" applyFont="1" applyFill="1" applyBorder="1" applyAlignment="1" applyProtection="1">
      <alignment horizontal="center"/>
      <protection hidden="1"/>
    </xf>
    <xf numFmtId="0" fontId="2" fillId="18" borderId="21" xfId="0" applyFont="1" applyFill="1" applyBorder="1" applyAlignment="1" applyProtection="1">
      <alignment horizontal="center"/>
      <protection hidden="1"/>
    </xf>
    <xf numFmtId="0" fontId="2" fillId="18" borderId="22" xfId="0" applyFont="1" applyFill="1" applyBorder="1" applyAlignment="1" applyProtection="1">
      <alignment horizontal="center"/>
      <protection hidden="1"/>
    </xf>
    <xf numFmtId="0" fontId="2" fillId="18" borderId="20" xfId="0" applyFont="1" applyFill="1" applyBorder="1" applyAlignment="1" applyProtection="1">
      <alignment horizontal="center"/>
      <protection hidden="1"/>
    </xf>
    <xf numFmtId="0" fontId="2" fillId="18" borderId="25" xfId="0" applyFont="1" applyFill="1" applyBorder="1" applyAlignment="1" applyProtection="1">
      <alignment horizontal="center"/>
      <protection hidden="1"/>
    </xf>
    <xf numFmtId="0" fontId="2" fillId="18" borderId="26" xfId="0" applyFont="1" applyFill="1" applyBorder="1" applyAlignment="1" applyProtection="1">
      <alignment horizontal="center"/>
      <protection hidden="1"/>
    </xf>
    <xf numFmtId="0" fontId="2" fillId="18" borderId="27" xfId="0" applyFont="1" applyFill="1" applyBorder="1" applyAlignment="1" applyProtection="1">
      <alignment horizontal="center"/>
      <protection hidden="1"/>
    </xf>
    <xf numFmtId="0" fontId="32" fillId="28" borderId="0" xfId="0" applyFont="1" applyFill="1" applyAlignment="1">
      <alignment horizontal="center" vertical="center"/>
    </xf>
    <xf numFmtId="0" fontId="1" fillId="19" borderId="9" xfId="0" applyFont="1" applyFill="1" applyBorder="1" applyAlignment="1" applyProtection="1">
      <alignment horizontal="center"/>
      <protection hidden="1"/>
    </xf>
    <xf numFmtId="0" fontId="1" fillId="19" borderId="11" xfId="0" applyFont="1" applyFill="1" applyBorder="1" applyAlignment="1" applyProtection="1">
      <alignment horizontal="center"/>
      <protection hidden="1"/>
    </xf>
    <xf numFmtId="0" fontId="3" fillId="10" borderId="21" xfId="0" applyFont="1" applyFill="1" applyBorder="1" applyAlignment="1">
      <alignment horizontal="center"/>
    </xf>
    <xf numFmtId="0" fontId="12" fillId="10" borderId="22" xfId="0" applyFont="1" applyFill="1" applyBorder="1" applyAlignment="1">
      <alignment horizontal="center"/>
    </xf>
    <xf numFmtId="0" fontId="1" fillId="13" borderId="23" xfId="0" applyFont="1" applyFill="1" applyBorder="1" applyAlignment="1">
      <alignment horizontal="center"/>
    </xf>
    <xf numFmtId="0" fontId="1" fillId="13" borderId="24" xfId="0" applyFont="1" applyFill="1" applyBorder="1" applyAlignment="1">
      <alignment horizontal="center"/>
    </xf>
    <xf numFmtId="0" fontId="1" fillId="10" borderId="9" xfId="0" applyFont="1" applyFill="1" applyBorder="1" applyAlignment="1">
      <alignment horizontal="center" vertical="center"/>
    </xf>
    <xf numFmtId="0" fontId="1" fillId="10" borderId="10" xfId="0" applyFont="1" applyFill="1" applyBorder="1" applyAlignment="1">
      <alignment horizontal="center" vertical="center"/>
    </xf>
    <xf numFmtId="0" fontId="1" fillId="10" borderId="11" xfId="0" applyFont="1" applyFill="1" applyBorder="1" applyAlignment="1">
      <alignment horizontal="center" vertical="center"/>
    </xf>
    <xf numFmtId="0" fontId="1" fillId="2" borderId="21" xfId="0" applyFont="1" applyFill="1" applyBorder="1" applyAlignment="1">
      <alignment horizontal="center"/>
    </xf>
    <xf numFmtId="0" fontId="1" fillId="2" borderId="22" xfId="0" applyFont="1" applyFill="1" applyBorder="1" applyAlignment="1">
      <alignment horizontal="center"/>
    </xf>
    <xf numFmtId="0" fontId="0" fillId="6" borderId="1" xfId="0" applyFill="1" applyBorder="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7" xfId="0" applyFill="1" applyBorder="1" applyAlignment="1">
      <alignment horizontal="center"/>
    </xf>
    <xf numFmtId="0" fontId="0" fillId="6" borderId="0" xfId="0" applyFill="1" applyBorder="1" applyAlignment="1">
      <alignment horizontal="center"/>
    </xf>
    <xf numFmtId="0" fontId="0" fillId="6" borderId="18"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0" fontId="0" fillId="5" borderId="19" xfId="0" applyFill="1" applyBorder="1" applyAlignment="1">
      <alignment horizontal="center"/>
    </xf>
    <xf numFmtId="0" fontId="0" fillId="5" borderId="8" xfId="0" applyFill="1" applyBorder="1" applyAlignment="1">
      <alignment horizontal="center"/>
    </xf>
    <xf numFmtId="0" fontId="0" fillId="8" borderId="29" xfId="0" applyFill="1" applyBorder="1" applyAlignment="1">
      <alignment horizontal="center"/>
    </xf>
    <xf numFmtId="0" fontId="0" fillId="8" borderId="30" xfId="0" applyFill="1" applyBorder="1" applyAlignment="1">
      <alignment horizontal="center"/>
    </xf>
    <xf numFmtId="0" fontId="3" fillId="10" borderId="31" xfId="0" applyFont="1" applyFill="1" applyBorder="1" applyAlignment="1">
      <alignment horizontal="center"/>
    </xf>
    <xf numFmtId="0" fontId="3" fillId="10" borderId="32" xfId="0" applyFont="1" applyFill="1" applyBorder="1" applyAlignment="1">
      <alignment horizontal="center"/>
    </xf>
    <xf numFmtId="0" fontId="3" fillId="10" borderId="9" xfId="0" applyFont="1" applyFill="1" applyBorder="1" applyAlignment="1">
      <alignment horizontal="center"/>
    </xf>
    <xf numFmtId="0" fontId="3" fillId="10" borderId="11" xfId="0" applyFont="1" applyFill="1" applyBorder="1" applyAlignment="1">
      <alignment horizontal="center"/>
    </xf>
    <xf numFmtId="49" fontId="0" fillId="8" borderId="2" xfId="0" applyNumberFormat="1" applyFill="1" applyBorder="1" applyAlignment="1">
      <alignment horizontal="center" vertical="center"/>
    </xf>
    <xf numFmtId="49" fontId="0" fillId="8" borderId="0" xfId="0" applyNumberFormat="1" applyFill="1" applyBorder="1" applyAlignment="1">
      <alignment horizontal="center" vertical="center"/>
    </xf>
    <xf numFmtId="49" fontId="0" fillId="8" borderId="5" xfId="0" applyNumberFormat="1" applyFill="1" applyBorder="1" applyAlignment="1">
      <alignment horizontal="center" vertical="center"/>
    </xf>
    <xf numFmtId="0" fontId="0" fillId="7" borderId="2" xfId="0" applyFill="1" applyBorder="1" applyAlignment="1">
      <alignment horizontal="center" vertical="center"/>
    </xf>
    <xf numFmtId="0" fontId="0" fillId="7" borderId="0" xfId="0" applyFill="1" applyAlignment="1">
      <alignment horizontal="center" vertical="center"/>
    </xf>
    <xf numFmtId="0" fontId="1" fillId="3" borderId="17"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0" fillId="3" borderId="1" xfId="0" applyFill="1" applyBorder="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1" fillId="2" borderId="9"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0"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10" borderId="17" xfId="0" applyFont="1" applyFill="1" applyBorder="1" applyAlignment="1">
      <alignment horizontal="center" vertical="center"/>
    </xf>
    <xf numFmtId="0" fontId="3" fillId="10" borderId="0" xfId="0" applyFont="1" applyFill="1" applyBorder="1" applyAlignment="1">
      <alignment horizontal="center" vertical="center"/>
    </xf>
    <xf numFmtId="0" fontId="14" fillId="19" borderId="17" xfId="0" applyFont="1" applyFill="1" applyBorder="1" applyAlignment="1" applyProtection="1">
      <alignment horizontal="center" vertical="center" wrapText="1"/>
      <protection hidden="1"/>
    </xf>
    <xf numFmtId="0" fontId="2" fillId="19" borderId="0" xfId="0" applyFont="1" applyFill="1" applyAlignment="1" applyProtection="1">
      <alignment horizontal="center" vertical="center" wrapText="1"/>
      <protection hidden="1"/>
    </xf>
    <xf numFmtId="0" fontId="34" fillId="6" borderId="15" xfId="0" applyFont="1" applyFill="1" applyBorder="1" applyAlignment="1" applyProtection="1">
      <alignment horizontal="center" vertical="center" wrapText="1"/>
      <protection hidden="1"/>
    </xf>
    <xf numFmtId="0" fontId="14" fillId="39" borderId="2" xfId="0" applyFont="1" applyFill="1" applyBorder="1" applyAlignment="1" applyProtection="1">
      <alignment horizontal="center" vertical="center"/>
      <protection hidden="1"/>
    </xf>
    <xf numFmtId="0" fontId="14" fillId="39" borderId="0" xfId="0" applyFont="1" applyFill="1" applyBorder="1" applyAlignment="1" applyProtection="1">
      <alignment horizontal="center" vertical="center"/>
      <protection hidden="1"/>
    </xf>
    <xf numFmtId="0" fontId="2" fillId="39" borderId="7" xfId="0" applyFont="1" applyFill="1" applyBorder="1" applyAlignment="1" applyProtection="1">
      <alignment horizontal="center" vertical="center" wrapText="1"/>
      <protection hidden="1"/>
    </xf>
    <xf numFmtId="0" fontId="2" fillId="39" borderId="19" xfId="0" applyFont="1" applyFill="1" applyBorder="1" applyAlignment="1" applyProtection="1">
      <alignment horizontal="center" vertical="center" wrapText="1"/>
      <protection hidden="1"/>
    </xf>
    <xf numFmtId="0" fontId="2" fillId="39" borderId="8" xfId="0" applyFont="1" applyFill="1" applyBorder="1" applyAlignment="1" applyProtection="1">
      <alignment horizontal="center" vertical="center" wrapText="1"/>
      <protection hidden="1"/>
    </xf>
    <xf numFmtId="0" fontId="2" fillId="39" borderId="62" xfId="0" applyFont="1" applyFill="1" applyBorder="1" applyAlignment="1" applyProtection="1">
      <alignment horizontal="center"/>
      <protection hidden="1"/>
    </xf>
    <xf numFmtId="0" fontId="2" fillId="39" borderId="12" xfId="0" applyFont="1" applyFill="1" applyBorder="1" applyAlignment="1" applyProtection="1">
      <alignment horizontal="center"/>
      <protection hidden="1"/>
    </xf>
    <xf numFmtId="0" fontId="2" fillId="39" borderId="4" xfId="0" applyFont="1" applyFill="1" applyBorder="1" applyAlignment="1" applyProtection="1">
      <alignment horizontal="right" vertical="center"/>
      <protection hidden="1"/>
    </xf>
    <xf numFmtId="0" fontId="2" fillId="39" borderId="5" xfId="0" applyFont="1" applyFill="1" applyBorder="1" applyAlignment="1" applyProtection="1">
      <alignment horizontal="right" vertical="center"/>
      <protection hidden="1"/>
    </xf>
    <xf numFmtId="0" fontId="14" fillId="6" borderId="9" xfId="0" applyFont="1" applyFill="1" applyBorder="1" applyAlignment="1" applyProtection="1">
      <alignment horizontal="center" vertical="center"/>
      <protection hidden="1"/>
    </xf>
    <xf numFmtId="0" fontId="14" fillId="6" borderId="10" xfId="0" applyFont="1" applyFill="1" applyBorder="1" applyAlignment="1" applyProtection="1">
      <alignment horizontal="center" vertical="center"/>
      <protection hidden="1"/>
    </xf>
    <xf numFmtId="0" fontId="14" fillId="6" borderId="11" xfId="0" applyFont="1" applyFill="1" applyBorder="1" applyAlignment="1" applyProtection="1">
      <alignment horizontal="center" vertical="center"/>
      <protection hidden="1"/>
    </xf>
    <xf numFmtId="0" fontId="2" fillId="39" borderId="63" xfId="0" applyFont="1" applyFill="1" applyBorder="1" applyAlignment="1" applyProtection="1">
      <alignment horizontal="center"/>
      <protection hidden="1"/>
    </xf>
    <xf numFmtId="0" fontId="2" fillId="39" borderId="9" xfId="0" applyFont="1" applyFill="1" applyBorder="1" applyAlignment="1" applyProtection="1">
      <alignment horizontal="center" vertical="center"/>
      <protection hidden="1"/>
    </xf>
    <xf numFmtId="0" fontId="2" fillId="39" borderId="11" xfId="0" applyFont="1" applyFill="1" applyBorder="1" applyAlignment="1" applyProtection="1">
      <alignment horizontal="center" vertical="center"/>
      <protection hidden="1"/>
    </xf>
    <xf numFmtId="0" fontId="0" fillId="40" borderId="22" xfId="0" applyFill="1" applyBorder="1"/>
    <xf numFmtId="0" fontId="0" fillId="40" borderId="25" xfId="0" applyFill="1" applyBorder="1"/>
    <xf numFmtId="0" fontId="0" fillId="7" borderId="25" xfId="0" applyFill="1" applyBorder="1"/>
    <xf numFmtId="0" fontId="11" fillId="27" borderId="25" xfId="0" applyFont="1" applyFill="1" applyBorder="1"/>
    <xf numFmtId="0" fontId="11" fillId="27" borderId="27" xfId="0" applyFont="1" applyFill="1" applyBorder="1"/>
    <xf numFmtId="0" fontId="11" fillId="27" borderId="25" xfId="0" applyFont="1" applyFill="1" applyBorder="1" applyAlignment="1">
      <alignment wrapText="1"/>
    </xf>
    <xf numFmtId="0" fontId="2" fillId="27" borderId="12" xfId="0" applyFont="1" applyFill="1" applyBorder="1" applyAlignment="1">
      <alignment horizontal="center" vertical="center" wrapText="1"/>
    </xf>
    <xf numFmtId="0" fontId="0" fillId="27" borderId="12" xfId="0" applyFill="1" applyBorder="1" applyAlignment="1">
      <alignment horizontal="justify" vertical="center" wrapText="1"/>
    </xf>
    <xf numFmtId="0" fontId="2" fillId="40" borderId="12" xfId="0" applyFont="1" applyFill="1" applyBorder="1" applyAlignment="1">
      <alignment horizontal="center" vertical="center"/>
    </xf>
    <xf numFmtId="0" fontId="2" fillId="40" borderId="12" xfId="0" applyFont="1" applyFill="1" applyBorder="1" applyAlignment="1">
      <alignment horizontal="center" vertical="center" wrapText="1"/>
    </xf>
    <xf numFmtId="0" fontId="0" fillId="40" borderId="12" xfId="0" applyFill="1" applyBorder="1" applyAlignment="1">
      <alignment horizontal="justify" vertical="center" wrapText="1"/>
    </xf>
    <xf numFmtId="0" fontId="19" fillId="40" borderId="16" xfId="0" applyFont="1" applyFill="1" applyBorder="1" applyAlignment="1">
      <alignment horizontal="center" vertical="center" wrapText="1"/>
    </xf>
    <xf numFmtId="0" fontId="19" fillId="40" borderId="33" xfId="0" applyFont="1" applyFill="1" applyBorder="1" applyAlignment="1">
      <alignment horizontal="center" vertical="center" wrapText="1"/>
    </xf>
    <xf numFmtId="0" fontId="9" fillId="40" borderId="12" xfId="0" applyFont="1" applyFill="1" applyBorder="1" applyAlignment="1">
      <alignment horizontal="center" vertical="center" wrapText="1"/>
    </xf>
    <xf numFmtId="0" fontId="2" fillId="40" borderId="16" xfId="0" applyFont="1" applyFill="1" applyBorder="1" applyAlignment="1">
      <alignment horizontal="center" vertical="center" wrapText="1"/>
    </xf>
    <xf numFmtId="0" fontId="2" fillId="40" borderId="33" xfId="0" applyFont="1" applyFill="1" applyBorder="1" applyAlignment="1">
      <alignment horizontal="center" vertical="center" wrapText="1"/>
    </xf>
    <xf numFmtId="0" fontId="2" fillId="40" borderId="34" xfId="0" applyFont="1" applyFill="1" applyBorder="1" applyAlignment="1">
      <alignment horizontal="center" vertical="center" wrapText="1"/>
    </xf>
    <xf numFmtId="0" fontId="2" fillId="40" borderId="35" xfId="0" applyFont="1" applyFill="1" applyBorder="1" applyAlignment="1">
      <alignment horizontal="center" vertical="center" wrapText="1"/>
    </xf>
    <xf numFmtId="0" fontId="9" fillId="40" borderId="13" xfId="0" applyFont="1" applyFill="1" applyBorder="1" applyAlignment="1">
      <alignment horizontal="center" vertical="center" wrapText="1"/>
    </xf>
    <xf numFmtId="0" fontId="9" fillId="40" borderId="34" xfId="0" applyFont="1" applyFill="1" applyBorder="1" applyAlignment="1">
      <alignment horizontal="left" vertical="center" wrapText="1"/>
    </xf>
    <xf numFmtId="0" fontId="9" fillId="40" borderId="43" xfId="0" applyFont="1" applyFill="1" applyBorder="1" applyAlignment="1">
      <alignment horizontal="left" vertical="center" wrapText="1"/>
    </xf>
    <xf numFmtId="0" fontId="0" fillId="40" borderId="43" xfId="0" applyFill="1" applyBorder="1" applyAlignment="1">
      <alignment vertical="center" wrapText="1"/>
    </xf>
    <xf numFmtId="0" fontId="0" fillId="40" borderId="35" xfId="0" applyFill="1" applyBorder="1" applyAlignment="1">
      <alignment vertical="center" wrapText="1"/>
    </xf>
    <xf numFmtId="0" fontId="0" fillId="40" borderId="44" xfId="0" applyFill="1" applyBorder="1"/>
    <xf numFmtId="0" fontId="0" fillId="40" borderId="0" xfId="0" applyFill="1" applyBorder="1"/>
    <xf numFmtId="0" fontId="0" fillId="40" borderId="45" xfId="0" applyFill="1" applyBorder="1" applyAlignment="1">
      <alignment vertical="center" wrapText="1"/>
    </xf>
    <xf numFmtId="0" fontId="0" fillId="40" borderId="36" xfId="0" applyFill="1" applyBorder="1" applyAlignment="1">
      <alignment vertical="center" wrapText="1"/>
    </xf>
    <xf numFmtId="0" fontId="0" fillId="40" borderId="46" xfId="0" applyFill="1" applyBorder="1"/>
    <xf numFmtId="0" fontId="0" fillId="40" borderId="37" xfId="0" applyFill="1" applyBorder="1" applyAlignment="1">
      <alignment vertical="center" wrapText="1"/>
    </xf>
    <xf numFmtId="0" fontId="9" fillId="28" borderId="16" xfId="0" applyFont="1" applyFill="1" applyBorder="1" applyAlignment="1">
      <alignment horizontal="center" vertical="center" wrapText="1"/>
    </xf>
    <xf numFmtId="0" fontId="9" fillId="28" borderId="47" xfId="0" applyFont="1" applyFill="1" applyBorder="1" applyAlignment="1">
      <alignment horizontal="center" vertical="center" wrapText="1"/>
    </xf>
    <xf numFmtId="0" fontId="9" fillId="28" borderId="33" xfId="0" applyFont="1" applyFill="1" applyBorder="1" applyAlignment="1">
      <alignment horizontal="center" vertical="center" wrapText="1"/>
    </xf>
    <xf numFmtId="0" fontId="14" fillId="28" borderId="16" xfId="0" applyFont="1" applyFill="1" applyBorder="1" applyAlignment="1">
      <alignment horizontal="justify" vertical="center" wrapText="1"/>
    </xf>
    <xf numFmtId="0" fontId="16" fillId="28" borderId="47" xfId="0" applyFont="1" applyFill="1" applyBorder="1" applyAlignment="1">
      <alignment horizontal="center" vertical="center" wrapText="1"/>
    </xf>
    <xf numFmtId="0" fontId="16" fillId="28" borderId="33" xfId="0" applyFont="1" applyFill="1" applyBorder="1" applyAlignment="1">
      <alignment horizontal="center" vertical="center" wrapText="1"/>
    </xf>
    <xf numFmtId="0" fontId="14" fillId="28" borderId="34" xfId="0" applyFont="1" applyFill="1" applyBorder="1" applyAlignment="1">
      <alignment horizontal="justify" vertical="center" wrapText="1"/>
    </xf>
    <xf numFmtId="0" fontId="16" fillId="28" borderId="47" xfId="0" applyFont="1" applyFill="1" applyBorder="1" applyAlignment="1">
      <alignment horizontal="center" vertical="center"/>
    </xf>
    <xf numFmtId="0" fontId="16" fillId="28" borderId="33" xfId="0" applyFont="1" applyFill="1" applyBorder="1" applyAlignment="1">
      <alignment horizontal="center" vertical="center"/>
    </xf>
    <xf numFmtId="0" fontId="16" fillId="28" borderId="47" xfId="0" applyNumberFormat="1" applyFont="1" applyFill="1" applyBorder="1" applyAlignment="1">
      <alignment horizontal="center" vertical="center"/>
    </xf>
    <xf numFmtId="0" fontId="16" fillId="28" borderId="33" xfId="0" applyNumberFormat="1" applyFont="1" applyFill="1" applyBorder="1" applyAlignment="1">
      <alignment horizontal="center" vertical="center"/>
    </xf>
    <xf numFmtId="0" fontId="0" fillId="28" borderId="0" xfId="0" applyFill="1" applyBorder="1" applyAlignment="1">
      <alignment horizontal="justify" vertical="center" wrapText="1"/>
    </xf>
    <xf numFmtId="0" fontId="16" fillId="40" borderId="16" xfId="0" applyFont="1" applyFill="1" applyBorder="1" applyAlignment="1">
      <alignment horizontal="center" vertical="center" wrapText="1"/>
    </xf>
    <xf numFmtId="0" fontId="16" fillId="40" borderId="33" xfId="0" applyFont="1" applyFill="1" applyBorder="1" applyAlignment="1">
      <alignment horizontal="center" vertical="center" wrapText="1"/>
    </xf>
    <xf numFmtId="0" fontId="16" fillId="40" borderId="12" xfId="0" applyFont="1" applyFill="1" applyBorder="1" applyAlignment="1">
      <alignment horizontal="center" vertical="center" wrapText="1"/>
    </xf>
  </cellXfs>
  <cellStyles count="2">
    <cellStyle name="Hipervínculo" xfId="1" builtinId="8"/>
    <cellStyle name="Normal" xfId="0" builtinId="0"/>
  </cellStyles>
  <dxfs count="241">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0"/>
        <name val="Calibri"/>
        <scheme val="minor"/>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libri"/>
        <scheme val="minor"/>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libri"/>
        <scheme val="minor"/>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libri"/>
        <scheme val="minor"/>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0"/>
        <name val="Calibri"/>
        <scheme val="minor"/>
      </font>
      <alignment horizontal="center" vertical="center"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rgb="FF00B050"/>
        </patternFill>
      </fill>
    </dxf>
    <dxf>
      <fill>
        <patternFill>
          <bgColor rgb="FFFF0000"/>
        </patternFill>
      </fill>
    </dxf>
    <dxf>
      <font>
        <strike val="0"/>
        <outline val="0"/>
        <shadow val="0"/>
        <u val="none"/>
        <vertAlign val="baseline"/>
        <sz val="10"/>
        <name val="Calibri"/>
        <scheme val="minor"/>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2" formatCode="0.00"/>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0"/>
        <name val="Calibri"/>
        <scheme val="minor"/>
      </font>
      <numFmt numFmtId="2" formatCode="0.00"/>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Calibri"/>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theme="1"/>
        <name val="Calibri"/>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font>
        <b/>
        <strike val="0"/>
        <outline val="0"/>
        <shadow val="0"/>
        <u val="none"/>
        <vertAlign val="baseline"/>
        <sz val="10"/>
        <color auto="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Calibri"/>
        <scheme val="minor"/>
      </font>
      <numFmt numFmtId="19" formatCode="dd/mm/yyyy"/>
      <fill>
        <patternFill patternType="none">
          <fgColor indexed="64"/>
          <bgColor auto="1"/>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none">
          <fgColor indexed="64"/>
          <bgColor auto="1"/>
        </patternFill>
      </fill>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top style="thin">
          <color indexed="64"/>
        </top>
        <bottom/>
      </border>
      <protection locked="1" hidden="1"/>
    </dxf>
    <dxf>
      <font>
        <b/>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border>
      <protection locked="1" hidden="1"/>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border>
      <protection locked="1" hidden="1"/>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border>
      <protection locked="1" hidden="1"/>
    </dxf>
    <dxf>
      <numFmt numFmtId="0" formatCode="General"/>
      <fill>
        <patternFill patternType="none">
          <fgColor indexed="64"/>
          <bgColor auto="1"/>
        </patternFill>
      </fill>
      <alignment textRotation="0" wrapText="1" indent="0" justifyLastLine="0" shrinkToFit="0" readingOrder="0"/>
      <border diagonalUp="0" diagonalDown="0">
        <left style="thin">
          <color indexed="64"/>
        </left>
        <right style="thin">
          <color indexed="64"/>
        </right>
        <top style="thin">
          <color indexed="64"/>
        </top>
        <bottom/>
      </border>
      <protection locked="1" hidden="1"/>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border>
      <protection locked="1" hidden="1"/>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border>
      <protection locked="1" hidden="1"/>
    </dxf>
    <dxf>
      <font>
        <b/>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border>
      <protection locked="1" hidden="1"/>
    </dxf>
    <dxf>
      <fill>
        <patternFill patternType="none">
          <fgColor indexed="64"/>
          <bgColor auto="1"/>
        </patternFill>
      </fill>
      <alignment horizontal="center" vertical="bottom" textRotation="0" wrapText="1" indent="0" justifyLastLine="0" shrinkToFit="0" readingOrder="0"/>
      <border diagonalUp="0" diagonalDown="0">
        <left/>
        <right style="thin">
          <color indexed="64"/>
        </right>
        <top style="thin">
          <color indexed="64"/>
        </top>
        <bottom/>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textRotation="0" wrapText="1" indent="0" justifyLastLine="0" shrinkToFit="0" readingOrder="0"/>
      <protection locked="1" hidden="1"/>
    </dxf>
    <dxf>
      <border>
        <bottom style="medium">
          <color indexed="64"/>
        </bottom>
      </border>
    </dxf>
    <dxf>
      <font>
        <b val="0"/>
      </font>
      <fill>
        <patternFill patternType="solid">
          <fgColor indexed="64"/>
          <bgColor theme="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protection locked="1" hidden="1"/>
    </dxf>
    <dxf>
      <font>
        <b/>
        <sz val="12"/>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4200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00B050"/>
        </patternFill>
      </fill>
    </dxf>
    <dxf>
      <fill>
        <patternFill>
          <bgColor rgb="FFFF0000"/>
        </patternFill>
      </fill>
    </dxf>
    <dxf>
      <numFmt numFmtId="0" formatCode="General"/>
      <fill>
        <patternFill patternType="none">
          <fgColor indexed="64"/>
          <bgColor auto="1"/>
        </patternFill>
      </fill>
      <border diagonalUp="0" diagonalDown="0">
        <left style="thin">
          <color indexed="64"/>
        </left>
        <right/>
        <top style="thin">
          <color indexed="64"/>
        </top>
        <bottom style="thin">
          <color indexed="64"/>
        </bottom>
      </border>
      <protection locked="1" hidden="1"/>
    </dxf>
    <dxf>
      <numFmt numFmtId="2" formatCode="0.00"/>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1"/>
    </dxf>
    <dxf>
      <numFmt numFmtId="0" formatCode="General"/>
      <fill>
        <patternFill patternType="none">
          <fgColor indexed="64"/>
          <bgColor auto="1"/>
        </patternFill>
      </fill>
      <border diagonalUp="0" diagonalDown="0">
        <left style="thin">
          <color indexed="64"/>
        </left>
        <right style="thin">
          <color indexed="64"/>
        </right>
        <top style="thin">
          <color indexed="64"/>
        </top>
        <bottom/>
      </border>
      <protection locked="1" hidden="1"/>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1" hidden="1"/>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1" hidden="1"/>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1" hidden="1"/>
    </dxf>
    <dxf>
      <numFmt numFmtId="19" formatCode="dd/mm/yyyy"/>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1" hidden="1"/>
    </dxf>
    <dxf>
      <fill>
        <patternFill patternType="none">
          <fgColor indexed="64"/>
          <bgColor auto="1"/>
        </patternFill>
      </fill>
      <border diagonalUp="0" diagonalDown="0">
        <left/>
        <right style="thin">
          <color indexed="64"/>
        </right>
        <top style="thin">
          <color indexed="64"/>
        </top>
        <bottom style="thin">
          <color indexed="64"/>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protection locked="1" hidden="1"/>
    </dxf>
    <dxf>
      <border>
        <bottom style="thin">
          <color indexed="64"/>
        </bottom>
      </border>
    </dxf>
    <dxf>
      <font>
        <b val="0"/>
        <strike val="0"/>
        <outline val="0"/>
        <shadow val="0"/>
        <u val="none"/>
        <vertAlign val="baseline"/>
        <sz val="11"/>
        <color theme="0"/>
        <name val="Calibri"/>
        <scheme val="minor"/>
      </font>
      <fill>
        <patternFill patternType="solid">
          <fgColor indexed="64"/>
          <bgColor rgb="FF00B050"/>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theme="0"/>
      </font>
      <fill>
        <patternFill>
          <bgColor theme="0"/>
        </patternFill>
      </fill>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1"/>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numFmt numFmtId="164" formatCode="d/mm/yyyy"/>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1" hidden="1"/>
    </dxf>
    <dxf>
      <border diagonalUp="0" diagonalDown="0">
        <left style="medium">
          <color indexed="64"/>
        </left>
        <right style="medium">
          <color indexed="64"/>
        </right>
        <top style="medium">
          <color indexed="64"/>
        </top>
        <bottom style="medium">
          <color indexed="64"/>
        </bottom>
      </border>
    </dxf>
    <dxf>
      <fill>
        <patternFill patternType="none">
          <fgColor indexed="64"/>
          <bgColor auto="1"/>
        </patternFill>
      </fill>
      <alignment horizontal="center" vertical="center" textRotation="0" wrapText="0" indent="0" justifyLastLine="0" shrinkToFit="0" readingOrder="0"/>
      <protection locked="1" hidden="1"/>
    </dxf>
    <dxf>
      <fill>
        <patternFill patternType="solid">
          <fgColor indexed="64"/>
          <bgColor rgb="FF002060"/>
        </patternFill>
      </fill>
      <alignment horizontal="center" vertical="center" textRotation="0" wrapText="1" indent="0" justifyLastLine="0" shrinkToFit="0" readingOrder="0"/>
      <protection locked="1" hidden="1"/>
    </dxf>
    <dxf>
      <fill>
        <patternFill>
          <bgColor theme="0"/>
        </patternFill>
      </fill>
    </dxf>
    <dxf>
      <font>
        <b/>
        <strike val="0"/>
        <outline val="0"/>
        <shadow val="0"/>
        <u val="none"/>
        <vertAlign val="baseline"/>
        <sz val="12"/>
        <color theme="1"/>
        <name val="Calibri"/>
        <scheme val="minor"/>
      </font>
      <numFmt numFmtId="2" formatCode="0.00"/>
      <fill>
        <patternFill patternType="none">
          <fgColor indexed="64"/>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font>
      <numFmt numFmtId="0" formatCode="General"/>
      <fill>
        <patternFill patternType="none">
          <fgColor indexed="64"/>
          <bgColor auto="1"/>
        </patternFill>
      </fill>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font>
        <b/>
      </font>
      <numFmt numFmtId="0" formatCode="General"/>
      <fill>
        <patternFill patternType="none">
          <fgColor indexed="64"/>
          <bgColor auto="1"/>
        </patternFill>
      </fill>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font>
        <b/>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font>
        <b/>
      </font>
      <numFmt numFmtId="0" formatCode="General"/>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medium">
          <color indexed="64"/>
        </bottom>
      </border>
    </dxf>
    <dxf>
      <fill>
        <patternFill patternType="solid">
          <fgColor indexed="64"/>
          <bgColor rgb="FF002060"/>
        </patternFill>
      </fill>
      <alignment horizontal="center" vertical="center" textRotation="0" wrapText="1" indent="0" justifyLastLine="0" shrinkToFit="0" readingOrder="0"/>
      <border diagonalUp="0" diagonalDown="0" outline="0">
        <left style="thin">
          <color auto="1"/>
        </left>
        <right style="thin">
          <color auto="1"/>
        </right>
        <top/>
        <bottom/>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00B050"/>
        </patternFill>
      </fill>
    </dxf>
    <dxf>
      <fill>
        <patternFill>
          <bgColor rgb="FFFF0000"/>
        </patternFill>
      </fill>
    </dxf>
    <dxf>
      <fill>
        <patternFill patternType="none">
          <bgColor auto="1"/>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none">
          <bgColor auto="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wrapText="0" indent="0" justifyLastLine="0" shrinkToFit="0" readingOrder="0"/>
    </dxf>
    <dxf>
      <border>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C73737"/>
      <color rgb="FF62D1D4"/>
      <color rgb="FFFF3B3B"/>
      <color rgb="FF420042"/>
      <color rgb="FFFF6969"/>
      <color rgb="FFFF3300"/>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g"/><Relationship Id="rId5" Type="http://schemas.openxmlformats.org/officeDocument/2006/relationships/image" Target="../media/image5.png"/><Relationship Id="rId4" Type="http://schemas.openxmlformats.org/officeDocument/2006/relationships/image" Target="../media/image4.jpg"/></Relationships>
</file>

<file path=xl/drawings/_rels/drawing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_rels/drawing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2" Type="http://schemas.openxmlformats.org/officeDocument/2006/relationships/image" Target="../media/image14.jpg"/><Relationship Id="rId1" Type="http://schemas.openxmlformats.org/officeDocument/2006/relationships/image" Target="../media/image13.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4.jpg"/></Relationships>
</file>

<file path=xl/drawings/_rels/drawing10.xml.rels><?xml version="1.0" encoding="UTF-8" standalone="yes"?>
<Relationships xmlns="http://schemas.openxmlformats.org/package/2006/relationships"><Relationship Id="rId2" Type="http://schemas.openxmlformats.org/officeDocument/2006/relationships/hyperlink" Target="ACTAS%20DE%20CONFORMIDAD" TargetMode="External"/><Relationship Id="rId1" Type="http://schemas.openxmlformats.org/officeDocument/2006/relationships/image" Target="../media/image15.jpeg"/></Relationships>
</file>

<file path=xl/drawings/_rels/drawing12.xml.rels><?xml version="1.0" encoding="UTF-8" standalone="yes"?>
<Relationships xmlns="http://schemas.openxmlformats.org/package/2006/relationships"><Relationship Id="rId1" Type="http://schemas.openxmlformats.org/officeDocument/2006/relationships/hyperlink" Target="ACTAS%20DE%20CONFORMIDAD"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image" Target="../media/image17.png"/><Relationship Id="rId1" Type="http://schemas.openxmlformats.org/officeDocument/2006/relationships/image" Target="../media/image16.jpg"/><Relationship Id="rId6" Type="http://schemas.openxmlformats.org/officeDocument/2006/relationships/image" Target="../media/image20.jpg"/><Relationship Id="rId5" Type="http://schemas.openxmlformats.org/officeDocument/2006/relationships/image" Target="../media/image13.jpeg"/><Relationship Id="rId4" Type="http://schemas.openxmlformats.org/officeDocument/2006/relationships/image" Target="../media/image1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1.jpeg"/></Relationships>
</file>

<file path=xl/drawings/drawing1.xml><?xml version="1.0" encoding="utf-8"?>
<xdr:wsDr xmlns:xdr="http://schemas.openxmlformats.org/drawingml/2006/spreadsheetDrawing" xmlns:a="http://schemas.openxmlformats.org/drawingml/2006/main">
  <xdr:twoCellAnchor>
    <xdr:from>
      <xdr:col>4</xdr:col>
      <xdr:colOff>19050</xdr:colOff>
      <xdr:row>16</xdr:row>
      <xdr:rowOff>19050</xdr:rowOff>
    </xdr:from>
    <xdr:to>
      <xdr:col>4</xdr:col>
      <xdr:colOff>739050</xdr:colOff>
      <xdr:row>19</xdr:row>
      <xdr:rowOff>167550</xdr:rowOff>
    </xdr:to>
    <xdr:pic macro="[0]!IrConsultaActas">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19425" y="3198019"/>
          <a:ext cx="720000" cy="731906"/>
        </a:xfrm>
        <a:prstGeom prst="rect">
          <a:avLst/>
        </a:prstGeom>
      </xdr:spPr>
    </xdr:pic>
    <xdr:clientData/>
  </xdr:twoCellAnchor>
  <xdr:twoCellAnchor>
    <xdr:from>
      <xdr:col>4</xdr:col>
      <xdr:colOff>28575</xdr:colOff>
      <xdr:row>11</xdr:row>
      <xdr:rowOff>28575</xdr:rowOff>
    </xdr:from>
    <xdr:to>
      <xdr:col>4</xdr:col>
      <xdr:colOff>748575</xdr:colOff>
      <xdr:row>14</xdr:row>
      <xdr:rowOff>177075</xdr:rowOff>
    </xdr:to>
    <xdr:pic macro="[0]!IrReporteDeFallas">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0575" y="2352675"/>
          <a:ext cx="720000" cy="720000"/>
        </a:xfrm>
        <a:prstGeom prst="rect">
          <a:avLst/>
        </a:prstGeom>
      </xdr:spPr>
    </xdr:pic>
    <xdr:clientData/>
  </xdr:twoCellAnchor>
  <xdr:twoCellAnchor editAs="oneCell">
    <xdr:from>
      <xdr:col>11</xdr:col>
      <xdr:colOff>28575</xdr:colOff>
      <xdr:row>6</xdr:row>
      <xdr:rowOff>30956</xdr:rowOff>
    </xdr:from>
    <xdr:to>
      <xdr:col>11</xdr:col>
      <xdr:colOff>748575</xdr:colOff>
      <xdr:row>9</xdr:row>
      <xdr:rowOff>167550</xdr:rowOff>
    </xdr:to>
    <xdr:pic macro="[0]!llamar_formulario">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12919" y="1221581"/>
          <a:ext cx="720000" cy="720000"/>
        </a:xfrm>
        <a:prstGeom prst="rect">
          <a:avLst/>
        </a:prstGeom>
      </xdr:spPr>
    </xdr:pic>
    <xdr:clientData/>
  </xdr:twoCellAnchor>
  <xdr:twoCellAnchor editAs="oneCell">
    <xdr:from>
      <xdr:col>11</xdr:col>
      <xdr:colOff>19050</xdr:colOff>
      <xdr:row>11</xdr:row>
      <xdr:rowOff>33337</xdr:rowOff>
    </xdr:from>
    <xdr:to>
      <xdr:col>11</xdr:col>
      <xdr:colOff>739050</xdr:colOff>
      <xdr:row>14</xdr:row>
      <xdr:rowOff>158025</xdr:rowOff>
    </xdr:to>
    <xdr:pic macro="[0]!IrAHistorialDeGE">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03394" y="2212181"/>
          <a:ext cx="720000" cy="720000"/>
        </a:xfrm>
        <a:prstGeom prst="rect">
          <a:avLst/>
        </a:prstGeom>
      </xdr:spPr>
    </xdr:pic>
    <xdr:clientData/>
  </xdr:twoCellAnchor>
  <xdr:twoCellAnchor editAs="oneCell">
    <xdr:from>
      <xdr:col>11</xdr:col>
      <xdr:colOff>19050</xdr:colOff>
      <xdr:row>16</xdr:row>
      <xdr:rowOff>30956</xdr:rowOff>
    </xdr:from>
    <xdr:to>
      <xdr:col>11</xdr:col>
      <xdr:colOff>739050</xdr:colOff>
      <xdr:row>19</xdr:row>
      <xdr:rowOff>167550</xdr:rowOff>
    </xdr:to>
    <xdr:pic macro="[0]!IrConsultaActasFecha">
      <xdr:nvPicPr>
        <xdr:cNvPr id="8" name="Imagen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03394" y="3209925"/>
          <a:ext cx="720000" cy="720000"/>
        </a:xfrm>
        <a:prstGeom prst="rect">
          <a:avLst/>
        </a:prstGeom>
      </xdr:spPr>
    </xdr:pic>
    <xdr:clientData/>
  </xdr:twoCellAnchor>
  <xdr:twoCellAnchor>
    <xdr:from>
      <xdr:col>4</xdr:col>
      <xdr:colOff>28575</xdr:colOff>
      <xdr:row>6</xdr:row>
      <xdr:rowOff>19049</xdr:rowOff>
    </xdr:from>
    <xdr:to>
      <xdr:col>4</xdr:col>
      <xdr:colOff>748575</xdr:colOff>
      <xdr:row>9</xdr:row>
      <xdr:rowOff>167549</xdr:rowOff>
    </xdr:to>
    <xdr:pic macro="[0]!boton_formulario_1">
      <xdr:nvPicPr>
        <xdr:cNvPr id="9" name="Imagen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2950" y="1388268"/>
          <a:ext cx="720000" cy="731906"/>
        </a:xfrm>
        <a:prstGeom prst="rect">
          <a:avLst/>
        </a:prstGeom>
      </xdr:spPr>
    </xdr:pic>
    <xdr:clientData/>
  </xdr:twoCellAnchor>
  <xdr:twoCellAnchor editAs="oneCell">
    <xdr:from>
      <xdr:col>7</xdr:col>
      <xdr:colOff>35721</xdr:colOff>
      <xdr:row>2</xdr:row>
      <xdr:rowOff>23811</xdr:rowOff>
    </xdr:from>
    <xdr:to>
      <xdr:col>11</xdr:col>
      <xdr:colOff>178590</xdr:colOff>
      <xdr:row>4</xdr:row>
      <xdr:rowOff>182437</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22096" y="428624"/>
          <a:ext cx="2940838" cy="539626"/>
        </a:xfrm>
        <a:prstGeom prst="rect">
          <a:avLst/>
        </a:prstGeom>
      </xdr:spPr>
    </xdr:pic>
    <xdr:clientData/>
  </xdr:twoCellAnchor>
  <xdr:twoCellAnchor>
    <xdr:from>
      <xdr:col>5</xdr:col>
      <xdr:colOff>23818</xdr:colOff>
      <xdr:row>24</xdr:row>
      <xdr:rowOff>23814</xdr:rowOff>
    </xdr:from>
    <xdr:to>
      <xdr:col>5</xdr:col>
      <xdr:colOff>750100</xdr:colOff>
      <xdr:row>27</xdr:row>
      <xdr:rowOff>166689</xdr:rowOff>
    </xdr:to>
    <xdr:pic macro="[0]!IrActaSanFernando">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48193" y="5715002"/>
          <a:ext cx="726282" cy="714375"/>
        </a:xfrm>
        <a:prstGeom prst="roundRect">
          <a:avLst>
            <a:gd name="adj" fmla="val 4167"/>
          </a:avLst>
        </a:prstGeom>
        <a:solidFill>
          <a:srgbClr val="FFFFFF"/>
        </a:solidFill>
        <a:ln w="76200" cap="sq">
          <a:noFill/>
          <a:miter lim="800000"/>
        </a:ln>
        <a:effectLst>
          <a:outerShdw blurRad="44450" dist="27940" dir="5400000" algn="ctr">
            <a:srgbClr val="000000">
              <a:alpha val="32000"/>
            </a:srgbClr>
          </a:outerShdw>
          <a:reflection blurRad="12700" stA="33000" endPos="28000" dist="5000" dir="5400000" sy="-100000" algn="bl" rotWithShape="0"/>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21437</xdr:colOff>
      <xdr:row>29</xdr:row>
      <xdr:rowOff>21432</xdr:rowOff>
    </xdr:from>
    <xdr:to>
      <xdr:col>5</xdr:col>
      <xdr:colOff>747719</xdr:colOff>
      <xdr:row>32</xdr:row>
      <xdr:rowOff>164307</xdr:rowOff>
    </xdr:to>
    <xdr:pic macro="[0]!IrActaRedondos">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45812" y="6688932"/>
          <a:ext cx="726282" cy="714375"/>
        </a:xfrm>
        <a:prstGeom prst="roundRect">
          <a:avLst>
            <a:gd name="adj" fmla="val 4167"/>
          </a:avLst>
        </a:prstGeom>
        <a:solidFill>
          <a:srgbClr val="FFFFFF"/>
        </a:solidFill>
        <a:ln w="76200" cap="sq">
          <a:noFill/>
          <a:miter lim="800000"/>
        </a:ln>
        <a:effectLst>
          <a:outerShdw blurRad="44450" dist="27940" dir="5400000" algn="ctr">
            <a:srgbClr val="000000">
              <a:alpha val="32000"/>
            </a:srgbClr>
          </a:outerShdw>
          <a:reflection blurRad="12700" stA="33000" endPos="28000" dist="5000" dir="5400000" sy="-100000" algn="bl" rotWithShape="0"/>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19056</xdr:colOff>
      <xdr:row>34</xdr:row>
      <xdr:rowOff>19052</xdr:rowOff>
    </xdr:from>
    <xdr:to>
      <xdr:col>5</xdr:col>
      <xdr:colOff>745338</xdr:colOff>
      <xdr:row>37</xdr:row>
      <xdr:rowOff>161927</xdr:rowOff>
    </xdr:to>
    <xdr:pic macro="[0]!IrActasEgener">
      <xdr:nvPicPr>
        <xdr:cNvPr id="19" name="Imagen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43431" y="7662865"/>
          <a:ext cx="726282" cy="714375"/>
        </a:xfrm>
        <a:prstGeom prst="roundRect">
          <a:avLst>
            <a:gd name="adj" fmla="val 4167"/>
          </a:avLst>
        </a:prstGeom>
        <a:solidFill>
          <a:srgbClr val="FFFFFF"/>
        </a:solidFill>
        <a:ln w="76200" cap="sq">
          <a:noFill/>
          <a:miter lim="800000"/>
        </a:ln>
        <a:effectLst>
          <a:outerShdw blurRad="44450" dist="27940" dir="5400000" algn="ctr">
            <a:srgbClr val="000000">
              <a:alpha val="32000"/>
            </a:srgbClr>
          </a:outerShdw>
          <a:reflection blurRad="12700" stA="33000" endPos="28000" dist="5000" dir="5400000" sy="-100000" algn="bl" rotWithShape="0"/>
        </a:effectLst>
        <a:scene3d>
          <a:camera prst="orthographicFront">
            <a:rot lat="0" lon="0" rev="0"/>
          </a:camera>
          <a:lightRig rig="balanced" dir="t">
            <a:rot lat="0" lon="0" rev="8700000"/>
          </a:lightRig>
        </a:scene3d>
        <a:sp3d>
          <a:bevelT w="190500" h="38100"/>
        </a:sp3d>
      </xdr:spPr>
    </xdr:pic>
    <xdr:clientData/>
  </xdr:twoCellAnchor>
  <xdr:twoCellAnchor>
    <xdr:from>
      <xdr:col>11</xdr:col>
      <xdr:colOff>28576</xdr:colOff>
      <xdr:row>24</xdr:row>
      <xdr:rowOff>28577</xdr:rowOff>
    </xdr:from>
    <xdr:to>
      <xdr:col>11</xdr:col>
      <xdr:colOff>754858</xdr:colOff>
      <xdr:row>27</xdr:row>
      <xdr:rowOff>171452</xdr:rowOff>
    </xdr:to>
    <xdr:pic macro="[0]!IrActasScotiabank">
      <xdr:nvPicPr>
        <xdr:cNvPr id="20" name="Imagen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74920" y="5719765"/>
          <a:ext cx="726282" cy="714375"/>
        </a:xfrm>
        <a:prstGeom prst="roundRect">
          <a:avLst>
            <a:gd name="adj" fmla="val 4167"/>
          </a:avLst>
        </a:prstGeom>
        <a:solidFill>
          <a:srgbClr val="FFFFFF"/>
        </a:solidFill>
        <a:ln w="76200" cap="sq">
          <a:noFill/>
          <a:miter lim="800000"/>
        </a:ln>
        <a:effectLst>
          <a:outerShdw blurRad="44450" dist="27940" dir="5400000" algn="ctr">
            <a:srgbClr val="000000">
              <a:alpha val="32000"/>
            </a:srgbClr>
          </a:outerShdw>
          <a:reflection blurRad="12700" stA="33000" endPos="28000" dist="5000" dir="5400000" sy="-100000" algn="bl" rotWithShape="0"/>
        </a:effectLst>
        <a:scene3d>
          <a:camera prst="orthographicFront">
            <a:rot lat="0" lon="0" rev="0"/>
          </a:camera>
          <a:lightRig rig="balanced" dir="t">
            <a:rot lat="0" lon="0" rev="8700000"/>
          </a:lightRig>
        </a:scene3d>
        <a:sp3d>
          <a:bevelT w="190500" h="38100"/>
        </a:sp3d>
      </xdr:spPr>
    </xdr:pic>
    <xdr:clientData/>
  </xdr:twoCellAnchor>
  <xdr:twoCellAnchor>
    <xdr:from>
      <xdr:col>11</xdr:col>
      <xdr:colOff>26199</xdr:colOff>
      <xdr:row>29</xdr:row>
      <xdr:rowOff>26196</xdr:rowOff>
    </xdr:from>
    <xdr:to>
      <xdr:col>11</xdr:col>
      <xdr:colOff>752481</xdr:colOff>
      <xdr:row>32</xdr:row>
      <xdr:rowOff>169071</xdr:rowOff>
    </xdr:to>
    <xdr:pic macro="[0]!IrProtocoloPruebaTaller">
      <xdr:nvPicPr>
        <xdr:cNvPr id="21" name="Imagen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72543" y="6693696"/>
          <a:ext cx="726282" cy="714375"/>
        </a:xfrm>
        <a:prstGeom prst="roundRect">
          <a:avLst>
            <a:gd name="adj" fmla="val 4167"/>
          </a:avLst>
        </a:prstGeom>
        <a:solidFill>
          <a:srgbClr val="FFFFFF"/>
        </a:solidFill>
        <a:ln w="76200" cap="sq">
          <a:noFill/>
          <a:miter lim="800000"/>
        </a:ln>
        <a:effectLst>
          <a:outerShdw blurRad="44450" dist="27940" dir="5400000" algn="ctr">
            <a:srgbClr val="000000">
              <a:alpha val="32000"/>
            </a:srgbClr>
          </a:outerShdw>
          <a:reflection blurRad="12700" stA="33000" endPos="28000" dist="5000" dir="5400000" sy="-100000" algn="bl" rotWithShape="0"/>
        </a:effectLst>
        <a:scene3d>
          <a:camera prst="orthographicFront">
            <a:rot lat="0" lon="0" rev="0"/>
          </a:camera>
          <a:lightRig rig="balanced" dir="t">
            <a:rot lat="0" lon="0" rev="8700000"/>
          </a:lightRig>
        </a:scene3d>
        <a:sp3d>
          <a:bevelT w="190500" h="38100"/>
        </a:sp3d>
      </xdr:spPr>
    </xdr:pic>
    <xdr:clientData/>
  </xdr:twoCellAnchor>
  <xdr:twoCellAnchor>
    <xdr:from>
      <xdr:col>11</xdr:col>
      <xdr:colOff>23816</xdr:colOff>
      <xdr:row>34</xdr:row>
      <xdr:rowOff>23813</xdr:rowOff>
    </xdr:from>
    <xdr:to>
      <xdr:col>11</xdr:col>
      <xdr:colOff>750098</xdr:colOff>
      <xdr:row>37</xdr:row>
      <xdr:rowOff>166688</xdr:rowOff>
    </xdr:to>
    <xdr:pic macro="[0]!IrProtocoloPruebaCampo">
      <xdr:nvPicPr>
        <xdr:cNvPr id="22" name="Imagen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70160" y="7667626"/>
          <a:ext cx="726282" cy="714375"/>
        </a:xfrm>
        <a:prstGeom prst="roundRect">
          <a:avLst>
            <a:gd name="adj" fmla="val 4167"/>
          </a:avLst>
        </a:prstGeom>
        <a:solidFill>
          <a:srgbClr val="FFFFFF"/>
        </a:solidFill>
        <a:ln w="76200" cap="sq">
          <a:noFill/>
          <a:miter lim="800000"/>
        </a:ln>
        <a:effectLst>
          <a:outerShdw blurRad="44450" dist="27940" dir="5400000" algn="ctr">
            <a:srgbClr val="000000">
              <a:alpha val="32000"/>
            </a:srgbClr>
          </a:outerShdw>
          <a:reflection blurRad="12700" stA="33000" endPos="28000" dist="5000" dir="5400000" sy="-100000" algn="bl" rotWithShape="0"/>
        </a:effectLst>
        <a:scene3d>
          <a:camera prst="orthographicFront">
            <a:rot lat="0" lon="0" rev="0"/>
          </a:camera>
          <a:lightRig rig="balanced" dir="t">
            <a:rot lat="0" lon="0" rev="8700000"/>
          </a:lightRig>
        </a:scene3d>
        <a:sp3d>
          <a:bevelT w="190500" h="38100"/>
        </a:sp3d>
      </xdr:spPr>
    </xdr:pic>
    <xdr:clientData/>
  </xdr:twoCellAnchor>
  <xdr:twoCellAnchor>
    <xdr:from>
      <xdr:col>15</xdr:col>
      <xdr:colOff>714373</xdr:colOff>
      <xdr:row>41</xdr:row>
      <xdr:rowOff>154782</xdr:rowOff>
    </xdr:from>
    <xdr:to>
      <xdr:col>17</xdr:col>
      <xdr:colOff>345281</xdr:colOff>
      <xdr:row>46</xdr:row>
      <xdr:rowOff>1001</xdr:rowOff>
    </xdr:to>
    <xdr:pic macro="[0]!IrBDEgener">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846717" y="8251032"/>
          <a:ext cx="1154908" cy="798719"/>
        </a:xfrm>
        <a:prstGeom prst="roundRect">
          <a:avLst>
            <a:gd name="adj" fmla="val 11111"/>
          </a:avLst>
        </a:prstGeom>
        <a:ln w="190500" cap="rnd">
          <a:solidFill>
            <a:srgbClr val="C8C6BD"/>
          </a:solidFill>
          <a:prstDash val="solid"/>
        </a:ln>
        <a:effectLst>
          <a:outerShdw blurRad="101600" dist="50800" dir="7200000" algn="tl" rotWithShape="0">
            <a:srgbClr val="000000">
              <a:alpha val="45000"/>
            </a:srgbClr>
          </a:outerShdw>
        </a:effectLst>
        <a:scene3d>
          <a:camera prst="perspectiveFront" fov="5400000"/>
          <a:lightRig rig="threePt" dir="t">
            <a:rot lat="0" lon="0" rev="19200000"/>
          </a:lightRig>
        </a:scene3d>
        <a:sp3d extrusionH="25400">
          <a:bevelT w="304800" h="152400" prst="hardEdge"/>
          <a:extrusionClr>
            <a:srgbClr val="FFFFFF"/>
          </a:extrusionClr>
        </a:sp3d>
      </xdr:spPr>
    </xdr:pic>
    <xdr:clientData/>
  </xdr:twoCellAnchor>
  <xdr:twoCellAnchor>
    <xdr:from>
      <xdr:col>13</xdr:col>
      <xdr:colOff>452441</xdr:colOff>
      <xdr:row>41</xdr:row>
      <xdr:rowOff>178596</xdr:rowOff>
    </xdr:from>
    <xdr:to>
      <xdr:col>14</xdr:col>
      <xdr:colOff>713398</xdr:colOff>
      <xdr:row>45</xdr:row>
      <xdr:rowOff>178594</xdr:rowOff>
    </xdr:to>
    <xdr:pic macro="[0]!IrRegistroActas">
      <xdr:nvPicPr>
        <xdr:cNvPr id="11" name="Imagen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060785" y="8262940"/>
          <a:ext cx="1022957" cy="761998"/>
        </a:xfrm>
        <a:prstGeom prst="roundRect">
          <a:avLst>
            <a:gd name="adj" fmla="val 11111"/>
          </a:avLst>
        </a:prstGeom>
        <a:ln w="190500" cap="rnd">
          <a:solidFill>
            <a:srgbClr val="C8C6BD"/>
          </a:solidFill>
          <a:prstDash val="solid"/>
        </a:ln>
        <a:effectLst>
          <a:outerShdw blurRad="101600" dist="50800" dir="7200000" algn="tl" rotWithShape="0">
            <a:srgbClr val="000000">
              <a:alpha val="45000"/>
            </a:srgbClr>
          </a:outerShdw>
        </a:effectLst>
        <a:scene3d>
          <a:camera prst="perspectiveFront" fov="5400000"/>
          <a:lightRig rig="threePt" dir="t">
            <a:rot lat="0" lon="0" rev="19200000"/>
          </a:lightRig>
        </a:scene3d>
        <a:sp3d extrusionH="25400">
          <a:bevelT w="304800" h="152400" prst="hardEdge"/>
          <a:extrusionClr>
            <a:srgbClr val="FFFFFF"/>
          </a:extrusionClr>
        </a:sp3d>
      </xdr:spPr>
    </xdr:pic>
    <xdr:clientData/>
  </xdr:twoCellAnchor>
  <xdr:twoCellAnchor>
    <xdr:from>
      <xdr:col>11</xdr:col>
      <xdr:colOff>202406</xdr:colOff>
      <xdr:row>41</xdr:row>
      <xdr:rowOff>178595</xdr:rowOff>
    </xdr:from>
    <xdr:to>
      <xdr:col>12</xdr:col>
      <xdr:colOff>476250</xdr:colOff>
      <xdr:row>46</xdr:row>
      <xdr:rowOff>17526</xdr:rowOff>
    </xdr:to>
    <xdr:pic macro="[0]!IrEquiposEgener">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9076" t="5786" r="11745" b="28206"/>
        <a:stretch/>
      </xdr:blipFill>
      <xdr:spPr>
        <a:xfrm>
          <a:off x="8286750" y="8262939"/>
          <a:ext cx="1035844" cy="791431"/>
        </a:xfrm>
        <a:prstGeom prst="roundRect">
          <a:avLst>
            <a:gd name="adj" fmla="val 11111"/>
          </a:avLst>
        </a:prstGeom>
        <a:ln w="190500" cap="rnd">
          <a:solidFill>
            <a:srgbClr val="C8C6BD"/>
          </a:solidFill>
          <a:prstDash val="solid"/>
        </a:ln>
        <a:effectLst>
          <a:outerShdw blurRad="101600" dist="50800" dir="7200000" algn="tl" rotWithShape="0">
            <a:srgbClr val="000000">
              <a:alpha val="45000"/>
            </a:srgbClr>
          </a:outerShdw>
        </a:effectLst>
        <a:scene3d>
          <a:camera prst="perspectiveFront" fov="5400000"/>
          <a:lightRig rig="threePt" dir="t">
            <a:rot lat="0" lon="0" rev="19200000"/>
          </a:lightRig>
        </a:scene3d>
        <a:sp3d extrusionH="25400">
          <a:bevelT w="304800" h="152400" prst="hardEdge"/>
          <a:extrusionClr>
            <a:srgbClr val="FFFFFF"/>
          </a:extrusionClr>
        </a:sp3d>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194837</xdr:colOff>
      <xdr:row>1</xdr:row>
      <xdr:rowOff>85725</xdr:rowOff>
    </xdr:from>
    <xdr:ext cx="715226" cy="834118"/>
    <xdr:pic>
      <xdr:nvPicPr>
        <xdr:cNvPr id="2" name="Imagen 1" descr="Resultado de imagen para logo san fernando png&quot;">
          <a:extLst>
            <a:ext uri="{FF2B5EF4-FFF2-40B4-BE49-F238E27FC236}">
              <a16:creationId xmlns:a16="http://schemas.microsoft.com/office/drawing/2014/main" id="{00000000-0008-0000-01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355" t="-1" r="18407" b="48103"/>
        <a:stretch/>
      </xdr:blipFill>
      <xdr:spPr bwMode="auto">
        <a:xfrm>
          <a:off x="1718837" y="276225"/>
          <a:ext cx="715226" cy="83411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absolute">
        <xdr:from>
          <xdr:col>16</xdr:col>
          <xdr:colOff>533400</xdr:colOff>
          <xdr:row>17</xdr:row>
          <xdr:rowOff>106680</xdr:rowOff>
        </xdr:from>
        <xdr:to>
          <xdr:col>19</xdr:col>
          <xdr:colOff>38100</xdr:colOff>
          <xdr:row>19</xdr:row>
          <xdr:rowOff>190500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533400</xdr:colOff>
          <xdr:row>13</xdr:row>
          <xdr:rowOff>137160</xdr:rowOff>
        </xdr:from>
        <xdr:to>
          <xdr:col>19</xdr:col>
          <xdr:colOff>45720</xdr:colOff>
          <xdr:row>16</xdr:row>
          <xdr:rowOff>22860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LIMPIAR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533400</xdr:colOff>
          <xdr:row>10</xdr:row>
          <xdr:rowOff>106680</xdr:rowOff>
        </xdr:from>
        <xdr:to>
          <xdr:col>19</xdr:col>
          <xdr:colOff>45720</xdr:colOff>
          <xdr:row>12</xdr:row>
          <xdr:rowOff>45720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IMPRIMIR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190499</xdr:colOff>
      <xdr:row>1</xdr:row>
      <xdr:rowOff>50620</xdr:rowOff>
    </xdr:from>
    <xdr:ext cx="1103585" cy="444800"/>
    <xdr:pic>
      <xdr:nvPicPr>
        <xdr:cNvPr id="2" name="Imagen 1" descr="Resultado de imagen para redondos alimentos png&quot;">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233" t="24706" r="4767" b="23530"/>
        <a:stretch/>
      </xdr:blipFill>
      <xdr:spPr bwMode="auto">
        <a:xfrm>
          <a:off x="1714499" y="431620"/>
          <a:ext cx="1103585" cy="44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absolute">
        <xdr:from>
          <xdr:col>20</xdr:col>
          <xdr:colOff>175260</xdr:colOff>
          <xdr:row>10</xdr:row>
          <xdr:rowOff>220980</xdr:rowOff>
        </xdr:from>
        <xdr:to>
          <xdr:col>22</xdr:col>
          <xdr:colOff>411480</xdr:colOff>
          <xdr:row>12</xdr:row>
          <xdr:rowOff>76200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144780</xdr:colOff>
          <xdr:row>6</xdr:row>
          <xdr:rowOff>76200</xdr:rowOff>
        </xdr:from>
        <xdr:to>
          <xdr:col>22</xdr:col>
          <xdr:colOff>388620</xdr:colOff>
          <xdr:row>8</xdr:row>
          <xdr:rowOff>45720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8</xdr:row>
          <xdr:rowOff>137160</xdr:rowOff>
        </xdr:from>
        <xdr:to>
          <xdr:col>22</xdr:col>
          <xdr:colOff>411480</xdr:colOff>
          <xdr:row>10</xdr:row>
          <xdr:rowOff>106680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LIMPIAR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176891</xdr:colOff>
      <xdr:row>2</xdr:row>
      <xdr:rowOff>27213</xdr:rowOff>
    </xdr:from>
    <xdr:to>
      <xdr:col>2</xdr:col>
      <xdr:colOff>2789463</xdr:colOff>
      <xdr:row>4</xdr:row>
      <xdr:rowOff>149678</xdr:rowOff>
    </xdr:to>
    <xdr:pic>
      <xdr:nvPicPr>
        <xdr:cNvPr id="4" name="Imagen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48" y="272142"/>
          <a:ext cx="2612572" cy="517072"/>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16</xdr:col>
          <xdr:colOff>0</xdr:colOff>
          <xdr:row>10</xdr:row>
          <xdr:rowOff>144780</xdr:rowOff>
        </xdr:from>
        <xdr:to>
          <xdr:col>17</xdr:col>
          <xdr:colOff>0</xdr:colOff>
          <xdr:row>11</xdr:row>
          <xdr:rowOff>236220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198120</xdr:colOff>
          <xdr:row>9</xdr:row>
          <xdr:rowOff>0</xdr:rowOff>
        </xdr:from>
        <xdr:to>
          <xdr:col>17</xdr:col>
          <xdr:colOff>0</xdr:colOff>
          <xdr:row>10</xdr:row>
          <xdr:rowOff>99060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198120</xdr:colOff>
          <xdr:row>7</xdr:row>
          <xdr:rowOff>106680</xdr:rowOff>
        </xdr:from>
        <xdr:to>
          <xdr:col>17</xdr:col>
          <xdr:colOff>0</xdr:colOff>
          <xdr:row>8</xdr:row>
          <xdr:rowOff>198120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IMPRIMIR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xdr:col>
      <xdr:colOff>7257</xdr:colOff>
      <xdr:row>1</xdr:row>
      <xdr:rowOff>27214</xdr:rowOff>
    </xdr:from>
    <xdr:to>
      <xdr:col>4</xdr:col>
      <xdr:colOff>309559</xdr:colOff>
      <xdr:row>3</xdr:row>
      <xdr:rowOff>111416</xdr:rowOff>
    </xdr:to>
    <xdr:pic>
      <xdr:nvPicPr>
        <xdr:cNvPr id="2" name="Imagen 1" descr="Resultado de imagen para scotiabank">
          <a:extLst>
            <a:ext uri="{FF2B5EF4-FFF2-40B4-BE49-F238E27FC236}">
              <a16:creationId xmlns:a16="http://schemas.microsoft.com/office/drawing/2014/main" id="{00000000-0008-0000-04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4721" b="32084"/>
        <a:stretch/>
      </xdr:blipFill>
      <xdr:spPr bwMode="auto">
        <a:xfrm>
          <a:off x="674007" y="217714"/>
          <a:ext cx="2373990" cy="46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353947</xdr:colOff>
      <xdr:row>1</xdr:row>
      <xdr:rowOff>40822</xdr:rowOff>
    </xdr:from>
    <xdr:to>
      <xdr:col>7</xdr:col>
      <xdr:colOff>481825</xdr:colOff>
      <xdr:row>3</xdr:row>
      <xdr:rowOff>32846</xdr:rowOff>
    </xdr:to>
    <xdr:pic>
      <xdr:nvPicPr>
        <xdr:cNvPr id="3" name="Imagen 2" descr="Resultado de imagen para financiera crediscotia">
          <a:extLst>
            <a:ext uri="{FF2B5EF4-FFF2-40B4-BE49-F238E27FC236}">
              <a16:creationId xmlns:a16="http://schemas.microsoft.com/office/drawing/2014/main" id="{00000000-0008-0000-0400-00000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000" b="9259"/>
        <a:stretch/>
      </xdr:blipFill>
      <xdr:spPr bwMode="auto">
        <a:xfrm>
          <a:off x="3413853" y="231322"/>
          <a:ext cx="1759035" cy="3730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457200</xdr:colOff>
      <xdr:row>10</xdr:row>
      <xdr:rowOff>9525</xdr:rowOff>
    </xdr:from>
    <xdr:to>
      <xdr:col>5</xdr:col>
      <xdr:colOff>666750</xdr:colOff>
      <xdr:row>10</xdr:row>
      <xdr:rowOff>200024</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3676650" y="2276475"/>
          <a:ext cx="209550" cy="190499"/>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5</xdr:col>
      <xdr:colOff>457886</xdr:colOff>
      <xdr:row>47</xdr:row>
      <xdr:rowOff>4909</xdr:rowOff>
    </xdr:from>
    <xdr:to>
      <xdr:col>5</xdr:col>
      <xdr:colOff>655886</xdr:colOff>
      <xdr:row>47</xdr:row>
      <xdr:rowOff>184909</xdr:rowOff>
    </xdr:to>
    <xdr:sp macro="" textlink="">
      <xdr:nvSpPr>
        <xdr:cNvPr id="10" name="Rectángulo 9">
          <a:extLst>
            <a:ext uri="{FF2B5EF4-FFF2-40B4-BE49-F238E27FC236}">
              <a16:creationId xmlns:a16="http://schemas.microsoft.com/office/drawing/2014/main" id="{00000000-0008-0000-0400-00000A000000}"/>
            </a:ext>
          </a:extLst>
        </xdr:cNvPr>
        <xdr:cNvSpPr/>
      </xdr:nvSpPr>
      <xdr:spPr>
        <a:xfrm>
          <a:off x="3677336" y="9177484"/>
          <a:ext cx="198000" cy="1800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6</xdr:col>
      <xdr:colOff>390525</xdr:colOff>
      <xdr:row>10</xdr:row>
      <xdr:rowOff>9525</xdr:rowOff>
    </xdr:from>
    <xdr:to>
      <xdr:col>6</xdr:col>
      <xdr:colOff>600075</xdr:colOff>
      <xdr:row>10</xdr:row>
      <xdr:rowOff>200024</xdr:rowOff>
    </xdr:to>
    <xdr:sp macro="" textlink="">
      <xdr:nvSpPr>
        <xdr:cNvPr id="13" name="Rectángulo 12">
          <a:extLst>
            <a:ext uri="{FF2B5EF4-FFF2-40B4-BE49-F238E27FC236}">
              <a16:creationId xmlns:a16="http://schemas.microsoft.com/office/drawing/2014/main" id="{00000000-0008-0000-0400-00000D000000}"/>
            </a:ext>
          </a:extLst>
        </xdr:cNvPr>
        <xdr:cNvSpPr/>
      </xdr:nvSpPr>
      <xdr:spPr>
        <a:xfrm>
          <a:off x="4410075" y="2276475"/>
          <a:ext cx="209550" cy="190499"/>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7</xdr:col>
      <xdr:colOff>400050</xdr:colOff>
      <xdr:row>10</xdr:row>
      <xdr:rowOff>9525</xdr:rowOff>
    </xdr:from>
    <xdr:to>
      <xdr:col>7</xdr:col>
      <xdr:colOff>609600</xdr:colOff>
      <xdr:row>10</xdr:row>
      <xdr:rowOff>200024</xdr:rowOff>
    </xdr:to>
    <xdr:sp macro="" textlink="">
      <xdr:nvSpPr>
        <xdr:cNvPr id="14" name="Rectángulo 13">
          <a:extLst>
            <a:ext uri="{FF2B5EF4-FFF2-40B4-BE49-F238E27FC236}">
              <a16:creationId xmlns:a16="http://schemas.microsoft.com/office/drawing/2014/main" id="{00000000-0008-0000-0400-00000E000000}"/>
            </a:ext>
          </a:extLst>
        </xdr:cNvPr>
        <xdr:cNvSpPr/>
      </xdr:nvSpPr>
      <xdr:spPr>
        <a:xfrm>
          <a:off x="5257800" y="2276475"/>
          <a:ext cx="209550" cy="190499"/>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7</xdr:col>
      <xdr:colOff>191186</xdr:colOff>
      <xdr:row>47</xdr:row>
      <xdr:rowOff>4909</xdr:rowOff>
    </xdr:from>
    <xdr:to>
      <xdr:col>7</xdr:col>
      <xdr:colOff>389186</xdr:colOff>
      <xdr:row>47</xdr:row>
      <xdr:rowOff>184909</xdr:rowOff>
    </xdr:to>
    <xdr:sp macro="" textlink="">
      <xdr:nvSpPr>
        <xdr:cNvPr id="15" name="Rectángulo 14">
          <a:extLst>
            <a:ext uri="{FF2B5EF4-FFF2-40B4-BE49-F238E27FC236}">
              <a16:creationId xmlns:a16="http://schemas.microsoft.com/office/drawing/2014/main" id="{00000000-0008-0000-0400-00000F000000}"/>
            </a:ext>
          </a:extLst>
        </xdr:cNvPr>
        <xdr:cNvSpPr/>
      </xdr:nvSpPr>
      <xdr:spPr>
        <a:xfrm>
          <a:off x="5048936" y="9177484"/>
          <a:ext cx="198000" cy="1800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8</xdr:col>
      <xdr:colOff>553136</xdr:colOff>
      <xdr:row>47</xdr:row>
      <xdr:rowOff>4909</xdr:rowOff>
    </xdr:from>
    <xdr:to>
      <xdr:col>9</xdr:col>
      <xdr:colOff>17711</xdr:colOff>
      <xdr:row>47</xdr:row>
      <xdr:rowOff>184909</xdr:rowOff>
    </xdr:to>
    <xdr:sp macro="" textlink="">
      <xdr:nvSpPr>
        <xdr:cNvPr id="16" name="Rectángulo 15">
          <a:extLst>
            <a:ext uri="{FF2B5EF4-FFF2-40B4-BE49-F238E27FC236}">
              <a16:creationId xmlns:a16="http://schemas.microsoft.com/office/drawing/2014/main" id="{00000000-0008-0000-0400-000010000000}"/>
            </a:ext>
          </a:extLst>
        </xdr:cNvPr>
        <xdr:cNvSpPr/>
      </xdr:nvSpPr>
      <xdr:spPr>
        <a:xfrm>
          <a:off x="6353861" y="9177484"/>
          <a:ext cx="198000" cy="1800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3</xdr:col>
      <xdr:colOff>676961</xdr:colOff>
      <xdr:row>47</xdr:row>
      <xdr:rowOff>4909</xdr:rowOff>
    </xdr:from>
    <xdr:to>
      <xdr:col>3</xdr:col>
      <xdr:colOff>874961</xdr:colOff>
      <xdr:row>47</xdr:row>
      <xdr:rowOff>184909</xdr:rowOff>
    </xdr:to>
    <xdr:sp macro="" textlink="">
      <xdr:nvSpPr>
        <xdr:cNvPr id="18" name="Rectángulo 17">
          <a:extLst>
            <a:ext uri="{FF2B5EF4-FFF2-40B4-BE49-F238E27FC236}">
              <a16:creationId xmlns:a16="http://schemas.microsoft.com/office/drawing/2014/main" id="{00000000-0008-0000-0400-000012000000}"/>
            </a:ext>
          </a:extLst>
        </xdr:cNvPr>
        <xdr:cNvSpPr/>
      </xdr:nvSpPr>
      <xdr:spPr>
        <a:xfrm>
          <a:off x="2324786" y="9177484"/>
          <a:ext cx="198000" cy="1800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2</xdr:col>
      <xdr:colOff>505511</xdr:colOff>
      <xdr:row>47</xdr:row>
      <xdr:rowOff>4909</xdr:rowOff>
    </xdr:from>
    <xdr:to>
      <xdr:col>2</xdr:col>
      <xdr:colOff>703511</xdr:colOff>
      <xdr:row>47</xdr:row>
      <xdr:rowOff>184909</xdr:rowOff>
    </xdr:to>
    <xdr:sp macro="" textlink="">
      <xdr:nvSpPr>
        <xdr:cNvPr id="19" name="Rectángulo 18">
          <a:extLst>
            <a:ext uri="{FF2B5EF4-FFF2-40B4-BE49-F238E27FC236}">
              <a16:creationId xmlns:a16="http://schemas.microsoft.com/office/drawing/2014/main" id="{00000000-0008-0000-0400-000013000000}"/>
            </a:ext>
          </a:extLst>
        </xdr:cNvPr>
        <xdr:cNvSpPr/>
      </xdr:nvSpPr>
      <xdr:spPr>
        <a:xfrm>
          <a:off x="1334186" y="9177484"/>
          <a:ext cx="198000" cy="1800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mc:AlternateContent xmlns:mc="http://schemas.openxmlformats.org/markup-compatibility/2006">
    <mc:Choice xmlns:a14="http://schemas.microsoft.com/office/drawing/2010/main" Requires="a14">
      <xdr:twoCellAnchor editAs="absolute">
        <xdr:from>
          <xdr:col>16</xdr:col>
          <xdr:colOff>198120</xdr:colOff>
          <xdr:row>10</xdr:row>
          <xdr:rowOff>175260</xdr:rowOff>
        </xdr:from>
        <xdr:to>
          <xdr:col>18</xdr:col>
          <xdr:colOff>114300</xdr:colOff>
          <xdr:row>12</xdr:row>
          <xdr:rowOff>144780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4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198120</xdr:colOff>
          <xdr:row>8</xdr:row>
          <xdr:rowOff>0</xdr:rowOff>
        </xdr:from>
        <xdr:to>
          <xdr:col>18</xdr:col>
          <xdr:colOff>114300</xdr:colOff>
          <xdr:row>9</xdr:row>
          <xdr:rowOff>83820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400-000005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198120</xdr:colOff>
          <xdr:row>6</xdr:row>
          <xdr:rowOff>152400</xdr:rowOff>
        </xdr:from>
        <xdr:to>
          <xdr:col>18</xdr:col>
          <xdr:colOff>114300</xdr:colOff>
          <xdr:row>8</xdr:row>
          <xdr:rowOff>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400-000006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IMPRIMIR</a:t>
              </a:r>
            </a:p>
          </xdr:txBody>
        </xdr:sp>
        <xdr:clientData fPrintsWithSheet="0"/>
      </xdr:twoCellAnchor>
    </mc:Choice>
    <mc:Fallback/>
  </mc:AlternateContent>
  <xdr:twoCellAnchor editAs="oneCell">
    <xdr:from>
      <xdr:col>8</xdr:col>
      <xdr:colOff>142875</xdr:colOff>
      <xdr:row>0</xdr:row>
      <xdr:rowOff>166689</xdr:rowOff>
    </xdr:from>
    <xdr:to>
      <xdr:col>10</xdr:col>
      <xdr:colOff>426550</xdr:colOff>
      <xdr:row>3</xdr:row>
      <xdr:rowOff>178593</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50719" y="166689"/>
          <a:ext cx="1855300" cy="58340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23813</xdr:colOff>
      <xdr:row>4</xdr:row>
      <xdr:rowOff>52387</xdr:rowOff>
    </xdr:from>
    <xdr:to>
      <xdr:col>7</xdr:col>
      <xdr:colOff>392905</xdr:colOff>
      <xdr:row>4</xdr:row>
      <xdr:rowOff>690562</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8219" y="814387"/>
          <a:ext cx="2928936" cy="638175"/>
        </a:xfrm>
        <a:prstGeom prst="rect">
          <a:avLst/>
        </a:prstGeom>
      </xdr:spPr>
    </xdr:pic>
    <xdr:clientData/>
  </xdr:twoCellAnchor>
  <xdr:twoCellAnchor editAs="oneCell">
    <xdr:from>
      <xdr:col>8</xdr:col>
      <xdr:colOff>228600</xdr:colOff>
      <xdr:row>4</xdr:row>
      <xdr:rowOff>95250</xdr:rowOff>
    </xdr:from>
    <xdr:to>
      <xdr:col>11</xdr:col>
      <xdr:colOff>469105</xdr:colOff>
      <xdr:row>4</xdr:row>
      <xdr:rowOff>637340</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207" b="32548"/>
        <a:stretch/>
      </xdr:blipFill>
      <xdr:spPr>
        <a:xfrm>
          <a:off x="4476750" y="666750"/>
          <a:ext cx="2133599" cy="542090"/>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137160</xdr:colOff>
          <xdr:row>12</xdr:row>
          <xdr:rowOff>342900</xdr:rowOff>
        </xdr:from>
        <xdr:to>
          <xdr:col>16</xdr:col>
          <xdr:colOff>289560</xdr:colOff>
          <xdr:row>14</xdr:row>
          <xdr:rowOff>114300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144780</xdr:colOff>
          <xdr:row>15</xdr:row>
          <xdr:rowOff>83820</xdr:rowOff>
        </xdr:from>
        <xdr:to>
          <xdr:col>16</xdr:col>
          <xdr:colOff>297180</xdr:colOff>
          <xdr:row>16</xdr:row>
          <xdr:rowOff>236220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160020</xdr:colOff>
          <xdr:row>17</xdr:row>
          <xdr:rowOff>0</xdr:rowOff>
        </xdr:from>
        <xdr:to>
          <xdr:col>16</xdr:col>
          <xdr:colOff>289560</xdr:colOff>
          <xdr:row>18</xdr:row>
          <xdr:rowOff>144780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8</xdr:col>
      <xdr:colOff>457200</xdr:colOff>
      <xdr:row>5</xdr:row>
      <xdr:rowOff>48461</xdr:rowOff>
    </xdr:from>
    <xdr:to>
      <xdr:col>11</xdr:col>
      <xdr:colOff>659604</xdr:colOff>
      <xdr:row>5</xdr:row>
      <xdr:rowOff>590551</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9207" b="32548"/>
        <a:stretch/>
      </xdr:blipFill>
      <xdr:spPr>
        <a:xfrm>
          <a:off x="4724400" y="1000961"/>
          <a:ext cx="2133599" cy="542090"/>
        </a:xfrm>
        <a:prstGeom prst="rect">
          <a:avLst/>
        </a:prstGeom>
      </xdr:spPr>
    </xdr:pic>
    <xdr:clientData/>
  </xdr:twoCellAnchor>
  <xdr:twoCellAnchor>
    <xdr:from>
      <xdr:col>2</xdr:col>
      <xdr:colOff>11907</xdr:colOff>
      <xdr:row>5</xdr:row>
      <xdr:rowOff>30955</xdr:rowOff>
    </xdr:from>
    <xdr:to>
      <xdr:col>7</xdr:col>
      <xdr:colOff>385762</xdr:colOff>
      <xdr:row>5</xdr:row>
      <xdr:rowOff>669130</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0126" y="983455"/>
          <a:ext cx="2933699" cy="6381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304800</xdr:colOff>
          <xdr:row>16</xdr:row>
          <xdr:rowOff>60960</xdr:rowOff>
        </xdr:from>
        <xdr:to>
          <xdr:col>17</xdr:col>
          <xdr:colOff>0</xdr:colOff>
          <xdr:row>17</xdr:row>
          <xdr:rowOff>236220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327660</xdr:colOff>
          <xdr:row>18</xdr:row>
          <xdr:rowOff>114300</xdr:rowOff>
        </xdr:from>
        <xdr:to>
          <xdr:col>17</xdr:col>
          <xdr:colOff>7620</xdr:colOff>
          <xdr:row>20</xdr:row>
          <xdr:rowOff>99060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312420</xdr:colOff>
          <xdr:row>20</xdr:row>
          <xdr:rowOff>228600</xdr:rowOff>
        </xdr:from>
        <xdr:to>
          <xdr:col>17</xdr:col>
          <xdr:colOff>7620</xdr:colOff>
          <xdr:row>21</xdr:row>
          <xdr:rowOff>373380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190500</xdr:colOff>
          <xdr:row>1</xdr:row>
          <xdr:rowOff>45720</xdr:rowOff>
        </xdr:from>
        <xdr:to>
          <xdr:col>4</xdr:col>
          <xdr:colOff>579120</xdr:colOff>
          <xdr:row>2</xdr:row>
          <xdr:rowOff>144780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REGISTRAR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1</xdr:row>
          <xdr:rowOff>38100</xdr:rowOff>
        </xdr:from>
        <xdr:to>
          <xdr:col>5</xdr:col>
          <xdr:colOff>1112520</xdr:colOff>
          <xdr:row>2</xdr:row>
          <xdr:rowOff>137160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9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BORRRAR ULTIMO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1</xdr:row>
          <xdr:rowOff>38100</xdr:rowOff>
        </xdr:from>
        <xdr:to>
          <xdr:col>8</xdr:col>
          <xdr:colOff>274320</xdr:colOff>
          <xdr:row>2</xdr:row>
          <xdr:rowOff>106680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9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518160</xdr:colOff>
          <xdr:row>1</xdr:row>
          <xdr:rowOff>38100</xdr:rowOff>
        </xdr:from>
        <xdr:to>
          <xdr:col>11</xdr:col>
          <xdr:colOff>350520</xdr:colOff>
          <xdr:row>2</xdr:row>
          <xdr:rowOff>99060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900-00001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VER INDICADORES DE 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1013460</xdr:colOff>
          <xdr:row>1</xdr:row>
          <xdr:rowOff>22860</xdr:rowOff>
        </xdr:from>
        <xdr:to>
          <xdr:col>6</xdr:col>
          <xdr:colOff>937260</xdr:colOff>
          <xdr:row>1</xdr:row>
          <xdr:rowOff>304800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A00-00000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7620</xdr:colOff>
          <xdr:row>0</xdr:row>
          <xdr:rowOff>152400</xdr:rowOff>
        </xdr:from>
        <xdr:to>
          <xdr:col>2</xdr:col>
          <xdr:colOff>723900</xdr:colOff>
          <xdr:row>2</xdr:row>
          <xdr:rowOff>106680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B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2</xdr:row>
          <xdr:rowOff>182880</xdr:rowOff>
        </xdr:from>
        <xdr:to>
          <xdr:col>2</xdr:col>
          <xdr:colOff>723900</xdr:colOff>
          <xdr:row>4</xdr:row>
          <xdr:rowOff>106680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LIMPIAR</a:t>
              </a:r>
            </a:p>
          </xdr:txBody>
        </xdr:sp>
        <xdr:clientData fPrintsWithSheet="0"/>
      </xdr:twoCellAnchor>
    </mc:Choice>
    <mc:Fallback/>
  </mc:AlternateContent>
  <xdr:twoCellAnchor editAs="oneCell">
    <xdr:from>
      <xdr:col>5</xdr:col>
      <xdr:colOff>201083</xdr:colOff>
      <xdr:row>1</xdr:row>
      <xdr:rowOff>53381</xdr:rowOff>
    </xdr:from>
    <xdr:to>
      <xdr:col>5</xdr:col>
      <xdr:colOff>878416</xdr:colOff>
      <xdr:row>3</xdr:row>
      <xdr:rowOff>133615</xdr:rowOff>
    </xdr:to>
    <xdr:pic macro="[0]!boton_asistente_busqueda1">
      <xdr:nvPicPr>
        <xdr:cNvPr id="2" name="Imagen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72666" y="254464"/>
          <a:ext cx="677333" cy="482401"/>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8</xdr:col>
      <xdr:colOff>42334</xdr:colOff>
      <xdr:row>5</xdr:row>
      <xdr:rowOff>31750</xdr:rowOff>
    </xdr:from>
    <xdr:to>
      <xdr:col>8</xdr:col>
      <xdr:colOff>2254250</xdr:colOff>
      <xdr:row>5</xdr:row>
      <xdr:rowOff>338667</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B00-000003000000}"/>
            </a:ext>
          </a:extLst>
        </xdr:cNvPr>
        <xdr:cNvSpPr/>
      </xdr:nvSpPr>
      <xdr:spPr>
        <a:xfrm>
          <a:off x="8625417" y="1026583"/>
          <a:ext cx="2211916" cy="30691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r>
            <a:rPr lang="es-PE" sz="16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ACTAS</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868680</xdr:colOff>
          <xdr:row>0</xdr:row>
          <xdr:rowOff>190500</xdr:rowOff>
        </xdr:from>
        <xdr:to>
          <xdr:col>5</xdr:col>
          <xdr:colOff>1318260</xdr:colOff>
          <xdr:row>2</xdr:row>
          <xdr:rowOff>83820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C00-000001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0" i="0" u="none" strike="noStrike" baseline="0">
                  <a:solidFill>
                    <a:srgbClr val="000000"/>
                  </a:solidFill>
                  <a:latin typeface="Calibri"/>
                  <a:cs typeface="Calibri"/>
                </a:rPr>
                <a:t>IR AL MENU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312420</xdr:colOff>
          <xdr:row>1</xdr:row>
          <xdr:rowOff>83820</xdr:rowOff>
        </xdr:from>
        <xdr:to>
          <xdr:col>5</xdr:col>
          <xdr:colOff>1775460</xdr:colOff>
          <xdr:row>2</xdr:row>
          <xdr:rowOff>228600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xdr:twoCellAnchor>
    <xdr:from>
      <xdr:col>9</xdr:col>
      <xdr:colOff>11905</xdr:colOff>
      <xdr:row>4</xdr:row>
      <xdr:rowOff>11906</xdr:rowOff>
    </xdr:from>
    <xdr:to>
      <xdr:col>9</xdr:col>
      <xdr:colOff>2428875</xdr:colOff>
      <xdr:row>4</xdr:row>
      <xdr:rowOff>381000</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D00-000003000000}"/>
            </a:ext>
          </a:extLst>
        </xdr:cNvPr>
        <xdr:cNvSpPr/>
      </xdr:nvSpPr>
      <xdr:spPr>
        <a:xfrm>
          <a:off x="11096624" y="869156"/>
          <a:ext cx="2416970" cy="369094"/>
        </a:xfrm>
        <a:prstGeom prst="rect">
          <a:avLst/>
        </a:prstGeom>
        <a:solidFill>
          <a:schemeClr val="accent2">
            <a:lumMod val="75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r>
            <a:rPr lang="es-PE" sz="16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ACTAS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3</xdr:col>
      <xdr:colOff>916781</xdr:colOff>
      <xdr:row>10</xdr:row>
      <xdr:rowOff>654842</xdr:rowOff>
    </xdr:from>
    <xdr:to>
      <xdr:col>4</xdr:col>
      <xdr:colOff>1476375</xdr:colOff>
      <xdr:row>20</xdr:row>
      <xdr:rowOff>23811</xdr:rowOff>
    </xdr:to>
    <xdr:sp macro="" textlink="">
      <xdr:nvSpPr>
        <xdr:cNvPr id="4" name="Rectángulo 3">
          <a:extLst>
            <a:ext uri="{FF2B5EF4-FFF2-40B4-BE49-F238E27FC236}">
              <a16:creationId xmlns:a16="http://schemas.microsoft.com/office/drawing/2014/main" id="{00000000-0008-0000-0E00-000004000000}"/>
            </a:ext>
          </a:extLst>
        </xdr:cNvPr>
        <xdr:cNvSpPr/>
      </xdr:nvSpPr>
      <xdr:spPr>
        <a:xfrm>
          <a:off x="5238750" y="2631280"/>
          <a:ext cx="2297906" cy="2524125"/>
        </a:xfrm>
        <a:prstGeom prst="rect">
          <a:avLst/>
        </a:prstGeom>
        <a:solidFill>
          <a:srgbClr val="002060"/>
        </a:solidFill>
        <a:scene3d>
          <a:camera prst="orthographicFront"/>
          <a:lightRig rig="threePt" dir="t"/>
        </a:scene3d>
        <a:sp3d>
          <a:bevelT w="165100" prst="coolSlant"/>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editAs="oneCell">
        <xdr:from>
          <xdr:col>3</xdr:col>
          <xdr:colOff>373380</xdr:colOff>
          <xdr:row>6</xdr:row>
          <xdr:rowOff>22860</xdr:rowOff>
        </xdr:from>
        <xdr:to>
          <xdr:col>3</xdr:col>
          <xdr:colOff>1508760</xdr:colOff>
          <xdr:row>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E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HOY</a:t>
              </a:r>
            </a:p>
          </xdr:txBody>
        </xdr:sp>
        <xdr:clientData fPrintsWithSheet="0"/>
      </xdr:twoCellAnchor>
    </mc:Choice>
    <mc:Fallback/>
  </mc:AlternateContent>
  <xdr:twoCellAnchor>
    <xdr:from>
      <xdr:col>1</xdr:col>
      <xdr:colOff>142877</xdr:colOff>
      <xdr:row>10</xdr:row>
      <xdr:rowOff>135731</xdr:rowOff>
    </xdr:from>
    <xdr:to>
      <xdr:col>1</xdr:col>
      <xdr:colOff>700494</xdr:colOff>
      <xdr:row>10</xdr:row>
      <xdr:rowOff>603731</xdr:rowOff>
    </xdr:to>
    <xdr:pic macro="[0]!SCOTIABANK">
      <xdr:nvPicPr>
        <xdr:cNvPr id="5" name="Imagen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1471" y="2112169"/>
          <a:ext cx="557617" cy="4680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1</xdr:col>
      <xdr:colOff>1747834</xdr:colOff>
      <xdr:row>10</xdr:row>
      <xdr:rowOff>130966</xdr:rowOff>
    </xdr:from>
    <xdr:to>
      <xdr:col>2</xdr:col>
      <xdr:colOff>619124</xdr:colOff>
      <xdr:row>10</xdr:row>
      <xdr:rowOff>619124</xdr:rowOff>
    </xdr:to>
    <xdr:pic macro="[0]!REDONDOS">
      <xdr:nvPicPr>
        <xdr:cNvPr id="6" name="Imagen 5">
          <a:extLst>
            <a:ext uri="{FF2B5EF4-FFF2-40B4-BE49-F238E27FC236}">
              <a16:creationId xmlns:a16="http://schemas.microsoft.com/office/drawing/2014/main" id="{00000000-0008-0000-0E00-000006000000}"/>
            </a:ext>
          </a:extLst>
        </xdr:cNvPr>
        <xdr:cNvPicPr preferRelativeResize="0">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26428" y="2107404"/>
          <a:ext cx="633415" cy="48815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1</xdr:col>
      <xdr:colOff>881063</xdr:colOff>
      <xdr:row>10</xdr:row>
      <xdr:rowOff>154780</xdr:rowOff>
    </xdr:from>
    <xdr:to>
      <xdr:col>1</xdr:col>
      <xdr:colOff>1583531</xdr:colOff>
      <xdr:row>10</xdr:row>
      <xdr:rowOff>607218</xdr:rowOff>
    </xdr:to>
    <xdr:pic macro="[0]!SANTA_ELENA">
      <xdr:nvPicPr>
        <xdr:cNvPr id="7" name="Imagen 6">
          <a:extLst>
            <a:ext uri="{FF2B5EF4-FFF2-40B4-BE49-F238E27FC236}">
              <a16:creationId xmlns:a16="http://schemas.microsoft.com/office/drawing/2014/main" id="{00000000-0008-0000-0E00-000007000000}"/>
            </a:ext>
          </a:extLst>
        </xdr:cNvPr>
        <xdr:cNvPicPr preferRelativeResize="0">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9657" y="2131218"/>
          <a:ext cx="702468" cy="45243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2</xdr:col>
      <xdr:colOff>781049</xdr:colOff>
      <xdr:row>10</xdr:row>
      <xdr:rowOff>97631</xdr:rowOff>
    </xdr:from>
    <xdr:to>
      <xdr:col>2</xdr:col>
      <xdr:colOff>1404937</xdr:colOff>
      <xdr:row>10</xdr:row>
      <xdr:rowOff>619124</xdr:rowOff>
    </xdr:to>
    <xdr:pic macro="[0]!SAN_FERNANDO">
      <xdr:nvPicPr>
        <xdr:cNvPr id="8" name="Imagen 7">
          <a:extLst>
            <a:ext uri="{FF2B5EF4-FFF2-40B4-BE49-F238E27FC236}">
              <a16:creationId xmlns:a16="http://schemas.microsoft.com/office/drawing/2014/main" id="{00000000-0008-0000-0E00-000008000000}"/>
            </a:ext>
          </a:extLst>
        </xdr:cNvPr>
        <xdr:cNvPicPr preferRelativeResize="0">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721768" y="2074069"/>
          <a:ext cx="623888" cy="521493"/>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1</xdr:col>
      <xdr:colOff>1488283</xdr:colOff>
      <xdr:row>1</xdr:row>
      <xdr:rowOff>47625</xdr:rowOff>
    </xdr:from>
    <xdr:to>
      <xdr:col>3</xdr:col>
      <xdr:colOff>1524000</xdr:colOff>
      <xdr:row>5</xdr:row>
      <xdr:rowOff>157823</xdr:rowOff>
    </xdr:to>
    <xdr:pic>
      <xdr:nvPicPr>
        <xdr:cNvPr id="13" name="Imagen 12">
          <a:extLst>
            <a:ext uri="{FF2B5EF4-FFF2-40B4-BE49-F238E27FC236}">
              <a16:creationId xmlns:a16="http://schemas.microsoft.com/office/drawing/2014/main" id="{00000000-0008-0000-0E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50283" y="250031"/>
          <a:ext cx="4060030" cy="872198"/>
        </a:xfrm>
        <a:prstGeom prst="rect">
          <a:avLst/>
        </a:prstGeom>
      </xdr:spPr>
    </xdr:pic>
    <xdr:clientData/>
  </xdr:twoCellAnchor>
  <xdr:twoCellAnchor editAs="oneCell">
    <xdr:from>
      <xdr:col>2</xdr:col>
      <xdr:colOff>1559719</xdr:colOff>
      <xdr:row>10</xdr:row>
      <xdr:rowOff>98425</xdr:rowOff>
    </xdr:from>
    <xdr:to>
      <xdr:col>2</xdr:col>
      <xdr:colOff>2202655</xdr:colOff>
      <xdr:row>10</xdr:row>
      <xdr:rowOff>619125</xdr:rowOff>
    </xdr:to>
    <xdr:pic macro="[0]!CLINICA_ANGLOAMERICANA">
      <xdr:nvPicPr>
        <xdr:cNvPr id="3" name="Imagen 2">
          <a:extLst>
            <a:ext uri="{FF2B5EF4-FFF2-40B4-BE49-F238E27FC236}">
              <a16:creationId xmlns:a16="http://schemas.microsoft.com/office/drawing/2014/main" id="{00000000-0008-0000-0E00-000003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 r="-3199" b="-2340"/>
        <a:stretch/>
      </xdr:blipFill>
      <xdr:spPr>
        <a:xfrm>
          <a:off x="3500438" y="2074863"/>
          <a:ext cx="642936" cy="5207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mc:AlternateContent xmlns:mc="http://schemas.openxmlformats.org/markup-compatibility/2006">
    <mc:Choice xmlns:a14="http://schemas.microsoft.com/office/drawing/2010/main" Requires="a14">
      <xdr:twoCellAnchor editAs="absolute">
        <xdr:from>
          <xdr:col>3</xdr:col>
          <xdr:colOff>1226820</xdr:colOff>
          <xdr:row>12</xdr:row>
          <xdr:rowOff>175260</xdr:rowOff>
        </xdr:from>
        <xdr:to>
          <xdr:col>4</xdr:col>
          <xdr:colOff>1295400</xdr:colOff>
          <xdr:row>14</xdr:row>
          <xdr:rowOff>137160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E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0" i="0" u="none" strike="noStrike" baseline="0">
                  <a:solidFill>
                    <a:srgbClr val="000000"/>
                  </a:solidFill>
                  <a:latin typeface="Calibri"/>
                  <a:cs typeface="Calibri"/>
                </a:rPr>
                <a:t>REGISTRAR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15</xdr:row>
          <xdr:rowOff>76200</xdr:rowOff>
        </xdr:from>
        <xdr:to>
          <xdr:col>4</xdr:col>
          <xdr:colOff>1295400</xdr:colOff>
          <xdr:row>17</xdr:row>
          <xdr:rowOff>45720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E00-00001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0" i="0" u="none" strike="noStrike" baseline="0">
                  <a:solidFill>
                    <a:srgbClr val="000000"/>
                  </a:solidFill>
                  <a:latin typeface="Calibri"/>
                  <a:cs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1242060</xdr:colOff>
          <xdr:row>17</xdr:row>
          <xdr:rowOff>144780</xdr:rowOff>
        </xdr:from>
        <xdr:to>
          <xdr:col>4</xdr:col>
          <xdr:colOff>1303020</xdr:colOff>
          <xdr:row>19</xdr:row>
          <xdr:rowOff>83820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E00-00001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0" i="0" u="none" strike="noStrike" baseline="0">
                  <a:solidFill>
                    <a:srgbClr val="000000"/>
                  </a:solidFill>
                  <a:latin typeface="Calibri"/>
                  <a:cs typeface="Calibri"/>
                </a:rPr>
                <a:t>IR AL MENU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11</xdr:col>
          <xdr:colOff>137160</xdr:colOff>
          <xdr:row>2</xdr:row>
          <xdr:rowOff>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0" i="0" u="none" strike="noStrike" baseline="0">
                  <a:solidFill>
                    <a:srgbClr val="000000"/>
                  </a:solidFill>
                  <a:latin typeface="Calibri"/>
                  <a:cs typeface="Calibri"/>
                </a:rPr>
                <a:t>IR AL MENU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274320</xdr:colOff>
          <xdr:row>1</xdr:row>
          <xdr:rowOff>60960</xdr:rowOff>
        </xdr:from>
        <xdr:to>
          <xdr:col>4</xdr:col>
          <xdr:colOff>297180</xdr:colOff>
          <xdr:row>2</xdr:row>
          <xdr:rowOff>137160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REGISTRAR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899160</xdr:colOff>
          <xdr:row>1</xdr:row>
          <xdr:rowOff>60960</xdr:rowOff>
        </xdr:from>
        <xdr:to>
          <xdr:col>5</xdr:col>
          <xdr:colOff>365760</xdr:colOff>
          <xdr:row>2</xdr:row>
          <xdr:rowOff>144780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1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7620</xdr:rowOff>
        </xdr:from>
        <xdr:to>
          <xdr:col>1</xdr:col>
          <xdr:colOff>1059180</xdr:colOff>
          <xdr:row>2</xdr:row>
          <xdr:rowOff>0</xdr:rowOff>
        </xdr:to>
        <xdr:sp macro="" textlink="">
          <xdr:nvSpPr>
            <xdr:cNvPr id="25656" name="Button 56" hidden="1">
              <a:extLst>
                <a:ext uri="{63B3BB69-23CF-44E3-9099-C40C66FF867C}">
                  <a14:compatExt spid="_x0000_s25656"/>
                </a:ext>
                <a:ext uri="{FF2B5EF4-FFF2-40B4-BE49-F238E27FC236}">
                  <a16:creationId xmlns:a16="http://schemas.microsoft.com/office/drawing/2014/main" id="{00000000-0008-0000-1200-000038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144780</xdr:colOff>
          <xdr:row>3</xdr:row>
          <xdr:rowOff>152400</xdr:rowOff>
        </xdr:from>
        <xdr:to>
          <xdr:col>10</xdr:col>
          <xdr:colOff>1554480</xdr:colOff>
          <xdr:row>5</xdr:row>
          <xdr:rowOff>76200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3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IR AL MENU</a:t>
              </a:r>
            </a:p>
          </xdr:txBody>
        </xdr:sp>
        <xdr:clientData fPrintsWithSheet="0"/>
      </xdr:twoCellAnchor>
    </mc:Choice>
    <mc:Fallback/>
  </mc:AlternateContent>
  <xdr:twoCellAnchor editAs="oneCell">
    <xdr:from>
      <xdr:col>1</xdr:col>
      <xdr:colOff>582080</xdr:colOff>
      <xdr:row>0</xdr:row>
      <xdr:rowOff>63500</xdr:rowOff>
    </xdr:from>
    <xdr:to>
      <xdr:col>3</xdr:col>
      <xdr:colOff>1195917</xdr:colOff>
      <xdr:row>2</xdr:row>
      <xdr:rowOff>116416</xdr:rowOff>
    </xdr:to>
    <xdr:pic>
      <xdr:nvPicPr>
        <xdr:cNvPr id="4" name="Imagen 3">
          <a:extLst>
            <a:ext uri="{FF2B5EF4-FFF2-40B4-BE49-F238E27FC236}">
              <a16:creationId xmlns:a16="http://schemas.microsoft.com/office/drawing/2014/main" id="{00000000-0008-0000-13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3264" b="18093"/>
        <a:stretch/>
      </xdr:blipFill>
      <xdr:spPr>
        <a:xfrm>
          <a:off x="973663" y="666750"/>
          <a:ext cx="2338920" cy="476249"/>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106680</xdr:colOff>
          <xdr:row>5</xdr:row>
          <xdr:rowOff>144780</xdr:rowOff>
        </xdr:from>
        <xdr:to>
          <xdr:col>10</xdr:col>
          <xdr:colOff>1524000</xdr:colOff>
          <xdr:row>7</xdr:row>
          <xdr:rowOff>76200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1300-000002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106680</xdr:colOff>
          <xdr:row>7</xdr:row>
          <xdr:rowOff>152400</xdr:rowOff>
        </xdr:from>
        <xdr:to>
          <xdr:col>10</xdr:col>
          <xdr:colOff>1531620</xdr:colOff>
          <xdr:row>9</xdr:row>
          <xdr:rowOff>83820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1300-000003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1"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ECNICOS" displayName="TECNICOS" ref="A3:B16" totalsRowShown="0" headerRowDxfId="240" dataDxfId="238" headerRowBorderDxfId="239" tableBorderDxfId="237" totalsRowBorderDxfId="236">
  <autoFilter ref="A3:B16" xr:uid="{00000000-0009-0000-0100-000002000000}"/>
  <tableColumns count="2">
    <tableColumn id="2" xr3:uid="{00000000-0010-0000-0000-000002000000}" name="DOC. IDENTIDAD" dataDxfId="235"/>
    <tableColumn id="1" xr3:uid="{00000000-0010-0000-0000-000001000000}" name="Responsable" dataDxfId="2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EQUIPOS" displayName="EQUIPOS" ref="B4:S47" totalsRowShown="0" headerRowDxfId="222" dataDxfId="220" headerRowBorderDxfId="221" tableBorderDxfId="219" totalsRowBorderDxfId="218">
  <autoFilter ref="B4:S47" xr:uid="{00000000-0009-0000-0100-000003000000}"/>
  <tableColumns count="18">
    <tableColumn id="1" xr3:uid="{00000000-0010-0000-0100-000001000000}" name="SERIE" dataDxfId="217"/>
    <tableColumn id="3" xr3:uid="{00000000-0010-0000-0100-000003000000}" name="MARCA" dataDxfId="216">
      <calculatedColumnFormula>IFERROR(INDEX(BDEGENER[],MATCH(B5,BDEGENER[SERIE],0),26)," ")</calculatedColumnFormula>
    </tableColumn>
    <tableColumn id="4" xr3:uid="{00000000-0010-0000-0100-000004000000}" name="MODELO" dataDxfId="215">
      <calculatedColumnFormula>IFERROR(INDEX(BDEGENER[],MATCH(B5,BDEGENER[SERIE],0),27)," ")</calculatedColumnFormula>
    </tableColumn>
    <tableColumn id="5" xr3:uid="{00000000-0010-0000-0100-000005000000}" name="CLIENTE" dataDxfId="214">
      <calculatedColumnFormula>IFERROR(INDEX(BDEGENER[],MATCH(B5,BDEGENER[SERIE],0),11)," ")</calculatedColumnFormula>
    </tableColumn>
    <tableColumn id="6" xr3:uid="{00000000-0010-0000-0100-000006000000}" name="UBICACIÓN EN SU ULTIMO MANT." dataDxfId="213">
      <calculatedColumnFormula>IFERROR(INDEX(BDEGENER[],MATCH(B5,BDEGENER[SERIE],0),12)," ")</calculatedColumnFormula>
    </tableColumn>
    <tableColumn id="13" xr3:uid="{00000000-0010-0000-0100-00000D000000}" name="UBICACIÓN ACTUAL" dataDxfId="212"/>
    <tableColumn id="14" xr3:uid="{00000000-0010-0000-0100-00000E000000}" name="HR ULTIMO SERVICIO" dataDxfId="211">
      <calculatedColumnFormula>IFERROR(INDEX(BDEGENER[],MATCH(B5,BDEGENER[SERIE],0),31)," ")</calculatedColumnFormula>
    </tableColumn>
    <tableColumn id="8" xr3:uid="{00000000-0010-0000-0100-000008000000}" name="HR DE ULTIMO PREVENTIVO" dataDxfId="210">
      <calculatedColumnFormula>IFERROR(INDEX(BDEGENER[],MATCH(B5,BDEGENER[SERIE],0),53)," ")</calculatedColumnFormula>
    </tableColumn>
    <tableColumn id="15" xr3:uid="{00000000-0010-0000-0100-00000F000000}" name="N° DE CORRECTIVOS" dataDxfId="209">
      <calculatedColumnFormula>IFERROR(INDEX(BDEGENER[],MATCH(B5,BDEGENER[SERIE],0),47)," ")</calculatedColumnFormula>
    </tableColumn>
    <tableColumn id="7" xr3:uid="{00000000-0010-0000-0100-000007000000}" name="N° DE PREVENTIVOS" dataDxfId="208">
      <calculatedColumnFormula>IFERROR(INDEX(BDEGENER[],MATCH(B5,BDEGENER[SERIE],0),48)," ")</calculatedColumnFormula>
    </tableColumn>
    <tableColumn id="10" xr3:uid="{00000000-0010-0000-0100-00000A000000}" name="HR ACTUALES" dataDxfId="207"/>
    <tableColumn id="9" xr3:uid="{00000000-0010-0000-0100-000009000000}" name="HR DE PROX SERVICIO" dataDxfId="206">
      <calculatedColumnFormula>EQUIPOS[[#This Row],[HR DE ULTIMO PREVENTIVO]]+300</calculatedColumnFormula>
    </tableColumn>
    <tableColumn id="11" xr3:uid="{00000000-0010-0000-0100-00000B000000}" name="SIGUIENTE MANT." dataDxfId="205">
      <calculatedColumnFormula>IF(EQUIPOS[[#This Row],[HR ACTUALES]]&gt;=EQUIPOS[[#This Row],[HR DE PROX SERVICIO]],"PROCEDE",IF((EQUIPOS[[#This Row],[HR ACTUALES]]+50)&gt;=EQUIPOS[[#This Row],[HR DE PROX SERVICIO]],"PROXIMO","NO PROCEDE"))</calculatedColumnFormula>
    </tableColumn>
    <tableColumn id="2" xr3:uid="{00000000-0010-0000-0100-000002000000}" name="GA1" dataDxfId="204">
      <calculatedColumnFormula>COUNTIF(EQUIPOS[SERIE],EQUIPOS[[#This Row],[SERIE]])</calculatedColumnFormula>
    </tableColumn>
    <tableColumn id="18" xr3:uid="{00000000-0010-0000-0100-000012000000}" name="ESTADO DEL G.E." dataDxfId="203">
      <calculatedColumnFormula>IFERROR(INDEX(BDEGENER[],MATCH(B5,BDEGENER[SERIE],0),41)," ")</calculatedColumnFormula>
    </tableColumn>
    <tableColumn id="12" xr3:uid="{00000000-0010-0000-0100-00000C000000}" name="NUMERO DE OCURRENCIAS" dataDxfId="202">
      <calculatedColumnFormula>IF(EQUIPOS[[#This Row],[GA1]]=1,"UNICO","DUPLICADO")</calculatedColumnFormula>
    </tableColumn>
    <tableColumn id="17" xr3:uid="{00000000-0010-0000-0100-000011000000}" name="ESTADO DE HR ACTUALES" dataDxfId="201">
      <calculatedColumnFormula>IF(EQUIPOS[[#This Row],[HR ULTIMO SERVICIO]]="NR","OPTIMO",IF(EQUIPOS[[#This Row],[HR ACTUALES]]="","NO REGISTRA",IF(EQUIPOS[[#This Row],[HR ULTIMO SERVICIO]]&gt;=EQUIPOS[[#This Row],[HR ACTUALES]],"ACTUALIZAR","OPTIMO")))</calculatedColumnFormula>
    </tableColumn>
    <tableColumn id="16" xr3:uid="{00000000-0010-0000-0100-000010000000}" name="HR RESTANTES" dataDxfId="200">
      <calculatedColumnFormula>EQUIPOS[[#This Row],[HR DE PROX SERVICIO]]-EQUIPOS[[#This Row],[HR ACTUALES]]</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INDICADORES" displayName="INDICADORES" ref="B6:L36" totalsRowShown="0" headerRowDxfId="198" dataDxfId="197" tableBorderDxfId="196">
  <autoFilter ref="B6:L36" xr:uid="{00000000-0009-0000-0100-00000A000000}"/>
  <tableColumns count="11">
    <tableColumn id="1" xr3:uid="{00000000-0010-0000-0200-000001000000}" name="FECHA" dataDxfId="195">
      <calculatedColumnFormula>IF($C$4&lt;&gt;"",IFERROR(INDEX(BDEGENER[],MATCH(CONCATENATE($C$4,"MANT",A7),BDEGENER[GA6],0),10),""),"")</calculatedColumnFormula>
    </tableColumn>
    <tableColumn id="2" xr3:uid="{00000000-0010-0000-0200-000002000000}" name="TIPO DE SERVICIO" dataDxfId="194">
      <calculatedColumnFormula>IF($C$4&lt;&gt;"",IFERROR(INDEX(BDEGENER[],MATCH(CONCATENATE($C$4,"MANT",A7),BDEGENER[GA6],0),49),""),"")</calculatedColumnFormula>
    </tableColumn>
    <tableColumn id="3" xr3:uid="{00000000-0010-0000-0200-000003000000}" name="KW-HR" dataDxfId="193">
      <calculatedColumnFormula>IF($C$4&lt;&gt;"",IFERROR(INDEX(BDEGENER[],MATCH(CONCATENATE($C$4,"MANT",A7),BDEGENER[GA6],0),60),""),"")</calculatedColumnFormula>
    </tableColumn>
    <tableColumn id="4" xr3:uid="{00000000-0010-0000-0200-000004000000}" name="HORAS" dataDxfId="192">
      <calculatedColumnFormula>IF($C$4&lt;&gt;"",IFERROR(INDEX(BDEGENER[],MATCH(CONCATENATE($C$4,"MANT",A7),BDEGENER[GA6],0),31),""),"")</calculatedColumnFormula>
    </tableColumn>
    <tableColumn id="5" xr3:uid="{00000000-0010-0000-0200-000005000000}" name="KW-HR PROM." dataDxfId="191">
      <calculatedColumnFormula>IF(INDICADORES[[#This Row],[HORAS]]="NR","NR",IF(INDICADORES[[#This Row],[KW-HR]]="","",INDICADORES[[#This Row],[KW-HR]]/INDICADORES[[#This Row],[HORAS]]))</calculatedColumnFormula>
    </tableColumn>
    <tableColumn id="11" xr3:uid="{00000000-0010-0000-0200-00000B000000}" name="CARGA" dataDxfId="190">
      <calculatedColumnFormula>IF($C$4&lt;&gt;"",IFERROR(INDEX(BDEGENER[],MATCH(CONCATENATE($C$4,"MANT",A7),BDEGENER[GA6],0),62),""),"")</calculatedColumnFormula>
    </tableColumn>
    <tableColumn id="6" xr3:uid="{00000000-0010-0000-0200-000006000000}" name="PRECION DE ACEITE" dataDxfId="189">
      <calculatedColumnFormula>IF($C$4&lt;&gt;"",IFERROR(INDEX(BDEGENER[],MATCH(CONCATENATE($C$4,"MANT",A7),BDEGENER[GA6],0),40),""),"")</calculatedColumnFormula>
    </tableColumn>
    <tableColumn id="7" xr3:uid="{00000000-0010-0000-0200-000007000000}" name="TEMPERATURA DE MOTOR" dataDxfId="188">
      <calculatedColumnFormula>IF($C$4&lt;&gt;"",IFERROR(INDEX(BDEGENER[],MATCH(CONCATENATE($C$4,"MANT",A7),BDEGENER[GA6],0),39),""),"")</calculatedColumnFormula>
    </tableColumn>
    <tableColumn id="8" xr3:uid="{00000000-0010-0000-0200-000008000000}" name="VOLT. BATERIA" dataDxfId="187">
      <calculatedColumnFormula>IF($C$4&lt;&gt;"",IFERROR(INDEX(BDEGENER[],MATCH(CONCATENATE($C$4,"MANT",A7),BDEGENER[GA6],0),38),""),"")</calculatedColumnFormula>
    </tableColumn>
    <tableColumn id="9" xr3:uid="{00000000-0010-0000-0200-000009000000}" name="ESTADO" dataDxfId="186">
      <calculatedColumnFormula>IF($C$4&lt;&gt;"",IFERROR(INDEX(BDEGENER[],MATCH(CONCATENATE($C$4,"MANT",A7),BDEGENER[GA6],0),41),""),"")</calculatedColumnFormula>
    </tableColumn>
    <tableColumn id="12" xr3:uid="{00000000-0010-0000-0200-00000C000000}" name="UBICACIÓN DURANTE EL SERVICIO" dataDxfId="185">
      <calculatedColumnFormula>IF($C$4&lt;&gt;"",IFERROR(INDEX(BDEGENER[],MATCH(CONCATENATE($C$4,"MANT",A7),BDEGENER[GA6],0),12),""),"")</calculatedColumnFormula>
    </tableColumn>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_ACTAS" displayName="TABLA_ACTAS" ref="B6:I30" totalsRowShown="0" headerRowDxfId="183" dataDxfId="181" headerRowBorderDxfId="182" tableBorderDxfId="180" totalsRowBorderDxfId="179">
  <autoFilter ref="B6:I30" xr:uid="{00000000-0009-0000-0100-000004000000}"/>
  <tableColumns count="8">
    <tableColumn id="1" xr3:uid="{00000000-0010-0000-0300-000001000000}" name="N° DE SERV." dataDxfId="178"/>
    <tableColumn id="2" xr3:uid="{00000000-0010-0000-0300-000002000000}" name="FECHA" dataDxfId="177">
      <calculatedColumnFormula>IF($E$3&lt;&gt;"",IFERROR(INDEX(BDEGENER[],MATCH(CONCATENATE($E$3,"MANT",TABLA_ACTAS[[#This Row],[N° DE SERV.]]),BDEGENER[GA6],0),10),""),IF($E$4&lt;&gt;"",IFERROR(INDEX(BDEGENER[],MATCH(CONCATENATE($E$4,"MANT",TABLA_ACTAS[[#This Row],[N° DE SERV.]]),BDEGENER[GA7],0),10),""),""))</calculatedColumnFormula>
    </tableColumn>
    <tableColumn id="3" xr3:uid="{00000000-0010-0000-0300-000003000000}" name="TIPO DE SERVICIO" dataDxfId="176">
      <calculatedColumnFormula>IF($E$3&lt;&gt;"",IFERROR(INDEX(BDEGENER[],MATCH(CONCATENATE($E$3,"MANT",TABLA_ACTAS[[#This Row],[N° DE SERV.]]),BDEGENER[GA6],0),49),""),IF($E$4&lt;&gt;"",IFERROR(INDEX(BDEGENER[],MATCH(CONCATENATE($E$4,"MANT",TABLA_ACTAS[[#This Row],[N° DE SERV.]]),BDEGENER[GA7],0),49),""),""))</calculatedColumnFormula>
    </tableColumn>
    <tableColumn id="4" xr3:uid="{00000000-0010-0000-0300-000004000000}" name="RESPONSABLE" dataDxfId="175">
      <calculatedColumnFormula>IF($E$3&lt;&gt;"",IFERROR(INDEX(BDEGENER[],MATCH(CONCATENATE($E$3,"MANT",TABLA_ACTAS[[#This Row],[N° DE SERV.]]),BDEGENER[GA6],0),21),""),IF($E$4&lt;&gt;"",IFERROR(INDEX(BDEGENER[],MATCH(CONCATENATE($E$4,"MANT",TABLA_ACTAS[[#This Row],[N° DE SERV.]]),BDEGENER[GA7],0),21),""),""))</calculatedColumnFormula>
    </tableColumn>
    <tableColumn id="5" xr3:uid="{00000000-0010-0000-0300-000005000000}" name="ESTADO FINAL" dataDxfId="174">
      <calculatedColumnFormula>IF($E$3&lt;&gt;"",IFERROR(INDEX(BDEGENER[],MATCH(CONCATENATE($E$3,"MANT",TABLA_ACTAS[[#This Row],[N° DE SERV.]]),BDEGENER[GA6],0),41),""),IF($E$4&lt;&gt;"",IFERROR(INDEX(BDEGENER[],MATCH(CONCATENATE($E$4,"MANT",TABLA_ACTAS[[#This Row],[N° DE SERV.]]),BDEGENER[GA7],0),41),""),""))</calculatedColumnFormula>
    </tableColumn>
    <tableColumn id="8" xr3:uid="{00000000-0010-0000-0300-000008000000}" name="SEDE O GRANJA" dataDxfId="173">
      <calculatedColumnFormula>IF($E$3&lt;&gt;"",IFERROR(INDEX(BDEGENER[],MATCH(CONCATENATE($E$3,"MANT",TABLA_ACTAS[[#This Row],[N° DE SERV.]]),BDEGENER[GA6],0),12),""),IF($E$4&lt;&gt;"",IFERROR(INDEX(BDEGENER[],MATCH(CONCATENATE($E$4,"MANT",TABLA_ACTAS[[#This Row],[N° DE SERV.]]),BDEGENER[GA7],0),12),""),""))</calculatedColumnFormula>
    </tableColumn>
    <tableColumn id="6" xr3:uid="{00000000-0010-0000-0300-000006000000}" name="HORAS" dataDxfId="172">
      <calculatedColumnFormula>IF($E$3&lt;&gt;"",IFERROR(INDEX(BDEGENER[],MATCH(CONCATENATE($E$3,"MANT",TABLA_ACTAS[[#This Row],[N° DE SERV.]]),BDEGENER[GA6],0),31),""),IF($E$4&lt;&gt;"",IFERROR(INDEX(BDEGENER[],MATCH(CONCATENATE($E$4,"MANT",TABLA_ACTAS[[#This Row],[N° DE SERV.]]),BDEGENER[GA7],0),31),""),""))</calculatedColumnFormula>
    </tableColumn>
    <tableColumn id="7" xr3:uid="{00000000-0010-0000-0300-000007000000}" name="Columna1" dataDxfId="171">
      <calculatedColumnFormula>IF($E$3&lt;&gt;"",IFERROR(INDEX(BDEGENER[],MATCH(CONCATENATE($E$3,"MANT",TABLA_ACTAS[[#This Row],[N° DE SERV.]]),BDEGENER[GA6],0),42),""),IF($E$4&lt;&gt;"",IFERROR(INDEX(BDEGENER[],MATCH(CONCATENATE($E$4,"MANT",TABLA_ACTAS[[#This Row],[N° DE SERV.]]),BDEGENER[GA7],0),42),""),""))</calculatedColumnFormula>
    </tableColumn>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EQUIPOS_ALQUILER" displayName="EQUIPOS_ALQUILER" ref="B4:S11" totalsRowShown="0" headerRowDxfId="150" dataDxfId="148" headerRowBorderDxfId="149" tableBorderDxfId="147" totalsRowBorderDxfId="146">
  <autoFilter ref="B4:S11" xr:uid="{00000000-0009-0000-0100-000007000000}"/>
  <tableColumns count="18">
    <tableColumn id="1" xr3:uid="{00000000-0010-0000-0400-000001000000}" name="SERIE" dataDxfId="145"/>
    <tableColumn id="2" xr3:uid="{00000000-0010-0000-0400-000002000000}" name="MARCA" dataDxfId="144">
      <calculatedColumnFormula>IFERROR(INDEX(BDEGENER[],MATCH(B5,BDEGENER[SERIE],0),26)," ")</calculatedColumnFormula>
    </tableColumn>
    <tableColumn id="3" xr3:uid="{00000000-0010-0000-0400-000003000000}" name="MODELO" dataDxfId="143">
      <calculatedColumnFormula>IFERROR(INDEX(BDEGENER[],MATCH(B5,BDEGENER[SERIE],0),27)," ")</calculatedColumnFormula>
    </tableColumn>
    <tableColumn id="4" xr3:uid="{00000000-0010-0000-0400-000004000000}" name="CLIENTE" dataDxfId="142">
      <calculatedColumnFormula>IFERROR(INDEX(BDEGENER[],MATCH(B5,BDEGENER[SERIE],0),11)," ")</calculatedColumnFormula>
    </tableColumn>
    <tableColumn id="5" xr3:uid="{00000000-0010-0000-0400-000005000000}" name="UBICACIÓN EN SU ULTIMO SERV." dataDxfId="141">
      <calculatedColumnFormula>IFERROR(INDEX(BDEGENER[],MATCH(B5,BDEGENER[SERIE],0),12)," ")</calculatedColumnFormula>
    </tableColumn>
    <tableColumn id="6" xr3:uid="{00000000-0010-0000-0400-000006000000}" name="UBICACIÓN ACTUAL" dataDxfId="140"/>
    <tableColumn id="7" xr3:uid="{00000000-0010-0000-0400-000007000000}" name="HR ULTIMO SERVICIO" dataDxfId="139">
      <calculatedColumnFormula>IFERROR(INDEX(BDEGENER[],MATCH(B5,BDEGENER[SERIE],0),31)," ")</calculatedColumnFormula>
    </tableColumn>
    <tableColumn id="8" xr3:uid="{00000000-0010-0000-0400-000008000000}" name="HR DE ULTIMO PREVENTIVO" dataDxfId="138">
      <calculatedColumnFormula>IFERROR(INDEX(BDEGENER[],MATCH(B5,BDEGENER[SERIE],0),53)," ")</calculatedColumnFormula>
    </tableColumn>
    <tableColumn id="9" xr3:uid="{00000000-0010-0000-0400-000009000000}" name="N° DE CORRECTIVOS" dataDxfId="137">
      <calculatedColumnFormula>IFERROR(INDEX(BDEGENER[],MATCH(B5,BDEGENER[SERIE],0),47)," ")</calculatedColumnFormula>
    </tableColumn>
    <tableColumn id="10" xr3:uid="{00000000-0010-0000-0400-00000A000000}" name="N° DE PREVENTIVOS" dataDxfId="136">
      <calculatedColumnFormula>IFERROR(INDEX(BDEGENER[],MATCH(B5,BDEGENER[SERIE],0),48)," ")</calculatedColumnFormula>
    </tableColumn>
    <tableColumn id="11" xr3:uid="{00000000-0010-0000-0400-00000B000000}" name="HR ACTUALES" dataDxfId="135"/>
    <tableColumn id="12" xr3:uid="{00000000-0010-0000-0400-00000C000000}" name="HR DE PROX SERVICIO" dataDxfId="134">
      <calculatedColumnFormula>EQUIPOS_ALQUILER[[#This Row],[HR DE ULTIMO PREVENTIVO]]+300</calculatedColumnFormula>
    </tableColumn>
    <tableColumn id="13" xr3:uid="{00000000-0010-0000-0400-00000D000000}" name="SIGUIENTE MANT." dataDxfId="133">
      <calculatedColumnFormula>IF(EQUIPOS_ALQUILER[[#This Row],[HR ACTUALES]]&gt;=EQUIPOS_ALQUILER[[#This Row],[HR DE PROX SERVICIO]],"PROCEDE",IF((EQUIPOS_ALQUILER[[#This Row],[HR ACTUALES]]+35)&gt;=EQUIPOS_ALQUILER[[#This Row],[HR DE PROX SERVICIO]],"PROXIMO","NO PROCEDE"))</calculatedColumnFormula>
    </tableColumn>
    <tableColumn id="14" xr3:uid="{00000000-0010-0000-0400-00000E000000}" name="GA1" dataDxfId="132">
      <calculatedColumnFormula>COUNTIF(EQUIPOS_ALQUILER[SERIE],EQUIPOS_ALQUILER[[#This Row],[SERIE]])</calculatedColumnFormula>
    </tableColumn>
    <tableColumn id="15" xr3:uid="{00000000-0010-0000-0400-00000F000000}" name="ESTADO DEL G.E." dataDxfId="131">
      <calculatedColumnFormula>IFERROR(INDEX(BDEGENER[],MATCH(B5,BDEGENER[SERIE],0),41)," ")</calculatedColumnFormula>
    </tableColumn>
    <tableColumn id="16" xr3:uid="{00000000-0010-0000-0400-000010000000}" name="NUMERO DE OCURRENCIAS" dataDxfId="130">
      <calculatedColumnFormula>IF(EQUIPOS[[#This Row],[GA1]]=1,"UNICO","DUPLICADO")</calculatedColumnFormula>
    </tableColumn>
    <tableColumn id="17" xr3:uid="{00000000-0010-0000-0400-000011000000}" name="ESTADO DE HR ACTUALES" dataDxfId="129">
      <calculatedColumnFormula>IF(EQUIPOS_ALQUILER[[#This Row],[HR ULTIMO SERVICIO]]="NR","OPTIMO",IF(EQUIPOS_ALQUILER[[#This Row],[HR ACTUALES]]="","NO REGISTRA",IF(EQUIPOS_ALQUILER[[#This Row],[HR ULTIMO SERVICIO]]&gt;=EQUIPOS_ALQUILER[[#This Row],[HR ACTUALES]],"ACTUALIZAR","OPTIMO")))</calculatedColumnFormula>
    </tableColumn>
    <tableColumn id="18" xr3:uid="{00000000-0010-0000-0400-000012000000}" name="HR RESTANTES" dataDxfId="128">
      <calculatedColumnFormula>EQUIPOS_ALQUILER[[#This Row],[HR DE PROX SERVICIO]]-EQUIPOS_ALQUILER[[#This Row],[HR ACTUALES]]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ACTAS_FECHAS" displayName="ACTAS_FECHAS" ref="B5:J29" totalsRowShown="0" headerRowDxfId="127" dataDxfId="125" headerRowBorderDxfId="126" tableBorderDxfId="124" totalsRowBorderDxfId="123">
  <autoFilter ref="B5:J29" xr:uid="{00000000-0009-0000-0100-000008000000}"/>
  <tableColumns count="9">
    <tableColumn id="1" xr3:uid="{00000000-0010-0000-0500-000001000000}" name="N° DE SERVICIO" dataDxfId="122"/>
    <tableColumn id="2" xr3:uid="{00000000-0010-0000-0500-000002000000}" name="SERIE" dataDxfId="121">
      <calculatedColumnFormula>IFERROR(INDEX(BDEGENER[],MATCH(CONCATENATE($D$3,"F",ACTAS_FECHAS[[#This Row],[N° DE SERVICIO]]),BDEGENER[GA8],0),24),"")</calculatedColumnFormula>
    </tableColumn>
    <tableColumn id="3" xr3:uid="{00000000-0010-0000-0500-000003000000}" name="CLIENTE" dataDxfId="120">
      <calculatedColumnFormula>IFERROR(INDEX(BDEGENER[],MATCH(CONCATENATE($D$3,"F",ACTAS_FECHAS[[#This Row],[N° DE SERVICIO]]),BDEGENER[GA8],0),11),"")</calculatedColumnFormula>
    </tableColumn>
    <tableColumn id="4" xr3:uid="{00000000-0010-0000-0500-000004000000}" name="SEDE" dataDxfId="119">
      <calculatedColumnFormula>IFERROR(INDEX(BDEGENER[],MATCH(CONCATENATE($D$3,"F",ACTAS_FECHAS[[#This Row],[N° DE SERVICIO]]),BDEGENER[GA8],0),12),"")</calculatedColumnFormula>
    </tableColumn>
    <tableColumn id="5" xr3:uid="{00000000-0010-0000-0500-000005000000}" name="MARCA/MODELO" dataDxfId="118">
      <calculatedColumnFormula>IFERROR(INDEX(BDEGENER[],MATCH(CONCATENATE($D$3,"F",ACTAS_FECHAS[[#This Row],[N° DE SERVICIO]]),BDEGENER[GA8],0),43),"")</calculatedColumnFormula>
    </tableColumn>
    <tableColumn id="6" xr3:uid="{00000000-0010-0000-0500-000006000000}" name="TIPO DE SERVICIO" dataDxfId="117">
      <calculatedColumnFormula>IFERROR(INDEX(BDEGENER[],MATCH(CONCATENATE($D$3,"F",ACTAS_FECHAS[[#This Row],[N° DE SERVICIO]]),BDEGENER[GA8],0),49),"")</calculatedColumnFormula>
    </tableColumn>
    <tableColumn id="7" xr3:uid="{00000000-0010-0000-0500-000007000000}" name="RESPONSABLE" dataDxfId="116">
      <calculatedColumnFormula>IFERROR(INDEX(BDEGENER[],MATCH(CONCATENATE($D$3,"F",ACTAS_FECHAS[[#This Row],[N° DE SERVICIO]]),BDEGENER[GA8],0),21),"")</calculatedColumnFormula>
    </tableColumn>
    <tableColumn id="8" xr3:uid="{00000000-0010-0000-0500-000008000000}" name="HORAS" dataDxfId="115">
      <calculatedColumnFormula>IFERROR(INDEX(BDEGENER[],MATCH(CONCATENATE($D$3,"F",ACTAS_FECHAS[[#This Row],[N° DE SERVICIO]]),BDEGENER[GA8],0),31),"")</calculatedColumnFormula>
    </tableColumn>
    <tableColumn id="9" xr3:uid="{00000000-0010-0000-0500-000009000000}" name="Columna1" dataDxfId="114">
      <calculatedColumnFormula>IFERROR(INDEX(BDEGENER[],MATCH(CONCATENATE($D$3,"F",ACTAS_FECHAS[[#This Row],[N° DE SERVICIO]]),BDEGENER[GA8],0),42),"")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6000000}" name="BDEGENER" displayName="BDEGENER" ref="B6:BK1153" totalsRowShown="0" headerRowDxfId="113" dataDxfId="112">
  <autoFilter ref="B6:BK1153" xr:uid="{00000000-0009-0000-0100-000001000000}">
    <filterColumn colId="23">
      <filters>
        <filter val="3004336198"/>
      </filters>
    </filterColumn>
  </autoFilter>
  <sortState xmlns:xlrd2="http://schemas.microsoft.com/office/spreadsheetml/2017/richdata2" ref="B7:BK1153">
    <sortCondition descending="1" ref="K6:K1153"/>
  </sortState>
  <tableColumns count="62">
    <tableColumn id="9" xr3:uid="{00000000-0010-0000-0600-000009000000}" name="Columna1" dataDxfId="111"/>
    <tableColumn id="10" xr3:uid="{00000000-0010-0000-0600-00000A000000}" name="Columna2" dataDxfId="110"/>
    <tableColumn id="29" xr3:uid="{00000000-0010-0000-0600-00001D000000}" name="Columna3" dataDxfId="109"/>
    <tableColumn id="37" xr3:uid="{00000000-0010-0000-0600-000025000000}" name="Columna4" dataDxfId="108"/>
    <tableColumn id="38" xr3:uid="{00000000-0010-0000-0600-000026000000}" name="Columna5" dataDxfId="107"/>
    <tableColumn id="42" xr3:uid="{00000000-0010-0000-0600-00002A000000}" name="Columna6" dataDxfId="106"/>
    <tableColumn id="43" xr3:uid="{00000000-0010-0000-0600-00002B000000}" name="Columna7" dataDxfId="105"/>
    <tableColumn id="44" xr3:uid="{00000000-0010-0000-0600-00002C000000}" name="Columna8" dataDxfId="104"/>
    <tableColumn id="45" xr3:uid="{00000000-0010-0000-0600-00002D000000}" name="Columna9" dataDxfId="103"/>
    <tableColumn id="1" xr3:uid="{00000000-0010-0000-0600-000001000000}" name="FECHA DE SERVICIO" dataDxfId="102"/>
    <tableColumn id="30" xr3:uid="{00000000-0010-0000-0600-00001E000000}" name="CLIENTE" dataDxfId="101"/>
    <tableColumn id="41" xr3:uid="{00000000-0010-0000-0600-000029000000}" name="SEDE" dataDxfId="100"/>
    <tableColumn id="40" xr3:uid="{00000000-0010-0000-0600-000028000000}" name="DIRECCION" dataDxfId="99"/>
    <tableColumn id="39" xr3:uid="{00000000-0010-0000-0600-000027000000}" name="PEDIDO / OC" dataDxfId="98"/>
    <tableColumn id="31" xr3:uid="{00000000-0010-0000-0600-00001F000000}" name="N° DE GUIA R-R" dataDxfId="97"/>
    <tableColumn id="2" xr3:uid="{00000000-0010-0000-0600-000002000000}" name="TIPO DE SERVICIO" dataDxfId="96"/>
    <tableColumn id="3" xr3:uid="{00000000-0010-0000-0600-000003000000}" name="DESCRIPCION DEL ESTADO INICAL DEL EQUIPO" dataDxfId="95"/>
    <tableColumn id="4" xr3:uid="{00000000-0010-0000-0600-000004000000}" name="SEVICIO EJECUTADO" dataDxfId="94" dataCellStyle="Normal"/>
    <tableColumn id="5" xr3:uid="{00000000-0010-0000-0600-000005000000}" name="OBSERVACIONES" dataDxfId="93"/>
    <tableColumn id="6" xr3:uid="{00000000-0010-0000-0600-000006000000}" name="COMPONENTES" dataDxfId="92"/>
    <tableColumn id="7" xr3:uid="{00000000-0010-0000-0600-000007000000}" name="RESPONSABLE" dataDxfId="91"/>
    <tableColumn id="8" xr3:uid="{00000000-0010-0000-0600-000008000000}" name="TIPO DE EQUIPO" dataDxfId="90"/>
    <tableColumn id="46" xr3:uid="{00000000-0010-0000-0600-00002E000000}" name="TIPO DE COMBUSTIBLE" dataDxfId="89"/>
    <tableColumn id="11" xr3:uid="{00000000-0010-0000-0600-00000B000000}" name="SERIE" dataDxfId="88"/>
    <tableColumn id="12" xr3:uid="{00000000-0010-0000-0600-00000C000000}" name="CODIGO PATRIMONIAL" dataDxfId="87"/>
    <tableColumn id="13" xr3:uid="{00000000-0010-0000-0600-00000D000000}" name="MARCA" dataDxfId="86"/>
    <tableColumn id="14" xr3:uid="{00000000-0010-0000-0600-00000E000000}" name="MODELO" dataDxfId="85"/>
    <tableColumn id="15" xr3:uid="{00000000-0010-0000-0600-00000F000000}" name="POTENCIA" dataDxfId="84"/>
    <tableColumn id="16" xr3:uid="{00000000-0010-0000-0600-000010000000}" name="VOLTAJE" dataDxfId="83"/>
    <tableColumn id="17" xr3:uid="{00000000-0010-0000-0600-000011000000}" name="HZ" dataDxfId="82"/>
    <tableColumn id="18" xr3:uid="{00000000-0010-0000-0600-000012000000}" name="HORAS" dataDxfId="81"/>
    <tableColumn id="19" xr3:uid="{00000000-0010-0000-0600-000013000000}" name="TIPO DE GOBERNACION" dataDxfId="80"/>
    <tableColumn id="20" xr3:uid="{00000000-0010-0000-0600-000014000000}" name="TIPO DE PANEL DE CONTROL" dataDxfId="79"/>
    <tableColumn id="21" xr3:uid="{00000000-0010-0000-0600-000015000000}" name="MARCA DE MOTOR" dataDxfId="78"/>
    <tableColumn id="22" xr3:uid="{00000000-0010-0000-0600-000016000000}" name="SERIE DE MOTOR" dataDxfId="77"/>
    <tableColumn id="23" xr3:uid="{00000000-0010-0000-0600-000017000000}" name="MARCA ALTERNADOR " dataDxfId="76"/>
    <tableColumn id="24" xr3:uid="{00000000-0010-0000-0600-000018000000}" name="SERIE DE ALTERNADOR" dataDxfId="75"/>
    <tableColumn id="25" xr3:uid="{00000000-0010-0000-0600-000019000000}" name="VOLTAJE DE BATERIA" dataDxfId="74"/>
    <tableColumn id="26" xr3:uid="{00000000-0010-0000-0600-00001A000000}" name="TEMPERATURA DE AGUA" dataDxfId="73"/>
    <tableColumn id="27" xr3:uid="{00000000-0010-0000-0600-00001B000000}" name="PRESION DE ACEITE" dataDxfId="72"/>
    <tableColumn id="28" xr3:uid="{00000000-0010-0000-0600-00001C000000}" name="ESTADO FINAL DEL EQUIPO" dataDxfId="71"/>
    <tableColumn id="32" xr3:uid="{00000000-0010-0000-0600-000020000000}" name="CONSTANCIA RECEPECION DEL SERVICIO" dataDxfId="70">
      <calculatedColumnFormula>CONCATENATE("REG-",BDEGENER[[#This Row],[FECHA DE SERVICIO]],"-",BDEGENER[[#This Row],[SERIE]],"-",BDEGENER[[#This Row],[HORAS]])</calculatedColumnFormula>
    </tableColumn>
    <tableColumn id="33" xr3:uid="{00000000-0010-0000-0600-000021000000}" name="GRUPO ELECTROGENO" dataDxfId="69">
      <calculatedColumnFormula>CONCATENATE("MARCA: ",BDEGENER[[#This Row],[MARCA]],"
 MODELO: ",BDEGENER[[#This Row],[MODELO]])</calculatedColumnFormula>
    </tableColumn>
    <tableColumn id="34" xr3:uid="{00000000-0010-0000-0600-000022000000}" name="MOTOR" dataDxfId="68">
      <calculatedColumnFormula>CONCATENATE("MARCA: ",BDEGENER[[#This Row],[MARCA DE MOTOR]],"
SERIE: ",BDEGENER[[#This Row],[SERIE DE MOTOR]])</calculatedColumnFormula>
    </tableColumn>
    <tableColumn id="35" xr3:uid="{00000000-0010-0000-0600-000023000000}" name="ALTERNADOR" dataDxfId="67">
      <calculatedColumnFormula>CONCATENATE("MARCA: ",BDEGENER[[#This Row],[MARCA ALTERNADOR ]],"
SERIE: ",BDEGENER[[#This Row],[SERIE DE ALTERNADOR]])</calculatedColumnFormula>
    </tableColumn>
    <tableColumn id="36" xr3:uid="{00000000-0010-0000-0600-000024000000}" name="INDICADORES DE MOTOR" dataDxfId="66">
      <calculatedColumnFormula>CONCATENATE("HORAS: ",BDEGENER[[#This Row],[HORAS]],"
KW-HR: ",BDEGENER[[#This Row],[KW-HORA]],"
VOLT.BATERIA: ",BDEGENER[[#This Row],[VOLTAJE DE BATERIA]],"
TEMPERATURA: ",BDEGENER[[#This Row],[TEMPERATURA DE AGUA]],"
PRES. ACEITE: ",BDEGENER[[#This Row],[PRESION DE ACEITE]])</calculatedColumnFormula>
    </tableColumn>
    <tableColumn id="47" xr3:uid="{00000000-0010-0000-0600-00002F000000}" name="N° DE  CORRECTIVOS" dataDxfId="65">
      <calculatedColumnFormula>COUNTIFS(Q7:Q2007,"MANTENIMIENTO CORRECTIVO",Y7:Y2007,BDEGENER[[#This Row],[SERIE]])</calculatedColumnFormula>
    </tableColumn>
    <tableColumn id="48" xr3:uid="{00000000-0010-0000-0600-000030000000}" name="N° DE PREVENTIVOS" dataDxfId="64">
      <calculatedColumnFormula>COUNTIFS(Q7:Q2007,"MANTENIMIENTO PREVENTIVO",Y7:Y2007,BDEGENER[[#This Row],[SERIE]])</calculatedColumnFormula>
    </tableColumn>
    <tableColumn id="49" xr3:uid="{00000000-0010-0000-0600-000031000000}" name="SERVICIO" dataDxfId="63">
      <calculatedColumnFormula>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calculatedColumnFormula>
    </tableColumn>
    <tableColumn id="52" xr3:uid="{00000000-0010-0000-0600-000034000000}" name="GA1" dataDxfId="62">
      <calculatedColumnFormula>COUNTIFS(BDEGENER[SERIE],BDEGENER[[#This Row],[SERIE]],BDEGENER[TIPO DE SERVICIO],"MANTENIMIENTO PREVENTIVO")</calculatedColumnFormula>
    </tableColumn>
    <tableColumn id="53" xr3:uid="{00000000-0010-0000-0600-000035000000}" name="GA2" dataDxfId="61">
      <calculatedColumnFormula>CONCATENATE("MANTENIMIENTO PREVENTIVO N°",BDEGENER[[#This Row],[GA1]])</calculatedColumnFormula>
    </tableColumn>
    <tableColumn id="54" xr3:uid="{00000000-0010-0000-0600-000036000000}" name="GA3" dataDxfId="60">
      <calculatedColumnFormula>IF(BDEGENER[[#This Row],[SERVICIO]]=BDEGENER[[#This Row],[GA2]],BDEGENER[[#This Row],[HORAS]],"0")</calculatedColumnFormula>
    </tableColumn>
    <tableColumn id="55" xr3:uid="{00000000-0010-0000-0600-000037000000}" name="GA4" dataDxfId="59">
      <calculatedColumnFormula>SUMIF(BDEGENER[SERIE],BDEGENER[[#This Row],[SERIE]],BDEGENER[GA3])</calculatedColumnFormula>
    </tableColumn>
    <tableColumn id="56" xr3:uid="{00000000-0010-0000-0600-000038000000}" name="GA5" dataDxfId="58">
      <calculatedColumnFormula>CONCATENATE("MANT",COUNTIF($Y$7:Y7,Y7))</calculatedColumnFormula>
    </tableColumn>
    <tableColumn id="50" xr3:uid="{00000000-0010-0000-0600-000032000000}" name="GA6" dataDxfId="57">
      <calculatedColumnFormula>CONCATENATE(BDEGENER[[#This Row],[SERIE]],BDEGENER[[#This Row],[GA5]])</calculatedColumnFormula>
    </tableColumn>
    <tableColumn id="51" xr3:uid="{00000000-0010-0000-0600-000033000000}" name="GA7" dataDxfId="56">
      <calculatedColumnFormula>CONCATENATE(BDEGENER[[#This Row],[CODIGO PATRIMONIAL]],BDEGENER[[#This Row],[GA5]])</calculatedColumnFormula>
    </tableColumn>
    <tableColumn id="57" xr3:uid="{00000000-0010-0000-0600-000039000000}" name="N° DE SERVICIOS" dataDxfId="55">
      <calculatedColumnFormula>COUNTIF(BDEGENER[SERIE],BDEGENER[[#This Row],[SERIE]])</calculatedColumnFormula>
    </tableColumn>
    <tableColumn id="58" xr3:uid="{00000000-0010-0000-0600-00003A000000}" name="N° DE REGISTROS DEL DIA" dataDxfId="54">
      <calculatedColumnFormula>CONCATENATE("F",COUNTIF($K$7:K7,K7))</calculatedColumnFormula>
    </tableColumn>
    <tableColumn id="59" xr3:uid="{00000000-0010-0000-0600-00003B000000}" name="GA8" dataDxfId="53">
      <calculatedColumnFormula>CONCATENATE(BDEGENER[[#This Row],[FECHA DE SERVICIO]],BDEGENER[[#This Row],[N° DE REGISTROS DEL DIA]])</calculatedColumnFormula>
    </tableColumn>
    <tableColumn id="60" xr3:uid="{00000000-0010-0000-0600-00003C000000}" name="KW-HORA" dataDxfId="52"/>
    <tableColumn id="61" xr3:uid="{00000000-0010-0000-0600-00003D000000}" name="PROPIETARIO" dataDxfId="51"/>
    <tableColumn id="62" xr3:uid="{00000000-0010-0000-0600-00003E000000}" name="CARGA" dataDxfId="5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TODEQUIPOS" displayName="TODEQUIPOS" ref="B4:M174" totalsRowShown="0" headerRowDxfId="47" headerRowBorderDxfId="46">
  <autoFilter ref="B4:M174" xr:uid="{00000000-0009-0000-0100-000005000000}"/>
  <sortState xmlns:xlrd2="http://schemas.microsoft.com/office/spreadsheetml/2017/richdata2" ref="B5:M171">
    <sortCondition descending="1" ref="G4:G171"/>
  </sortState>
  <tableColumns count="12">
    <tableColumn id="1" xr3:uid="{00000000-0010-0000-0700-000001000000}" name="N° DE SERIE" dataDxfId="45"/>
    <tableColumn id="2" xr3:uid="{00000000-0010-0000-0700-000002000000}" name="marca" dataDxfId="44">
      <calculatedColumnFormula>IFERROR(INDEX(BDEGENER[],MATCH(TODEQUIPOS[[#This Row],[N° DE SERIE]],BDEGENER[SERIE],0),26),"")</calculatedColumnFormula>
    </tableColumn>
    <tableColumn id="3" xr3:uid="{00000000-0010-0000-0700-000003000000}" name="modelo" dataDxfId="43">
      <calculatedColumnFormula>IFERROR(INDEX(BDEGENER[],MATCH(TODEQUIPOS[[#This Row],[N° DE SERIE]],BDEGENER[SERIE],0),27),"")</calculatedColumnFormula>
    </tableColumn>
    <tableColumn id="13" xr3:uid="{00000000-0010-0000-0700-00000D000000}" name="CLIENTE" dataDxfId="42">
      <calculatedColumnFormula>IFERROR(INDEX(BDEGENER[],MATCH(TODEQUIPOS[[#This Row],[N° DE SERIE]],BDEGENER[SERIE],0),11),"")</calculatedColumnFormula>
    </tableColumn>
    <tableColumn id="14" xr3:uid="{00000000-0010-0000-0700-00000E000000}" name="SEDE" dataDxfId="41">
      <calculatedColumnFormula>IFERROR(INDEX(BDEGENER[],MATCH(TODEQUIPOS[[#This Row],[N° DE SERIE]],BDEGENER[SERIE],0),12),"")</calculatedColumnFormula>
    </tableColumn>
    <tableColumn id="4" xr3:uid="{00000000-0010-0000-0700-000004000000}" name="FECHA DE ULTIMO SERVICIO" dataDxfId="40">
      <calculatedColumnFormula>IFERROR(INDEX(BDEGENER[],MATCH(TODEQUIPOS[[#This Row],[N° DE SERIE]],BDEGENER[SERIE],0),10),"")</calculatedColumnFormula>
    </tableColumn>
    <tableColumn id="5" xr3:uid="{00000000-0010-0000-0700-000005000000}" name="HR DELULTIMO SERVICIO" dataDxfId="39">
      <calculatedColumnFormula>IFERROR(INDEX(BDEGENER[],MATCH(TODEQUIPOS[[#This Row],[N° DE SERIE]],BDEGENER[SERIE],0),31),"")</calculatedColumnFormula>
    </tableColumn>
    <tableColumn id="8" xr3:uid="{00000000-0010-0000-0700-000008000000}" name="N° DE CORRECTIVOS" dataDxfId="38">
      <calculatedColumnFormula>IFERROR(INDEX(BDEGENER[],MATCH(TODEQUIPOS[[#This Row],[N° DE SERIE]],BDEGENER[SERIE],0),47),"")</calculatedColumnFormula>
    </tableColumn>
    <tableColumn id="9" xr3:uid="{00000000-0010-0000-0700-000009000000}" name="N° DE PREVENTIVOS" dataDxfId="37">
      <calculatedColumnFormula>IFERROR(INDEX(BDEGENER[],MATCH(TODEQUIPOS[[#This Row],[N° DE SERIE]],BDEGENER[SERIE],0),48),"")</calculatedColumnFormula>
    </tableColumn>
    <tableColumn id="10" xr3:uid="{00000000-0010-0000-0700-00000A000000}" name="N° DE SERVICIOS" dataDxfId="36">
      <calculatedColumnFormula>IFERROR(INDEX(BDEGENER[],MATCH(TODEQUIPOS[[#This Row],[N° DE SERIE]],BDEGENER[SERIE],0),57),"")</calculatedColumnFormula>
    </tableColumn>
    <tableColumn id="11" xr3:uid="{00000000-0010-0000-0700-00000B000000}" name="ESTADO" dataDxfId="35">
      <calculatedColumnFormula>IF(TODEQUIPOS[[#This Row],[CONTADOR]]=1,"UNICO","DUPLICADO")</calculatedColumnFormula>
    </tableColumn>
    <tableColumn id="12" xr3:uid="{00000000-0010-0000-0700-00000C000000}" name="CONTADOR" dataDxfId="34">
      <calculatedColumnFormula>COUNTIF(TODEQUIPOS[N° DE SERIE],TODEQUIPOS[[#This Row],[N° DE SERIE]])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REPORTEFALLAS" displayName="REPORTEFALLAS" ref="B3:J227" totalsRowShown="0" headerRowDxfId="33" dataDxfId="31" headerRowBorderDxfId="32" tableBorderDxfId="30" totalsRowBorderDxfId="29">
  <autoFilter ref="B3:J227" xr:uid="{00000000-0009-0000-0100-000006000000}"/>
  <sortState xmlns:xlrd2="http://schemas.microsoft.com/office/spreadsheetml/2017/richdata2" ref="B4:J223">
    <sortCondition descending="1" ref="F3:F223"/>
  </sortState>
  <tableColumns count="9">
    <tableColumn id="1" xr3:uid="{00000000-0010-0000-0800-000001000000}" name="N°SERIE" dataDxfId="28"/>
    <tableColumn id="2" xr3:uid="{00000000-0010-0000-0800-000002000000}" name="FECHA DE FALLA" dataDxfId="27"/>
    <tableColumn id="3" xr3:uid="{00000000-0010-0000-0800-000003000000}" name="TIPO DE FALLA" dataDxfId="26"/>
    <tableColumn id="9" xr3:uid="{00000000-0010-0000-0800-000009000000}" name="QUE SE ENCONTRO" dataDxfId="25"/>
    <tableColumn id="4" xr3:uid="{00000000-0010-0000-0800-000004000000}" name="FECHA DE REPARACION" dataDxfId="24"/>
    <tableColumn id="5" xr3:uid="{00000000-0010-0000-0800-000005000000}" name="PARTES USADAS" dataDxfId="23"/>
    <tableColumn id="6" xr3:uid="{00000000-0010-0000-0800-000006000000}" name="HORA DE FALLO DEL GRUPO" dataDxfId="22"/>
    <tableColumn id="8" xr3:uid="{00000000-0010-0000-0800-000008000000}" name="N° DE FALLOS DEL G.E." dataDxfId="21">
      <calculatedColumnFormula>CONCATENATE("FALLA N°",REPORTEFALLAS[[#This Row],[CONTADOR]])</calculatedColumnFormula>
    </tableColumn>
    <tableColumn id="7" xr3:uid="{00000000-0010-0000-0800-000007000000}" name="CONTADOR" dataDxfId="20">
      <calculatedColumnFormula>COUNTIF(B4:B2000,REPORTEFALLAS[[#This Row],[N°SERIE]])</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9000000}" name="FILTROS" displayName="FILTROS" ref="B3:P21" totalsRowShown="0" headerRowDxfId="19" dataDxfId="17" headerRowBorderDxfId="18" tableBorderDxfId="16" totalsRowBorderDxfId="15">
  <autoFilter ref="B3:P21" xr:uid="{00000000-0009-0000-0100-000009000000}"/>
  <tableColumns count="15">
    <tableColumn id="1" xr3:uid="{00000000-0010-0000-0900-000001000000}" name="MODELO G.E" dataDxfId="14"/>
    <tableColumn id="2" xr3:uid="{00000000-0010-0000-0900-000002000000}" name="MARCA.G.E" dataDxfId="13"/>
    <tableColumn id="3" xr3:uid="{00000000-0010-0000-0900-000003000000}" name="MODELO MOTOR" dataDxfId="12"/>
    <tableColumn id="4" xr3:uid="{00000000-0010-0000-0900-000004000000}" name="MARCA DE MOTOR" dataDxfId="11"/>
    <tableColumn id="5" xr3:uid="{00000000-0010-0000-0900-000005000000}" name="MARCA DE GENERADOR" dataDxfId="10"/>
    <tableColumn id="6" xr3:uid="{00000000-0010-0000-0900-000006000000}" name="MODELO DE ALTERNADOR" dataDxfId="9"/>
    <tableColumn id="7" xr3:uid="{00000000-0010-0000-0900-000007000000}" name="ACEITE " dataDxfId="8"/>
    <tableColumn id="8" xr3:uid="{00000000-0010-0000-0900-000008000000}" name="CANTIDAD DE ACEITE" dataDxfId="7"/>
    <tableColumn id="9" xr3:uid="{00000000-0010-0000-0900-000009000000}" name="CANTIDAD REFRIGERANTE" dataDxfId="6"/>
    <tableColumn id="10" xr3:uid="{00000000-0010-0000-0900-00000A000000}" name="FILTRO DE ACEITE" dataDxfId="5"/>
    <tableColumn id="11" xr3:uid="{00000000-0010-0000-0900-00000B000000}" name="FILTRO DE AIRE" dataDxfId="4"/>
    <tableColumn id="12" xr3:uid="{00000000-0010-0000-0900-00000C000000}" name="FILTRO DE DIESEL" dataDxfId="3"/>
    <tableColumn id="13" xr3:uid="{00000000-0010-0000-0900-00000D000000}" name="FILTRO SEPARADOR" dataDxfId="2"/>
    <tableColumn id="14" xr3:uid="{00000000-0010-0000-0900-00000E000000}" name="COMBUSTIBLE" dataDxfId="1"/>
    <tableColumn id="15" xr3:uid="{00000000-0010-0000-0900-00000F000000}" name="FAJA"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19.xml"/><Relationship Id="rId7" Type="http://schemas.openxmlformats.org/officeDocument/2006/relationships/table" Target="../tables/table2.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table" Target="../tables/table4.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31.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6.xml.rels><?xml version="1.0" encoding="UTF-8" standalone="yes"?>
<Relationships xmlns="http://schemas.openxmlformats.org/package/2006/relationships"><Relationship Id="rId21" Type="http://schemas.openxmlformats.org/officeDocument/2006/relationships/hyperlink" Target="ACTAS%20DE%20CONFORMIDAD\AC-2019\08-2019\01-08-2019\REG-43678-3004555912-54.5.pdf" TargetMode="External"/><Relationship Id="rId170" Type="http://schemas.openxmlformats.org/officeDocument/2006/relationships/hyperlink" Target="ACTAS%20DE%20CONFORMIDAD\AC-2019\10-2019\15-10-2019\REG-43753-3004337388-60.5.pdf" TargetMode="External"/><Relationship Id="rId268" Type="http://schemas.openxmlformats.org/officeDocument/2006/relationships/hyperlink" Target="GUIAS%20DE%20REMISION-REMITENTE\GUIA%20R-R%202020\FEBRERO-2020\0003-001208.pdf" TargetMode="External"/><Relationship Id="rId475" Type="http://schemas.openxmlformats.org/officeDocument/2006/relationships/hyperlink" Target="ACTAS%20DE%20CONFORMIDAD\AC-2020\06-2020\02-06-2020\REG-43984-3004331708-1417.7.pdf" TargetMode="External"/><Relationship Id="rId682" Type="http://schemas.openxmlformats.org/officeDocument/2006/relationships/hyperlink" Target="GUIAS%20DE%20REMISION-REMITENTE\GUIA%20R-R%202020\AGOSTO-2020\0003-001368.pdf" TargetMode="External"/><Relationship Id="rId128" Type="http://schemas.openxmlformats.org/officeDocument/2006/relationships/hyperlink" Target="ACTAS%20DE%20CONFORMIDAD\AC-2019\11-2019\22-11-2019\REG-43791-3004331705-639.7.pdf" TargetMode="External"/><Relationship Id="rId335" Type="http://schemas.openxmlformats.org/officeDocument/2006/relationships/hyperlink" Target="ACTAS%20DE%20CONFORMIDAD\AC-2020\02-2020\25-02-2020\REG-43886-3003953458-927.pdf" TargetMode="External"/><Relationship Id="rId542" Type="http://schemas.openxmlformats.org/officeDocument/2006/relationships/hyperlink" Target="GUIAS%20DE%20REMISION-REMITENTE\GUIA%20R-R%202020\JUNIO-2020\0003-001274.pdf" TargetMode="External"/><Relationship Id="rId987" Type="http://schemas.openxmlformats.org/officeDocument/2006/relationships/hyperlink" Target="ACTAS%20DE%20CONFORMIDAD\AC-2020\12-2020\03-12-2020\REG-44168-3004416581-1659.1.pdf" TargetMode="External"/><Relationship Id="rId402" Type="http://schemas.openxmlformats.org/officeDocument/2006/relationships/hyperlink" Target="ACTAS%20DE%20CONFORMIDAD\AC-2020\04-2020\08-04-2020\REG-43929-3004418791-1565.4.pdf" TargetMode="External"/><Relationship Id="rId847" Type="http://schemas.openxmlformats.org/officeDocument/2006/relationships/hyperlink" Target="ACTAS%20DE%20CONFORMIDAD\AC-2020\09-2020\28-09-2020\REG-44102-3005167425-1544.6.pdf" TargetMode="External"/><Relationship Id="rId1032" Type="http://schemas.openxmlformats.org/officeDocument/2006/relationships/hyperlink" Target="ACTAS%20DE%20CONFORMIDAD\AC-2020\12-2020\14-12-2020\REG-44179-3004337427-1835.7.pdf" TargetMode="External"/><Relationship Id="rId707" Type="http://schemas.openxmlformats.org/officeDocument/2006/relationships/hyperlink" Target="ACTAS%20DE%20CONFORMIDAD\AC-2020\07-2020\09-07-2020\REG-44021-3004370195-2614.pdf" TargetMode="External"/><Relationship Id="rId914" Type="http://schemas.openxmlformats.org/officeDocument/2006/relationships/hyperlink" Target="ACTAS%20DE%20CONFORMIDAD\AC-2020\10-2020\22-10-2020\REG-44126-3004327723-2080.4.pdf" TargetMode="External"/><Relationship Id="rId43" Type="http://schemas.openxmlformats.org/officeDocument/2006/relationships/hyperlink" Target="ACTAS%20DE%20CONFORMIDAD\AC-2020\01-2020\13-01-2020\REG-43843-3004336198-920.4.pdf" TargetMode="External"/><Relationship Id="rId192" Type="http://schemas.openxmlformats.org/officeDocument/2006/relationships/hyperlink" Target="ACTAS%20DE%20CONFORMIDAD\AC-2019\09-2019\05-09-2019\REG-43713-7965980-5769.4.pdf" TargetMode="External"/><Relationship Id="rId497" Type="http://schemas.openxmlformats.org/officeDocument/2006/relationships/hyperlink" Target="ACTAS%20DE%20CONFORMIDAD\AC-2020\06-2020\05-06-2020\REG-43987-3003940357-3736.1.pdf" TargetMode="External"/><Relationship Id="rId357" Type="http://schemas.openxmlformats.org/officeDocument/2006/relationships/hyperlink" Target="ACTAS%20DE%20CONFORMIDAD\AC-2020\04-2020\16-04-2020\REG-43937-3002933964-0.46.pdf" TargetMode="External"/><Relationship Id="rId217" Type="http://schemas.openxmlformats.org/officeDocument/2006/relationships/hyperlink" Target="ACTAS%20DE%20CONFORMIDAD\AC-2019\04-2019\05-04-2019\REG-43560-8893263-58.9.pdf" TargetMode="External"/><Relationship Id="rId564" Type="http://schemas.openxmlformats.org/officeDocument/2006/relationships/hyperlink" Target="ACTAS%20DE%20CONFORMIDAD\AC-2020\06-2020\26-06-2020\REG-44008-3003987064-4043.9.pdf" TargetMode="External"/><Relationship Id="rId771" Type="http://schemas.openxmlformats.org/officeDocument/2006/relationships/hyperlink" Target="GUIAS%20DE%20REMISION-REMITENTE\GUIA%20R-R%202020\SEPTIEMBRE-2020\0003-001501.pdf" TargetMode="External"/><Relationship Id="rId869" Type="http://schemas.openxmlformats.org/officeDocument/2006/relationships/hyperlink" Target="ACTAS%20DE%20CONFORMIDAD\AC-2020\07-2020\25-07-2020\REG-44037-3004290365-1843.3.pdf" TargetMode="External"/><Relationship Id="rId424" Type="http://schemas.openxmlformats.org/officeDocument/2006/relationships/hyperlink" Target="ACTAS%20DE%20CONFORMIDAD\AC-2020\05-2020\13-05-2020\REG-43964-3004327721-1555.2.pdf" TargetMode="External"/><Relationship Id="rId631" Type="http://schemas.openxmlformats.org/officeDocument/2006/relationships/hyperlink" Target="GUIAS%20DE%20REMISION-REMITENTE\GUIA%20R-R%202020\AGOSTO-2020\0003-001366.pdf" TargetMode="External"/><Relationship Id="rId729" Type="http://schemas.openxmlformats.org/officeDocument/2006/relationships/hyperlink" Target="GUIAS%20DE%20REMISION-REMITENTE\GUIA%20R-R%202020\SEPTIEMBRE-2020\0003-001381.pdf" TargetMode="External"/><Relationship Id="rId1054" Type="http://schemas.openxmlformats.org/officeDocument/2006/relationships/hyperlink" Target="https://onedrive.live.com/?cid=8C5B46544A563DC7&amp;id=8C5B46544A563DC7%218581&amp;parId=8C5B46544A563DC7%217817&amp;o=OneUp" TargetMode="External"/><Relationship Id="rId936" Type="http://schemas.openxmlformats.org/officeDocument/2006/relationships/hyperlink" Target="ACTAS%20DE%20CONFORMIDAD\AC-2020\11-2020\03-11-2020\REG-44138-3004337430-596.6.pdf" TargetMode="External"/><Relationship Id="rId65" Type="http://schemas.openxmlformats.org/officeDocument/2006/relationships/hyperlink" Target="ACTAS%20DE%20CONFORMIDAD\AC-2020\01-2020\03-01-2020\REG-43833-3004290366-778.1.pdf" TargetMode="External"/><Relationship Id="rId228" Type="http://schemas.openxmlformats.org/officeDocument/2006/relationships/hyperlink" Target="ACTAS%20DE%20CONFORMIDAD\AC-2020\01-2020\27-01-2020\REG-43857-3004331708-973.pdf" TargetMode="External"/><Relationship Id="rId435" Type="http://schemas.openxmlformats.org/officeDocument/2006/relationships/hyperlink" Target="ACTAS%20DE%20CONFORMIDAD\AC-2019\04-2019\23-04-2019\REG-43578-123231-0306-357.1.pdf" TargetMode="External"/><Relationship Id="rId642" Type="http://schemas.openxmlformats.org/officeDocument/2006/relationships/hyperlink" Target="ACTAS%20DE%20CONFORMIDAD\AC-2020\08-2020\19-08-2020\REG-44062-3004336198-2000.2.pdf" TargetMode="External"/><Relationship Id="rId1065" Type="http://schemas.openxmlformats.org/officeDocument/2006/relationships/hyperlink" Target="https://onedrive.live.com/?cid=8C5B46544A563DC7&amp;id=8C5B46544A563DC7%218625&amp;parId=8C5B46544A563DC7%217852&amp;o=OneUp" TargetMode="External"/><Relationship Id="rId281" Type="http://schemas.openxmlformats.org/officeDocument/2006/relationships/hyperlink" Target="ACTAS%20DE%20CONFORMIDAD\AC-2020\02-2020\24-02-2020\REG-43885-3004227749-641.1.pdf" TargetMode="External"/><Relationship Id="rId502" Type="http://schemas.openxmlformats.org/officeDocument/2006/relationships/hyperlink" Target="ACTAS%20DE%20CONFORMIDAD\AC-2020\06-2020\09-06-2020\REG-43991-3004327724-1555.3.pdf" TargetMode="External"/><Relationship Id="rId947" Type="http://schemas.openxmlformats.org/officeDocument/2006/relationships/hyperlink" Target="GUIAS%20DE%20REMISION-REMITENTE\GUIA%20R-R%202020\NOVIEMBRE-2020\0003-001460.pdf" TargetMode="External"/><Relationship Id="rId76" Type="http://schemas.openxmlformats.org/officeDocument/2006/relationships/hyperlink" Target="GUIAS%20DE%20REMISION-REMITENTE\GUIA%20R-R%202020\ENERO-%202020\0003-001186.pdf" TargetMode="External"/><Relationship Id="rId141" Type="http://schemas.openxmlformats.org/officeDocument/2006/relationships/hyperlink" Target="ACTAS%20DE%20CONFORMIDAD\AC-2019\11-2019\18-11-2019\REG-43787-3004337429-127.5.pdf" TargetMode="External"/><Relationship Id="rId379" Type="http://schemas.openxmlformats.org/officeDocument/2006/relationships/hyperlink" Target="ACTAS%20DE%20CONFORMIDAD\AC-2020\04-2020\21-04-2020\REG-43942-3004418790-1271.pdf" TargetMode="External"/><Relationship Id="rId586" Type="http://schemas.openxmlformats.org/officeDocument/2006/relationships/hyperlink" Target="GUIAS%20DE%20REMISION-REMITENTE\GUIA%20R-R%202020\JUNIO-2020\0003-001281.pdf" TargetMode="External"/><Relationship Id="rId793" Type="http://schemas.openxmlformats.org/officeDocument/2006/relationships/hyperlink" Target="ACTAS%20DE%20CONFORMIDAD\AC-2020\09-2020\21-09-2020\REG-44095-3005005007-2333.3.pdf" TargetMode="External"/><Relationship Id="rId807" Type="http://schemas.openxmlformats.org/officeDocument/2006/relationships/hyperlink" Target="ACTAS%20DE%20CONFORMIDAD\AC-2020\06-2020\05-06-2020\REG-43987-3004290369-818.2.pdf" TargetMode="External"/><Relationship Id="rId7" Type="http://schemas.openxmlformats.org/officeDocument/2006/relationships/hyperlink" Target="../../../Fanny%20PC%2001/AppData/Roaming/Microsoft/Excel/ACTAS%20DE%20CONFORMIDAD/AC-2019/10-2019/18-10-2019/REG-43756-3004370193-1022.pdf" TargetMode="External"/><Relationship Id="rId239" Type="http://schemas.openxmlformats.org/officeDocument/2006/relationships/hyperlink" Target="ACTAS%20DE%20CONFORMIDAD\AC-2020\02-2020\18-02-2020\REG-43879-3004336197-710.9.pdf" TargetMode="External"/><Relationship Id="rId446" Type="http://schemas.openxmlformats.org/officeDocument/2006/relationships/hyperlink" Target="ACTAS%20DE%20CONFORMIDAD\AC-2020\03-2020\28-03-2020\REG-43918-3004337428-323.4.pdf" TargetMode="External"/><Relationship Id="rId653" Type="http://schemas.openxmlformats.org/officeDocument/2006/relationships/hyperlink" Target="ACTAS%20DE%20CONFORMIDAD\AC-2020\08-2020\27-08-2020\REG-44070-3003962766-3480.2.pdf" TargetMode="External"/><Relationship Id="rId1076" Type="http://schemas.openxmlformats.org/officeDocument/2006/relationships/hyperlink" Target="https://onedrive.live.com/?cid=8C5B46544A563DC7&amp;id=8C5B46544A563DC7%218809&amp;parId=8C5B46544A563DC7%218658&amp;o=OneUp" TargetMode="External"/><Relationship Id="rId292" Type="http://schemas.openxmlformats.org/officeDocument/2006/relationships/hyperlink" Target="ACTAS%20DE%20CONFORMIDAD\AC-2020\03-2020\09-03-2020\REG-43899-3004402508-481.pdf" TargetMode="External"/><Relationship Id="rId306" Type="http://schemas.openxmlformats.org/officeDocument/2006/relationships/hyperlink" Target="ACTAS%20DE%20CONFORMIDAD\AC-2020\03-2020\11-03-2020\REG-43901-362973-1-1-0813-116.48.pdf" TargetMode="External"/><Relationship Id="rId860" Type="http://schemas.openxmlformats.org/officeDocument/2006/relationships/hyperlink" Target="ACTAS%20DE%20CONFORMIDAD\AC-2020\05-2020\05-05-2020\REG-43956-3004256777-927.9.pdf" TargetMode="External"/><Relationship Id="rId958" Type="http://schemas.openxmlformats.org/officeDocument/2006/relationships/hyperlink" Target="ACTAS%20DE%20CONFORMIDAD\AC-2020\09-2020\18-09-2020\REG-44092-3004214491-2114.7.pdf" TargetMode="External"/><Relationship Id="rId87" Type="http://schemas.openxmlformats.org/officeDocument/2006/relationships/hyperlink" Target="GUIAS%20DE%20REMISION-REMITENTE\GUIA%20R-R%202020\ENERO-%202020\0003-001157.pdf" TargetMode="External"/><Relationship Id="rId513" Type="http://schemas.openxmlformats.org/officeDocument/2006/relationships/hyperlink" Target="ACTAS%20DE%20CONFORMIDAD\AC-2020\06-2020\08-06-2020\REG-43990-3003932245-4698.2.pdf" TargetMode="External"/><Relationship Id="rId597" Type="http://schemas.openxmlformats.org/officeDocument/2006/relationships/hyperlink" Target="ACTAS%20DE%20CONFORMIDAD\AC-2020\08-2020\12-08-2020\REG-44055-3004416580-2723.5.pdf" TargetMode="External"/><Relationship Id="rId720" Type="http://schemas.openxmlformats.org/officeDocument/2006/relationships/hyperlink" Target="GUIAS%20DE%20REMISION-REMITENTE\GUIA%20R-R%202020\AGOSTO-2020\0003-001333.pdf" TargetMode="External"/><Relationship Id="rId818" Type="http://schemas.openxmlformats.org/officeDocument/2006/relationships/hyperlink" Target="GUIAS%20DE%20REMISION-REMITENTE\GUIA%20R-R%202020\MAYO-2020\0003-001402.pdf" TargetMode="External"/><Relationship Id="rId152" Type="http://schemas.openxmlformats.org/officeDocument/2006/relationships/hyperlink" Target="ACTAS%20DE%20CONFORMIDAD\AC-2020\02-2020\03-02-2020\REG-43864-3004214491-470.3.pdf" TargetMode="External"/><Relationship Id="rId457" Type="http://schemas.openxmlformats.org/officeDocument/2006/relationships/hyperlink" Target="ACTAS%20DE%20CONFORMIDAD\AC-2020\03-2020\27-03-2020\REG-43917-3004327725-808.5.pdf" TargetMode="External"/><Relationship Id="rId1003" Type="http://schemas.openxmlformats.org/officeDocument/2006/relationships/hyperlink" Target="GUIAS%20DE%20REMISION-REMITENTE\GUIA%20R-R%202020\NOVIEMBRE-2020\T001-00000090.pdf" TargetMode="External"/><Relationship Id="rId664" Type="http://schemas.openxmlformats.org/officeDocument/2006/relationships/hyperlink" Target="ACTAS%20DE%20CONFORMIDAD\AC-2020\08-2020\12-08-2020\REG-44055-3003566701-5063.7.pdf" TargetMode="External"/><Relationship Id="rId871" Type="http://schemas.openxmlformats.org/officeDocument/2006/relationships/hyperlink" Target="ACTAS%20DE%20CONFORMIDAD\AC-2020\08-2020\19-08-2020\REG-44062-3004327725-1607.4.pdf" TargetMode="External"/><Relationship Id="rId969" Type="http://schemas.openxmlformats.org/officeDocument/2006/relationships/hyperlink" Target="ACTAS%20DE%20CONFORMIDAD\AC-2020\11-2020\11-11-2020\REG-44146-3003962766-4219.8.pdf" TargetMode="External"/><Relationship Id="rId14" Type="http://schemas.openxmlformats.org/officeDocument/2006/relationships/hyperlink" Target="../../../Fanny%20PC%2001/AppData/Roaming/Microsoft/Excel/ACTAS%20DE%20CONFORMIDAD/AC-2019/10-2019/02-10-2019/REG-43740-3004370193-NR.pdf" TargetMode="External"/><Relationship Id="rId317" Type="http://schemas.openxmlformats.org/officeDocument/2006/relationships/hyperlink" Target="GUIAS%20DE%20REMISION-REMITENTE\GUIA%20R-R%202020\MARZO-2020\0003-001078.pdf" TargetMode="External"/><Relationship Id="rId524" Type="http://schemas.openxmlformats.org/officeDocument/2006/relationships/hyperlink" Target="ACTAS%20DE%20CONFORMIDAD\AC-2020\06-2020\12-06-2020\REG-43994-B5524F-001-186.7.pdf" TargetMode="External"/><Relationship Id="rId731" Type="http://schemas.openxmlformats.org/officeDocument/2006/relationships/hyperlink" Target="GUIAS%20DE%20REMISION-REMITENTE\GUIA%20R-R%202020\SEPTIEMBRE-2020\0003-001383.pdf" TargetMode="External"/><Relationship Id="rId98" Type="http://schemas.openxmlformats.org/officeDocument/2006/relationships/hyperlink" Target="GUIAS%20DE%20REMISION-REMITENTE\GUIA%20R-R%202020\ENERO-%202020\0003-001196.pdf" TargetMode="External"/><Relationship Id="rId163" Type="http://schemas.openxmlformats.org/officeDocument/2006/relationships/hyperlink" Target="ACTAS%20DE%20CONFORMIDAD\AC-2019\10-2019\21-10-2019\REG-43759-3004327722-245.6.pdf" TargetMode="External"/><Relationship Id="rId370" Type="http://schemas.openxmlformats.org/officeDocument/2006/relationships/hyperlink" Target="ACTAS%20DE%20CONFORMIDAD\AC-2020\04-2020\21-04-2020\REG-43942-3004337428-568.5.pdf" TargetMode="External"/><Relationship Id="rId829" Type="http://schemas.openxmlformats.org/officeDocument/2006/relationships/hyperlink" Target="GUIAS%20DE%20REMISION-REMITENTE\GUIA%20R-R%202020\SEPTIEMBRE-2020\0003-001532.pdf" TargetMode="External"/><Relationship Id="rId1014" Type="http://schemas.openxmlformats.org/officeDocument/2006/relationships/hyperlink" Target="GUIAS%20DE%20REMISION-REMITENTE\GUIA%20R-R%202020\DICIEMBRE-2020\T001-00000126.pdf" TargetMode="External"/><Relationship Id="rId230" Type="http://schemas.openxmlformats.org/officeDocument/2006/relationships/hyperlink" Target="ACTAS%20DE%20CONFORMIDAD\AC-2020\02-2020\18-02-2020\REG-43879-3004999911-833.3.pdf" TargetMode="External"/><Relationship Id="rId468" Type="http://schemas.openxmlformats.org/officeDocument/2006/relationships/hyperlink" Target="ACTAS%20DE%20CONFORMIDAD\AC-2020\03-2020\31-03-2020\REG-43921-3004344014-1045.4.pdf" TargetMode="External"/><Relationship Id="rId675" Type="http://schemas.openxmlformats.org/officeDocument/2006/relationships/hyperlink" Target="GUIAS%20DE%20REMISION-REMITENTE\GUIA%20R-R%202020\JULIO-2020\0003-001311.pdf" TargetMode="External"/><Relationship Id="rId882" Type="http://schemas.openxmlformats.org/officeDocument/2006/relationships/hyperlink" Target="GUIAS%20DE%20REMISION-REMITENTE\GUIA%20R-R%202020\OCTUBRE-2020\T001-00000013.pdf" TargetMode="External"/><Relationship Id="rId25" Type="http://schemas.openxmlformats.org/officeDocument/2006/relationships/hyperlink" Target="ACTAS%20DE%20CONFORMIDAD\AC-2019\08-2019\10-08-2019\REG-43687-PEE2628355-59.6.pdf" TargetMode="External"/><Relationship Id="rId328" Type="http://schemas.openxmlformats.org/officeDocument/2006/relationships/hyperlink" Target="GUIAS%20DE%20REMISION-REMITENTE\GUIA%20R-R%202020\MARZO-2020\0003-001224.pdf" TargetMode="External"/><Relationship Id="rId535" Type="http://schemas.openxmlformats.org/officeDocument/2006/relationships/hyperlink" Target="ACTAS%20DE%20CONFORMIDAD\AC-2020\06-2020\12-06-2020\REG-43994-BANBIF0025389-169.1.pdf" TargetMode="External"/><Relationship Id="rId742" Type="http://schemas.openxmlformats.org/officeDocument/2006/relationships/hyperlink" Target="ACTAS%20DE%20CONFORMIDAD\AC-2020\07-2020\31-07-2020\REG-44043-3003566699-6106.9.pdf" TargetMode="External"/><Relationship Id="rId174" Type="http://schemas.openxmlformats.org/officeDocument/2006/relationships/hyperlink" Target="ACTAS%20DE%20CONFORMIDAD\AC-2019\09-2019\16-09-2019\REG-43724-3004416581-0.5.pdf" TargetMode="External"/><Relationship Id="rId381" Type="http://schemas.openxmlformats.org/officeDocument/2006/relationships/hyperlink" Target="ACTAS%20DE%20CONFORMIDAD\AC-2020\04-2020\21-04-2020\REG-43942-3004218547-1085.8.pdf" TargetMode="External"/><Relationship Id="rId602" Type="http://schemas.openxmlformats.org/officeDocument/2006/relationships/hyperlink" Target="ACTAS%20DE%20CONFORMIDAD\AC-2020\08-2020\08-08-2020\REG-44051-3004327723-1785.7.pdf" TargetMode="External"/><Relationship Id="rId1025" Type="http://schemas.openxmlformats.org/officeDocument/2006/relationships/hyperlink" Target="GUIAS%20DE%20REMISION-REMITENTE\GUIA%20R-R%202020\DICIEMBRE-2020\T001-00000127.pdf" TargetMode="External"/><Relationship Id="rId241" Type="http://schemas.openxmlformats.org/officeDocument/2006/relationships/hyperlink" Target="ACTAS%20DE%20CONFORMIDAD\AC-2020\02-2020\18-02-2020\REG-43879-3004337429-760.9.pdf" TargetMode="External"/><Relationship Id="rId479" Type="http://schemas.openxmlformats.org/officeDocument/2006/relationships/hyperlink" Target="ACTAS%20DE%20CONFORMIDAD\AC-2020\05-2020\21-05-2020\REG-43972-S-X095140-60.42.pdf" TargetMode="External"/><Relationship Id="rId686" Type="http://schemas.openxmlformats.org/officeDocument/2006/relationships/hyperlink" Target="ACTAS%20DE%20CONFORMIDAD\AC-2020\07-2020\13-07-2020\REG-44025-PEE2626871-482.3.pdf" TargetMode="External"/><Relationship Id="rId893" Type="http://schemas.openxmlformats.org/officeDocument/2006/relationships/hyperlink" Target="ACTAS%20DE%20CONFORMIDAD\AC-2020\10-2020\24-10-2020\REG-44128-3004290369-1869.9.pdf" TargetMode="External"/><Relationship Id="rId907" Type="http://schemas.openxmlformats.org/officeDocument/2006/relationships/hyperlink" Target="ACTAS%20DE%20CONFORMIDAD\AC-2020\10-2020\21-10-2020\REG-44125-3005786151-376.51.pdf" TargetMode="External"/><Relationship Id="rId36" Type="http://schemas.openxmlformats.org/officeDocument/2006/relationships/hyperlink" Target="ACTAS%20DE%20CONFORMIDAD\AC-2020\01-2020\17-01-2020\REG-43847-3004337427-531.5.pdf" TargetMode="External"/><Relationship Id="rId339" Type="http://schemas.openxmlformats.org/officeDocument/2006/relationships/hyperlink" Target="GUIAS%20DE%20REMISION-REMITENTE\GUIA%20R-R%202020\MARZO-2020\0003-001227.pdf" TargetMode="External"/><Relationship Id="rId546" Type="http://schemas.openxmlformats.org/officeDocument/2006/relationships/hyperlink" Target="GUIAS%20DE%20REMISION-REMITENTE\GUIA%20R-R%202020\JUNIO-2020\0003-001275.pdf" TargetMode="External"/><Relationship Id="rId753" Type="http://schemas.openxmlformats.org/officeDocument/2006/relationships/hyperlink" Target="ACTAS%20DE%20CONFORMIDAD\AC-2020\09-2020\09-09-2020\REG-44083-3005786151-50.42.pdf" TargetMode="External"/><Relationship Id="rId101" Type="http://schemas.openxmlformats.org/officeDocument/2006/relationships/hyperlink" Target="ACTAS%20DE%20CONFORMIDAD\AC-2019\12-2019\11-12-2019\REG-43810-3004331709-850.pdf" TargetMode="External"/><Relationship Id="rId185" Type="http://schemas.openxmlformats.org/officeDocument/2006/relationships/hyperlink" Target="ACTAS%20DE%20CONFORMIDAD\AC-2019\09-2019\07-09-2019\REG-43715-3004402507-1.2.pdf" TargetMode="External"/><Relationship Id="rId406" Type="http://schemas.openxmlformats.org/officeDocument/2006/relationships/hyperlink" Target="ACTAS%20DE%20CONFORMIDAD\AC-2020\04-2020\11-04-2020\REG-43932-3004227749-1069.pdf" TargetMode="External"/><Relationship Id="rId960" Type="http://schemas.openxmlformats.org/officeDocument/2006/relationships/hyperlink" Target="ACTAS%20DE%20CONFORMIDAD\AC-2020\11-2020\05-11-2020\REG-44140-3003566699-7576.8.pdf" TargetMode="External"/><Relationship Id="rId1036" Type="http://schemas.openxmlformats.org/officeDocument/2006/relationships/hyperlink" Target="ACTAS%20DE%20CONFORMIDAD\AC-2020\12-2020\21-12-2020\REG-44186-3004381438-3227.9.pdf" TargetMode="External"/><Relationship Id="rId392" Type="http://schemas.openxmlformats.org/officeDocument/2006/relationships/hyperlink" Target="ACTAS%20DE%20CONFORMIDAD\AC-2020\04-2020\14-04-2020\REG-43935-3004290368-1646.1.pdf" TargetMode="External"/><Relationship Id="rId613" Type="http://schemas.openxmlformats.org/officeDocument/2006/relationships/hyperlink" Target="GUIAS%20DE%20REMISION-REMITENTE\GUIA%20R-R%202020\JULIO-2020\0003-001308.pdf" TargetMode="External"/><Relationship Id="rId697" Type="http://schemas.openxmlformats.org/officeDocument/2006/relationships/hyperlink" Target="ACTAS%20DE%20CONFORMIDAD\AC-2020\08-2020\28-08-2020\REG-44071-3005786155-0.4.pdf" TargetMode="External"/><Relationship Id="rId820" Type="http://schemas.openxmlformats.org/officeDocument/2006/relationships/hyperlink" Target="GUIAS%20DE%20REMISION-REMITENTE\GUIA%20R-R%202020\JUNIO-2020\0003-001413.pdf" TargetMode="External"/><Relationship Id="rId918" Type="http://schemas.openxmlformats.org/officeDocument/2006/relationships/hyperlink" Target="ACTAS%20DE%20CONFORMIDAD\AC-2020\10-2020\16-10-2020\REG-44120-3004327721-2145.2.pdf" TargetMode="External"/><Relationship Id="rId252" Type="http://schemas.openxmlformats.org/officeDocument/2006/relationships/hyperlink" Target="GUIAS%20DE%20REMISION-REMITENTE\GUIA%20R-R%202020\FEBRERO-2020\0003-001068.pdf" TargetMode="External"/><Relationship Id="rId47" Type="http://schemas.openxmlformats.org/officeDocument/2006/relationships/hyperlink" Target="ACTAS%20DE%20CONFORMIDAD\AC-2020\01-2020\10-01-2020\REG-43840-3004337429-449.8.pdf" TargetMode="External"/><Relationship Id="rId112" Type="http://schemas.openxmlformats.org/officeDocument/2006/relationships/hyperlink" Target="ACTAS%20DE%20CONFORMIDAD\AC-2019\11-2019\28-11-2019\REG-43797-3004418791-427.6.pdf" TargetMode="External"/><Relationship Id="rId557" Type="http://schemas.openxmlformats.org/officeDocument/2006/relationships/hyperlink" Target="ACTAS%20DE%20CONFORMIDAD\AC-2020\06-2020\22-06-2020\REG-44004-3004337428-913.9.pdf" TargetMode="External"/><Relationship Id="rId764" Type="http://schemas.openxmlformats.org/officeDocument/2006/relationships/hyperlink" Target="ACTAS%20DE%20CONFORMIDAD\AC-2020\09-2020\13-09-2020\REG-44087-B5524F-001-196.6.pdf" TargetMode="External"/><Relationship Id="rId971" Type="http://schemas.openxmlformats.org/officeDocument/2006/relationships/hyperlink" Target="ACTAS%20DE%20CONFORMIDAD\AC-2020\11-2020\09-11-2020\REG-44144-3003566701-5222.5.pdf" TargetMode="External"/><Relationship Id="rId196" Type="http://schemas.openxmlformats.org/officeDocument/2006/relationships/hyperlink" Target="ACTAS%20DE%20CONFORMIDAD\AC-2019\09-2019\16-09-2019\REG-43724-3003962766-351.5.pdf" TargetMode="External"/><Relationship Id="rId417" Type="http://schemas.openxmlformats.org/officeDocument/2006/relationships/hyperlink" Target="ACTAS%20DE%20CONFORMIDAD\AC-2020\04-2020\22-04-2020\REG-43943-3004290366-1906.5.pdf" TargetMode="External"/><Relationship Id="rId624" Type="http://schemas.openxmlformats.org/officeDocument/2006/relationships/hyperlink" Target="ACTAS%20DE%20CONFORMIDAD\AC-2020\08-2020\12-08-2020\REG-44055-3004337428-1254.4.pdf" TargetMode="External"/><Relationship Id="rId831" Type="http://schemas.openxmlformats.org/officeDocument/2006/relationships/hyperlink" Target="ACTAS%20DE%20CONFORMIDAD\AC-2020\09-2020\28-09-2020\REG-44102-3004327721-2098.4.pdf" TargetMode="External"/><Relationship Id="rId1047" Type="http://schemas.openxmlformats.org/officeDocument/2006/relationships/hyperlink" Target="ACTAS%20DE%20CONFORMIDAD\AC-2020\12-2020\17-12-2020\REG-44182-3003940357-6078.1.pdf" TargetMode="External"/><Relationship Id="rId263" Type="http://schemas.openxmlformats.org/officeDocument/2006/relationships/hyperlink" Target="ACTAS%20DE%20CONFORMIDAD\AC-2019\06-2019\REG-43621-1603596-454.pdf" TargetMode="External"/><Relationship Id="rId470" Type="http://schemas.openxmlformats.org/officeDocument/2006/relationships/hyperlink" Target="GUIAS%20DE%20REMISION-REMITENTE\GUIA%20R-R%202020\MAYO-2020\003-000695.pdf" TargetMode="External"/><Relationship Id="rId929" Type="http://schemas.openxmlformats.org/officeDocument/2006/relationships/hyperlink" Target="ACTAS%20DE%20CONFORMIDAD\AC-2020\10-2020\07-10-2020\REG-44111-1603596-2004.6.pdf" TargetMode="External"/><Relationship Id="rId58" Type="http://schemas.openxmlformats.org/officeDocument/2006/relationships/hyperlink" Target="ACTAS%20DE%20CONFORMIDAD\AC-2020\01-2020\08-01-2020\REG-43838-3005005010-396.1.pdf" TargetMode="External"/><Relationship Id="rId123" Type="http://schemas.openxmlformats.org/officeDocument/2006/relationships/hyperlink" Target="ACTAS%20DE%20CONFORMIDAD\AC-2019\11-2019\22-11-2019\REG-43791-3004336198-706.6.pdf" TargetMode="External"/><Relationship Id="rId330" Type="http://schemas.openxmlformats.org/officeDocument/2006/relationships/hyperlink" Target="ACTAS%20DE%20CONFORMIDAD\AC-2020\03-2020\21-03-2020\REG-43911-3004336198-1339.9.pdf" TargetMode="External"/><Relationship Id="rId568" Type="http://schemas.openxmlformats.org/officeDocument/2006/relationships/hyperlink" Target="ACTAS%20DE%20CONFORMIDAD\AC-2020\06-2020\26-06-2020\REG-44008-2117417-3503.4.pdf" TargetMode="External"/><Relationship Id="rId775" Type="http://schemas.openxmlformats.org/officeDocument/2006/relationships/hyperlink" Target="ACTAS%20DE%20CONFORMIDAD\AC-2020\09-2020\15-09-2020\REG-44089-3004555915-3060.7.pdf" TargetMode="External"/><Relationship Id="rId982" Type="http://schemas.openxmlformats.org/officeDocument/2006/relationships/hyperlink" Target="GUIAS%20DE%20REMISION-REMITENTE\GUIA%20R-R%202020\DICIEMBRE-2020\T001-00000098.pdf" TargetMode="External"/><Relationship Id="rId428" Type="http://schemas.openxmlformats.org/officeDocument/2006/relationships/hyperlink" Target="ACTAS%20DE%20CONFORMIDAD\AC-2020\05-2020\14-05-2020\REG-43965-3004290364-1146.1.pdf" TargetMode="External"/><Relationship Id="rId635" Type="http://schemas.openxmlformats.org/officeDocument/2006/relationships/hyperlink" Target="ACTAS%20DE%20CONFORMIDAD\AC-2020\07-2020\20-07-2020\REG-44032-S-X095140-60.54.pdf" TargetMode="External"/><Relationship Id="rId842" Type="http://schemas.openxmlformats.org/officeDocument/2006/relationships/hyperlink" Target="GUIAS%20DE%20REMISION-REMITENTE\GUIA%20R-R%202020\SEPTIEMBRE-2020\0003-001514.pdf" TargetMode="External"/><Relationship Id="rId1058" Type="http://schemas.openxmlformats.org/officeDocument/2006/relationships/hyperlink" Target="https://onedrive.live.com/?cid=8C5B46544A563DC7&amp;id=8C5B46544A563DC7%218595&amp;parId=8C5B46544A563DC7%217796&amp;o=OneUp" TargetMode="External"/><Relationship Id="rId274" Type="http://schemas.openxmlformats.org/officeDocument/2006/relationships/hyperlink" Target="ACTAS%20DE%20CONFORMIDAD\AC-2020\03-2020\02-03-2020\REG-43892-PEE2626882-0.pdf" TargetMode="External"/><Relationship Id="rId481" Type="http://schemas.openxmlformats.org/officeDocument/2006/relationships/hyperlink" Target="ACTAS%20DE%20CONFORMIDAD\AC-2020\06-2020\01-06-2020\REG-43983-3003963149-3181.1.pdf" TargetMode="External"/><Relationship Id="rId702" Type="http://schemas.openxmlformats.org/officeDocument/2006/relationships/hyperlink" Target="ACTAS%20DE%20CONFORMIDAD\AC-2020\09-2020\01-09-2020\REG-44075-3004381438-2521.3.pdf" TargetMode="External"/><Relationship Id="rId69" Type="http://schemas.openxmlformats.org/officeDocument/2006/relationships/hyperlink" Target="ACTAS%20DE%20CONFORMIDAD\AC-2020\01-2020\02-01-2020\REG-43832-3004218547-142.9.pdf" TargetMode="External"/><Relationship Id="rId134" Type="http://schemas.openxmlformats.org/officeDocument/2006/relationships/hyperlink" Target="ACTAS%20DE%20CONFORMIDAD\AC-2019\11-2019\19-11-2019\REG-43788-3004290368-373.4.pdf" TargetMode="External"/><Relationship Id="rId579" Type="http://schemas.openxmlformats.org/officeDocument/2006/relationships/hyperlink" Target="ACTAS%20DE%20CONFORMIDAD\AC-2020\08-2020\11-08-2020\REG-44054-3004370193-3236.3.pdf" TargetMode="External"/><Relationship Id="rId786" Type="http://schemas.openxmlformats.org/officeDocument/2006/relationships/hyperlink" Target="GUIAS%20DE%20REMISION-REMITENTE\GUIA%20R-R%202020\SEPTIEMBRE-2020\0003-001517.pdf" TargetMode="External"/><Relationship Id="rId993" Type="http://schemas.openxmlformats.org/officeDocument/2006/relationships/hyperlink" Target="ACTAS%20DE%20CONFORMIDAD\AC-2020\12-2020\02-12-2020\REG-44167-OP1925GVLS-105.9.pdf" TargetMode="External"/><Relationship Id="rId341" Type="http://schemas.openxmlformats.org/officeDocument/2006/relationships/hyperlink" Target="ACTAS%20DE%20CONFORMIDAD\AC-2020\01-2020\23-01-2020\REG-43853-3004999911-493.5.pdf" TargetMode="External"/><Relationship Id="rId439" Type="http://schemas.openxmlformats.org/officeDocument/2006/relationships/hyperlink" Target="GUIAS%20DE%20REMISION-REMITENTE\GUIA%20R-R%202020\MAYO-2020\003-000820.pdf" TargetMode="External"/><Relationship Id="rId646" Type="http://schemas.openxmlformats.org/officeDocument/2006/relationships/hyperlink" Target="GUIAS%20DE%20REMISION-REMITENTE\GUIA%20R-R%202020\AGOSTO-2020\0003-001364.pdf" TargetMode="External"/><Relationship Id="rId1069" Type="http://schemas.openxmlformats.org/officeDocument/2006/relationships/hyperlink" Target="https://onedrive.live.com/?cid=8C5B46544A563DC7&amp;id=8C5B46544A563DC7%218661&amp;parId=8C5B46544A563DC7%218658&amp;o=OneUp" TargetMode="External"/><Relationship Id="rId201" Type="http://schemas.openxmlformats.org/officeDocument/2006/relationships/hyperlink" Target="ACTAS%20DE%20CONFORMIDAD\AC-2019\09-2019\18-09-2019\REG-43726-3004555914-295.pdf" TargetMode="External"/><Relationship Id="rId285" Type="http://schemas.openxmlformats.org/officeDocument/2006/relationships/hyperlink" Target="ACTAS%20DE%20CONFORMIDAD\AC-2020\03-2020\04-03-2020\REG-43894-3004416582-1008.6.pdf" TargetMode="External"/><Relationship Id="rId506" Type="http://schemas.openxmlformats.org/officeDocument/2006/relationships/hyperlink" Target="ACTAS%20DE%20CONFORMIDAD\AC-2020\06-2020\08-06-2020\REG-43990-3002933964-355.56.pdf" TargetMode="External"/><Relationship Id="rId853" Type="http://schemas.openxmlformats.org/officeDocument/2006/relationships/hyperlink" Target="GUIAS%20DE%20REMISION-REMITENTE\GUIA%20R-R%202020\OCTUBRE-2020\0003-001447.pdf" TargetMode="External"/><Relationship Id="rId492" Type="http://schemas.openxmlformats.org/officeDocument/2006/relationships/hyperlink" Target="ACTAS%20DE%20CONFORMIDAD\AC-2020\05-2020\30-05-2020\REG-43981-3004555914-2061.8.pdf" TargetMode="External"/><Relationship Id="rId713" Type="http://schemas.openxmlformats.org/officeDocument/2006/relationships/hyperlink" Target="ACTAS%20DE%20CONFORMIDAD\AC-2020\07-2020\22-07-2020\REG-44034-3003963149-3712,4.pdf" TargetMode="External"/><Relationship Id="rId797" Type="http://schemas.openxmlformats.org/officeDocument/2006/relationships/hyperlink" Target="ACTAS%20DE%20CONFORMIDAD\AC-2019\11-2019\19-11-2019\REG-43788-A5245J-001-306,5.pdf" TargetMode="External"/><Relationship Id="rId920" Type="http://schemas.openxmlformats.org/officeDocument/2006/relationships/hyperlink" Target="GUIAS%20DE%20REMISION-REMITENTE\GUIA%20R-R%202020\OCTUBRE-2020\0003-001544.pdf" TargetMode="External"/><Relationship Id="rId145" Type="http://schemas.openxmlformats.org/officeDocument/2006/relationships/hyperlink" Target="ACTAS%20DE%20CONFORMIDAD\AC-2019\11-2019\14-11-2019\REG-43783-3005005007-0.pdf" TargetMode="External"/><Relationship Id="rId352" Type="http://schemas.openxmlformats.org/officeDocument/2006/relationships/hyperlink" Target="ACTAS%20DE%20CONFORMIDAD\AC-2020\04-2020\18-04-2020\REG-43939-3005167425-151.5.pdf" TargetMode="External"/><Relationship Id="rId212" Type="http://schemas.openxmlformats.org/officeDocument/2006/relationships/hyperlink" Target="ACTAS%20DE%20CONFORMIDAD\AC-2019\10-2019\11-10-2019\REG-43749-PEE2626870-171.6.pdf" TargetMode="External"/><Relationship Id="rId657" Type="http://schemas.openxmlformats.org/officeDocument/2006/relationships/hyperlink" Target="GUIAS%20DE%20REMISION-REMITENTE\GUIA%20R-R%202020\JULIO-2020\0003-001304.pdf" TargetMode="External"/><Relationship Id="rId864" Type="http://schemas.openxmlformats.org/officeDocument/2006/relationships/hyperlink" Target="ACTAS%20DE%20CONFORMIDAD\AC-2020\05-2020\27-05-2020\REG-43978-3004290366-2118.4.pdf" TargetMode="External"/><Relationship Id="rId296" Type="http://schemas.openxmlformats.org/officeDocument/2006/relationships/hyperlink" Target="ACTAS%20DE%20CONFORMIDAD\AC-2020\03-2020\03-03-2020\REG-43893-3004416580-1282.pdf" TargetMode="External"/><Relationship Id="rId517" Type="http://schemas.openxmlformats.org/officeDocument/2006/relationships/hyperlink" Target="ACTAS%20DE%20CONFORMIDAD\AC-2020\06-2020\11-06-2020\REG-43993-3004982864-0.pdf" TargetMode="External"/><Relationship Id="rId724" Type="http://schemas.openxmlformats.org/officeDocument/2006/relationships/hyperlink" Target="ACTAS%20DE%20CONFORMIDAD\AC-2020\09-2020\01-09-2020\REG-44075-3003963150-3937.6.pdf" TargetMode="External"/><Relationship Id="rId931" Type="http://schemas.openxmlformats.org/officeDocument/2006/relationships/hyperlink" Target="ACTAS%20DE%20CONFORMIDAD\AC-2020\10-2020\02-10-2020\REG-44106-3004370203-2644.pdf" TargetMode="External"/><Relationship Id="rId60" Type="http://schemas.openxmlformats.org/officeDocument/2006/relationships/hyperlink" Target="ACTAS%20DE%20CONFORMIDAD\AC-2020\01-2020\04-01-2020\REG-43834-3004381437-115.4.pdf" TargetMode="External"/><Relationship Id="rId156" Type="http://schemas.openxmlformats.org/officeDocument/2006/relationships/hyperlink" Target="ACTAS%20DE%20CONFORMIDAD\AC-2019\11-2019\19-11-2019\REG-43788-3004290365-228.5.pdf" TargetMode="External"/><Relationship Id="rId363" Type="http://schemas.openxmlformats.org/officeDocument/2006/relationships/hyperlink" Target="ACTAS%20DE%20CONFORMIDAD\AC-2020\04-2020\23-04-2020\REG-43944-PEE2629434-119.9.pdf" TargetMode="External"/><Relationship Id="rId570" Type="http://schemas.openxmlformats.org/officeDocument/2006/relationships/hyperlink" Target="ACTAS%20DE%20CONFORMIDAD\AC-2020\07-2020\23-07-2020\REG-44035-3004344017-1588.3.pdf" TargetMode="External"/><Relationship Id="rId1007" Type="http://schemas.openxmlformats.org/officeDocument/2006/relationships/hyperlink" Target="ACTAS%20DE%20CONFORMIDAD\AC-2020\11-2020\12-11-2020\REG-44147-PEE2616605-0.pdf" TargetMode="External"/><Relationship Id="rId223" Type="http://schemas.openxmlformats.org/officeDocument/2006/relationships/hyperlink" Target="ACTAS%20DE%20CONFORMIDAD\AC-2019\03-2019\13-03-2019\REG-43537--1961.7.pdf" TargetMode="External"/><Relationship Id="rId430" Type="http://schemas.openxmlformats.org/officeDocument/2006/relationships/hyperlink" Target="ACTAS%20DE%20CONFORMIDAD\AC-2019\10-2019\23-10-2019\REG-43761-123234-0306-90.pdf" TargetMode="External"/><Relationship Id="rId668" Type="http://schemas.openxmlformats.org/officeDocument/2006/relationships/hyperlink" Target="ACTAS%20DE%20CONFORMIDAD\AC-2020\07-2020\15-07-2020\REG-44027-3003566701-4606.8.pdf" TargetMode="External"/><Relationship Id="rId875" Type="http://schemas.openxmlformats.org/officeDocument/2006/relationships/hyperlink" Target="ACTAS%20DE%20CONFORMIDAD\AC-2020\10-2020\07-10-2020\REG-44111-3004370203-2646.7.pdf" TargetMode="External"/><Relationship Id="rId1060" Type="http://schemas.openxmlformats.org/officeDocument/2006/relationships/hyperlink" Target="https://onedrive.live.com/?cid=8C5B46544A563DC7&amp;id=8C5B46544A563DC7%218597&amp;parId=8C5B46544A563DC7%218596&amp;o=OneUp" TargetMode="External"/><Relationship Id="rId18" Type="http://schemas.openxmlformats.org/officeDocument/2006/relationships/hyperlink" Target="../../../Fanny%20PC%2001/AppData/Roaming/Microsoft/Excel/ACTAS%20DE%20CONFORMIDAD/AC-2019/08-2019/01-08-2019/REG-43678-3004370193-502.7.pdf" TargetMode="External"/><Relationship Id="rId528" Type="http://schemas.openxmlformats.org/officeDocument/2006/relationships/hyperlink" Target="ACTAS%20DE%20CONFORMIDAD\AC-2020\03-2020\25-03-2020\REG-43915-8754673-137.6.pdf" TargetMode="External"/><Relationship Id="rId735" Type="http://schemas.openxmlformats.org/officeDocument/2006/relationships/hyperlink" Target="GUIAS%20DE%20REMISION-REMITENTE\GUIA%20R-R%202020\AGOSTO-2020\0003-001352.pdf" TargetMode="External"/><Relationship Id="rId942" Type="http://schemas.openxmlformats.org/officeDocument/2006/relationships/hyperlink" Target="GUIAS%20DE%20REMISION-REMITENTE\GUIA%20R-R%202020\NOVIEMBRE-2020\0003-001459.pdf" TargetMode="External"/><Relationship Id="rId167" Type="http://schemas.openxmlformats.org/officeDocument/2006/relationships/hyperlink" Target="ACTAS%20DE%20CONFORMIDAD\AC-2019\10-2019\16-10-2019\REG-43754-9073651-3706.9.pdf" TargetMode="External"/><Relationship Id="rId374" Type="http://schemas.openxmlformats.org/officeDocument/2006/relationships/hyperlink" Target="GUIAS%20DE%20REMISION-REMITENTE\GUIA%20R-R%202020\ABRIL-2020\0003-001095.pdf" TargetMode="External"/><Relationship Id="rId581" Type="http://schemas.openxmlformats.org/officeDocument/2006/relationships/hyperlink" Target="ACTAS%20DE%20CONFORMIDAD\AC-2020\08-2020\11-08-2020\REG-44054-3003415540-4522.9.pdf" TargetMode="External"/><Relationship Id="rId1018" Type="http://schemas.openxmlformats.org/officeDocument/2006/relationships/hyperlink" Target="ACTAS%20DE%20CONFORMIDAD\AC-2020\12-2020\07-12-2020\REG-44172-3004327724-2277.7.pdf" TargetMode="External"/><Relationship Id="rId71" Type="http://schemas.openxmlformats.org/officeDocument/2006/relationships/hyperlink" Target="ACTAS%20DE%20CONFORMIDAD\AC-2020\01-2020\02-01-2020\REG-43832-3004337430-177.5.pdf" TargetMode="External"/><Relationship Id="rId234" Type="http://schemas.openxmlformats.org/officeDocument/2006/relationships/hyperlink" Target="GUIAS%20DE%20REMISION-REMITENTE\GUIA%20R-R%202020\FEBRERO-2020\0003-001066.pdf" TargetMode="External"/><Relationship Id="rId679" Type="http://schemas.openxmlformats.org/officeDocument/2006/relationships/hyperlink" Target="GUIAS%20DE%20REMISION-REMITENTE\GUIA%20R-R%202020\JULIO-2020\0003-001320.pdf" TargetMode="External"/><Relationship Id="rId802" Type="http://schemas.openxmlformats.org/officeDocument/2006/relationships/hyperlink" Target="ACTAS%20DE%20CONFORMIDAD\AC-2020\09-2020\28-09-2020\REG-44102-3003566699-7068.4.pdf" TargetMode="External"/><Relationship Id="rId886" Type="http://schemas.openxmlformats.org/officeDocument/2006/relationships/hyperlink" Target="GUIAS%20DE%20REMISION-REMITENTE\GUIA%20R-R%202020\OCTUBRE-2020\T001-00000010.pdf" TargetMode="External"/><Relationship Id="rId2" Type="http://schemas.openxmlformats.org/officeDocument/2006/relationships/hyperlink" Target="../../../Fanny%20PC%2001/AppData/Roaming/Microsoft/Excel/GUIAS%20DE%20REMISION-REMITENTE/GUIA%20R-R%202019/NOVIEMBRE/0003-001113.pdf" TargetMode="External"/><Relationship Id="rId29" Type="http://schemas.openxmlformats.org/officeDocument/2006/relationships/hyperlink" Target="ACTAS%20DE%20CONFORMIDAD\AC-2020\01-2020\25-01-2020\REG-43855-6JA02716-2751.pdf" TargetMode="External"/><Relationship Id="rId441" Type="http://schemas.openxmlformats.org/officeDocument/2006/relationships/hyperlink" Target="ACTAS%20DE%20CONFORMIDAD\AC-2020\05-2020\22-05-2020\REG-43973-X08231T-863.53.pdf" TargetMode="External"/><Relationship Id="rId539" Type="http://schemas.openxmlformats.org/officeDocument/2006/relationships/hyperlink" Target="ACTAS%20DE%20CONFORMIDAD\AC-2020\06-2020\16-06-2020\REG-43998-GEGA111-NR.pdf" TargetMode="External"/><Relationship Id="rId746" Type="http://schemas.openxmlformats.org/officeDocument/2006/relationships/hyperlink" Target="ACTAS%20DE%20CONFORMIDAD\AC-2020\09-2020\08-09-2020\REG-44082-1603596-1817.8.pdf" TargetMode="External"/><Relationship Id="rId1071" Type="http://schemas.openxmlformats.org/officeDocument/2006/relationships/hyperlink" Target="https://onedrive.live.com/?cid=8C5B46544A563DC7&amp;id=8C5B46544A563DC7%218803&amp;parId=8C5B46544A563DC7%218800&amp;o=OneUp" TargetMode="External"/><Relationship Id="rId178" Type="http://schemas.openxmlformats.org/officeDocument/2006/relationships/hyperlink" Target="ACTAS%20DE%20CONFORMIDAD\AC-2019\09-2019\07-09-2019\REG-43715-3004337427-0.7.pdf" TargetMode="External"/><Relationship Id="rId301" Type="http://schemas.openxmlformats.org/officeDocument/2006/relationships/hyperlink" Target="GUIAS%20DE%20REMISION-REMITENTE\GUIA%20R-R%202020\MARZO-2020\0003-001075.pdf" TargetMode="External"/><Relationship Id="rId953" Type="http://schemas.openxmlformats.org/officeDocument/2006/relationships/hyperlink" Target="GUIAS%20DE%20REMISION-REMITENTE\GUIA%20R-R%202020\NOVIEMBRE-2020\T001-00000053.pdf" TargetMode="External"/><Relationship Id="rId1029" Type="http://schemas.openxmlformats.org/officeDocument/2006/relationships/hyperlink" Target="GUIAS%20DE%20REMISION-REMITENTE\GUIA%20R-R%202020\DICIEMBRE-2020\T001-00000137.pdf" TargetMode="External"/><Relationship Id="rId82" Type="http://schemas.openxmlformats.org/officeDocument/2006/relationships/hyperlink" Target="GUIAS%20DE%20REMISION-REMITENTE\GUIA%20R-R%202020\ENERO-%202020\0003-001168.pdf" TargetMode="External"/><Relationship Id="rId385" Type="http://schemas.openxmlformats.org/officeDocument/2006/relationships/hyperlink" Target="GUIAS%20DE%20REMISION-REMITENTE\GUIA%20R-R%202020\ABRIL-2020\0003-001094.pdf" TargetMode="External"/><Relationship Id="rId592" Type="http://schemas.openxmlformats.org/officeDocument/2006/relationships/hyperlink" Target="GUIAS%20DE%20REMISION-REMITENTE\GUIA%20R-R%202020\AGOSTO-2020\0003-001346.pdf" TargetMode="External"/><Relationship Id="rId606" Type="http://schemas.openxmlformats.org/officeDocument/2006/relationships/hyperlink" Target="GUIAS%20DE%20REMISION-REMITENTE\GUIA%20R-R%202020\AGOSTO-2020\0003-001357.pdf" TargetMode="External"/><Relationship Id="rId813" Type="http://schemas.openxmlformats.org/officeDocument/2006/relationships/hyperlink" Target="GUIAS%20DE%20REMISION-REMITENTE\GUIA%20R-R%202020\JUNIO-2020\0003-001411.pdf" TargetMode="External"/><Relationship Id="rId245" Type="http://schemas.openxmlformats.org/officeDocument/2006/relationships/hyperlink" Target="ACTAS%20DE%20CONFORMIDAD\AC-2020\02-2020\18-02-2020\REG-43879-3004402506-1368.2.pdf" TargetMode="External"/><Relationship Id="rId452" Type="http://schemas.openxmlformats.org/officeDocument/2006/relationships/hyperlink" Target="GUIAS%20DE%20REMISION-REMITENTE\GUIA%20R-R%202020\MARZO-2020\0003-001082.pdf" TargetMode="External"/><Relationship Id="rId897" Type="http://schemas.openxmlformats.org/officeDocument/2006/relationships/hyperlink" Target="GUIAS%20DE%20REMISION-REMITENTE\GUIA%20R-R%202020\OCTUBRE-2020\T001-00000015.pdf" TargetMode="External"/><Relationship Id="rId1082" Type="http://schemas.openxmlformats.org/officeDocument/2006/relationships/table" Target="../tables/table7.xml"/><Relationship Id="rId105" Type="http://schemas.openxmlformats.org/officeDocument/2006/relationships/hyperlink" Target="ACTAS%20DE%20CONFORMIDAD\AC-2019\12-2019\04-12-2019\REG-43803-3005005007-109.3.pdf" TargetMode="External"/><Relationship Id="rId312" Type="http://schemas.openxmlformats.org/officeDocument/2006/relationships/hyperlink" Target="ACTAS%20DE%20CONFORMIDAD\AC-2020\03-2020\13-03-2020\REG-43903-3004227749-761.9.pdf" TargetMode="External"/><Relationship Id="rId757" Type="http://schemas.openxmlformats.org/officeDocument/2006/relationships/hyperlink" Target="ACTAS%20DE%20CONFORMIDAD\AC-2020\09-2020\07-09-2020\REG-44081-3003415539-5584.8.pdf" TargetMode="External"/><Relationship Id="rId964" Type="http://schemas.openxmlformats.org/officeDocument/2006/relationships/hyperlink" Target="ACTAS%20DE%20CONFORMIDAD\AC-2020\11-2020\16-11-2020\REG-44151-3002933963-1473.6.pdf" TargetMode="External"/><Relationship Id="rId93" Type="http://schemas.openxmlformats.org/officeDocument/2006/relationships/hyperlink" Target="GUIAS%20DE%20REMISION-REMITENTE\GUIA%20R-R%202020\ENERO-%202020\0003-001152.pdf" TargetMode="External"/><Relationship Id="rId189" Type="http://schemas.openxmlformats.org/officeDocument/2006/relationships/hyperlink" Target="ACTAS%20DE%20CONFORMIDAD\AC-2019\10-2019\15-10-2019\REG-43753-3004416582-112.4.pdf" TargetMode="External"/><Relationship Id="rId396" Type="http://schemas.openxmlformats.org/officeDocument/2006/relationships/hyperlink" Target="ACTAS%20DE%20CONFORMIDAD\AC-2020\04-2020\13-04-2020\REG-43934-3004337427-1247.5.pdf" TargetMode="External"/><Relationship Id="rId617" Type="http://schemas.openxmlformats.org/officeDocument/2006/relationships/hyperlink" Target="ACTAS%20DE%20CONFORMIDAD\AC-2020\08-2020\17-08-2020\REG-44060-3004336196-2378.1.pdf" TargetMode="External"/><Relationship Id="rId824" Type="http://schemas.openxmlformats.org/officeDocument/2006/relationships/hyperlink" Target="ACTAS%20DE%20CONFORMIDAD\AC-2020\10-2020\01-10-2020\REG-44105-3004402506-2582.8.pdf" TargetMode="External"/><Relationship Id="rId256" Type="http://schemas.openxmlformats.org/officeDocument/2006/relationships/hyperlink" Target="GUIAS%20DE%20REMISION-REMITENTE\GUIA%20R-R%202020\FEBRERO-2020\0003-001206.pdf" TargetMode="External"/><Relationship Id="rId463" Type="http://schemas.openxmlformats.org/officeDocument/2006/relationships/hyperlink" Target="ACTAS%20DE%20CONFORMIDAD\AC-2020\03-2020\24-03-2020\REG-43914-3004418790-981.2.pdf" TargetMode="External"/><Relationship Id="rId670" Type="http://schemas.openxmlformats.org/officeDocument/2006/relationships/hyperlink" Target="ACTAS%20DE%20CONFORMIDAD\AC-2020\07-2020\08-07-2020\REG-44020-3004597773-2101.5.pdf" TargetMode="External"/><Relationship Id="rId116" Type="http://schemas.openxmlformats.org/officeDocument/2006/relationships/hyperlink" Target="ACTAS%20DE%20CONFORMIDAD\AC-2019\11-2019\27-11-2019\REG-43796-3004416581-540.6.pdf" TargetMode="External"/><Relationship Id="rId323" Type="http://schemas.openxmlformats.org/officeDocument/2006/relationships/hyperlink" Target="GUIAS%20DE%20REMISION-REMITENTE\GUIA%20R-R%202020\MARZO-2020\0003-001079.pdf" TargetMode="External"/><Relationship Id="rId530" Type="http://schemas.openxmlformats.org/officeDocument/2006/relationships/hyperlink" Target="ACTAS%20DE%20CONFORMIDAD\AC-2019\10-2019\29-10-2019\REG-43767-8754673-133.8.pdf" TargetMode="External"/><Relationship Id="rId768" Type="http://schemas.openxmlformats.org/officeDocument/2006/relationships/hyperlink" Target="ACTAS%20DE%20CONFORMIDAD\AC-2020\09-2020\10-09-2020\REG-44084-3003415544-5302.8.pdf" TargetMode="External"/><Relationship Id="rId975" Type="http://schemas.openxmlformats.org/officeDocument/2006/relationships/hyperlink" Target="ACTAS%20DE%20CONFORMIDAD\AC-2020\11-2020\05-11-2020\REG-44140-3003963150-4620.5.pdf" TargetMode="External"/><Relationship Id="rId20" Type="http://schemas.openxmlformats.org/officeDocument/2006/relationships/hyperlink" Target="ACTAS%20DE%20CONFORMIDAD\AC-2019\08-2019\10-08-2019\REG-43687-3003932011-14.1.pdf" TargetMode="External"/><Relationship Id="rId628" Type="http://schemas.openxmlformats.org/officeDocument/2006/relationships/hyperlink" Target="GUIAS%20DE%20REMISION-REMITENTE\GUIA%20R-R%202020\AGOSTO-2020\0003-001341.pdf" TargetMode="External"/><Relationship Id="rId835" Type="http://schemas.openxmlformats.org/officeDocument/2006/relationships/hyperlink" Target="GUIAS%20DE%20REMISION-REMITENTE\GUIA%20R-R%202020\OCTUBRE-2020\0003-001535.pdf" TargetMode="External"/><Relationship Id="rId267" Type="http://schemas.openxmlformats.org/officeDocument/2006/relationships/hyperlink" Target="ACTAS%20DE%20CONFORMIDAD\AC-2020\02-2020\25-02-2020\REG-43886-3004331705-1342.pdf" TargetMode="External"/><Relationship Id="rId474" Type="http://schemas.openxmlformats.org/officeDocument/2006/relationships/hyperlink" Target="ACTAS%20DE%20CONFORMIDAD\AC-2020\06-2020\02-06-2020\REG-43984-3004331705-1889.5.pdf" TargetMode="External"/><Relationship Id="rId1020" Type="http://schemas.openxmlformats.org/officeDocument/2006/relationships/hyperlink" Target="ACTAS%20DE%20CONFORMIDAD\AC-2020\12-2020\02-12-2020\REG-44167-3003940357-6053.5.pdf" TargetMode="External"/><Relationship Id="rId127" Type="http://schemas.openxmlformats.org/officeDocument/2006/relationships/hyperlink" Target="ACTAS%20DE%20CONFORMIDAD\AC-2019\11-2019\22-11-2019\REG-43791-3004331708-599.3.pdf" TargetMode="External"/><Relationship Id="rId681" Type="http://schemas.openxmlformats.org/officeDocument/2006/relationships/hyperlink" Target="ACTAS%20DE%20CONFORMIDAD\AC-2020\08-2020\21-08-2020\REG-44064-3004999911-2262.4.pdf" TargetMode="External"/><Relationship Id="rId779" Type="http://schemas.openxmlformats.org/officeDocument/2006/relationships/hyperlink" Target="ACTAS%20DE%20CONFORMIDAD\AC-2020\09-2020\15-09-2020\REG-44089-3004370203-2644.pdf" TargetMode="External"/><Relationship Id="rId902" Type="http://schemas.openxmlformats.org/officeDocument/2006/relationships/hyperlink" Target="ACTAS%20DE%20CONFORMIDAD\AC-2020\10-2020\21-10-2020\REG-44125-3002933963-1242.6.pdf" TargetMode="External"/><Relationship Id="rId986" Type="http://schemas.openxmlformats.org/officeDocument/2006/relationships/hyperlink" Target="ACTAS%20DE%20CONFORMIDAD\AC-2020\11-2020\09-11-2020\REG-44144-3003415532-5439.7.pdf" TargetMode="External"/><Relationship Id="rId31" Type="http://schemas.openxmlformats.org/officeDocument/2006/relationships/hyperlink" Target="ACTAS%20DE%20CONFORMIDAD\AC-2020\01-2020\24-01-2020\REG-43854-3004214491-323.6.pdf" TargetMode="External"/><Relationship Id="rId334" Type="http://schemas.openxmlformats.org/officeDocument/2006/relationships/hyperlink" Target="ACTAS%20DE%20CONFORMIDAD\AC-2020\03-2020\05-03-2020\REG-43895-PEE2629434-0.5.pdf" TargetMode="External"/><Relationship Id="rId541" Type="http://schemas.openxmlformats.org/officeDocument/2006/relationships/hyperlink" Target="ACTAS%20DE%20CONFORMIDAD\AC-2020\06-2020\16-06-2020\REG-43998-GEGA115-NR.pdf" TargetMode="External"/><Relationship Id="rId639" Type="http://schemas.openxmlformats.org/officeDocument/2006/relationships/hyperlink" Target="GUIAS%20DE%20REMISION-REMITENTE\GUIA%20R-R%202020\AGOSTO-2020\0003-001363.pdf" TargetMode="External"/><Relationship Id="rId180" Type="http://schemas.openxmlformats.org/officeDocument/2006/relationships/hyperlink" Target="ACTAS%20DE%20CONFORMIDAD\AC-2019\09-2019\07-09-2019\REG-43715-3004344014-13.2.pdf" TargetMode="External"/><Relationship Id="rId278" Type="http://schemas.openxmlformats.org/officeDocument/2006/relationships/hyperlink" Target="ACTAS%20DE%20CONFORMIDAD\AC-2020\03-2020\03-03-2020\REG-43893-PEE2629434-0.4.pdf" TargetMode="External"/><Relationship Id="rId401" Type="http://schemas.openxmlformats.org/officeDocument/2006/relationships/hyperlink" Target="GUIAS%20DE%20REMISION-REMITENTE\GUIA%20R-R%202020\ABRIL-2020\0003-001089.pdf" TargetMode="External"/><Relationship Id="rId846" Type="http://schemas.openxmlformats.org/officeDocument/2006/relationships/hyperlink" Target="GUIAS%20DE%20REMISION-REMITENTE\GUIA%20R-R%202020\SEPTIEMBRE-2020\0003-001528.pdf" TargetMode="External"/><Relationship Id="rId1031" Type="http://schemas.openxmlformats.org/officeDocument/2006/relationships/hyperlink" Target="ACTAS%20DE%20CONFORMIDAD\AC-2020\12-2020\14-12-2020\REG-44179-3004402508-2186.3.pdf" TargetMode="External"/><Relationship Id="rId485" Type="http://schemas.openxmlformats.org/officeDocument/2006/relationships/hyperlink" Target="ACTAS%20DE%20CONFORMIDAD\AC-2020\05-2020\30-05-2020\REG-43981-3003566705-5426.2.pdf" TargetMode="External"/><Relationship Id="rId692" Type="http://schemas.openxmlformats.org/officeDocument/2006/relationships/hyperlink" Target="GUIAS%20DE%20REMISION-REMITENTE\GUIA%20R-R%202020\AGOSTO-2020\0003-001371.pdf" TargetMode="External"/><Relationship Id="rId706" Type="http://schemas.openxmlformats.org/officeDocument/2006/relationships/hyperlink" Target="ACTAS%20DE%20CONFORMIDAD\AC-2020\07-2020\17-07-2020\REG-44029-3004370203-2487,9.pdf" TargetMode="External"/><Relationship Id="rId913" Type="http://schemas.openxmlformats.org/officeDocument/2006/relationships/hyperlink" Target="GUIAS%20DE%20REMISION-REMITENTE\GUIA%20R-R%202020\OCTUBRE-2020\T001-00000030.pdf" TargetMode="External"/><Relationship Id="rId42" Type="http://schemas.openxmlformats.org/officeDocument/2006/relationships/hyperlink" Target="ACTAS%20DE%20CONFORMIDAD\AC-2020\01-2020\13-01-2020\REG-43843-3004327722-820.4.pdf" TargetMode="External"/><Relationship Id="rId138" Type="http://schemas.openxmlformats.org/officeDocument/2006/relationships/hyperlink" Target="ACTAS%20DE%20CONFORMIDAD\AC-2019\11-2019\18-11-2019\REG-43787-3004418791-49.1.pdf" TargetMode="External"/><Relationship Id="rId345" Type="http://schemas.openxmlformats.org/officeDocument/2006/relationships/hyperlink" Target="GUIAS%20DE%20REMISION-REMITENTE\GUIA%20R-R%202020\ABRIL-2020\0003-001228.pdf" TargetMode="External"/><Relationship Id="rId552" Type="http://schemas.openxmlformats.org/officeDocument/2006/relationships/hyperlink" Target="ACTAS%20DE%20CONFORMIDAD\AC-2020\05-2020\23-05-2020\REG-43974-59G12-443-1979-30.1.pdf" TargetMode="External"/><Relationship Id="rId997" Type="http://schemas.openxmlformats.org/officeDocument/2006/relationships/hyperlink" Target="ACTAS%20DE%20CONFORMIDAD\AC-2020\11-2020\16-11-2020\REG-44151-3002933964-1609.45.pdf" TargetMode="External"/><Relationship Id="rId191" Type="http://schemas.openxmlformats.org/officeDocument/2006/relationships/hyperlink" Target="ACTAS%20DE%20CONFORMIDAD\AC-2019\09-2019\05-09-2019\REG-43713-3004555915-124.5.pdf" TargetMode="External"/><Relationship Id="rId205" Type="http://schemas.openxmlformats.org/officeDocument/2006/relationships/hyperlink" Target="ACTAS%20DE%20CONFORMIDAD\AC-2019\09-2019\26-09-2019\REG-43734-3003932010-218.3.pdf" TargetMode="External"/><Relationship Id="rId412" Type="http://schemas.openxmlformats.org/officeDocument/2006/relationships/hyperlink" Target="GUIAS%20DE%20REMISION-REMITENTE\GUIA%20R-R%202020\ABRIL-2020\0003-001097.pdf" TargetMode="External"/><Relationship Id="rId857" Type="http://schemas.openxmlformats.org/officeDocument/2006/relationships/hyperlink" Target="GUIAS%20DE%20REMISION-REMITENTE\GUIA%20R-R%202020\OCTUBRE-2020\0003-001550.pdf" TargetMode="External"/><Relationship Id="rId1042" Type="http://schemas.openxmlformats.org/officeDocument/2006/relationships/hyperlink" Target="ACTAS%20DE%20CONFORMIDAD\AC-2020\12-2020\23-12-2020\REG-44188-3003566699-8154.7.pdf" TargetMode="External"/><Relationship Id="rId289" Type="http://schemas.openxmlformats.org/officeDocument/2006/relationships/hyperlink" Target="ACTAS%20DE%20CONFORMIDAD\AC-2020\03-2020\06-03-2020\REG-43896-3004418791-1222.8.pdf" TargetMode="External"/><Relationship Id="rId496" Type="http://schemas.openxmlformats.org/officeDocument/2006/relationships/hyperlink" Target="ACTAS%20DE%20CONFORMIDAD\AC-2020\06-2020\10-06-2020\REG-43992-3004428523-1496.8.pdf" TargetMode="External"/><Relationship Id="rId717" Type="http://schemas.openxmlformats.org/officeDocument/2006/relationships/hyperlink" Target="ACTAS%20DE%20CONFORMIDAD\AC-2020\08-2020\01-08-2020\REG-44044-3003415544-4962.4.pdf" TargetMode="External"/><Relationship Id="rId924" Type="http://schemas.openxmlformats.org/officeDocument/2006/relationships/hyperlink" Target="ACTAS%20DE%20CONFORMIDAD\AC-2020\10-2020\28-10-2020\REG-44132-3004227749-2404.2.pdf" TargetMode="External"/><Relationship Id="rId53" Type="http://schemas.openxmlformats.org/officeDocument/2006/relationships/hyperlink" Target="ACTAS%20DE%20CONFORMIDAD\AC-2020\01-2020\09-01-2020\REG-43839-3004235514-129.9.pdf" TargetMode="External"/><Relationship Id="rId149" Type="http://schemas.openxmlformats.org/officeDocument/2006/relationships/hyperlink" Target="GUIAS%20DE%20REMISION-REMITENTE\GUIA%20R-R%202020\FEBRERO-2020\0003-001058.pdf" TargetMode="External"/><Relationship Id="rId356" Type="http://schemas.openxmlformats.org/officeDocument/2006/relationships/hyperlink" Target="ACTAS%20DE%20CONFORMIDAD\AC-2020\04-2020\16-04-2020\REG-43937-3002933963-0.37.pdf" TargetMode="External"/><Relationship Id="rId563" Type="http://schemas.openxmlformats.org/officeDocument/2006/relationships/hyperlink" Target="GUIAS%20DE%20REMISION-REMITENTE\GUIA%20R-R%202020\JUNIO-2020\0003-001283.pdf" TargetMode="External"/><Relationship Id="rId770" Type="http://schemas.openxmlformats.org/officeDocument/2006/relationships/hyperlink" Target="ACTAS%20DE%20CONFORMIDAD\AC-2020\09-2020\10-09-2020\REG-44084-3004555915-3006.1.pdf" TargetMode="External"/><Relationship Id="rId216" Type="http://schemas.openxmlformats.org/officeDocument/2006/relationships/hyperlink" Target="ACTAS%20DE%20CONFORMIDAD\AC-2019\04-2019\04-04-2019\REG-43559%20-%202053.8.pdf" TargetMode="External"/><Relationship Id="rId423" Type="http://schemas.openxmlformats.org/officeDocument/2006/relationships/hyperlink" Target="GUIAS%20DE%20REMISION-REMITENTE\GUIA%20R-R%202020\MAYO-2020\0003-001241.pdf" TargetMode="External"/><Relationship Id="rId868" Type="http://schemas.openxmlformats.org/officeDocument/2006/relationships/hyperlink" Target="ACTAS%20DE%20CONFORMIDAD\AC-2020\08-2020\03-08-2020\REG-44046-3004336196-2204.3.pdf" TargetMode="External"/><Relationship Id="rId1053" Type="http://schemas.openxmlformats.org/officeDocument/2006/relationships/hyperlink" Target="https://onedrive.live.com/?cid=8C5B46544A563DC7&amp;id=8C5B46544A563DC7%218576&amp;parId=8C5B46544A563DC7%217812&amp;o=OneUp" TargetMode="External"/><Relationship Id="rId630" Type="http://schemas.openxmlformats.org/officeDocument/2006/relationships/hyperlink" Target="ACTAS%20DE%20CONFORMIDAD\AC-2020\07-2020\14-07-2020\REG-44026-3005167422-834.8.pdf" TargetMode="External"/><Relationship Id="rId728" Type="http://schemas.openxmlformats.org/officeDocument/2006/relationships/hyperlink" Target="ACTAS%20DE%20CONFORMIDAD\AC-2020\09-2020\02-09-2020\REG-44076-3003566705-6247.9.pdf" TargetMode="External"/><Relationship Id="rId935" Type="http://schemas.openxmlformats.org/officeDocument/2006/relationships/hyperlink" Target="GUIAS%20DE%20REMISION-REMITENTE\GUIA%20R-R%202020\NOVIEMBRE\T001-00000050.pdf" TargetMode="External"/><Relationship Id="rId64" Type="http://schemas.openxmlformats.org/officeDocument/2006/relationships/hyperlink" Target="ACTAS%20DE%20CONFORMIDAD\AC-2020\01-2020\03-01-2020\REG-43833-3004214491-192.5.pdf" TargetMode="External"/><Relationship Id="rId367" Type="http://schemas.openxmlformats.org/officeDocument/2006/relationships/hyperlink" Target="GUIAS%20DE%20REMISION-REMITENTE\GUIA%20R-R%202020\ABRIL-2020\0003-001236.pdf" TargetMode="External"/><Relationship Id="rId574" Type="http://schemas.openxmlformats.org/officeDocument/2006/relationships/hyperlink" Target="GUIAS%20DE%20REMISION-REMITENTE\GUIA%20R-R%202020\JULIO-2020\0003-001312.pdf" TargetMode="External"/><Relationship Id="rId227" Type="http://schemas.openxmlformats.org/officeDocument/2006/relationships/hyperlink" Target="ACTAS%20DE%20CONFORMIDAD\AC-2020\02-2020\10-02-2020\REG-43871-PEE2598803-34.4.pdf" TargetMode="External"/><Relationship Id="rId781" Type="http://schemas.openxmlformats.org/officeDocument/2006/relationships/hyperlink" Target="ACTAS%20DE%20CONFORMIDAD\AC-2020\09-2020\07-09-2020\REG-44081-3003415532-4662.2.pdf" TargetMode="External"/><Relationship Id="rId879" Type="http://schemas.openxmlformats.org/officeDocument/2006/relationships/hyperlink" Target="ACTAS%20DE%20CONFORMIDAD\AC-2020\10-2020\15-10-2020\REG-44119-3003415532-5260.9.pdf" TargetMode="External"/><Relationship Id="rId434" Type="http://schemas.openxmlformats.org/officeDocument/2006/relationships/hyperlink" Target="ACTAS%20DE%20CONFORMIDAD\AC-2019\10-2019\23-10-2019\REG-43761-123231-0306-360.pdf" TargetMode="External"/><Relationship Id="rId641" Type="http://schemas.openxmlformats.org/officeDocument/2006/relationships/hyperlink" Target="GUIAS%20DE%20REMISION-REMITENTE\GUIA%20R-R%202020\AGOSTO-2020\0003-001362.pdf" TargetMode="External"/><Relationship Id="rId739" Type="http://schemas.openxmlformats.org/officeDocument/2006/relationships/hyperlink" Target="GUIAS%20DE%20REMISION-REMITENTE\GUIA%20R-R%202020\JULIO-2020\0003-001329.pdf" TargetMode="External"/><Relationship Id="rId1064" Type="http://schemas.openxmlformats.org/officeDocument/2006/relationships/hyperlink" Target="https://onedrive.live.com/?cid=8C5B46544A563DC7&amp;id=8C5B46544A563DC7%218615&amp;parId=8C5B46544A563DC7%218614&amp;o=OneUp" TargetMode="External"/><Relationship Id="rId280" Type="http://schemas.openxmlformats.org/officeDocument/2006/relationships/hyperlink" Target="ACTAS%20DE%20CONFORMIDAD\AC-2020\03-2020\02-03-2020\REG-43892-3004331707-557.9.pdf" TargetMode="External"/><Relationship Id="rId501" Type="http://schemas.openxmlformats.org/officeDocument/2006/relationships/hyperlink" Target="ACTAS%20DE%20CONFORMIDAD\AC-2020\06-2020\09-06-2020\REG-43991-3004336198-1664.3.pdf" TargetMode="External"/><Relationship Id="rId946" Type="http://schemas.openxmlformats.org/officeDocument/2006/relationships/hyperlink" Target="ACTAS%20DE%20CONFORMIDAD\AC-2020\11-2020\13-11-2020\REG-44148-3004416580-3113.9.pdf" TargetMode="External"/><Relationship Id="rId75" Type="http://schemas.openxmlformats.org/officeDocument/2006/relationships/hyperlink" Target="GUIAS%20DE%20REMISION-REMITENTE\GUIA%20R-R%202020\ENERO-%202020\0003-001148.pdf" TargetMode="External"/><Relationship Id="rId140" Type="http://schemas.openxmlformats.org/officeDocument/2006/relationships/hyperlink" Target="ACTAS%20DE%20CONFORMIDAD\AC-2019\11-2019\18-11-2019\REG-43787-3004418790-55.7.pdf" TargetMode="External"/><Relationship Id="rId378" Type="http://schemas.openxmlformats.org/officeDocument/2006/relationships/hyperlink" Target="GUIAS%20DE%20REMISION-REMITENTE\GUIA%20R-R%202020\ABRIL-2020\0003-001095.pdf" TargetMode="External"/><Relationship Id="rId585" Type="http://schemas.openxmlformats.org/officeDocument/2006/relationships/hyperlink" Target="ACTAS%20DE%20CONFORMIDAD\AC-2020\08-2020\12-08-2020\REG-44055-C3020121001-S-1648.59.pdf" TargetMode="External"/><Relationship Id="rId792" Type="http://schemas.openxmlformats.org/officeDocument/2006/relationships/hyperlink" Target="GUIAS%20DE%20REMISION-REMITENTE\GUIA%20R-R%202020\SEPTIEMBRE-2020\0003-001510.pdf" TargetMode="External"/><Relationship Id="rId806" Type="http://schemas.openxmlformats.org/officeDocument/2006/relationships/hyperlink" Target="GUIAS%20DE%20REMISION-REMITENTE\GUIA%20R-R%202020\JUNIO-2020\0003-001420.pdf" TargetMode="External"/><Relationship Id="rId6" Type="http://schemas.openxmlformats.org/officeDocument/2006/relationships/hyperlink" Target="../../../Fanny%20PC%2001/AppData/Roaming/Microsoft/Excel/ACTAS%20DE%20CONFORMIDAD/AC-2019/10-2019/24-10-2019/REG-43762-3003963149-976.3.pdf" TargetMode="External"/><Relationship Id="rId238" Type="http://schemas.openxmlformats.org/officeDocument/2006/relationships/hyperlink" Target="ACTAS%20DE%20CONFORMIDAD\AC-2020\02-2020\19-02-2020\REG-43880-3004336196-660.4.pdf" TargetMode="External"/><Relationship Id="rId445" Type="http://schemas.openxmlformats.org/officeDocument/2006/relationships/hyperlink" Target="ACTAS%20DE%20CONFORMIDAD\AC-2020\03-2020\26-03-2020\REG-43916-3004381437-816.9.pdf" TargetMode="External"/><Relationship Id="rId652" Type="http://schemas.openxmlformats.org/officeDocument/2006/relationships/hyperlink" Target="GUIAS%20DE%20REMISION-REMITENTE\GUIA%20R-R%202020\AGOSTO-2020\0003-001374.pdf" TargetMode="External"/><Relationship Id="rId1075" Type="http://schemas.openxmlformats.org/officeDocument/2006/relationships/hyperlink" Target="https://onedrive.live.com/?cid=8C5B46544A563DC7&amp;id=8C5B46544A563DC7%218808&amp;parId=8C5B46544A563DC7%218804&amp;o=OneUp" TargetMode="External"/><Relationship Id="rId291" Type="http://schemas.openxmlformats.org/officeDocument/2006/relationships/hyperlink" Target="ACTAS%20DE%20CONFORMIDAD\AC-2020\03-2020\09-03-2020\REG-43899-3004402507-1333.1.pdf" TargetMode="External"/><Relationship Id="rId305" Type="http://schemas.openxmlformats.org/officeDocument/2006/relationships/hyperlink" Target="ACTAS%20DE%20CONFORMIDAD\AC-2020\03-2020\11-03-2020\REG-43901-3004290368-1239.4.pdf" TargetMode="External"/><Relationship Id="rId512" Type="http://schemas.openxmlformats.org/officeDocument/2006/relationships/hyperlink" Target="ACTAS%20DE%20CONFORMIDAD\AC-2020\06-2020\08-06-2020\REG-43990-3003566701-4286.6.pdf" TargetMode="External"/><Relationship Id="rId957" Type="http://schemas.openxmlformats.org/officeDocument/2006/relationships/hyperlink" Target="ACTAS%20DE%20CONFORMIDAD\AC-2020\09-2020\28-09-2020\REG-44102-3004327724-1855.3.pdf" TargetMode="External"/><Relationship Id="rId86" Type="http://schemas.openxmlformats.org/officeDocument/2006/relationships/hyperlink" Target="GUIAS%20DE%20REMISION-REMITENTE\GUIA%20R-R%202020\ENERO-%202020\0003-001161.pdf" TargetMode="External"/><Relationship Id="rId151" Type="http://schemas.openxmlformats.org/officeDocument/2006/relationships/hyperlink" Target="ACTAS%20DE%20CONFORMIDAD\AC-2020\02-2020\04-02-2020\REG-43865-3004235514-460.7.pdf" TargetMode="External"/><Relationship Id="rId389" Type="http://schemas.openxmlformats.org/officeDocument/2006/relationships/hyperlink" Target="GUIAS%20DE%20REMISION-REMITENTE\GUIA%20R-R%202020\ABRIL-2020\0003-001093.pdf" TargetMode="External"/><Relationship Id="rId596" Type="http://schemas.openxmlformats.org/officeDocument/2006/relationships/hyperlink" Target="ACTAS%20DE%20CONFORMIDAD\AC-2020\08-2020\12-08-2020\REG-44055-3004214491-2003.7.pdf" TargetMode="External"/><Relationship Id="rId817" Type="http://schemas.openxmlformats.org/officeDocument/2006/relationships/hyperlink" Target="ACTAS%20DE%20CONFORMIDAD\AC-2020\05-2020\11-05-2020\REG-43962-3004381437-1157.4.pdf" TargetMode="External"/><Relationship Id="rId1002" Type="http://schemas.openxmlformats.org/officeDocument/2006/relationships/hyperlink" Target="ACTAS%20DE%20CONFORMIDAD\AC-2020\11-2020\20-11-2020\REG-44155-3003962766-4405.9.pdf" TargetMode="External"/><Relationship Id="rId249" Type="http://schemas.openxmlformats.org/officeDocument/2006/relationships/hyperlink" Target="GUIAS%20DE%20REMISION-REMITENTE\GUIA%20R-R%202020\FEBRERO-2020\0003-001065.pdf" TargetMode="External"/><Relationship Id="rId456" Type="http://schemas.openxmlformats.org/officeDocument/2006/relationships/hyperlink" Target="ACTAS%20DE%20CONFORMIDAD\AC-2020\03-2020\27-03-2020\REG-43917-3004337429-1071.8.pdf" TargetMode="External"/><Relationship Id="rId663" Type="http://schemas.openxmlformats.org/officeDocument/2006/relationships/hyperlink" Target="GUIAS%20DE%20REMISION-REMITENTE\GUIA%20R-R%202020\AGOSTO-2020\0003-001340.pdf" TargetMode="External"/><Relationship Id="rId870" Type="http://schemas.openxmlformats.org/officeDocument/2006/relationships/hyperlink" Target="ACTAS%20DE%20CONFORMIDAD\AC-2020\06-2020\01-06-2020\REG-43983-3004344017-1588.3.pdf" TargetMode="External"/><Relationship Id="rId13" Type="http://schemas.openxmlformats.org/officeDocument/2006/relationships/hyperlink" Target="../../../Fanny%20PC%2001/AppData/Roaming/Microsoft/Excel/ACTAS%20DE%20CONFORMIDAD/AC-2019/10-2019/02-10-2019/REG-43740-3003963149-666.pdf" TargetMode="External"/><Relationship Id="rId109" Type="http://schemas.openxmlformats.org/officeDocument/2006/relationships/hyperlink" Target="ACTAS%20DE%20CONFORMIDAD\AC-2019\11-2019\29-11-2019\REG-43798-3005005010-38.9.pdf" TargetMode="External"/><Relationship Id="rId316" Type="http://schemas.openxmlformats.org/officeDocument/2006/relationships/hyperlink" Target="GUIAS%20DE%20REMISION-REMITENTE\GUIA%20R-R%202020\MARZO-2020\0003-001222.pdf" TargetMode="External"/><Relationship Id="rId523" Type="http://schemas.openxmlformats.org/officeDocument/2006/relationships/hyperlink" Target="ACTAS%20DE%20CONFORMIDAD\AC-2020\03-2020\09-03-2020\REG-43899-B5524F-001-185.4.pdf" TargetMode="External"/><Relationship Id="rId968" Type="http://schemas.openxmlformats.org/officeDocument/2006/relationships/hyperlink" Target="ACTAS%20DE%20CONFORMIDAD\AC-2020\11-2020\17-11-2020\REG-44152-3004370203-2885.1.pdf" TargetMode="External"/><Relationship Id="rId97" Type="http://schemas.openxmlformats.org/officeDocument/2006/relationships/hyperlink" Target="ACTAS%20DE%20CONFORMIDAD\AC-2020\01-2020\31-01-2020\REG-43861-3005005007-424.3.pdf" TargetMode="External"/><Relationship Id="rId730" Type="http://schemas.openxmlformats.org/officeDocument/2006/relationships/hyperlink" Target="ACTAS%20DE%20CONFORMIDAD\AC-2020\09-2020\02-09-2020\REG-44076-3003566703-5819.3.pdf" TargetMode="External"/><Relationship Id="rId828" Type="http://schemas.openxmlformats.org/officeDocument/2006/relationships/hyperlink" Target="ACTAS%20DE%20CONFORMIDAD\AC-2020\10-2020\01-10-2020\REG-44105-3004416582-1691.8.pdf" TargetMode="External"/><Relationship Id="rId1013" Type="http://schemas.openxmlformats.org/officeDocument/2006/relationships/hyperlink" Target="ACTAS%20DE%20CONFORMIDAD\AC-2020\11-2020\23-11-2020\REG-44158-3003962766-4457.4.pdf" TargetMode="External"/><Relationship Id="rId162" Type="http://schemas.openxmlformats.org/officeDocument/2006/relationships/hyperlink" Target="ACTAS%20DE%20CONFORMIDAD\AC-2019\10-2019\21-10-2019\REG-43759-3004327723-249.3.pdf" TargetMode="External"/><Relationship Id="rId467" Type="http://schemas.openxmlformats.org/officeDocument/2006/relationships/hyperlink" Target="ACTAS%20DE%20CONFORMIDAD\AC-2020\03-2020\25-03-2020\REG-43915-3004418790-981.5.pdf" TargetMode="External"/><Relationship Id="rId674" Type="http://schemas.openxmlformats.org/officeDocument/2006/relationships/hyperlink" Target="GUIAS%20DE%20REMISION-REMITENTE\GUIA%20R-R%202020\JULIO-2020\0003-001311.pdf" TargetMode="External"/><Relationship Id="rId881" Type="http://schemas.openxmlformats.org/officeDocument/2006/relationships/hyperlink" Target="ACTAS%20DE%20CONFORMIDAD\AC-2020\10-2020\19-10-2020\REG-44123-3004597773-3087.7.pdf" TargetMode="External"/><Relationship Id="rId979" Type="http://schemas.openxmlformats.org/officeDocument/2006/relationships/hyperlink" Target="ACTAS%20DE%20CONFORMIDAD\AC-2020\11-2020\17-11-2020\REG-44152-3003415536-5559.8.pdf" TargetMode="External"/><Relationship Id="rId24" Type="http://schemas.openxmlformats.org/officeDocument/2006/relationships/hyperlink" Target="ACTAS%20DE%20CONFORMIDAD\AC-2019\08-2019\06-08-2019\REG-43683-3004597773-0.5.pdf" TargetMode="External"/><Relationship Id="rId327" Type="http://schemas.openxmlformats.org/officeDocument/2006/relationships/hyperlink" Target="GUIAS%20DE%20REMISION-REMITENTE\GUIA%20R-R%202020\MARZO-2020\0003-001224.pdf" TargetMode="External"/><Relationship Id="rId534" Type="http://schemas.openxmlformats.org/officeDocument/2006/relationships/hyperlink" Target="ACTAS%20DE%20CONFORMIDAD\AC-2020\06-2020\13-06-2020\REG-43995-3004555912-1615.1.pdf" TargetMode="External"/><Relationship Id="rId741" Type="http://schemas.openxmlformats.org/officeDocument/2006/relationships/hyperlink" Target="GUIAS%20DE%20REMISION-REMITENTE\GUIA%20R-R%202020\JULIO-2020\0003-001318.pdf" TargetMode="External"/><Relationship Id="rId839" Type="http://schemas.openxmlformats.org/officeDocument/2006/relationships/hyperlink" Target="ACTAS%20DE%20CONFORMIDAD\AC-2020\05-2020\30-05-2020\REG-43981-3004402507-1696.9.pdf" TargetMode="External"/><Relationship Id="rId173" Type="http://schemas.openxmlformats.org/officeDocument/2006/relationships/hyperlink" Target="ACTAS%20DE%20CONFORMIDAD\AC-2019\09-2019\16-09-2019\REG-43724-3004337429-1.1.pdf" TargetMode="External"/><Relationship Id="rId380" Type="http://schemas.openxmlformats.org/officeDocument/2006/relationships/hyperlink" Target="GUIAS%20DE%20REMISION-REMITENTE\GUIA%20R-R%202020\ABRIL-2020\0003-001095.pdf" TargetMode="External"/><Relationship Id="rId601" Type="http://schemas.openxmlformats.org/officeDocument/2006/relationships/hyperlink" Target="GUIAS%20DE%20REMISION-REMITENTE\GUIA%20R-R%202020\AGOSTO-2020\0003-001348.pdf" TargetMode="External"/><Relationship Id="rId1024" Type="http://schemas.openxmlformats.org/officeDocument/2006/relationships/hyperlink" Target="ACTAS%20DE%20CONFORMIDAD\AC-2020\12-2020\02-12-2020\REG-44167-3003940357-6053.1.pdf" TargetMode="External"/><Relationship Id="rId240" Type="http://schemas.openxmlformats.org/officeDocument/2006/relationships/hyperlink" Target="ACTAS%20DE%20CONFORMIDAD\AC-2020\02-2020\18-02-2020\REG-43879-3004214491-515.8.pdf" TargetMode="External"/><Relationship Id="rId478" Type="http://schemas.openxmlformats.org/officeDocument/2006/relationships/hyperlink" Target="ACTAS%20DE%20CONFORMIDAD\AC-2019\11-2019\09-11-2019\REG-43778-S-X095140-NR.pdf" TargetMode="External"/><Relationship Id="rId685" Type="http://schemas.openxmlformats.org/officeDocument/2006/relationships/hyperlink" Target="GUIAS%20DE%20REMISION-REMITENTE\GUIA%20R-R%202020\JULIO-2020\0003-001307.pdf" TargetMode="External"/><Relationship Id="rId892" Type="http://schemas.openxmlformats.org/officeDocument/2006/relationships/hyperlink" Target="ACTAS%20DE%20CONFORMIDAD\AC-2020\10-2020\23-10-2020\REG-44127-3004337388-2129.8.pdf" TargetMode="External"/><Relationship Id="rId906" Type="http://schemas.openxmlformats.org/officeDocument/2006/relationships/hyperlink" Target="GUIAS%20DE%20REMISION-REMITENTE\GUIA%20R-R%202020\OCTUBRE-2020\T001-00000022.pdf" TargetMode="External"/><Relationship Id="rId35" Type="http://schemas.openxmlformats.org/officeDocument/2006/relationships/hyperlink" Target="ACTAS%20DE%20CONFORMIDAD\AC-2020\01-2020\21-01-2020\REG-43851-3004337388-853.pdf" TargetMode="External"/><Relationship Id="rId100" Type="http://schemas.openxmlformats.org/officeDocument/2006/relationships/hyperlink" Target="ACTAS%20DE%20CONFORMIDAD\AC-2019\12-2019\11-12-2019\REG-43810-3004327721-711.7.pdf" TargetMode="External"/><Relationship Id="rId338" Type="http://schemas.openxmlformats.org/officeDocument/2006/relationships/hyperlink" Target="GUIAS%20DE%20REMISION-REMITENTE\GUIA%20R-R%202020\MARZO-2020\0003-001227.pdf" TargetMode="External"/><Relationship Id="rId545" Type="http://schemas.openxmlformats.org/officeDocument/2006/relationships/hyperlink" Target="ACTAS%20DE%20CONFORMIDAD\AC-2020\06-2020\17-06-2020\REG-43999-3004428523-1515.8.pdf" TargetMode="External"/><Relationship Id="rId752" Type="http://schemas.openxmlformats.org/officeDocument/2006/relationships/hyperlink" Target="GUIAS%20DE%20REMISION-REMITENTE\GUIA%20R-R%202020\SEPTIEMBRE-2020\0003-001393.pdf" TargetMode="External"/><Relationship Id="rId184" Type="http://schemas.openxmlformats.org/officeDocument/2006/relationships/hyperlink" Target="ACTAS%20DE%20CONFORMIDAD\AC-2019\09-2019\07-09-2019\REG-43715-3004416582-3.pdf" TargetMode="External"/><Relationship Id="rId391" Type="http://schemas.openxmlformats.org/officeDocument/2006/relationships/hyperlink" Target="GUIAS%20DE%20REMISION-REMITENTE\GUIA%20R-R%202020\ABRIL-2020\0003-001093.pdf" TargetMode="External"/><Relationship Id="rId405" Type="http://schemas.openxmlformats.org/officeDocument/2006/relationships/hyperlink" Target="GUIAS%20DE%20REMISION-REMITENTE\GUIA%20R-R%202020\ABRIL-2020\0003-001089.pdf" TargetMode="External"/><Relationship Id="rId612" Type="http://schemas.openxmlformats.org/officeDocument/2006/relationships/hyperlink" Target="ACTAS%20DE%20CONFORMIDAD\AC-2020\08-2020\15-08-2020\REG-44058-3004555912-2271.5.pdf" TargetMode="External"/><Relationship Id="rId1035" Type="http://schemas.openxmlformats.org/officeDocument/2006/relationships/hyperlink" Target="ACTAS%20DE%20CONFORMIDAD\AC-2020\12-2020\14-12-2020\REG-44179-3004331707-841.6.pdf" TargetMode="External"/><Relationship Id="rId251" Type="http://schemas.openxmlformats.org/officeDocument/2006/relationships/hyperlink" Target="GUIAS%20DE%20REMISION-REMITENTE\GUIA%20R-R%202020\FEBRERO-2020\0003-001063.pdf" TargetMode="External"/><Relationship Id="rId489" Type="http://schemas.openxmlformats.org/officeDocument/2006/relationships/hyperlink" Target="ACTAS%20DE%20CONFORMIDAD\AC-2020\06-2020\04-06-2020\REG-43986-3004370195-2613.7.pdf" TargetMode="External"/><Relationship Id="rId696" Type="http://schemas.openxmlformats.org/officeDocument/2006/relationships/hyperlink" Target="ACTAS%20DE%20CONFORMIDAD\AC-2020\08-2020\28-08-2020\REG-44071-3005786151-0.15.pdf" TargetMode="External"/><Relationship Id="rId917" Type="http://schemas.openxmlformats.org/officeDocument/2006/relationships/hyperlink" Target="GUIAS%20DE%20REMISION-REMITENTE\GUIA%20R-R%202020\OCTUBRE-2020\T001-00000009.pdf" TargetMode="External"/><Relationship Id="rId46" Type="http://schemas.openxmlformats.org/officeDocument/2006/relationships/hyperlink" Target="ACTAS%20DE%20CONFORMIDAD\AC-2020\01-2020\10-01-2020\REG-43840-3004418791-817.2.pdf" TargetMode="External"/><Relationship Id="rId349" Type="http://schemas.openxmlformats.org/officeDocument/2006/relationships/hyperlink" Target="GUIAS%20DE%20REMISION-REMITENTE\GUIA%20R-R%202020\ABRIL-2020\0003-001230.pdf" TargetMode="External"/><Relationship Id="rId556" Type="http://schemas.openxmlformats.org/officeDocument/2006/relationships/hyperlink" Target="ACTAS%20DE%20CONFORMIDAD\AC-2020\06-2020\02-06-2020\REG-43984-3004344017-1588.3.pdf" TargetMode="External"/><Relationship Id="rId763" Type="http://schemas.openxmlformats.org/officeDocument/2006/relationships/hyperlink" Target="GUIAS%20DE%20REMISION-REMITENTE\GUIA%20R-R%202020\SEPTIEMBRE-2020\0003-001502.pdf" TargetMode="External"/><Relationship Id="rId111" Type="http://schemas.openxmlformats.org/officeDocument/2006/relationships/hyperlink" Target="ACTAS%20DE%20CONFORMIDAD\AC-2019\11-2019\28-11-2019\REG-43797-3004555914-851.8.pdf" TargetMode="External"/><Relationship Id="rId195" Type="http://schemas.openxmlformats.org/officeDocument/2006/relationships/hyperlink" Target="ACTAS%20DE%20CONFORMIDAD\AC-2019\09-2019\14-09-2019\REG-43722-6JA02715-119.6.pdf" TargetMode="External"/><Relationship Id="rId209" Type="http://schemas.openxmlformats.org/officeDocument/2006/relationships/hyperlink" Target="GUIAS%20DE%20REMISION-REMITENTE\GUIA%20R-R%202020\FEBRERO-2020\0003-001060.pdf" TargetMode="External"/><Relationship Id="rId416" Type="http://schemas.openxmlformats.org/officeDocument/2006/relationships/hyperlink" Target="ACTAS%20DE%20CONFORMIDAD\AC-2020\04-2020\03-04-2020\REG-43924-3004336196-1132.4.pdf" TargetMode="External"/><Relationship Id="rId970" Type="http://schemas.openxmlformats.org/officeDocument/2006/relationships/hyperlink" Target="GUIAS%20DE%20REMISION-REMITENTE\GUIA%20R-R%202020\NOVIEMBRE-2020\T001-00000065.pdf" TargetMode="External"/><Relationship Id="rId1046" Type="http://schemas.openxmlformats.org/officeDocument/2006/relationships/hyperlink" Target="ACTAS%20DE%20CONFORMIDAD\AC-2020\12-2020\17-12-2020\REG-44182-3004327723-6883.3.pdf" TargetMode="External"/><Relationship Id="rId623" Type="http://schemas.openxmlformats.org/officeDocument/2006/relationships/hyperlink" Target="ACTAS%20DE%20CONFORMIDAD\AC-2020\08-2020\08-08-2020\REG-44051-3004327721-1856.1.pdf" TargetMode="External"/><Relationship Id="rId830" Type="http://schemas.openxmlformats.org/officeDocument/2006/relationships/hyperlink" Target="GUIAS%20DE%20REMISION-REMITENTE\GUIA%20R-R%202020\SEPTIEMBRE-2020\0003-001531.pdf" TargetMode="External"/><Relationship Id="rId928" Type="http://schemas.openxmlformats.org/officeDocument/2006/relationships/hyperlink" Target="ACTAS%20DE%20CONFORMIDAD\AC-2020\10-2020\30-10-2020\REG-44134-3004999911-2978.8.pdf" TargetMode="External"/><Relationship Id="rId57" Type="http://schemas.openxmlformats.org/officeDocument/2006/relationships/hyperlink" Target="ACTAS%20DE%20CONFORMIDAD\AC-2020\01-2020\08-01-2020\REG-43838-3004331705-1018.1.pdf" TargetMode="External"/><Relationship Id="rId262" Type="http://schemas.openxmlformats.org/officeDocument/2006/relationships/hyperlink" Target="ACTAS%20DE%20CONFORMIDAD\AC-2019\12-2019\09-12-2019\REG-43808-1603596-1411.57.pdf" TargetMode="External"/><Relationship Id="rId567" Type="http://schemas.openxmlformats.org/officeDocument/2006/relationships/hyperlink" Target="GUIAS%20DE%20REMISION-REMITENTE\GUIA%20R-R%202020\JUNIO-2020\0003-001285.pdf" TargetMode="External"/><Relationship Id="rId122" Type="http://schemas.openxmlformats.org/officeDocument/2006/relationships/hyperlink" Target="ACTAS%20DE%20CONFORMIDAD\AC-2019\11-2019\22-11-2019\REG-43791-3004327722-543.1.pdf" TargetMode="External"/><Relationship Id="rId774" Type="http://schemas.openxmlformats.org/officeDocument/2006/relationships/hyperlink" Target="ACTAS%20DE%20CONFORMIDAD\AC-2020\09-2020\10-09-2020\REG-44084-3004555912-2468.1.pdf" TargetMode="External"/><Relationship Id="rId981" Type="http://schemas.openxmlformats.org/officeDocument/2006/relationships/hyperlink" Target="ACTAS%20DE%20CONFORMIDAD\AC-2020\11-2020\09-11-2020\REG-44144-3004597775-2331.8.pdf" TargetMode="External"/><Relationship Id="rId1057" Type="http://schemas.openxmlformats.org/officeDocument/2006/relationships/hyperlink" Target="https://onedrive.live.com/?cid=8C5B46544A563DC7&amp;id=8C5B46544A563DC7%218594&amp;parId=8C5B46544A563DC7%218593&amp;o=OneUp" TargetMode="External"/><Relationship Id="rId427" Type="http://schemas.openxmlformats.org/officeDocument/2006/relationships/hyperlink" Target="ACTAS%20DE%20CONFORMIDAD\AC-2020\05-2020\13-05-2020\REG-43964-3004999911-1431.3.pdf" TargetMode="External"/><Relationship Id="rId634" Type="http://schemas.openxmlformats.org/officeDocument/2006/relationships/hyperlink" Target="ACTAS%20DE%20CONFORMIDAD\AC-2020\08-2020\20-08-2020\REG-44063-3005167422-1091.7.pdf" TargetMode="External"/><Relationship Id="rId841" Type="http://schemas.openxmlformats.org/officeDocument/2006/relationships/hyperlink" Target="ACTAS%20DE%20CONFORMIDAD\AC-2020\09-2020\23-09-2020\REG-44097-3004999911-2632.3.pdf" TargetMode="External"/><Relationship Id="rId273" Type="http://schemas.openxmlformats.org/officeDocument/2006/relationships/hyperlink" Target="ACTAS%20DE%20CONFORMIDAD\AC-2020\02-2020\25-02-2020\REG-43886-3004331709-1206.9.pdf" TargetMode="External"/><Relationship Id="rId480" Type="http://schemas.openxmlformats.org/officeDocument/2006/relationships/hyperlink" Target="ACTAS%20DE%20CONFORMIDAD\AC-2020\05-2020\30-05-2020\REG-43981-3003415536-3915.pdf" TargetMode="External"/><Relationship Id="rId701" Type="http://schemas.openxmlformats.org/officeDocument/2006/relationships/hyperlink" Target="ACTAS%20DE%20CONFORMIDAD\AC-2020\07-2020\24-07-2020\REG-44036-3004370193-3148.5.pdf" TargetMode="External"/><Relationship Id="rId939" Type="http://schemas.openxmlformats.org/officeDocument/2006/relationships/hyperlink" Target="ACTAS%20DE%20CONFORMIDAD\AC-2020\09-2020\18-09-2020\REG-44092-6JA02715-119.6.pdf" TargetMode="External"/><Relationship Id="rId68" Type="http://schemas.openxmlformats.org/officeDocument/2006/relationships/hyperlink" Target="ACTAS%20DE%20CONFORMIDAD\AC-2020\01-2020\03-01-2020\REG-43833-3004402506-844.8.pdf" TargetMode="External"/><Relationship Id="rId133" Type="http://schemas.openxmlformats.org/officeDocument/2006/relationships/hyperlink" Target="ACTAS%20DE%20CONFORMIDAD\AC-2019\11-2019\19-11-2019\REG-43788-3004227749-45.3.pdf" TargetMode="External"/><Relationship Id="rId340" Type="http://schemas.openxmlformats.org/officeDocument/2006/relationships/hyperlink" Target="ACTAS%20DE%20CONFORMIDAD\AC-2020\02-2020\05-02-2020\REG-43866-3004331708-997.6.pdf" TargetMode="External"/><Relationship Id="rId578" Type="http://schemas.openxmlformats.org/officeDocument/2006/relationships/hyperlink" Target="GUIAS%20DE%20REMISION-REMITENTE\GUIA%20R-R%202020\AGOSTO-2020\0003-001330.pdf" TargetMode="External"/><Relationship Id="rId785" Type="http://schemas.openxmlformats.org/officeDocument/2006/relationships/hyperlink" Target="ACTAS%20DE%20CONFORMIDAD\AC-2020\09-2020\22-09-2020\REG-44096-3003415536-5143.7.pdf" TargetMode="External"/><Relationship Id="rId992" Type="http://schemas.openxmlformats.org/officeDocument/2006/relationships/hyperlink" Target="GUIAS%20DE%20REMISION-REMITENTE\GUIA%20R-R%202020\DICIEMBRE-2020\T001-00000124.pdf" TargetMode="External"/><Relationship Id="rId200" Type="http://schemas.openxmlformats.org/officeDocument/2006/relationships/hyperlink" Target="ACTAS%20DE%20CONFORMIDAD\AC-2019\09-2019\18-09-2019\REG-43726-3004370195-756.pdf" TargetMode="External"/><Relationship Id="rId438" Type="http://schemas.openxmlformats.org/officeDocument/2006/relationships/hyperlink" Target="GUIAS%20DE%20REMISION-REMITENTE\GUIA%20R-R%202020\MARZO-2020\0003-001074.pdf" TargetMode="External"/><Relationship Id="rId645" Type="http://schemas.openxmlformats.org/officeDocument/2006/relationships/hyperlink" Target="ACTAS%20DE%20CONFORMIDAD\AC-2020\08-2020\19-08-2020\REG-44062-3004327724-1742.1.pdf" TargetMode="External"/><Relationship Id="rId852" Type="http://schemas.openxmlformats.org/officeDocument/2006/relationships/hyperlink" Target="ACTAS%20DE%20CONFORMIDAD\AC-2020\10-2020\09-10-2020\REG-44113-3003415539-5881.6.pdf" TargetMode="External"/><Relationship Id="rId1068" Type="http://schemas.openxmlformats.org/officeDocument/2006/relationships/hyperlink" Target="https://onedrive.live.com/?cid=8C5B46544A563DC7&amp;id=8C5B46544A563DC7%218660&amp;parId=8C5B46544A563DC7%218658&amp;o=OneUp" TargetMode="External"/><Relationship Id="rId284" Type="http://schemas.openxmlformats.org/officeDocument/2006/relationships/hyperlink" Target="ACTAS%20DE%20CONFORMIDAD\AC-2020\03-2020\05-03-2020\REG-43895-3004337427-891.9.pdf" TargetMode="External"/><Relationship Id="rId491" Type="http://schemas.openxmlformats.org/officeDocument/2006/relationships/hyperlink" Target="ACTAS%20DE%20CONFORMIDAD\AC-2020\05-2020\30-05-2020\REG-43981-3004370203-1923.3.pdf" TargetMode="External"/><Relationship Id="rId505" Type="http://schemas.openxmlformats.org/officeDocument/2006/relationships/hyperlink" Target="GUIAS%20DE%20REMISION-REMITENTE\GUIA%20R-R%202020\JUNIO-2020\0003-001255.pdf" TargetMode="External"/><Relationship Id="rId712" Type="http://schemas.openxmlformats.org/officeDocument/2006/relationships/hyperlink" Target="GUIAS%20DE%20REMISION-REMITENTE\GUIA%20R-R%202020\JULIO-2020\0003-001321.pdf" TargetMode="External"/><Relationship Id="rId79" Type="http://schemas.openxmlformats.org/officeDocument/2006/relationships/hyperlink" Target="GUIAS%20DE%20REMISION-REMITENTE\GUIA%20R-R%202020\ENERO-%202020\0003-001182.pdf" TargetMode="External"/><Relationship Id="rId144" Type="http://schemas.openxmlformats.org/officeDocument/2006/relationships/hyperlink" Target="ACTAS%20DE%20CONFORMIDAD\AC-2019\11-2019\14-11-2019\REG-43783-3004999911-0.pdf" TargetMode="External"/><Relationship Id="rId589" Type="http://schemas.openxmlformats.org/officeDocument/2006/relationships/hyperlink" Target="ACTAS%20DE%20CONFORMIDAD\AC-2020\06-2020\30-06-2020\REG-44012-3005005007-1497.7.pdf" TargetMode="External"/><Relationship Id="rId796" Type="http://schemas.openxmlformats.org/officeDocument/2006/relationships/hyperlink" Target="ACTAS%20DE%20CONFORMIDAD\AC-2019\03-2019\23-03-2020\REG-43547-A5245J-001-306.pdf" TargetMode="External"/><Relationship Id="rId351" Type="http://schemas.openxmlformats.org/officeDocument/2006/relationships/hyperlink" Target="ACTAS%20DE%20CONFORMIDAD\AC-2020\04-2020\18-04-2020\REG-43939-3005167422-142.8.pdf" TargetMode="External"/><Relationship Id="rId449" Type="http://schemas.openxmlformats.org/officeDocument/2006/relationships/hyperlink" Target="GUIAS%20DE%20REMISION-REMITENTE\GUIA%20R-R%202020\MARZO-2020\0003-001084.pdf" TargetMode="External"/><Relationship Id="rId656" Type="http://schemas.openxmlformats.org/officeDocument/2006/relationships/hyperlink" Target="ACTAS%20DE%20CONFORMIDAD\AC-2020\08-2020\26-08-2020\REG-44069-3004370195-3098.3.pdf" TargetMode="External"/><Relationship Id="rId863" Type="http://schemas.openxmlformats.org/officeDocument/2006/relationships/hyperlink" Target="ACTAS%20DE%20CONFORMIDAD\AC-2020\05-2020\27-05-2020\REG-43978-3004344017-1512.3.pdf" TargetMode="External"/><Relationship Id="rId1079" Type="http://schemas.openxmlformats.org/officeDocument/2006/relationships/drawing" Target="../drawings/drawing14.xml"/><Relationship Id="rId211" Type="http://schemas.openxmlformats.org/officeDocument/2006/relationships/hyperlink" Target="ACTAS%20DE%20CONFORMIDAD\AC-2020\02-2020\08-02-2020\REG-43869-6FA06155-2737.pdf" TargetMode="External"/><Relationship Id="rId295" Type="http://schemas.openxmlformats.org/officeDocument/2006/relationships/hyperlink" Target="ACTAS%20DE%20CONFORMIDAD\AC-2020\03-2020\05-03-2020\REG-43895-3004256777-535.pdf" TargetMode="External"/><Relationship Id="rId309" Type="http://schemas.openxmlformats.org/officeDocument/2006/relationships/hyperlink" Target="GUIAS%20DE%20REMISION-REMITENTE\GUIA%20R-R%202020\MARZO-2020\0003-001072.pdf" TargetMode="External"/><Relationship Id="rId516" Type="http://schemas.openxmlformats.org/officeDocument/2006/relationships/hyperlink" Target="ACTAS%20DE%20CONFORMIDAD\AC-2020\06-2020\11-06-2020\REG-43993-3004982850-0.pdf" TargetMode="External"/><Relationship Id="rId723" Type="http://schemas.openxmlformats.org/officeDocument/2006/relationships/hyperlink" Target="ACTAS%20DE%20CONFORMIDAD\AC-2020\09-2020\01-09-2020\REG-44075-3003932245-5847.pdf" TargetMode="External"/><Relationship Id="rId930" Type="http://schemas.openxmlformats.org/officeDocument/2006/relationships/hyperlink" Target="GUIAS%20DE%20REMISION-REMITENTE\GUIA%20R-R%202020\OCTUBRE-2020\0003-001536.pdf" TargetMode="External"/><Relationship Id="rId1006" Type="http://schemas.openxmlformats.org/officeDocument/2006/relationships/hyperlink" Target="ACTAS%20DE%20CONFORMIDAD\AC-2020\11-2020\19-11-2020\REG-44154-8893263-351.77.pdf" TargetMode="External"/><Relationship Id="rId155" Type="http://schemas.openxmlformats.org/officeDocument/2006/relationships/hyperlink" Target="ACTAS%20DE%20CONFORMIDAD\AC-2019\11-2019\19-11-2019\REG-43788-3004336196-339.9.pdf" TargetMode="External"/><Relationship Id="rId362" Type="http://schemas.openxmlformats.org/officeDocument/2006/relationships/hyperlink" Target="ACTAS%20DE%20CONFORMIDAD\AC-2020\04-2020\23-04-2020\REG-43944-PEE2626871-108.7.pdf" TargetMode="External"/><Relationship Id="rId222" Type="http://schemas.openxmlformats.org/officeDocument/2006/relationships/hyperlink" Target="ACTAS%20DE%20CONFORMIDAD\AC-2019\03-2019\15-03-2019\REG-43539--.pdf" TargetMode="External"/><Relationship Id="rId667" Type="http://schemas.openxmlformats.org/officeDocument/2006/relationships/hyperlink" Target="GUIAS%20DE%20REMISION-REMITENTE\GUIA%20R-R%202020\JULIO-2020\0003-001287.pdf" TargetMode="External"/><Relationship Id="rId874" Type="http://schemas.openxmlformats.org/officeDocument/2006/relationships/hyperlink" Target="ACTAS%20DE%20CONFORMIDAD\AC-2020\10-2020\08-10-2020\REG-44112-3003940357-5316.2.pdf" TargetMode="External"/><Relationship Id="rId17" Type="http://schemas.openxmlformats.org/officeDocument/2006/relationships/hyperlink" Target="../../../Fanny%20PC%2001/AppData/Roaming/Microsoft/Excel/ACTAS%20DE%20CONFORMIDAD/AC-2019/08-2019/01-08-2019/REG-43678-3004370195-439.7.pdf" TargetMode="External"/><Relationship Id="rId527" Type="http://schemas.openxmlformats.org/officeDocument/2006/relationships/hyperlink" Target="ACTAS%20DE%20CONFORMIDAD\AC-2020\05-2020\23-05-2020\REG-43974-8754673-152.9.pdf" TargetMode="External"/><Relationship Id="rId734" Type="http://schemas.openxmlformats.org/officeDocument/2006/relationships/hyperlink" Target="ACTAS%20DE%20CONFORMIDAD\AC-2020\09-2020\02-09-2020\REG-44076-3003987064-4885.8.pdf" TargetMode="External"/><Relationship Id="rId941" Type="http://schemas.openxmlformats.org/officeDocument/2006/relationships/hyperlink" Target="ACTAS%20DE%20CONFORMIDAD\AC-2020\11-2020\06-11-2020\REG-44141-3004256777-2460.5.pdf" TargetMode="External"/><Relationship Id="rId70" Type="http://schemas.openxmlformats.org/officeDocument/2006/relationships/hyperlink" Target="ACTAS%20DE%20CONFORMIDAD\AC-2020\01-2020\02-01-2020\REG-43832-3004337428-68.pdf" TargetMode="External"/><Relationship Id="rId166" Type="http://schemas.openxmlformats.org/officeDocument/2006/relationships/hyperlink" Target="ACTAS%20DE%20CONFORMIDAD\AC-2019\10-2019\16-10-2019\REG-43754-9227292-2574.4.pdf" TargetMode="External"/><Relationship Id="rId373" Type="http://schemas.openxmlformats.org/officeDocument/2006/relationships/hyperlink" Target="ACTAS%20DE%20CONFORMIDAD\AC-2020\04-2020\21-04-2020\REG-43942-3004327725-1045.9.pdf" TargetMode="External"/><Relationship Id="rId580" Type="http://schemas.openxmlformats.org/officeDocument/2006/relationships/hyperlink" Target="GUIAS%20DE%20REMISION-REMITENTE\GUIA%20R-R%202020\AGOSTO-2020\0003-001345.pdf" TargetMode="External"/><Relationship Id="rId801" Type="http://schemas.openxmlformats.org/officeDocument/2006/relationships/hyperlink" Target="GUIAS%20DE%20REMISION-REMITENTE\GUIA%20R-R%202020\SEPTIEMBRE-2020\0003-001521.pdf" TargetMode="External"/><Relationship Id="rId1017" Type="http://schemas.openxmlformats.org/officeDocument/2006/relationships/hyperlink" Target="ACTAS%20DE%20CONFORMIDAD\AC-2020\12-2020\07-12-2020\REG-44172-3004337430-671.4.pdf" TargetMode="External"/><Relationship Id="rId1" Type="http://schemas.openxmlformats.org/officeDocument/2006/relationships/hyperlink" Target="../../../Fanny%20PC%2001/AppData/Roaming/Microsoft/Excel/GUIAS%20DE%20REMISION-REMITENTE/GUIA%20R-R%202019/NOVIEMBRE/0003-001114.pdf" TargetMode="External"/><Relationship Id="rId233" Type="http://schemas.openxmlformats.org/officeDocument/2006/relationships/hyperlink" Target="GUIAS%20DE%20REMISION-REMITENTE\GUIA%20R-R%202020\FEBRERO-2020\0003-001067.pdf" TargetMode="External"/><Relationship Id="rId440" Type="http://schemas.openxmlformats.org/officeDocument/2006/relationships/hyperlink" Target="ACTAS%20DE%20CONFORMIDAD\AC-2020\05-2020\22-05-2020\REG-43973-X08331T-900.33.pdf" TargetMode="External"/><Relationship Id="rId678" Type="http://schemas.openxmlformats.org/officeDocument/2006/relationships/hyperlink" Target="ACTAS%20DE%20CONFORMIDAD\AC-2020\07-2020\22-07-2020\REG-44034-3004370195-2827.5.pdf" TargetMode="External"/><Relationship Id="rId885" Type="http://schemas.openxmlformats.org/officeDocument/2006/relationships/hyperlink" Target="ACTAS%20DE%20CONFORMIDAD\AC-2020\10-2020\16-10-2020\REG-44120-3004331708-1945.1.pdf" TargetMode="External"/><Relationship Id="rId1070" Type="http://schemas.openxmlformats.org/officeDocument/2006/relationships/hyperlink" Target="https://onedrive.live.com/?cid=8C5B46544A563DC7&amp;id=8C5B46544A563DC7%218662&amp;parId=8C5B46544A563DC7%218658&amp;o=OneUp" TargetMode="External"/><Relationship Id="rId28" Type="http://schemas.openxmlformats.org/officeDocument/2006/relationships/hyperlink" Target="ACTAS%20DE%20CONFORMIDAD\AC-2019\08-2019\23-08-2019\REG-43700-3004555912-235.2.pdf" TargetMode="External"/><Relationship Id="rId300" Type="http://schemas.openxmlformats.org/officeDocument/2006/relationships/hyperlink" Target="GUIAS%20DE%20REMISION-REMITENTE\GUIA%20R-R%202020\MARZO-2020\0003-001075.pdf" TargetMode="External"/><Relationship Id="rId538" Type="http://schemas.openxmlformats.org/officeDocument/2006/relationships/hyperlink" Target="GUIAS%20DE%20REMISION-REMITENTE\GUIA%20R-R%202020\JUNIO-2020\0003-001251.pdf" TargetMode="External"/><Relationship Id="rId745" Type="http://schemas.openxmlformats.org/officeDocument/2006/relationships/hyperlink" Target="ACTAS%20DE%20CONFORMIDAD\AC-2020\08-2020\31-08-2020\REG-44074-G-4012-2096.1.pdf" TargetMode="External"/><Relationship Id="rId952" Type="http://schemas.openxmlformats.org/officeDocument/2006/relationships/hyperlink" Target="ACTAS%20DE%20CONFORMIDAD\AC-2020\11-2020\14-11-2020\REG-44149-3005005010-2239.1.pdf" TargetMode="External"/><Relationship Id="rId81" Type="http://schemas.openxmlformats.org/officeDocument/2006/relationships/hyperlink" Target="GUIAS%20DE%20REMISION-REMITENTE\GUIA%20R-R%202020\ENERO-%202020\0003-001168.pdf" TargetMode="External"/><Relationship Id="rId177" Type="http://schemas.openxmlformats.org/officeDocument/2006/relationships/hyperlink" Target="ACTAS%20DE%20CONFORMIDAD\AC-2019\09-2019\07-09-2019\REG-43715-3004337388-0.6.pdf" TargetMode="External"/><Relationship Id="rId384" Type="http://schemas.openxmlformats.org/officeDocument/2006/relationships/hyperlink" Target="ACTAS%20DE%20CONFORMIDAD\AC-2020\04-2020\08-04-2020\REG-43929-3004290364-941.5.pdf" TargetMode="External"/><Relationship Id="rId591" Type="http://schemas.openxmlformats.org/officeDocument/2006/relationships/hyperlink" Target="ACTAS%20DE%20CONFORMIDAD\AC-2020\06-2020\30-06-2020\REG-44012-3005005010-1756.5.pdf" TargetMode="External"/><Relationship Id="rId605" Type="http://schemas.openxmlformats.org/officeDocument/2006/relationships/hyperlink" Target="ACTAS%20DE%20CONFORMIDAD\AC-2020\08-2020\10-08-2020\REG-44053-3003415539-5306.3.pdf" TargetMode="External"/><Relationship Id="rId812" Type="http://schemas.openxmlformats.org/officeDocument/2006/relationships/hyperlink" Target="GUIAS%20DE%20REMISION-REMITENTE\GUIA%20R-R%202020\MAYO-2020\0003-001401.pdf" TargetMode="External"/><Relationship Id="rId1028" Type="http://schemas.openxmlformats.org/officeDocument/2006/relationships/hyperlink" Target="ACTAS%20DE%20CONFORMIDAD\AC-2020\12-2020\10-12-2020\REG-44175-3003415536-5482.pdf" TargetMode="External"/><Relationship Id="rId244" Type="http://schemas.openxmlformats.org/officeDocument/2006/relationships/hyperlink" Target="ACTAS%20DE%20CONFORMIDAD\AC-2020\02-2020\18-02-2020\REG-43879-3004290366-1308.1.pdf" TargetMode="External"/><Relationship Id="rId689" Type="http://schemas.openxmlformats.org/officeDocument/2006/relationships/hyperlink" Target="GUIAS%20DE%20REMISION-REMITENTE\GUIA%20R-R%202020\JULIO-2020\0003-001300.pdf" TargetMode="External"/><Relationship Id="rId896" Type="http://schemas.openxmlformats.org/officeDocument/2006/relationships/hyperlink" Target="ACTAS%20DE%20CONFORMIDAD\AC-2020\10-2020\20-10-2020\REG-44124-3003566699-7304.7.pdf" TargetMode="External"/><Relationship Id="rId1081" Type="http://schemas.openxmlformats.org/officeDocument/2006/relationships/ctrlProp" Target="../ctrlProps/ctrlProp32.xml"/><Relationship Id="rId39" Type="http://schemas.openxmlformats.org/officeDocument/2006/relationships/hyperlink" Target="ACTAS%20DE%20CONFORMIDAD\AC-2020\01-2020\14-01-2020\REG-43844-3004227749-370.1.pdf" TargetMode="External"/><Relationship Id="rId451" Type="http://schemas.openxmlformats.org/officeDocument/2006/relationships/hyperlink" Target="ACTAS%20DE%20CONFORMIDAD\AC-2020\03-2020\28-03-2020\REG-43918-3004218547-851.3.pdf" TargetMode="External"/><Relationship Id="rId549" Type="http://schemas.openxmlformats.org/officeDocument/2006/relationships/hyperlink" Target="ACTAS%20DE%20CONFORMIDAD\AC-2020\05-2020\23-05-2020\REG-43974-B5524F-001-185.7.pdf" TargetMode="External"/><Relationship Id="rId756" Type="http://schemas.openxmlformats.org/officeDocument/2006/relationships/hyperlink" Target="GUIAS%20DE%20REMISION-REMITENTE\GUIA%20R-R%202020\SEPTIEMBRE-2020\0003-001390.pdf" TargetMode="External"/><Relationship Id="rId104" Type="http://schemas.openxmlformats.org/officeDocument/2006/relationships/hyperlink" Target="ACTAS%20DE%20CONFORMIDAD\AC-2019\12-2019\04-12-2019\REG-43803-3005005010-109.9.pdf" TargetMode="External"/><Relationship Id="rId188" Type="http://schemas.openxmlformats.org/officeDocument/2006/relationships/hyperlink" Target="ACTAS%20DE%20CONFORMIDAD\AC-2019\10-2019\15-10-2019\REG-43753-3004416580-79.6.pdf" TargetMode="External"/><Relationship Id="rId311" Type="http://schemas.openxmlformats.org/officeDocument/2006/relationships/hyperlink" Target="ACTAS%20DE%20CONFORMIDAD\AC-2020\03-2020\13-03-2020\REG-43903-3004416580-1402.9.pdf" TargetMode="External"/><Relationship Id="rId395" Type="http://schemas.openxmlformats.org/officeDocument/2006/relationships/hyperlink" Target="GUIAS%20DE%20REMISION-REMITENTE\GUIA%20R-R%202020\ABRIL-2020\0003-001092.pdf" TargetMode="External"/><Relationship Id="rId409" Type="http://schemas.openxmlformats.org/officeDocument/2006/relationships/hyperlink" Target="ACTAS%20DE%20CONFORMIDAD\AC-2020\04-2020\22-04-2020\REG-43943-3004290365-1353.4.pdf" TargetMode="External"/><Relationship Id="rId963" Type="http://schemas.openxmlformats.org/officeDocument/2006/relationships/hyperlink" Target="GUIAS%20DE%20REMISION-REMITENTE\GUIA%20R-R%202020\NOVIEMBRE-2020\T001-00000075.pdf" TargetMode="External"/><Relationship Id="rId1039" Type="http://schemas.openxmlformats.org/officeDocument/2006/relationships/hyperlink" Target="ACTAS%20DE%20CONFORMIDAD\AC-2020\12-2020\17-12-2020\REG-44182-3003566705-6883.3.pdf" TargetMode="External"/><Relationship Id="rId92" Type="http://schemas.openxmlformats.org/officeDocument/2006/relationships/hyperlink" Target="GUIAS%20DE%20REMISION-REMITENTE\GUIA%20R-R%202020\ENERO-%202020\0003-001160.pdf" TargetMode="External"/><Relationship Id="rId616" Type="http://schemas.openxmlformats.org/officeDocument/2006/relationships/hyperlink" Target="ACTAS%20DE%20CONFORMIDAD\AC-2020\07-2020\08-07-2020\REG-44020-3004370193-3137.5.pdf" TargetMode="External"/><Relationship Id="rId823" Type="http://schemas.openxmlformats.org/officeDocument/2006/relationships/hyperlink" Target="GUIAS%20DE%20REMISION-REMITENTE\GUIA%20R-R%202020\AGOSTO-2020\0003-001438.pdf" TargetMode="External"/><Relationship Id="rId255" Type="http://schemas.openxmlformats.org/officeDocument/2006/relationships/hyperlink" Target="ACTAS%20DE%20CONFORMIDAD\AC-2020\02-2020\21-02-2020\REG-43882-3004428523-649.9.pdf" TargetMode="External"/><Relationship Id="rId462" Type="http://schemas.openxmlformats.org/officeDocument/2006/relationships/hyperlink" Target="GUIAS%20DE%20REMISION-REMITENTE\GUIA%20R-R%202020\MARZO-2020\0003-001226.pdf" TargetMode="External"/><Relationship Id="rId115" Type="http://schemas.openxmlformats.org/officeDocument/2006/relationships/hyperlink" Target="ACTAS%20DE%20CONFORMIDAD\AC-2019\11-2019\27-11-2019\REG-43796-3004381438-535.9.pdf" TargetMode="External"/><Relationship Id="rId322" Type="http://schemas.openxmlformats.org/officeDocument/2006/relationships/hyperlink" Target="ACTAS%20DE%20CONFORMIDAD\AC-2020\03-2020\17-03-2020\REG-43907-3004227749-808.7.pdf" TargetMode="External"/><Relationship Id="rId767" Type="http://schemas.openxmlformats.org/officeDocument/2006/relationships/hyperlink" Target="ACTAS%20DE%20CONFORMIDAD\AC-2020\09-2020\11-09-2020\REG-44085-3003415544-5316.3.pdf" TargetMode="External"/><Relationship Id="rId974" Type="http://schemas.openxmlformats.org/officeDocument/2006/relationships/hyperlink" Target="GUIAS%20DE%20REMISION-REMITENTE\GUIA%20R-R%202020\NOVIEMBRE-2020\T001-00000052.pdf" TargetMode="External"/><Relationship Id="rId199" Type="http://schemas.openxmlformats.org/officeDocument/2006/relationships/hyperlink" Target="ACTAS%20DE%20CONFORMIDAD\AC-2019\09-2019\18-09-2019\REG-43726-3004370193-988.5.pdf" TargetMode="External"/><Relationship Id="rId627" Type="http://schemas.openxmlformats.org/officeDocument/2006/relationships/hyperlink" Target="ACTAS%20DE%20CONFORMIDAD\AC-2020\08-2020\19-08-2020\REG-44062-3004214491-2042.3.pdf" TargetMode="External"/><Relationship Id="rId834" Type="http://schemas.openxmlformats.org/officeDocument/2006/relationships/hyperlink" Target="ACTAS%20DE%20CONFORMIDAD\AC-2020\10-2020\01-10-2020\REG-44105-3003963150-4210.6.pdf" TargetMode="External"/><Relationship Id="rId266" Type="http://schemas.openxmlformats.org/officeDocument/2006/relationships/hyperlink" Target="ACTAS%20DE%20CONFORMIDAD\AC-2019\06-2019\REG-43621-1603600-450.pdf" TargetMode="External"/><Relationship Id="rId473" Type="http://schemas.openxmlformats.org/officeDocument/2006/relationships/hyperlink" Target="GUIAS%20DE%20REMISION-REMITENTE\GUIA%20R-R%202020\JUNIO-2020\0003-001253.pdf" TargetMode="External"/><Relationship Id="rId680" Type="http://schemas.openxmlformats.org/officeDocument/2006/relationships/hyperlink" Target="ACTAS%20DE%20CONFORMIDAD\AC-2020\07-2020\22-07-2020\REG-44034-3004370195-2828.pdf" TargetMode="External"/><Relationship Id="rId901" Type="http://schemas.openxmlformats.org/officeDocument/2006/relationships/hyperlink" Target="GUIAS%20DE%20REMISION-REMITENTE\GUIA%20R-R%202020\OCTUBRE-2020\T001-00000021.pdf" TargetMode="External"/><Relationship Id="rId30" Type="http://schemas.openxmlformats.org/officeDocument/2006/relationships/hyperlink" Target="ACTAS%20DE%20CONFORMIDAD\AC-2020\01-2020\24-01-2020\REG-43854-3004337388-853.4.pdf" TargetMode="External"/><Relationship Id="rId126" Type="http://schemas.openxmlformats.org/officeDocument/2006/relationships/hyperlink" Target="ACTAS%20DE%20CONFORMIDAD\AC-2019\11-2019\22-11-2019\REG-43791-3004327723-586.6.pdf" TargetMode="External"/><Relationship Id="rId333" Type="http://schemas.openxmlformats.org/officeDocument/2006/relationships/hyperlink" Target="ACTAS%20DE%20CONFORMIDAD\AC-2020\03-2020\05-03-2020\REG-43895-PEE2626871-0.6.pdf" TargetMode="External"/><Relationship Id="rId540" Type="http://schemas.openxmlformats.org/officeDocument/2006/relationships/hyperlink" Target="ACTAS%20DE%20CONFORMIDAD\AC-2020\06-2020\16-06-2020\REG-43998-GEGA112-NR.pdf" TargetMode="External"/><Relationship Id="rId778" Type="http://schemas.openxmlformats.org/officeDocument/2006/relationships/hyperlink" Target="ACTAS%20DE%20CONFORMIDAD\AC-2020\09-2020\07-09-2020\REG-44081-3004370203-2643.9.pdf" TargetMode="External"/><Relationship Id="rId985" Type="http://schemas.openxmlformats.org/officeDocument/2006/relationships/hyperlink" Target="GUIAS%20DE%20REMISION-REMITENTE\GUIA%20R-R%202020\NOVIEMBRE-2020\T001-00000060.pdf" TargetMode="External"/><Relationship Id="rId638" Type="http://schemas.openxmlformats.org/officeDocument/2006/relationships/hyperlink" Target="ACTAS%20DE%20CONFORMIDAD\AC-2020\08-2020\20-08-2020\REG-44063-3004331705-2096.3.pdf" TargetMode="External"/><Relationship Id="rId845" Type="http://schemas.openxmlformats.org/officeDocument/2006/relationships/hyperlink" Target="ACTAS%20DE%20CONFORMIDAD\AC-2020\09-2020\22-09-2020\REG-44096-3003962766-3840.4.pdf" TargetMode="External"/><Relationship Id="rId1030" Type="http://schemas.openxmlformats.org/officeDocument/2006/relationships/hyperlink" Target="ACTAS%20DE%20CONFORMIDAD\AC-2020\12-2020\10-12-2020\REG-44175-3004999911-3252.4.pdf" TargetMode="External"/><Relationship Id="rId277" Type="http://schemas.openxmlformats.org/officeDocument/2006/relationships/hyperlink" Target="ACTAS%20DE%20CONFORMIDAD\AC-2019\08-2019\05-08-2019\REG-43682-9658425-3305.2.pdf" TargetMode="External"/><Relationship Id="rId400" Type="http://schemas.openxmlformats.org/officeDocument/2006/relationships/hyperlink" Target="ACTAS%20DE%20CONFORMIDAD\AC-2020\04-2020\11-04-2020\REG-43932-3004336197-1100.5.pdf" TargetMode="External"/><Relationship Id="rId484" Type="http://schemas.openxmlformats.org/officeDocument/2006/relationships/hyperlink" Target="ACTAS%20DE%20CONFORMIDAD\AC-2020\06-2020\02-06-2020\REG-43984-3003566699-5199.6.pdf" TargetMode="External"/><Relationship Id="rId705" Type="http://schemas.openxmlformats.org/officeDocument/2006/relationships/hyperlink" Target="ACTAS%20DE%20CONFORMIDAD\AC-2020\09-2020\01-09-2020\REG-44075-3004336197-2408.3.pdf" TargetMode="External"/><Relationship Id="rId137" Type="http://schemas.openxmlformats.org/officeDocument/2006/relationships/hyperlink" Target="ACTAS%20DE%20CONFORMIDAD\AC-2019\11-2019\18-11-2019\REG-43787-3004381438-98.2.pdf" TargetMode="External"/><Relationship Id="rId344" Type="http://schemas.openxmlformats.org/officeDocument/2006/relationships/hyperlink" Target="GUIAS%20DE%20REMISION-REMITENTE\GUIA%20R-R%202020\ABRIL-2020\0003-001228.pdf" TargetMode="External"/><Relationship Id="rId691" Type="http://schemas.openxmlformats.org/officeDocument/2006/relationships/hyperlink" Target="ACTAS%20DE%20CONFORMIDAD\AC-2020\08-2020\28-08-2020\REG-44071-3005005010-2238.9.pdf" TargetMode="External"/><Relationship Id="rId789" Type="http://schemas.openxmlformats.org/officeDocument/2006/relationships/hyperlink" Target="ACTAS%20DE%20CONFORMIDAD\AC-2020\09-2020\22-09-2020\REG-44096-3003415532-4977.pdf" TargetMode="External"/><Relationship Id="rId912" Type="http://schemas.openxmlformats.org/officeDocument/2006/relationships/hyperlink" Target="ACTAS%20DE%20CONFORMIDAD\AC-2020\10-2020\22-10-2020\REG-44126-3004331705-2381.3.pdf" TargetMode="External"/><Relationship Id="rId996" Type="http://schemas.openxmlformats.org/officeDocument/2006/relationships/hyperlink" Target="GUIAS%20DE%20REMISION-REMITENTE\GUIA%20R-R%202020\NOVIEMBRE-2020\T001-00000074.pdf" TargetMode="External"/><Relationship Id="rId41" Type="http://schemas.openxmlformats.org/officeDocument/2006/relationships/hyperlink" Target="ACTAS%20DE%20CONFORMIDAD\AC-2020\01-2020\13-01-2020\REG-43843-3004327721-960.4.pdf" TargetMode="External"/><Relationship Id="rId551" Type="http://schemas.openxmlformats.org/officeDocument/2006/relationships/hyperlink" Target="ACTAS%20DE%20CONFORMIDAD\AC-2019\11-2019\09-11-2019\REG-43778-59G12-443-1979-25.pdf" TargetMode="External"/><Relationship Id="rId649" Type="http://schemas.openxmlformats.org/officeDocument/2006/relationships/hyperlink" Target="ACTAS%20DE%20CONFORMIDAD\AC-2020\08-2020\26-08-2020\REG-44069-3004555912-2375.1.pdf" TargetMode="External"/><Relationship Id="rId856" Type="http://schemas.openxmlformats.org/officeDocument/2006/relationships/hyperlink" Target="ACTAS%20DE%20CONFORMIDAD\AC-2020\10-2020\09-10-2020\REG-44113-3003415536-5271.pdf" TargetMode="External"/><Relationship Id="rId190" Type="http://schemas.openxmlformats.org/officeDocument/2006/relationships/hyperlink" Target="ACTAS%20DE%20CONFORMIDAD\AC-2019\09-2019\05-09-2019\REG-43713-3004597773-235.5.pdf" TargetMode="External"/><Relationship Id="rId204" Type="http://schemas.openxmlformats.org/officeDocument/2006/relationships/hyperlink" Target="ACTAS%20DE%20CONFORMIDAD\AC-2019\09-2019\26-09-2019\REG-43734-3003932011-141.pdf" TargetMode="External"/><Relationship Id="rId288" Type="http://schemas.openxmlformats.org/officeDocument/2006/relationships/hyperlink" Target="ACTAS%20DE%20CONFORMIDAD\AC-2020\03-2020\05-03-2020\REG-43895-3004327721-1261.5.pdf" TargetMode="External"/><Relationship Id="rId411" Type="http://schemas.openxmlformats.org/officeDocument/2006/relationships/hyperlink" Target="ACTAS%20DE%20CONFORMIDAD\AC-2020\04-2020\03-04-2020\REG-43924-3004336196-1132.6.pdf" TargetMode="External"/><Relationship Id="rId509" Type="http://schemas.openxmlformats.org/officeDocument/2006/relationships/hyperlink" Target="GUIAS%20DE%20REMISION-REMITENTE\GUIA%20R-R%202020\JUNIO-2020\0003-001259.pdf" TargetMode="External"/><Relationship Id="rId1041" Type="http://schemas.openxmlformats.org/officeDocument/2006/relationships/hyperlink" Target="ACTAS%20DE%20CONFORMIDAD\AC-2020\12-2020\23-12-2020\REG-44188-3005005010-2557.3.pdf" TargetMode="External"/><Relationship Id="rId495" Type="http://schemas.openxmlformats.org/officeDocument/2006/relationships/hyperlink" Target="ACTAS%20DE%20CONFORMIDAD\AC-2020\05-2020\11-05-2020\REG-43962-3004428523-1156.1.pdf" TargetMode="External"/><Relationship Id="rId716" Type="http://schemas.openxmlformats.org/officeDocument/2006/relationships/hyperlink" Target="GUIAS%20DE%20REMISION-REMITENTE\GUIA%20R-R%202020\AGOSTO-2020\0003-001332.pdf" TargetMode="External"/><Relationship Id="rId923" Type="http://schemas.openxmlformats.org/officeDocument/2006/relationships/hyperlink" Target="ACTAS%20DE%20CONFORMIDAD\AC-2020\10-2020\08-10-2020\REG-44112-3003987064-5309.2.pdf" TargetMode="External"/><Relationship Id="rId52" Type="http://schemas.openxmlformats.org/officeDocument/2006/relationships/hyperlink" Target="ACTAS%20DE%20CONFORMIDAD\AC-2020\01-2020\09-01-2020\REG-43839-3004290369-105.9.pdf" TargetMode="External"/><Relationship Id="rId148" Type="http://schemas.openxmlformats.org/officeDocument/2006/relationships/hyperlink" Target="GUIAS%20DE%20REMISION-REMITENTE\GUIA%20R-R%202020\FEBRERO-2020\0003-001059.pdf" TargetMode="External"/><Relationship Id="rId355" Type="http://schemas.openxmlformats.org/officeDocument/2006/relationships/hyperlink" Target="ACTAS%20DE%20CONFORMIDAD\AC-2020\04-2020\16-04-2020\REG-43937-3005005007-933.6.pdf" TargetMode="External"/><Relationship Id="rId562" Type="http://schemas.openxmlformats.org/officeDocument/2006/relationships/hyperlink" Target="ACTAS%20DE%20CONFORMIDAD\AC-2020\06-2020\26-06-2020\REG-44008-3003940357-3993.1.pdf" TargetMode="External"/><Relationship Id="rId215" Type="http://schemas.openxmlformats.org/officeDocument/2006/relationships/hyperlink" Target="ACTAS%20DE%20CONFORMIDAD\AC-2019\05-2019\22-05-2019\REG-43607-NR-3486.2.pdf" TargetMode="External"/><Relationship Id="rId422" Type="http://schemas.openxmlformats.org/officeDocument/2006/relationships/hyperlink" Target="ACTAS%20DE%20CONFORMIDAD\AC-2020\05-2020\13-05-2020\REG-43964-3005005010-1433.4.pdf" TargetMode="External"/><Relationship Id="rId867" Type="http://schemas.openxmlformats.org/officeDocument/2006/relationships/hyperlink" Target="ACTAS%20DE%20CONFORMIDAD\AC-2020\07-2020\20-07-2020\REG-44032-3004337388-1828.9.pdf" TargetMode="External"/><Relationship Id="rId1052" Type="http://schemas.openxmlformats.org/officeDocument/2006/relationships/hyperlink" Target="https://onedrive.live.com/?cid=8C5B46544A563DC7&amp;id=8C5B46544A563DC7%218575&amp;parId=8C5B46544A563DC7%217816&amp;o=OneUp" TargetMode="External"/><Relationship Id="rId299" Type="http://schemas.openxmlformats.org/officeDocument/2006/relationships/hyperlink" Target="ACTAS%20DE%20CONFORMIDAD\AC-2020\03-2020\10-03-2020\REG-43900-3004290365-1015.6.pdf" TargetMode="External"/><Relationship Id="rId727" Type="http://schemas.openxmlformats.org/officeDocument/2006/relationships/hyperlink" Target="GUIAS%20DE%20REMISION-REMITENTE\GUIA%20R-R%202020\SEPTIEMBRE-2020\0003-001382.pdf" TargetMode="External"/><Relationship Id="rId934" Type="http://schemas.openxmlformats.org/officeDocument/2006/relationships/hyperlink" Target="ACTAS%20DE%20CONFORMIDAD\AC-2020\10-2020\27-10-2020\REG-44131-3004337430-594.6.pdf" TargetMode="External"/><Relationship Id="rId63" Type="http://schemas.openxmlformats.org/officeDocument/2006/relationships/hyperlink" Target="ACTAS%20DE%20CONFORMIDAD\AC-2020\01-2020\03-01-2020\REG-43833-3004256777-132.1.pdf" TargetMode="External"/><Relationship Id="rId159" Type="http://schemas.openxmlformats.org/officeDocument/2006/relationships/hyperlink" Target="ACTAS%20DE%20CONFORMIDAD\AC-2019\10-2019\21-10-2019\REG-43759-3004331705-287.7.pdf" TargetMode="External"/><Relationship Id="rId366" Type="http://schemas.openxmlformats.org/officeDocument/2006/relationships/hyperlink" Target="ACTAS%20DE%20CONFORMIDAD\AC-2020\04-2020\26-04-2020\REG-43947-3005005007-998.6.pdf" TargetMode="External"/><Relationship Id="rId573" Type="http://schemas.openxmlformats.org/officeDocument/2006/relationships/hyperlink" Target="ACTAS%20DE%20CONFORMIDAD\AC-2020\07-2020\17-07-2020\REG-44029-3004428523-1799.4.pdf" TargetMode="External"/><Relationship Id="rId780" Type="http://schemas.openxmlformats.org/officeDocument/2006/relationships/hyperlink" Target="GUIAS%20DE%20REMISION-REMITENTE\GUIA%20R-R%202020\SEPTIEMBRE-2020\0003-001392.pdf" TargetMode="External"/><Relationship Id="rId226" Type="http://schemas.openxmlformats.org/officeDocument/2006/relationships/hyperlink" Target="ACTAS%20DE%20CONFORMIDAD\AC-2019\05-2019\16-05-2019\REG-43601-3003932012-388.pdf" TargetMode="External"/><Relationship Id="rId433" Type="http://schemas.openxmlformats.org/officeDocument/2006/relationships/hyperlink" Target="ACTAS%20DE%20CONFORMIDAD\AC-2020\05-2020\04-05-2020\REG-43955-123231-0306-383.pdf" TargetMode="External"/><Relationship Id="rId878" Type="http://schemas.openxmlformats.org/officeDocument/2006/relationships/hyperlink" Target="GUIAS%20DE%20REMISION-REMITENTE\GUIA%20R-R%202020\OCTUBRE-2020\T001-00000005.pdf" TargetMode="External"/><Relationship Id="rId1063" Type="http://schemas.openxmlformats.org/officeDocument/2006/relationships/hyperlink" Target="https://onedrive.live.com/?cid=8C5B46544A563DC7&amp;id=8C5B46544A563DC7%218601&amp;parId=8C5B46544A563DC7%217818&amp;o=OneUp" TargetMode="External"/><Relationship Id="rId640" Type="http://schemas.openxmlformats.org/officeDocument/2006/relationships/hyperlink" Target="ACTAS%20DE%20CONFORMIDAD\AC-2020\08-2020\19-08-2020\REG-44062-3004327722-1546.9.pdf" TargetMode="External"/><Relationship Id="rId738" Type="http://schemas.openxmlformats.org/officeDocument/2006/relationships/hyperlink" Target="ACTAS%20DE%20CONFORMIDAD\AC-2020\08-2020\10-08-2020\REG-44053-3003963149-3959.4.pdf" TargetMode="External"/><Relationship Id="rId945" Type="http://schemas.openxmlformats.org/officeDocument/2006/relationships/hyperlink" Target="ACTAS%20DE%20CONFORMIDAD\AC-2020\11-2020\13-11-2020\REG-44148-3004337428-1586.2.pdf" TargetMode="External"/><Relationship Id="rId74" Type="http://schemas.openxmlformats.org/officeDocument/2006/relationships/hyperlink" Target="GUIAS%20DE%20REMISION-REMITENTE\GUIA%20R-R%202020\ENERO-%202020\0003-001148.pdf" TargetMode="External"/><Relationship Id="rId377" Type="http://schemas.openxmlformats.org/officeDocument/2006/relationships/hyperlink" Target="ACTAS%20DE%20CONFORMIDAD\AC-2020\04-2020\21-04-2020\REG-43942-3004337429-1288.6.pdf" TargetMode="External"/><Relationship Id="rId500" Type="http://schemas.openxmlformats.org/officeDocument/2006/relationships/hyperlink" Target="ACTAS%20DE%20CONFORMIDAD\AC-2020\06-2020\09-06-2020\REG-43991-3004327722-1342.pdf" TargetMode="External"/><Relationship Id="rId584" Type="http://schemas.openxmlformats.org/officeDocument/2006/relationships/hyperlink" Target="ACTAS%20DE%20CONFORMIDAD\AC-2020\08-2020\11-08-2020\REG-44054-3003415532-4522.9.pdf" TargetMode="External"/><Relationship Id="rId805" Type="http://schemas.openxmlformats.org/officeDocument/2006/relationships/hyperlink" Target="ACTAS%20DE%20CONFORMIDAD\AC-2020\06-2020\25-06-2020\REG-44007-3004336197-1674.6.pdf" TargetMode="External"/><Relationship Id="rId5" Type="http://schemas.openxmlformats.org/officeDocument/2006/relationships/hyperlink" Target="../../../Fanny%20PC%2001/AppData/Roaming/Microsoft/Excel/GUIAS%20DE%20REMISION-REMITENTE/GUIA%20R-R%202019/NOVIEMBRE/0003-001101.pdf" TargetMode="External"/><Relationship Id="rId237" Type="http://schemas.openxmlformats.org/officeDocument/2006/relationships/hyperlink" Target="ACTAS%20DE%20CONFORMIDAD\AC-2020\02-2020\19-02-2020\REG-43880-3004381438-846.7.pdf" TargetMode="External"/><Relationship Id="rId791" Type="http://schemas.openxmlformats.org/officeDocument/2006/relationships/hyperlink" Target="ACTAS%20DE%20CONFORMIDAD\AC-2020\09-2020\23-09-2020\REG-44097-3003987064-5029.pdf" TargetMode="External"/><Relationship Id="rId889" Type="http://schemas.openxmlformats.org/officeDocument/2006/relationships/hyperlink" Target="GUIAS%20DE%20REMISION-REMITENTE\GUIA%20R-R%202020\OCTUBRE-2020\0003-001453.pdf" TargetMode="External"/><Relationship Id="rId1074" Type="http://schemas.openxmlformats.org/officeDocument/2006/relationships/hyperlink" Target="https://onedrive.live.com/?cid=8C5B46544A563DC7&amp;id=8C5B46544A563DC7%218807&amp;parId=8C5B46544A563DC7%218804&amp;o=OneUp" TargetMode="External"/><Relationship Id="rId444" Type="http://schemas.openxmlformats.org/officeDocument/2006/relationships/hyperlink" Target="GUIAS%20DE%20REMISION-REMITENTE\GUIA%20R-R%202020\MARZO-2020\0003-001081.pdf" TargetMode="External"/><Relationship Id="rId651" Type="http://schemas.openxmlformats.org/officeDocument/2006/relationships/hyperlink" Target="ACTAS%20DE%20CONFORMIDAD\AC-2020\08-2020\27-08-2020\REG-44070-3004218547-1660.5.pdf" TargetMode="External"/><Relationship Id="rId749" Type="http://schemas.openxmlformats.org/officeDocument/2006/relationships/hyperlink" Target="ACTAS%20DE%20CONFORMIDAD\AC-2020\09-2020\09-09-2020\REG-44083-3003963150-4003.7.pdf" TargetMode="External"/><Relationship Id="rId290" Type="http://schemas.openxmlformats.org/officeDocument/2006/relationships/hyperlink" Target="ACTAS%20DE%20CONFORMIDAD\AC-2020\03-2020\09-03-2020\REG-43899-3004327723-1228.8.pdf" TargetMode="External"/><Relationship Id="rId304" Type="http://schemas.openxmlformats.org/officeDocument/2006/relationships/hyperlink" Target="ACTAS%20DE%20CONFORMIDAD\AC-2020\03-2020\11-03-2020\REG-43901-3004290368-1239.2.pdf" TargetMode="External"/><Relationship Id="rId388" Type="http://schemas.openxmlformats.org/officeDocument/2006/relationships/hyperlink" Target="ACTAS%20DE%20CONFORMIDAD\AC-2020\04-2020\15-04-2020\REG-43936-3004344017-1310.6.pdf" TargetMode="External"/><Relationship Id="rId511" Type="http://schemas.openxmlformats.org/officeDocument/2006/relationships/hyperlink" Target="ACTAS%20DE%20CONFORMIDAD\AC-2020\06-2020\06-06-2020\REG-43988-3004597773-1849.1.pdf" TargetMode="External"/><Relationship Id="rId609" Type="http://schemas.openxmlformats.org/officeDocument/2006/relationships/hyperlink" Target="ACTAS%20DE%20CONFORMIDAD\AC-2020\08-2020\10-08-2020\REG-44053-3003415536-4676.9.pdf" TargetMode="External"/><Relationship Id="rId956" Type="http://schemas.openxmlformats.org/officeDocument/2006/relationships/hyperlink" Target="ACTAS%20DE%20CONFORMIDAD\AC-2020\11-2020\05-11-2020\REG-44140-3003932245-6399.9.pdf" TargetMode="External"/><Relationship Id="rId85" Type="http://schemas.openxmlformats.org/officeDocument/2006/relationships/hyperlink" Target="GUIAS%20DE%20REMISION-REMITENTE\GUIA%20R-R%202020\ENERO-%202020\0003-001161.pdf" TargetMode="External"/><Relationship Id="rId150" Type="http://schemas.openxmlformats.org/officeDocument/2006/relationships/hyperlink" Target="ACTAS%20DE%20CONFORMIDAD\AC-2020\02-2020\05-02-2020\REG-43866-3004337430-563.pdf" TargetMode="External"/><Relationship Id="rId595" Type="http://schemas.openxmlformats.org/officeDocument/2006/relationships/hyperlink" Target="ACTAS%20DE%20CONFORMIDAD\AC-2020\08-2020\12-08-2020\REG-44055-3004218547-1542.1.pdf" TargetMode="External"/><Relationship Id="rId816" Type="http://schemas.openxmlformats.org/officeDocument/2006/relationships/hyperlink" Target="GUIAS%20DE%20REMISION-REMITENTE\GUIA%20R-R%202020\SEPTIEMBRE-2020\0003-001443.pdf" TargetMode="External"/><Relationship Id="rId1001" Type="http://schemas.openxmlformats.org/officeDocument/2006/relationships/hyperlink" Target="GUIAS%20DE%20REMISION-REMITENTE\GUIA%20R-R%202020\NOVIEMBRE-2020\T001-00000088.pdf" TargetMode="External"/><Relationship Id="rId248" Type="http://schemas.openxmlformats.org/officeDocument/2006/relationships/hyperlink" Target="GUIAS%20DE%20REMISION-REMITENTE\GUIA%20R-R%202020\FEBRERO-2020\0003-001065.pdf" TargetMode="External"/><Relationship Id="rId455" Type="http://schemas.openxmlformats.org/officeDocument/2006/relationships/hyperlink" Target="GUIAS%20DE%20REMISION-REMITENTE\GUIA%20R-R%202020\MARZO-2020\0003-001083.pdf" TargetMode="External"/><Relationship Id="rId662" Type="http://schemas.openxmlformats.org/officeDocument/2006/relationships/hyperlink" Target="ACTAS%20DE%20CONFORMIDAD\AC-2020\08-2020\26-08-2020\REG-44069-3004597773-2613.9.pdf" TargetMode="External"/><Relationship Id="rId12" Type="http://schemas.openxmlformats.org/officeDocument/2006/relationships/hyperlink" Target="../../../Fanny%20PC%2001/AppData/Roaming/Microsoft/Excel/ACTAS%20DE%20CONFORMIDAD/AC-2019/10-2019/02-10-2019/REG-43740-3003415539-3215.4.pdf" TargetMode="External"/><Relationship Id="rId108" Type="http://schemas.openxmlformats.org/officeDocument/2006/relationships/hyperlink" Target="ACTAS%20DE%20CONFORMIDAD\AC-2019\11-2019\29-11-2019\REG-43798-3005005007-56.pdf" TargetMode="External"/><Relationship Id="rId315" Type="http://schemas.openxmlformats.org/officeDocument/2006/relationships/hyperlink" Target="GUIAS%20DE%20REMISION-REMITENTE\GUIA%20R-R%202020\MARZO-2020\0003-001222.pdf" TargetMode="External"/><Relationship Id="rId522" Type="http://schemas.openxmlformats.org/officeDocument/2006/relationships/hyperlink" Target="GUIAS%20DE%20REMISION-REMITENTE\GUIA%20R-R%202020\JUNIO-2020\0003-001261.pdf" TargetMode="External"/><Relationship Id="rId967" Type="http://schemas.openxmlformats.org/officeDocument/2006/relationships/hyperlink" Target="GUIAS%20DE%20REMISION-REMITENTE\GUIA%20R-R%202020\NOVIEMBRE-2020\T001-00000059.pdf" TargetMode="External"/><Relationship Id="rId96" Type="http://schemas.openxmlformats.org/officeDocument/2006/relationships/hyperlink" Target="GUIAS%20DE%20REMISION-REMITENTE\GUIA%20R-R%202020\ENERO-%202020\0003-001053.pdf" TargetMode="External"/><Relationship Id="rId161" Type="http://schemas.openxmlformats.org/officeDocument/2006/relationships/hyperlink" Target="ACTAS%20DE%20CONFORMIDAD\AC-2019\10-2019\21-10-2019\REG-43759-3004327724-432.7.pdf" TargetMode="External"/><Relationship Id="rId399" Type="http://schemas.openxmlformats.org/officeDocument/2006/relationships/hyperlink" Target="GUIAS%20DE%20REMISION-REMITENTE\GUIA%20R-R%202020\ABRIL-2020\0003-001089.pdf" TargetMode="External"/><Relationship Id="rId827" Type="http://schemas.openxmlformats.org/officeDocument/2006/relationships/hyperlink" Target="GUIAS%20DE%20REMISION-REMITENTE\GUIA%20R-R%202020\OCTUBRE-2020\0003-001447.pdf" TargetMode="External"/><Relationship Id="rId1012" Type="http://schemas.openxmlformats.org/officeDocument/2006/relationships/hyperlink" Target="ACTAS%20DE%20CONFORMIDAD\AC-2020\11-2020\19-11-2020\REG-44154-3003940357-5886.8.pdf" TargetMode="External"/><Relationship Id="rId259" Type="http://schemas.openxmlformats.org/officeDocument/2006/relationships/hyperlink" Target="ACTAS%20DE%20CONFORMIDAD\AC-2020\02-2020\22-02-2020\REG-43883-3003953458-927.pdf" TargetMode="External"/><Relationship Id="rId466" Type="http://schemas.openxmlformats.org/officeDocument/2006/relationships/hyperlink" Target="ACTAS%20DE%20CONFORMIDAD\AC-2020\03-2020\26-03-2020\REG-43916-3004416582-1008.7.pdf" TargetMode="External"/><Relationship Id="rId673" Type="http://schemas.openxmlformats.org/officeDocument/2006/relationships/hyperlink" Target="ACTAS%20DE%20CONFORMIDAD\AC-2020\08-2020\03-08-2020\REG-44046-3002933964-712.35.pdf" TargetMode="External"/><Relationship Id="rId880" Type="http://schemas.openxmlformats.org/officeDocument/2006/relationships/hyperlink" Target="GUIAS%20DE%20REMISION-REMITENTE\GUIA%20R-R%202020\OCTUBRE-2020\T001-00000014.pdf" TargetMode="External"/><Relationship Id="rId23" Type="http://schemas.openxmlformats.org/officeDocument/2006/relationships/hyperlink" Target="ACTAS%20DE%20CONFORMIDAD\AC-2019\08-2019\06-08-2019\REG-43683-3004370203-435.7.pdf" TargetMode="External"/><Relationship Id="rId119" Type="http://schemas.openxmlformats.org/officeDocument/2006/relationships/hyperlink" Target="ACTAS%20DE%20CONFORMIDAD\AC-2019\11-2019\27-11-2019\REG-43796-3004418790-475.4.pdf" TargetMode="External"/><Relationship Id="rId326" Type="http://schemas.openxmlformats.org/officeDocument/2006/relationships/hyperlink" Target="GUIAS%20DE%20REMISION-REMITENTE\GUIA%20R-R%202020\MARZO-2020\0003-001224.pdf" TargetMode="External"/><Relationship Id="rId533" Type="http://schemas.openxmlformats.org/officeDocument/2006/relationships/hyperlink" Target="ACTAS%20DE%20CONFORMIDAD\AC-2020\06-2020\13-06-2020\REG-43995-3004370193-2424.8.pdf" TargetMode="External"/><Relationship Id="rId978" Type="http://schemas.openxmlformats.org/officeDocument/2006/relationships/hyperlink" Target="GUIAS%20DE%20REMISION-REMITENTE\GUIA%20R-R%202020\NOVIEMBRE-2020\T001-00000077.pdf" TargetMode="External"/><Relationship Id="rId740" Type="http://schemas.openxmlformats.org/officeDocument/2006/relationships/hyperlink" Target="ACTAS%20DE%20CONFORMIDAD\AC-2020\07-2020\31-07-2020\REG-44043-3003566699-6106.5.pdf" TargetMode="External"/><Relationship Id="rId838" Type="http://schemas.openxmlformats.org/officeDocument/2006/relationships/hyperlink" Target="ACTAS%20DE%20CONFORMIDAD\AC-2020\09-2020\26-09-2020\REG-44100-3004428523-2214.7.pdf" TargetMode="External"/><Relationship Id="rId1023" Type="http://schemas.openxmlformats.org/officeDocument/2006/relationships/hyperlink" Target="GUIAS%20DE%20REMISION-REMITENTE\GUIA%20R-R%202020\DICIEMBRE-2020\T001-00000120.pdf" TargetMode="External"/><Relationship Id="rId172" Type="http://schemas.openxmlformats.org/officeDocument/2006/relationships/hyperlink" Target="ACTAS%20DE%20CONFORMIDAD\AC-2019\09-2019\16-09-2019\REG-43724-3004331707-0.5.pdf" TargetMode="External"/><Relationship Id="rId477" Type="http://schemas.openxmlformats.org/officeDocument/2006/relationships/hyperlink" Target="ACTAS%20DE%20CONFORMIDAD\AC-2020\05-2020\21-05-2020\REG-43972-G-4012-2095.pdf" TargetMode="External"/><Relationship Id="rId600" Type="http://schemas.openxmlformats.org/officeDocument/2006/relationships/hyperlink" Target="ACTAS%20DE%20CONFORMIDAD\AC-2020\08-2020\08-08-2020\REG-44051-3004331708-1635.5.pdf" TargetMode="External"/><Relationship Id="rId684" Type="http://schemas.openxmlformats.org/officeDocument/2006/relationships/hyperlink" Target="ACTAS%20DE%20CONFORMIDAD\AC-2020\08-2020\21-08-2020\REG-44064-3005005007-1991.1.pdf" TargetMode="External"/><Relationship Id="rId337" Type="http://schemas.openxmlformats.org/officeDocument/2006/relationships/hyperlink" Target="ACTAS%20DE%20CONFORMIDAD\AC-2020\03-2020\27-03-2020\REG-43917-3004327722-1076.4.pdf" TargetMode="External"/><Relationship Id="rId891" Type="http://schemas.openxmlformats.org/officeDocument/2006/relationships/hyperlink" Target="ACTAS%20DE%20CONFORMIDAD\AC-2020\10-2020\23-10-2020\REG-44127-3004416582-1926.9.pdf" TargetMode="External"/><Relationship Id="rId905" Type="http://schemas.openxmlformats.org/officeDocument/2006/relationships/hyperlink" Target="ACTAS%20DE%20CONFORMIDAD\AC-2020\10-2020\24-10-2020\REG-44128-3004416581-1333.4.pdf" TargetMode="External"/><Relationship Id="rId989" Type="http://schemas.openxmlformats.org/officeDocument/2006/relationships/hyperlink" Target="ACTAS%20DE%20CONFORMIDAD\AC-2020\12-2020\03-12-2020\REG-44168-3004402506-2907.9.pdf" TargetMode="External"/><Relationship Id="rId34" Type="http://schemas.openxmlformats.org/officeDocument/2006/relationships/hyperlink" Target="ACTAS%20DE%20CONFORMIDAD\AC-2020\01-2020\22-01-2020\REG-43852-3004402507-1154.5.pdf" TargetMode="External"/><Relationship Id="rId544" Type="http://schemas.openxmlformats.org/officeDocument/2006/relationships/hyperlink" Target="GUIAS%20DE%20REMISION-REMITENTE\GUIA%20R-R%202020\JUNIO-2020\0003-001276.pdf" TargetMode="External"/><Relationship Id="rId751" Type="http://schemas.openxmlformats.org/officeDocument/2006/relationships/hyperlink" Target="ACTAS%20DE%20CONFORMIDAD\AC-2020\09-2020\09-09-2020\REG-44083-3005786155-48.4.pdf" TargetMode="External"/><Relationship Id="rId849" Type="http://schemas.openxmlformats.org/officeDocument/2006/relationships/hyperlink" Target="ACTAS%20DE%20CONFORMIDAD\AC-2020\09-2020\28-09-2020\REG-44102-3005167422-1492.2.pdf" TargetMode="External"/><Relationship Id="rId183" Type="http://schemas.openxmlformats.org/officeDocument/2006/relationships/hyperlink" Target="ACTAS%20DE%20CONFORMIDAD\AC-2019\09-2019\07-09-2019\REG-43715-3004418790-10.4.pdf" TargetMode="External"/><Relationship Id="rId390" Type="http://schemas.openxmlformats.org/officeDocument/2006/relationships/hyperlink" Target="ACTAS%20DE%20CONFORMIDAD\AC-2020\04-2020\14-04-2020\REG-43935-3004344014-1210.3.pdf" TargetMode="External"/><Relationship Id="rId404" Type="http://schemas.openxmlformats.org/officeDocument/2006/relationships/hyperlink" Target="ACTAS%20DE%20CONFORMIDAD\AC-2020\04-2020\06-04-2020\REG-43927-3004381438-1340.8.pdf" TargetMode="External"/><Relationship Id="rId611" Type="http://schemas.openxmlformats.org/officeDocument/2006/relationships/hyperlink" Target="ACTAS%20DE%20CONFORMIDAD\AC-2020\08-2020\15-08-2020\REG-44058-3004555915-2973.9.pdf" TargetMode="External"/><Relationship Id="rId1034" Type="http://schemas.openxmlformats.org/officeDocument/2006/relationships/hyperlink" Target="ACTAS%20DE%20CONFORMIDAD\AC-2020\12-2020\14-12-2020\REG-44179-3004290364-1147.1.pdf" TargetMode="External"/><Relationship Id="rId250" Type="http://schemas.openxmlformats.org/officeDocument/2006/relationships/hyperlink" Target="GUIAS%20DE%20REMISION-REMITENTE\GUIA%20R-R%202020\FEBRERO-2020\0003-001062.pdf" TargetMode="External"/><Relationship Id="rId488" Type="http://schemas.openxmlformats.org/officeDocument/2006/relationships/hyperlink" Target="ACTAS%20DE%20CONFORMIDAD\AC-2020\05-2020\30-05-2020\REG-43981-3004597775-1456.3.pdf" TargetMode="External"/><Relationship Id="rId695" Type="http://schemas.openxmlformats.org/officeDocument/2006/relationships/hyperlink" Target="ACTAS%20DE%20CONFORMIDAD\AC-2020\08-2020\29-08-2020\REG-44072-3004597775-2101.8.pdf" TargetMode="External"/><Relationship Id="rId709" Type="http://schemas.openxmlformats.org/officeDocument/2006/relationships/hyperlink" Target="ACTAS%20DE%20CONFORMIDAD\AC-2020\07-2020\09-07-2020\REG-44021-3003415544-4794,3.pdf" TargetMode="External"/><Relationship Id="rId916" Type="http://schemas.openxmlformats.org/officeDocument/2006/relationships/hyperlink" Target="ACTAS%20DE%20CONFORMIDAD\AC-2020\10-2020\22-10-2020\REG-44126-3004331708-2000.7.pdf" TargetMode="External"/><Relationship Id="rId45" Type="http://schemas.openxmlformats.org/officeDocument/2006/relationships/hyperlink" Target="ACTAS%20DE%20CONFORMIDAD\AC-2020\01-2020\11-01-2020\REG-43841-3003953317-918.3.pdf" TargetMode="External"/><Relationship Id="rId110" Type="http://schemas.openxmlformats.org/officeDocument/2006/relationships/hyperlink" Target="ACTAS%20DE%20CONFORMIDAD\AC-2019\11-2019\29-11-2019\REG-43798-3003932013-1332.4.pdf" TargetMode="External"/><Relationship Id="rId348" Type="http://schemas.openxmlformats.org/officeDocument/2006/relationships/hyperlink" Target="ACTAS%20DE%20CONFORMIDAD\AC-2020\03-2020\30-03-2020\REG-43920-3004402507-1549.1.pdf" TargetMode="External"/><Relationship Id="rId555" Type="http://schemas.openxmlformats.org/officeDocument/2006/relationships/hyperlink" Target="ACTAS%20DE%20CONFORMIDAD\AC-2020\06-2020\20-06-2020\REG-44002-3003962766-2748.4.pdf" TargetMode="External"/><Relationship Id="rId762" Type="http://schemas.openxmlformats.org/officeDocument/2006/relationships/hyperlink" Target="ACTAS%20DE%20CONFORMIDAD\AC-2020\08-2020\25-08-2020\REG-44068-B5524F-001-187.pdf" TargetMode="External"/><Relationship Id="rId194" Type="http://schemas.openxmlformats.org/officeDocument/2006/relationships/hyperlink" Target="ACTAS%20DE%20CONFORMIDAD\AC-2019\09-2019\14-09-2019\REG-43722-6JA02716-2748.pdf" TargetMode="External"/><Relationship Id="rId208" Type="http://schemas.openxmlformats.org/officeDocument/2006/relationships/hyperlink" Target="ACTAS%20DE%20CONFORMIDAD\AC-2019\10-2019\29-10-2019\REG-43767-3003932013-1332.4.pdf" TargetMode="External"/><Relationship Id="rId415" Type="http://schemas.openxmlformats.org/officeDocument/2006/relationships/hyperlink" Target="ACTAS%20DE%20CONFORMIDAD\AC-2020\04-2020\17-04-2020\REG-43938-3004290368-1696.1.pdf" TargetMode="External"/><Relationship Id="rId622" Type="http://schemas.openxmlformats.org/officeDocument/2006/relationships/hyperlink" Target="GUIAS%20DE%20REMISION-REMITENTE\GUIA%20R-R%202020\AGOSTO-2020\0003-001347.pdf" TargetMode="External"/><Relationship Id="rId1045" Type="http://schemas.openxmlformats.org/officeDocument/2006/relationships/hyperlink" Target="ACTAS%20DE%20CONFORMIDAD\AC-2020\12-2020\17-12-2020\REG-44182-3003987064-6312.3.pdf" TargetMode="External"/><Relationship Id="rId261" Type="http://schemas.openxmlformats.org/officeDocument/2006/relationships/hyperlink" Target="ACTAS%20DE%20CONFORMIDAD\AC-2019\06-2019\REG-43621-1603595-465.pdf" TargetMode="External"/><Relationship Id="rId499" Type="http://schemas.openxmlformats.org/officeDocument/2006/relationships/hyperlink" Target="GUIAS%20DE%20REMISION-REMITENTE\GUIA%20R-R%202020\JUNIO-2020\0003-001258.pdf" TargetMode="External"/><Relationship Id="rId927" Type="http://schemas.openxmlformats.org/officeDocument/2006/relationships/hyperlink" Target="GUIAS%20DE%20REMISION-REMITENTE\GUIA%20R-R%202020\OCTUBRE-2020\T001-00000048.pdf" TargetMode="External"/><Relationship Id="rId56" Type="http://schemas.openxmlformats.org/officeDocument/2006/relationships/hyperlink" Target="ACTAS%20DE%20CONFORMIDAD\AC-2020\01-2020\08-01-2020\REG-43838-3004331709-1001.9.pdf" TargetMode="External"/><Relationship Id="rId359" Type="http://schemas.openxmlformats.org/officeDocument/2006/relationships/hyperlink" Target="ACTAS%20DE%20CONFORMIDAD\AC-2019\12-2019\26-08-2019\REG-43825-3005167422-0.pdf" TargetMode="External"/><Relationship Id="rId566" Type="http://schemas.openxmlformats.org/officeDocument/2006/relationships/hyperlink" Target="ACTAS%20DE%20CONFORMIDAD\AC-2020\06-2020\27-06-2020\REG-44009-3003566703-4927.pdf" TargetMode="External"/><Relationship Id="rId773" Type="http://schemas.openxmlformats.org/officeDocument/2006/relationships/hyperlink" Target="GUIAS%20DE%20REMISION-REMITENTE\GUIA%20R-R%202020\SEPTIEMBRE-2020\0003-001399.pdf" TargetMode="External"/><Relationship Id="rId121" Type="http://schemas.openxmlformats.org/officeDocument/2006/relationships/hyperlink" Target="ACTAS%20DE%20CONFORMIDAD\AC-2019\11-2019\22-11-2019\REG-43791-3004327724-744.4.pdf" TargetMode="External"/><Relationship Id="rId219" Type="http://schemas.openxmlformats.org/officeDocument/2006/relationships/hyperlink" Target="ACTAS%20DE%20CONFORMIDAD\AC-2019\04-2019\09-04-2019\REG-43564-7954602-3479.2.pdf" TargetMode="External"/><Relationship Id="rId426" Type="http://schemas.openxmlformats.org/officeDocument/2006/relationships/hyperlink" Target="GUIAS%20DE%20REMISION-REMITENTE\GUIA%20R-R%202020\MAYO-2020\0003-001242.pdf" TargetMode="External"/><Relationship Id="rId633" Type="http://schemas.openxmlformats.org/officeDocument/2006/relationships/hyperlink" Target="GUIAS%20DE%20REMISION-REMITENTE\GUIA%20R-R%202020\AGOSTO-2020\0003-001367.pdf" TargetMode="External"/><Relationship Id="rId980" Type="http://schemas.openxmlformats.org/officeDocument/2006/relationships/hyperlink" Target="GUIAS%20DE%20REMISION-REMITENTE\GUIA%20R-R%202020\NOVIEMBRE-2020\T001-00000061.pdf" TargetMode="External"/><Relationship Id="rId1056" Type="http://schemas.openxmlformats.org/officeDocument/2006/relationships/hyperlink" Target="https://onedrive.live.com/?cid=8C5B46544A563DC7&amp;id=8C5B46544A563DC7%218590&amp;parId=8C5B46544A563DC7%217802&amp;o=OneUp" TargetMode="External"/><Relationship Id="rId840" Type="http://schemas.openxmlformats.org/officeDocument/2006/relationships/hyperlink" Target="GUIAS%20DE%20REMISION-REMITENTE\GUIA%20R-R%202020\SEPTIEMBRE-2020\0003-001511.pdf" TargetMode="External"/><Relationship Id="rId938" Type="http://schemas.openxmlformats.org/officeDocument/2006/relationships/hyperlink" Target="ACTAS%20DE%20CONFORMIDAD\AC-2020\09-2020\18-09-2020\REG-44092-U7517796-84.42.pdf" TargetMode="External"/><Relationship Id="rId67" Type="http://schemas.openxmlformats.org/officeDocument/2006/relationships/hyperlink" Target="ACTAS%20DE%20CONFORMIDAD\AC-2020\01-2020\03-01-2020\REG-43833-3004402508-99.1.pdf" TargetMode="External"/><Relationship Id="rId272" Type="http://schemas.openxmlformats.org/officeDocument/2006/relationships/hyperlink" Target="GUIAS%20DE%20REMISION-REMITENTE\GUIA%20R-R%202020\FEBRERO-2020\0003-001213.pdf" TargetMode="External"/><Relationship Id="rId577" Type="http://schemas.openxmlformats.org/officeDocument/2006/relationships/hyperlink" Target="ACTAS%20DE%20CONFORMIDAD\AC-2020\08-2020\07-08-2020\REG-44050-3003940357-4544.8.pdf" TargetMode="External"/><Relationship Id="rId700" Type="http://schemas.openxmlformats.org/officeDocument/2006/relationships/hyperlink" Target="GUIAS%20DE%20REMISION-REMITENTE\GUIA%20R-R%202020\JULIO-2020\0003-001322.pdf" TargetMode="External"/><Relationship Id="rId132" Type="http://schemas.openxmlformats.org/officeDocument/2006/relationships/hyperlink" Target="ACTAS%20DE%20CONFORMIDAD\AC-2019\11-2019\19-11-2019\REG-43788-3004336197-49.2.pdf" TargetMode="External"/><Relationship Id="rId784" Type="http://schemas.openxmlformats.org/officeDocument/2006/relationships/hyperlink" Target="GUIAS%20DE%20REMISION-REMITENTE\GUIA%20R-R%202020\SEPTIEMBRE-2020\0003-001518.pdf" TargetMode="External"/><Relationship Id="rId991" Type="http://schemas.openxmlformats.org/officeDocument/2006/relationships/hyperlink" Target="ACTAS%20DE%20CONFORMIDAD\AC-2020\12-2020\03-12-2020\REG-44168-3004344017-2140.9.pdf" TargetMode="External"/><Relationship Id="rId1067" Type="http://schemas.openxmlformats.org/officeDocument/2006/relationships/hyperlink" Target="https://onedrive.live.com/?cid=8C5B46544A563DC7&amp;id=8C5B46544A563DC7%218659&amp;parId=8C5B46544A563DC7%218658&amp;o=OneUp" TargetMode="External"/><Relationship Id="rId437" Type="http://schemas.openxmlformats.org/officeDocument/2006/relationships/hyperlink" Target="GUIAS%20DE%20REMISION-REMITENTE\GUIA%20R-R%202020\MARZO-2020\0003-001071.pdf" TargetMode="External"/><Relationship Id="rId644" Type="http://schemas.openxmlformats.org/officeDocument/2006/relationships/hyperlink" Target="GUIAS%20DE%20REMISION-REMITENTE\GUIA%20R-R%202020\AGOSTO-2020\0003-001361.pdf" TargetMode="External"/><Relationship Id="rId851" Type="http://schemas.openxmlformats.org/officeDocument/2006/relationships/hyperlink" Target="GUIAS%20DE%20REMISION-REMITENTE\GUIA%20R-R%202020\OCTUBRE-2020\0003-001546.pdf" TargetMode="External"/><Relationship Id="rId283" Type="http://schemas.openxmlformats.org/officeDocument/2006/relationships/hyperlink" Target="ACTAS%20DE%20CONFORMIDAD\AC-2020\03-2020\05-03-2020\REG-43895-3004256777-502.9.pdf" TargetMode="External"/><Relationship Id="rId490" Type="http://schemas.openxmlformats.org/officeDocument/2006/relationships/hyperlink" Target="ACTAS%20DE%20CONFORMIDAD\AC-2020\05-2020\30-05-2020\REG-43981-3003566703-4559.pdf" TargetMode="External"/><Relationship Id="rId504" Type="http://schemas.openxmlformats.org/officeDocument/2006/relationships/hyperlink" Target="GUIAS%20DE%20REMISION-REMITENTE\GUIA%20R-R%202020\JUNIO-2020\0003-001255.pdf" TargetMode="External"/><Relationship Id="rId711" Type="http://schemas.openxmlformats.org/officeDocument/2006/relationships/hyperlink" Target="ACTAS%20DE%20CONFORMIDAD\AC-2020\07-2020\09-07-2020\REG-44021-3003415539-5069,9.pdf" TargetMode="External"/><Relationship Id="rId949" Type="http://schemas.openxmlformats.org/officeDocument/2006/relationships/hyperlink" Target="ACTAS%20DE%20CONFORMIDAD\AC-2020\11-2020\14-11-2020\REG-44149-3003566701-5274.9.pdf" TargetMode="External"/><Relationship Id="rId78" Type="http://schemas.openxmlformats.org/officeDocument/2006/relationships/hyperlink" Target="GUIAS%20DE%20REMISION-REMITENTE\GUIA%20R-R%202020\ENERO-%202020\0003-001189.pdf" TargetMode="External"/><Relationship Id="rId143" Type="http://schemas.openxmlformats.org/officeDocument/2006/relationships/hyperlink" Target="ACTAS%20DE%20CONFORMIDAD\AC-2019\11-2019\14-11-2019\REG-43783-3005005010-0.9.pdf" TargetMode="External"/><Relationship Id="rId350" Type="http://schemas.openxmlformats.org/officeDocument/2006/relationships/hyperlink" Target="ACTAS%20DE%20CONFORMIDAD\AC-2020\04-2020\07-04-2020\REG-43928-3004428523-914.1.pdf" TargetMode="External"/><Relationship Id="rId588" Type="http://schemas.openxmlformats.org/officeDocument/2006/relationships/hyperlink" Target="GUIAS%20DE%20REMISION-REMITENTE\GUIA%20R-R%202020\JUNIO-2020\0003-001280.pdf" TargetMode="External"/><Relationship Id="rId795" Type="http://schemas.openxmlformats.org/officeDocument/2006/relationships/hyperlink" Target="ACTAS%20DE%20CONFORMIDAD\AC-2019\06-2019\21-06-2019\REG-43637-A5245J-001-306.3.pdf" TargetMode="External"/><Relationship Id="rId809" Type="http://schemas.openxmlformats.org/officeDocument/2006/relationships/hyperlink" Target="ACTAS%20DE%20CONFORMIDAD\AC-2020\07-2020\23-07-2020\REG-44035-3004290369-1209.4.pdf" TargetMode="External"/><Relationship Id="rId9" Type="http://schemas.openxmlformats.org/officeDocument/2006/relationships/hyperlink" Target="../../../Fanny%20PC%2001/AppData/Roaming/Microsoft/Excel/ACTAS%20DE%20CONFORMIDAD/AC-2019/10-2019/10-10-2019/REG-43748-3004555915-506.8.pdf" TargetMode="External"/><Relationship Id="rId210" Type="http://schemas.openxmlformats.org/officeDocument/2006/relationships/hyperlink" Target="ACTAS%20DE%20CONFORMIDAD\AC-2020\02-2020\06-02-2020\REG-43867-3004331707-521.6.pdf" TargetMode="External"/><Relationship Id="rId448" Type="http://schemas.openxmlformats.org/officeDocument/2006/relationships/hyperlink" Target="GUIAS%20DE%20REMISION-REMITENTE\GUIA%20R-R%202020\MARZO-2020\0003-001084.pdf" TargetMode="External"/><Relationship Id="rId655" Type="http://schemas.openxmlformats.org/officeDocument/2006/relationships/hyperlink" Target="GUIAS%20DE%20REMISION-REMITENTE\GUIA%20R-R%202020\AGOSTO-2020\0003-001373.pdf" TargetMode="External"/><Relationship Id="rId862" Type="http://schemas.openxmlformats.org/officeDocument/2006/relationships/hyperlink" Target="ACTAS%20DE%20CONFORMIDAD\AC-2020\05-2020\27-05-2020\REG-43978-3004290368-1895.pdf" TargetMode="External"/><Relationship Id="rId1078" Type="http://schemas.openxmlformats.org/officeDocument/2006/relationships/printerSettings" Target="../printerSettings/printerSettings10.bin"/><Relationship Id="rId294" Type="http://schemas.openxmlformats.org/officeDocument/2006/relationships/hyperlink" Target="ACTAS%20DE%20CONFORMIDAD\AC-2020\03-2020\06-03-2020\REG-43896-3004418791-1222.6.pdf" TargetMode="External"/><Relationship Id="rId308" Type="http://schemas.openxmlformats.org/officeDocument/2006/relationships/hyperlink" Target="ACTAS%20DE%20CONFORMIDAD\AC-2020\03-2020\11-03-2020\REG-43901-3002933963-0.35.pdf" TargetMode="External"/><Relationship Id="rId515" Type="http://schemas.openxmlformats.org/officeDocument/2006/relationships/hyperlink" Target="ACTAS%20DE%20CONFORMIDAD\AC-2020\05-2020\30-05-2020\REG-43981-3003415539-4689.pdf" TargetMode="External"/><Relationship Id="rId722" Type="http://schemas.openxmlformats.org/officeDocument/2006/relationships/hyperlink" Target="GUIAS%20DE%20REMISION-REMITENTE\GUIA%20R-R%202020\SEPTIEMBRE-2020\0003-001380.pdf" TargetMode="External"/><Relationship Id="rId89" Type="http://schemas.openxmlformats.org/officeDocument/2006/relationships/hyperlink" Target="GUIAS%20DE%20REMISION-REMITENTE\GUIA%20R-R%202020\ENERO-%202020\0003-001156.pdf" TargetMode="External"/><Relationship Id="rId154" Type="http://schemas.openxmlformats.org/officeDocument/2006/relationships/hyperlink" Target="ACTAS%20DE%20CONFORMIDAD\AC-2020\01-2020\20-01-2020\REG-43850-3004290368-783.pdf" TargetMode="External"/><Relationship Id="rId361" Type="http://schemas.openxmlformats.org/officeDocument/2006/relationships/hyperlink" Target="ACTAS%20DE%20CONFORMIDAD\AC-2020\04-2020\26-04-2020\REG-43947-3002933963-60.9.pdf" TargetMode="External"/><Relationship Id="rId599" Type="http://schemas.openxmlformats.org/officeDocument/2006/relationships/hyperlink" Target="ACTAS%20DE%20CONFORMIDAD\AC-2020\08-2020\15-08-2020\REG-44058-3004402507-1813.6.pdf" TargetMode="External"/><Relationship Id="rId1005" Type="http://schemas.openxmlformats.org/officeDocument/2006/relationships/hyperlink" Target="GUIAS%20DE%20REMISION-REMITENTE\GUIA%20R-R%202020\NOVIEMBRE-2020\T001-00000079.pdf" TargetMode="External"/><Relationship Id="rId459" Type="http://schemas.openxmlformats.org/officeDocument/2006/relationships/hyperlink" Target="ACTAS%20DE%20CONFORMIDAD\AC-2020\03-2020\31-03-2020\REG-43921-3004290366-1641.5.pdf" TargetMode="External"/><Relationship Id="rId666" Type="http://schemas.openxmlformats.org/officeDocument/2006/relationships/hyperlink" Target="ACTAS%20DE%20CONFORMIDAD\AC-2020\07-2020\23-07-2020\REG-44035-3003566701-4650.2.pdf" TargetMode="External"/><Relationship Id="rId873" Type="http://schemas.openxmlformats.org/officeDocument/2006/relationships/hyperlink" Target="GUIAS%20DE%20REMISION-REMITENTE\GUIA%20R-R%202020\OCTUBRE-2020\0003-001542.pdf" TargetMode="External"/><Relationship Id="rId16" Type="http://schemas.openxmlformats.org/officeDocument/2006/relationships/hyperlink" Target="../../../Fanny%20PC%2001/AppData/Roaming/Microsoft/Excel/GUIAS%20DE%20REMISION-REMITENTE/GUIA%20R-R%202019/OCTUBRE/0003-001045.pdf" TargetMode="External"/><Relationship Id="rId221" Type="http://schemas.openxmlformats.org/officeDocument/2006/relationships/hyperlink" Target="ACTAS%20DE%20CONFORMIDAD\AC-2019\03-2019\15-03-2019\REG-43539-GEGA10-.pdf" TargetMode="External"/><Relationship Id="rId319" Type="http://schemas.openxmlformats.org/officeDocument/2006/relationships/hyperlink" Target="ACTAS%20DE%20CONFORMIDAD\AC-2020\03-2020\12-03-2020\REG-43902-3004227749-761.6.pdf" TargetMode="External"/><Relationship Id="rId526" Type="http://schemas.openxmlformats.org/officeDocument/2006/relationships/hyperlink" Target="ACTAS%20DE%20CONFORMIDAD\AC-2020\06-2020\05-06-2020\REG-43987-8754673-153.2.pdf" TargetMode="External"/><Relationship Id="rId733" Type="http://schemas.openxmlformats.org/officeDocument/2006/relationships/hyperlink" Target="GUIAS%20DE%20REMISION-REMITENTE\GUIA%20R-R%202020\SEPTIEMBRE-2020\0003-001384.pdf" TargetMode="External"/><Relationship Id="rId940" Type="http://schemas.openxmlformats.org/officeDocument/2006/relationships/hyperlink" Target="ACTAS%20DE%20CONFORMIDAD\AC-2020\11-2020\13-11-2020\REG-44148-3004218547-2015.4.pdf" TargetMode="External"/><Relationship Id="rId1016" Type="http://schemas.openxmlformats.org/officeDocument/2006/relationships/hyperlink" Target="ACTAS%20DE%20CONFORMIDAD\AC-2020\12-2020\12-12-2020\REG-44177-3004370193-3777.5.pdf" TargetMode="External"/><Relationship Id="rId165" Type="http://schemas.openxmlformats.org/officeDocument/2006/relationships/hyperlink" Target="ACTAS%20DE%20CONFORMIDAD\AC-2019\10-2019\16-10-2019\REG-43754-3004428523-51.2.pdf" TargetMode="External"/><Relationship Id="rId372" Type="http://schemas.openxmlformats.org/officeDocument/2006/relationships/hyperlink" Target="GUIAS%20DE%20REMISION-REMITENTE\GUIA%20R-R%202020\ABRIL-2020\0003-001095.pdf" TargetMode="External"/><Relationship Id="rId677" Type="http://schemas.openxmlformats.org/officeDocument/2006/relationships/hyperlink" Target="ACTAS%20DE%20CONFORMIDAD\AC-2020\07-2020\18-07-2020\REG-44030-3002933964-633.1.pdf" TargetMode="External"/><Relationship Id="rId800" Type="http://schemas.openxmlformats.org/officeDocument/2006/relationships/hyperlink" Target="ACTAS%20DE%20CONFORMIDAD\AC-2020\09-2020\22-09-2020\REG-44096-A5245J-001-308.3.pdf" TargetMode="External"/><Relationship Id="rId232" Type="http://schemas.openxmlformats.org/officeDocument/2006/relationships/hyperlink" Target="GUIAS%20DE%20REMISION-REMITENTE\GUIA%20R-R%202020\FEBRERO-2020\0003-001204.pdf" TargetMode="External"/><Relationship Id="rId884" Type="http://schemas.openxmlformats.org/officeDocument/2006/relationships/hyperlink" Target="GUIAS%20DE%20REMISION-REMITENTE\GUIA%20R-R%202020\OCTUBRE-2020\T001-00000011.pdf" TargetMode="External"/><Relationship Id="rId27" Type="http://schemas.openxmlformats.org/officeDocument/2006/relationships/hyperlink" Target="ACTAS%20DE%20CONFORMIDAD\AC-2019\08-2019\23-08-2019\REG-43700-3003963149-358.1.pdf" TargetMode="External"/><Relationship Id="rId537" Type="http://schemas.openxmlformats.org/officeDocument/2006/relationships/hyperlink" Target="GUIAS%20DE%20REMISION-REMITENTE\GUIA%20R-R%202020\JUNIO-2020\0003-001251.pdf" TargetMode="External"/><Relationship Id="rId744" Type="http://schemas.openxmlformats.org/officeDocument/2006/relationships/hyperlink" Target="ACTAS%20DE%20CONFORMIDAD\AC-2020\09-2020\03-09-2020\REG-44077-3004336197-2408.6.pdf" TargetMode="External"/><Relationship Id="rId951" Type="http://schemas.openxmlformats.org/officeDocument/2006/relationships/hyperlink" Target="GUIAS%20DE%20REMISION-REMITENTE\GUIA%20R-R%202020\NOVIEMBRE-2020\T001-00000071.pdf" TargetMode="External"/><Relationship Id="rId80" Type="http://schemas.openxmlformats.org/officeDocument/2006/relationships/hyperlink" Target="GUIAS%20DE%20REMISION-REMITENTE\GUIA%20R-R%202020\ENERO-%202020\0003-001164.pdf" TargetMode="External"/><Relationship Id="rId176" Type="http://schemas.openxmlformats.org/officeDocument/2006/relationships/hyperlink" Target="ACTAS%20DE%20CONFORMIDAD\AC-2019\09-2019\07-09-2019\REG-43715-3004381437-1.8.pdf" TargetMode="External"/><Relationship Id="rId383" Type="http://schemas.openxmlformats.org/officeDocument/2006/relationships/hyperlink" Target="GUIAS%20DE%20REMISION-REMITENTE\GUIA%20R-R%202020\ABRIL-2020\0003-001090.pdf" TargetMode="External"/><Relationship Id="rId590" Type="http://schemas.openxmlformats.org/officeDocument/2006/relationships/hyperlink" Target="GUIAS%20DE%20REMISION-REMITENTE\GUIA%20R-R%202020\JUNIO-2020\0003-001282.pdf" TargetMode="External"/><Relationship Id="rId604" Type="http://schemas.openxmlformats.org/officeDocument/2006/relationships/hyperlink" Target="GUIAS%20DE%20REMISION-REMITENTE\GUIA%20R-R%202020\AGOSTO-2020\0003-001354.pdf" TargetMode="External"/><Relationship Id="rId811" Type="http://schemas.openxmlformats.org/officeDocument/2006/relationships/hyperlink" Target="ACTAS%20DE%20CONFORMIDAD\AC-2020\05-2020\09-05-2020\REG-43960-3004381438-1553.8.pdf" TargetMode="External"/><Relationship Id="rId1027" Type="http://schemas.openxmlformats.org/officeDocument/2006/relationships/hyperlink" Target="GUIAS%20DE%20REMISION-REMITENTE\GUIA%20R-R%202020\DICIEMBRE-2020\T001-00000130.pdf" TargetMode="External"/><Relationship Id="rId243" Type="http://schemas.openxmlformats.org/officeDocument/2006/relationships/hyperlink" Target="ACTAS%20DE%20CONFORMIDAD\AC-2020\02-2020\18-02-2020\REG-43879-3004327725-419.4.pdf" TargetMode="External"/><Relationship Id="rId450" Type="http://schemas.openxmlformats.org/officeDocument/2006/relationships/hyperlink" Target="ACTAS%20DE%20CONFORMIDAD\AC-2020\03-2020\28-03-2020\REG-43918-3004214491-885.9.pdf" TargetMode="External"/><Relationship Id="rId688" Type="http://schemas.openxmlformats.org/officeDocument/2006/relationships/hyperlink" Target="ACTAS%20DE%20CONFORMIDAD\AC-2020\07-2020\08-07-2020\REG-44020-3004555914-2405.6.pdf" TargetMode="External"/><Relationship Id="rId895" Type="http://schemas.openxmlformats.org/officeDocument/2006/relationships/hyperlink" Target="GUIAS%20DE%20REMISION-REMITENTE\GUIA%20R-R%202020\OCTUBRE-2020\T001-00000018.pdf" TargetMode="External"/><Relationship Id="rId909" Type="http://schemas.openxmlformats.org/officeDocument/2006/relationships/hyperlink" Target="GUIAS%20DE%20REMISION-REMITENTE\GUIA%20R-R%202020\OCTUBRE-2020\T001-00000029.pdf" TargetMode="External"/><Relationship Id="rId1080" Type="http://schemas.openxmlformats.org/officeDocument/2006/relationships/vmlDrawing" Target="../drawings/vmlDrawing14.vml"/><Relationship Id="rId38" Type="http://schemas.openxmlformats.org/officeDocument/2006/relationships/hyperlink" Target="ACTAS%20DE%20CONFORMIDAD\AC-2020\01-2020\15-01-2020\REG-43845-3004331708-847.3.pdf" TargetMode="External"/><Relationship Id="rId103" Type="http://schemas.openxmlformats.org/officeDocument/2006/relationships/hyperlink" Target="ACTAS%20DE%20CONFORMIDAD\AC-2019\12-2019\04-12-2019\REG-43803-1603600-1493.pdf" TargetMode="External"/><Relationship Id="rId310" Type="http://schemas.openxmlformats.org/officeDocument/2006/relationships/hyperlink" Target="ACTAS%20DE%20CONFORMIDAD\AC-2020\03-2020\12-03-2020\REG-43902-3004402508-526.7.pdf" TargetMode="External"/><Relationship Id="rId548" Type="http://schemas.openxmlformats.org/officeDocument/2006/relationships/hyperlink" Target="ACTAS%20DE%20CONFORMIDAD\AC-2020\06-2020\18-06-2020\REG-44000-3004370193-2750.8.pdf" TargetMode="External"/><Relationship Id="rId755" Type="http://schemas.openxmlformats.org/officeDocument/2006/relationships/hyperlink" Target="ACTAS%20DE%20CONFORMIDAD\AC-2020\09-2020\07-09-2020\REG-44081-3003415536-4982.6.pdf" TargetMode="External"/><Relationship Id="rId962" Type="http://schemas.openxmlformats.org/officeDocument/2006/relationships/hyperlink" Target="ACTAS%20DE%20CONFORMIDAD\AC-2020\11-2020\19-11-2020\REG-44154-3004999911-3213.4.pdf" TargetMode="External"/><Relationship Id="rId91" Type="http://schemas.openxmlformats.org/officeDocument/2006/relationships/hyperlink" Target="GUIAS%20DE%20REMISION-REMITENTE\GUIA%20R-R%202020\ENERO-%202020\0003-001156.pdf" TargetMode="External"/><Relationship Id="rId187" Type="http://schemas.openxmlformats.org/officeDocument/2006/relationships/hyperlink" Target="ACTAS%20DE%20CONFORMIDAD\AC-2019\09-2019\07-09-2019\REG-43715-3004381438-0.5.pdf" TargetMode="External"/><Relationship Id="rId394" Type="http://schemas.openxmlformats.org/officeDocument/2006/relationships/hyperlink" Target="ACTAS%20DE%20CONFORMIDAD\AC-2020\04-2020\13-04-2020\REG-43934-3004256777-927.9.pdf" TargetMode="External"/><Relationship Id="rId408" Type="http://schemas.openxmlformats.org/officeDocument/2006/relationships/hyperlink" Target="GUIAS%20DE%20REMISION-REMITENTE\GUIA%20R-R%202020\ABRIL-2020\0003-001096.pdf" TargetMode="External"/><Relationship Id="rId615" Type="http://schemas.openxmlformats.org/officeDocument/2006/relationships/hyperlink" Target="GUIAS%20DE%20REMISION-REMITENTE\GUIA%20R-R%202020\JULIO-2020\0003-001303.pdf" TargetMode="External"/><Relationship Id="rId822" Type="http://schemas.openxmlformats.org/officeDocument/2006/relationships/hyperlink" Target="ACTAS%20DE%20CONFORMIDAD\AC-2020\08-2020\20-08-2020\REG-44063-3004381437-1956.5.pdf" TargetMode="External"/><Relationship Id="rId1038" Type="http://schemas.openxmlformats.org/officeDocument/2006/relationships/hyperlink" Target="GUIAS%20DE%20REMISION-REMITENTE\GUIA%20R-R%202020\DICIEMBRE-2020\T001-00000146.pdf" TargetMode="External"/><Relationship Id="rId254" Type="http://schemas.openxmlformats.org/officeDocument/2006/relationships/hyperlink" Target="GUIAS%20DE%20REMISION-REMITENTE\GUIA%20R-R%202020\FEBRERO-2020\0003-001064.pdf" TargetMode="External"/><Relationship Id="rId699" Type="http://schemas.openxmlformats.org/officeDocument/2006/relationships/hyperlink" Target="ACTAS%20DE%20CONFORMIDAD\AC-2020\07-2020\23-07-2020\REG-44035-3003566705-5732.5.pdf" TargetMode="External"/><Relationship Id="rId49" Type="http://schemas.openxmlformats.org/officeDocument/2006/relationships/hyperlink" Target="ACTAS%20DE%20CONFORMIDAD\AC-2020\01-2020\10-01-2020\REG-43840-3004418790-940.pdf" TargetMode="External"/><Relationship Id="rId114" Type="http://schemas.openxmlformats.org/officeDocument/2006/relationships/hyperlink" Target="ACTAS%20DE%20CONFORMIDAD\AC-2019\11-2019\28-11-2019\REG-43797-3004416580-522.3.pdf" TargetMode="External"/><Relationship Id="rId461" Type="http://schemas.openxmlformats.org/officeDocument/2006/relationships/hyperlink" Target="ACTAS%20DE%20CONFORMIDAD\AC-2020\03-2020\24-03-2020\REG-43914-3004337388-853.8.pdf" TargetMode="External"/><Relationship Id="rId559" Type="http://schemas.openxmlformats.org/officeDocument/2006/relationships/hyperlink" Target="ACTAS%20DE%20CONFORMIDAD\AC-2020\06-2020\26-06-2020\REG-44008-3003566699-5688.4.pdf" TargetMode="External"/><Relationship Id="rId766" Type="http://schemas.openxmlformats.org/officeDocument/2006/relationships/hyperlink" Target="GUIAS%20DE%20REMISION-REMITENTE\GUIA%20R-R%202020\SEPTIEMBRE-2020\0003-001398.pdf" TargetMode="External"/><Relationship Id="rId198" Type="http://schemas.openxmlformats.org/officeDocument/2006/relationships/hyperlink" Target="ACTAS%20DE%20CONFORMIDAD\AC-2019\09-2019\17-09-2019\REG-43725-X08231T-752.28.pdf" TargetMode="External"/><Relationship Id="rId321" Type="http://schemas.openxmlformats.org/officeDocument/2006/relationships/hyperlink" Target="ACTAS%20DE%20CONFORMIDAD\AC-2020\03-2020\18-03-2020\REG-43908-3004336197-865.2.pdf" TargetMode="External"/><Relationship Id="rId419" Type="http://schemas.openxmlformats.org/officeDocument/2006/relationships/hyperlink" Target="ACTAS%20DE%20CONFORMIDAD\AC-2020\05-2020\13-05-2020\REG-43964-3005167425-464.5.pdf" TargetMode="External"/><Relationship Id="rId626" Type="http://schemas.openxmlformats.org/officeDocument/2006/relationships/hyperlink" Target="ACTAS%20DE%20CONFORMIDAD\AC-2020\08-2020\12-08-2020\REG-44055-3005005010-2085.4.pdf" TargetMode="External"/><Relationship Id="rId973" Type="http://schemas.openxmlformats.org/officeDocument/2006/relationships/hyperlink" Target="ACTAS%20DE%20CONFORMIDAD\AC-2020\11-2020\17-11-2020\REG-44152-3004402507-2134.pdf" TargetMode="External"/><Relationship Id="rId1049" Type="http://schemas.openxmlformats.org/officeDocument/2006/relationships/hyperlink" Target="ACTAS%20DE%20CONFORMIDAD\AC-2020\12-2020\18-12-2020\REG-44183-6JA02716-2759.pdf" TargetMode="External"/><Relationship Id="rId833" Type="http://schemas.openxmlformats.org/officeDocument/2006/relationships/hyperlink" Target="ACTAS%20DE%20CONFORMIDAD\AC-2020\09-2020\28-09-2020\REG-44102-3004327722-1672.5.pdf" TargetMode="External"/><Relationship Id="rId265" Type="http://schemas.openxmlformats.org/officeDocument/2006/relationships/hyperlink" Target="ACTAS%20DE%20CONFORMIDAD\AC-2019\06-2019\REG-43621-1603587-715.pdf" TargetMode="External"/><Relationship Id="rId472" Type="http://schemas.openxmlformats.org/officeDocument/2006/relationships/hyperlink" Target="GUIAS%20DE%20REMISION-REMITENTE\GUIA%20R-R%202020\JUNIO-2020\0003-001253.pdf" TargetMode="External"/><Relationship Id="rId900" Type="http://schemas.openxmlformats.org/officeDocument/2006/relationships/hyperlink" Target="ACTAS%20DE%20CONFORMIDAD\AC-2020\10-2020\20-10-2020\REG-44124-3003932245-6194.9.pdf" TargetMode="External"/><Relationship Id="rId125" Type="http://schemas.openxmlformats.org/officeDocument/2006/relationships/hyperlink" Target="ACTAS%20DE%20CONFORMIDAD\AC-2019\11-2019\22-11-2019\REG-43791-3004331709-617.5.pdf" TargetMode="External"/><Relationship Id="rId332" Type="http://schemas.openxmlformats.org/officeDocument/2006/relationships/hyperlink" Target="ACTAS%20DE%20CONFORMIDAD\AC-2020\03-2020\21-03-2020\REG-43911-3004331709-1247.5.pdf" TargetMode="External"/><Relationship Id="rId777" Type="http://schemas.openxmlformats.org/officeDocument/2006/relationships/hyperlink" Target="GUIAS%20DE%20REMISION-REMITENTE\GUIA%20R-R%202020\SEPTIEMBRE-2020\0003-001391.pdf" TargetMode="External"/><Relationship Id="rId984" Type="http://schemas.openxmlformats.org/officeDocument/2006/relationships/hyperlink" Target="ACTAS%20DE%20CONFORMIDAD\AC-2020\12-2020\01-12-2020\REG-44166-3004327725-1607.8.pdf" TargetMode="External"/><Relationship Id="rId637" Type="http://schemas.openxmlformats.org/officeDocument/2006/relationships/hyperlink" Target="GUIAS%20DE%20REMISION-REMITENTE\GUIA%20R-R%202020\AGOSTO-2020\0003-001365.pdf" TargetMode="External"/><Relationship Id="rId844" Type="http://schemas.openxmlformats.org/officeDocument/2006/relationships/hyperlink" Target="GUIAS%20DE%20REMISION-REMITENTE\GUIA%20R-R%202020\SEPTIEMBRE-2020\0003-001515.pdf" TargetMode="External"/><Relationship Id="rId276" Type="http://schemas.openxmlformats.org/officeDocument/2006/relationships/hyperlink" Target="ACTAS%20DE%20CONFORMIDAD\AC-2019\08-2019\05-08-2019\REG-43682-9658426-5863.9.pdf" TargetMode="External"/><Relationship Id="rId483" Type="http://schemas.openxmlformats.org/officeDocument/2006/relationships/hyperlink" Target="ACTAS%20DE%20CONFORMIDAD\AC-2020\06-2020\02-06-2020\REG-43984-3003940357-3606.4.pdf" TargetMode="External"/><Relationship Id="rId690" Type="http://schemas.openxmlformats.org/officeDocument/2006/relationships/hyperlink" Target="ACTAS%20DE%20CONFORMIDAD\AC-2020\07-2020\09-07-2020\REG-44021-3003415532-4097.7.pdf" TargetMode="External"/><Relationship Id="rId704" Type="http://schemas.openxmlformats.org/officeDocument/2006/relationships/hyperlink" Target="ACTAS%20DE%20CONFORMIDAD\AC-2020\09-2020\01-09-2020\REG-44075-3004418791-1770.9.pdf" TargetMode="External"/><Relationship Id="rId911" Type="http://schemas.openxmlformats.org/officeDocument/2006/relationships/hyperlink" Target="ACTAS%20DE%20CONFORMIDAD\AC-2020\10-2020\22-10-2020\REG-44126-3004331709-2248.5.pdf" TargetMode="External"/><Relationship Id="rId40" Type="http://schemas.openxmlformats.org/officeDocument/2006/relationships/hyperlink" Target="ACTAS%20DE%20CONFORMIDAD\AC-2020\01-2020\14-01-2020\REG-43844-3004344014-608.1.pdf" TargetMode="External"/><Relationship Id="rId136" Type="http://schemas.openxmlformats.org/officeDocument/2006/relationships/hyperlink" Target="ACTAS%20DE%20CONFORMIDAD\AC-2019\11-2019\19-11-2019\REG-43788-3004381435-109.8.pdf" TargetMode="External"/><Relationship Id="rId343" Type="http://schemas.openxmlformats.org/officeDocument/2006/relationships/hyperlink" Target="ACTAS%20DE%20CONFORMIDAD\AC-2020\04-2020\04-04-2020\REG-43925-3005005010-1192.5.pdf" TargetMode="External"/><Relationship Id="rId550" Type="http://schemas.openxmlformats.org/officeDocument/2006/relationships/hyperlink" Target="ACTAS%20DE%20CONFORMIDAD\AC-2020\05-2020\23-05-2020\REG-43974-F930510270-336.2.pdf" TargetMode="External"/><Relationship Id="rId788" Type="http://schemas.openxmlformats.org/officeDocument/2006/relationships/hyperlink" Target="GUIAS%20DE%20REMISION-REMITENTE\GUIA%20R-R%202020\SEPTIEMBRE-2020\0003-001516.pdf" TargetMode="External"/><Relationship Id="rId995" Type="http://schemas.openxmlformats.org/officeDocument/2006/relationships/hyperlink" Target="ACTAS%20DE%20CONFORMIDAD\AC-2020\11-2020\09-11-2020\REG-44144-3004370193-3429.9.pdf" TargetMode="External"/><Relationship Id="rId203" Type="http://schemas.openxmlformats.org/officeDocument/2006/relationships/hyperlink" Target="ACTAS%20DE%20CONFORMIDAD\AC-2019\09-2019\26-09-2019\REG-43734-PEE2626877-192.1.pdf" TargetMode="External"/><Relationship Id="rId648" Type="http://schemas.openxmlformats.org/officeDocument/2006/relationships/hyperlink" Target="GUIAS%20DE%20REMISION-REMITENTE\GUIA%20R-R%202020\AGOSTO-2020\0003-001370.pdf" TargetMode="External"/><Relationship Id="rId855" Type="http://schemas.openxmlformats.org/officeDocument/2006/relationships/hyperlink" Target="GUIAS%20DE%20REMISION-REMITENTE\GUIA%20R-R%202020\OCTUBRE-2020\0003-001549.pdf" TargetMode="External"/><Relationship Id="rId1040" Type="http://schemas.openxmlformats.org/officeDocument/2006/relationships/hyperlink" Target="ACTAS%20DE%20CONFORMIDAD\AC-2020\12-2020\23-12-2020\REG-44188-3003987064-6420.8.pdf" TargetMode="External"/><Relationship Id="rId287" Type="http://schemas.openxmlformats.org/officeDocument/2006/relationships/hyperlink" Target="ACTAS%20DE%20CONFORMIDAD\AC-2020\03-2020\05-03-2020\REG-43895-3004327723-1201.5.pdf" TargetMode="External"/><Relationship Id="rId410" Type="http://schemas.openxmlformats.org/officeDocument/2006/relationships/hyperlink" Target="GUIAS%20DE%20REMISION-REMITENTE\GUIA%20R-R%202020\ABRIL-2020\0003-001087.pdf" TargetMode="External"/><Relationship Id="rId494" Type="http://schemas.openxmlformats.org/officeDocument/2006/relationships/hyperlink" Target="ACTAS%20DE%20CONFORMIDAD\AC-2020\05-2020\30-05-2020\REG-43981-3004555915-2263.4.pdf" TargetMode="External"/><Relationship Id="rId508" Type="http://schemas.openxmlformats.org/officeDocument/2006/relationships/hyperlink" Target="GUIAS%20DE%20REMISION-REMITENTE\GUIA%20R-R%202020\JUNIO-2020\0003-001259.pdf" TargetMode="External"/><Relationship Id="rId715" Type="http://schemas.openxmlformats.org/officeDocument/2006/relationships/hyperlink" Target="ACTAS%20DE%20CONFORMIDAD\AC-2020\07-2020\24-07-2020\REG-44036-3003415532-4338.2.pdf" TargetMode="External"/><Relationship Id="rId922" Type="http://schemas.openxmlformats.org/officeDocument/2006/relationships/hyperlink" Target="GUIAS%20DE%20REMISION-REMITENTE\GUIA%20R-R%202020\OCTUBRE-2020\0003-001543.pdf" TargetMode="External"/><Relationship Id="rId147" Type="http://schemas.openxmlformats.org/officeDocument/2006/relationships/hyperlink" Target="ACTAS%20DE%20CONFORMIDAD\AC-2019\11-2019\06-11-2019\REG-43775-3004597773-539.7.pdf" TargetMode="External"/><Relationship Id="rId354" Type="http://schemas.openxmlformats.org/officeDocument/2006/relationships/hyperlink" Target="GUIAS%20DE%20REMISION-REMITENTE\GUIA%20R-R%202020\ABRIL-2020\0003-001233.pdf" TargetMode="External"/><Relationship Id="rId799" Type="http://schemas.openxmlformats.org/officeDocument/2006/relationships/hyperlink" Target="ACTAS%20DE%20CONFORMIDAD\AC-2020\06-2020\19-06-2020\REG-44001-A5245J-001-308.1.pdf" TargetMode="External"/><Relationship Id="rId51" Type="http://schemas.openxmlformats.org/officeDocument/2006/relationships/hyperlink" Target="ACTAS%20DE%20CONFORMIDAD\AC-2020\01-2020\10-01-2020\REG-43840-8893263-83.2.pdf" TargetMode="External"/><Relationship Id="rId561" Type="http://schemas.openxmlformats.org/officeDocument/2006/relationships/hyperlink" Target="ACTAS%20DE%20CONFORMIDAD\AC-2020\07-2020\03-07-2020\REG-44015-3004290366-2535.3.pdf" TargetMode="External"/><Relationship Id="rId659" Type="http://schemas.openxmlformats.org/officeDocument/2006/relationships/hyperlink" Target="GUIAS%20DE%20REMISION-REMITENTE\GUIA%20R-R%202020\JULIO-2020\0003-001293.pdf" TargetMode="External"/><Relationship Id="rId866" Type="http://schemas.openxmlformats.org/officeDocument/2006/relationships/hyperlink" Target="ACTAS%20DE%20CONFORMIDAD\AC-2020\07-2020\15-07-2020\REG-44027-3004327725-1607.4.pdf" TargetMode="External"/><Relationship Id="rId214" Type="http://schemas.openxmlformats.org/officeDocument/2006/relationships/hyperlink" Target="ACTAS%20DE%20CONFORMIDAD\AC-2019\05-2019\22-05-2019\REG-43607-NR-9383.6.pdf" TargetMode="External"/><Relationship Id="rId298" Type="http://schemas.openxmlformats.org/officeDocument/2006/relationships/hyperlink" Target="ACTAS%20DE%20CONFORMIDAD\AC-2020\03-2020\10-03-2020\REG-43900-3004344014-878.pdf" TargetMode="External"/><Relationship Id="rId421" Type="http://schemas.openxmlformats.org/officeDocument/2006/relationships/hyperlink" Target="ACTAS%20DE%20CONFORMIDAD\AC-2020\05-2020\13-05-2020\REG-43964-3005167422-423.6.pdf" TargetMode="External"/><Relationship Id="rId519" Type="http://schemas.openxmlformats.org/officeDocument/2006/relationships/hyperlink" Target="ACTAS%20DE%20CONFORMIDAD\AC-2020\06-2020\11-06-2020\REG-43993-3003963150-3835.9.pdf" TargetMode="External"/><Relationship Id="rId1051" Type="http://schemas.openxmlformats.org/officeDocument/2006/relationships/hyperlink" Target="https://onedrive.live.com/?cid=8C5B46544A563DC7&amp;id=8C5B46544A563DC7%218574&amp;parId=8C5B46544A563DC7%217809&amp;o=OneUp" TargetMode="External"/><Relationship Id="rId158" Type="http://schemas.openxmlformats.org/officeDocument/2006/relationships/hyperlink" Target="ACTAS%20DE%20CONFORMIDAD\AC-2019\10-2019\21-10-2019\REG-43759-3004336198-408.4.pdf" TargetMode="External"/><Relationship Id="rId726" Type="http://schemas.openxmlformats.org/officeDocument/2006/relationships/hyperlink" Target="ACTAS%20DE%20CONFORMIDAD\AC-2020\09-2020\01-09-2020\REG-44075-3003566699-6614.3.pdf" TargetMode="External"/><Relationship Id="rId933" Type="http://schemas.openxmlformats.org/officeDocument/2006/relationships/hyperlink" Target="ACTAS%20DE%20CONFORMIDAD\AC-2020\10-2020\17-10-2020\REG-44121-6JA02716-2751.pdf" TargetMode="External"/><Relationship Id="rId1009" Type="http://schemas.openxmlformats.org/officeDocument/2006/relationships/hyperlink" Target="GUIAS%20DE%20REMISION-REMITENTE\GUIA%20R-R%202020\NOVIEMBRE-2020\T001-00000109.pdf" TargetMode="External"/><Relationship Id="rId62" Type="http://schemas.openxmlformats.org/officeDocument/2006/relationships/hyperlink" Target="GUIAS%20DE%20REMISION-REMITENTE\GUIA%20R-R%202020\ENERO-%202020\0003-001150.pdf" TargetMode="External"/><Relationship Id="rId365" Type="http://schemas.openxmlformats.org/officeDocument/2006/relationships/hyperlink" Target="GUIAS%20DE%20REMISION-REMITENTE\GUIA%20R-R%202020\ABRIL-2020\0003-001234.pdf" TargetMode="External"/><Relationship Id="rId572" Type="http://schemas.openxmlformats.org/officeDocument/2006/relationships/hyperlink" Target="ACTAS%20DE%20CONFORMIDAD\AC-2020\07-2020\28-07-2020\REG-44040-3004336197-2044.4.pdf" TargetMode="External"/><Relationship Id="rId225" Type="http://schemas.openxmlformats.org/officeDocument/2006/relationships/hyperlink" Target="ACTAS%20DE%20CONFORMIDAD\AC-2019\03-2019\13-03-2019\REG-43537-9658425-2514.3.pdf" TargetMode="External"/><Relationship Id="rId432" Type="http://schemas.openxmlformats.org/officeDocument/2006/relationships/hyperlink" Target="ACTAS%20DE%20CONFORMIDAD\AC-2019\03-2019\02-03-2019\REG-43526-362973-1-1-0813-95.48.pdf" TargetMode="External"/><Relationship Id="rId877" Type="http://schemas.openxmlformats.org/officeDocument/2006/relationships/hyperlink" Target="ACTAS%20DE%20CONFORMIDAD\AC-2020\10-2020\05-10-2020\REG-44109-3004327724-NR.pdf" TargetMode="External"/><Relationship Id="rId1062" Type="http://schemas.openxmlformats.org/officeDocument/2006/relationships/hyperlink" Target="https://onedrive.live.com/?cid=8C5B46544A563DC7&amp;id=8C5B46544A563DC7%218600&amp;parId=8C5B46544A563DC7%218599&amp;o=OneUp" TargetMode="External"/><Relationship Id="rId737" Type="http://schemas.openxmlformats.org/officeDocument/2006/relationships/hyperlink" Target="GUIAS%20DE%20REMISION-REMITENTE\GUIA%20R-R%202020\AGOSTO-2020\0003-001344.pdf" TargetMode="External"/><Relationship Id="rId944" Type="http://schemas.openxmlformats.org/officeDocument/2006/relationships/hyperlink" Target="ACTAS%20DE%20CONFORMIDAD\AC-2020\11-2020\13-11-2020\REG-44148-3004218547-2015.4.pdf" TargetMode="External"/><Relationship Id="rId73" Type="http://schemas.openxmlformats.org/officeDocument/2006/relationships/hyperlink" Target="GUIAS%20DE%20REMISION-REMITENTE\GUIA%20R-R%202020\ENERO-%202020\0003-001150.pdf" TargetMode="External"/><Relationship Id="rId169" Type="http://schemas.openxmlformats.org/officeDocument/2006/relationships/hyperlink" Target="ACTAS%20DE%20CONFORMIDAD\AC-2019\10-2019\15-10-2019\REG-43753-3004416581-114.4.pdf" TargetMode="External"/><Relationship Id="rId376" Type="http://schemas.openxmlformats.org/officeDocument/2006/relationships/hyperlink" Target="GUIAS%20DE%20REMISION-REMITENTE\GUIA%20R-R%202020\ABRIL-2020\0003-001095.pdf" TargetMode="External"/><Relationship Id="rId583" Type="http://schemas.openxmlformats.org/officeDocument/2006/relationships/hyperlink" Target="GUIAS%20DE%20REMISION-REMITENTE\GUIA%20R-R%202020\AGOSTO-2020\0003-001343.pdf" TargetMode="External"/><Relationship Id="rId790" Type="http://schemas.openxmlformats.org/officeDocument/2006/relationships/hyperlink" Target="GUIAS%20DE%20REMISION-REMITENTE\GUIA%20R-R%202020\SEPTIEMBRE-2020\0003-001512.pdf" TargetMode="External"/><Relationship Id="rId804" Type="http://schemas.openxmlformats.org/officeDocument/2006/relationships/hyperlink" Target="GUIAS%20DE%20REMISION-REMITENTE\GUIA%20R-R%202020\MAYO-2020\0003-001405.pdf" TargetMode="External"/><Relationship Id="rId4" Type="http://schemas.openxmlformats.org/officeDocument/2006/relationships/hyperlink" Target="../../../Fanny%20PC%2001/AppData/Roaming/Microsoft/Excel/GUIAS%20DE%20REMISION-REMITENTE/GUIA%20R-R%202020/ENERO-%202020/0003-001148.pdf" TargetMode="External"/><Relationship Id="rId236" Type="http://schemas.openxmlformats.org/officeDocument/2006/relationships/hyperlink" Target="ACTAS%20DE%20CONFORMIDAD\AC-2020\02-2020\19-02-2020\REG-43880-3004290364-520.9.pdf" TargetMode="External"/><Relationship Id="rId443" Type="http://schemas.openxmlformats.org/officeDocument/2006/relationships/hyperlink" Target="GUIAS%20DE%20REMISION-REMITENTE\GUIA%20R-R%202020\MARZO-2020\0003-001081.pdf" TargetMode="External"/><Relationship Id="rId650" Type="http://schemas.openxmlformats.org/officeDocument/2006/relationships/hyperlink" Target="ACTAS%20DE%20CONFORMIDAD\AC-2020\08-2020\27-08-2020\REG-44070-3004381435-1542.6.pdf" TargetMode="External"/><Relationship Id="rId888" Type="http://schemas.openxmlformats.org/officeDocument/2006/relationships/hyperlink" Target="ACTAS%20DE%20CONFORMIDAD\AC-2020\10-2020\21-10-2020\REG-44125-3004214491-2283.1.pdf" TargetMode="External"/><Relationship Id="rId1073" Type="http://schemas.openxmlformats.org/officeDocument/2006/relationships/hyperlink" Target="https://onedrive.live.com/?cid=8C5B46544A563DC7&amp;id=8C5B46544A563DC7%218806&amp;parId=8C5B46544A563DC7%218804&amp;o=OneUp" TargetMode="External"/><Relationship Id="rId303" Type="http://schemas.openxmlformats.org/officeDocument/2006/relationships/hyperlink" Target="GUIAS%20DE%20REMISION-REMITENTE\GUIA%20R-R%202020\MARZO-2020\0003-001220.pdf" TargetMode="External"/><Relationship Id="rId748" Type="http://schemas.openxmlformats.org/officeDocument/2006/relationships/hyperlink" Target="GUIAS%20DE%20REMISION-REMITENTE\GUIA%20R-R%202020\SEPTIEMBRE-2020\0003-001396.pdf" TargetMode="External"/><Relationship Id="rId955" Type="http://schemas.openxmlformats.org/officeDocument/2006/relationships/hyperlink" Target="GUIAS%20DE%20REMISION-REMITENTE\GUIA%20R-R%202020\NOVIEMBRE-2020\T001-00000057.pdf" TargetMode="External"/><Relationship Id="rId84" Type="http://schemas.openxmlformats.org/officeDocument/2006/relationships/hyperlink" Target="GUIAS%20DE%20REMISION-REMITENTE\GUIA%20R-R%202020\ENERO-%202020\0003-001162.pdf" TargetMode="External"/><Relationship Id="rId387" Type="http://schemas.openxmlformats.org/officeDocument/2006/relationships/hyperlink" Target="GUIAS%20DE%20REMISION-REMITENTE\GUIA%20R-R%202020\ABRIL-2020\0003-001094.pdf" TargetMode="External"/><Relationship Id="rId510" Type="http://schemas.openxmlformats.org/officeDocument/2006/relationships/hyperlink" Target="ACTAS%20DE%20CONFORMIDAD\AC-2020\06-2020\06-06-2020\REG-43988-3003963149-3254.9.pdf" TargetMode="External"/><Relationship Id="rId594" Type="http://schemas.openxmlformats.org/officeDocument/2006/relationships/hyperlink" Target="ACTAS%20DE%20CONFORMIDAD\AC-2020\08-2020\13-08-2020\REG-44056-3004227749-2024.8.pdf" TargetMode="External"/><Relationship Id="rId608" Type="http://schemas.openxmlformats.org/officeDocument/2006/relationships/hyperlink" Target="GUIAS%20DE%20REMISION-REMITENTE\GUIA%20R-R%202020\AGOSTO-2020\0003-001353.pdf" TargetMode="External"/><Relationship Id="rId815" Type="http://schemas.openxmlformats.org/officeDocument/2006/relationships/hyperlink" Target="ACTAS%20DE%20CONFORMIDAD\AC-2020\07-2020\21-07-2020\REG-44033-3004381438-2177.3.pdf" TargetMode="External"/><Relationship Id="rId247" Type="http://schemas.openxmlformats.org/officeDocument/2006/relationships/hyperlink" Target="GUIAS%20DE%20REMISION-REMITENTE\GUIA%20R-R%202020\FEBRERO-2020\0003-001065.pdf" TargetMode="External"/><Relationship Id="rId899" Type="http://schemas.openxmlformats.org/officeDocument/2006/relationships/hyperlink" Target="GUIAS%20DE%20REMISION-REMITENTE\GUIA%20R-R%202020\OCTUBRE-2020\T001-00000017.pdf" TargetMode="External"/><Relationship Id="rId1000" Type="http://schemas.openxmlformats.org/officeDocument/2006/relationships/hyperlink" Target="ACTAS%20DE%20CONFORMIDAD\AC-2020\11-2020\23-11-2020\REG-44158-3004555912-2880.1.pdf" TargetMode="External"/><Relationship Id="rId107" Type="http://schemas.openxmlformats.org/officeDocument/2006/relationships/hyperlink" Target="ACTAS%20DE%20CONFORMIDAD\AC-2019\11-2019\29-11-2019\REG-43798-3004337388-390.pdf" TargetMode="External"/><Relationship Id="rId454" Type="http://schemas.openxmlformats.org/officeDocument/2006/relationships/hyperlink" Target="GUIAS%20DE%20REMISION-REMITENTE\GUIA%20R-R%202020\MARZO-2020\0003-001083.pdf" TargetMode="External"/><Relationship Id="rId661" Type="http://schemas.openxmlformats.org/officeDocument/2006/relationships/hyperlink" Target="GUIAS%20DE%20REMISION-REMITENTE\GUIA%20R-R%202020\AGOSTO-2020\0003-001372.pdf" TargetMode="External"/><Relationship Id="rId759" Type="http://schemas.openxmlformats.org/officeDocument/2006/relationships/hyperlink" Target="ACTAS%20DE%20CONFORMIDAD\AC-2020\09-2020\10-09-2020\REG-44084-3004344014-1832.7.pdf" TargetMode="External"/><Relationship Id="rId966" Type="http://schemas.openxmlformats.org/officeDocument/2006/relationships/hyperlink" Target="GUIAS%20DE%20REMISION-REMITENTE\GUIA%20R-R%202020\NOVIEMBRE-2020\T001-00000078.pdf" TargetMode="External"/><Relationship Id="rId11" Type="http://schemas.openxmlformats.org/officeDocument/2006/relationships/hyperlink" Target="../../../Fanny%20PC%2001/AppData/Roaming/Microsoft/Excel/ACTAS%20DE%20CONFORMIDAD/AC-2019/10-2019/10-10-2019/REG-43748-3004555912-445.6.pdf" TargetMode="External"/><Relationship Id="rId314" Type="http://schemas.openxmlformats.org/officeDocument/2006/relationships/hyperlink" Target="ACTAS%20DE%20CONFORMIDAD\AC-2020\03-2020\13-03-2020\REG-43903-3004331709-1206.7.pdf" TargetMode="External"/><Relationship Id="rId398" Type="http://schemas.openxmlformats.org/officeDocument/2006/relationships/hyperlink" Target="ACTAS%20DE%20CONFORMIDAD\AC-2020\04-2020\12-04-2020\REG-43933-3004416580-1719.8.pdf" TargetMode="External"/><Relationship Id="rId521" Type="http://schemas.openxmlformats.org/officeDocument/2006/relationships/hyperlink" Target="ACTAS%20DE%20CONFORMIDAD\AC-2019\10-2019\02-10-2019\REG-43740-3004370195-842.6.pdf" TargetMode="External"/><Relationship Id="rId619" Type="http://schemas.openxmlformats.org/officeDocument/2006/relationships/hyperlink" Target="ACTAS%20DE%20CONFORMIDAD\AC-2020\07-2020\18-07-2020\REG-44030-3004218547-1341.5.pdf" TargetMode="External"/><Relationship Id="rId95" Type="http://schemas.openxmlformats.org/officeDocument/2006/relationships/hyperlink" Target="GUIAS%20DE%20REMISION-REMITENTE\GUIA%20R-R%202020\ENERO-%202020\0003-001153.pdf" TargetMode="External"/><Relationship Id="rId160" Type="http://schemas.openxmlformats.org/officeDocument/2006/relationships/hyperlink" Target="ACTAS%20DE%20CONFORMIDAD\AC-2019\10-2019\21-10-2019\REG-43759-3004331708-280.6.pdf" TargetMode="External"/><Relationship Id="rId826" Type="http://schemas.openxmlformats.org/officeDocument/2006/relationships/hyperlink" Target="ACTAS%20DE%20CONFORMIDAD\AC-2020\09-2020\30-09-2020\REG-44104-3004256777-2161.1.pdf" TargetMode="External"/><Relationship Id="rId1011" Type="http://schemas.openxmlformats.org/officeDocument/2006/relationships/hyperlink" Target="GUIAS%20DE%20REMISION-REMITENTE\GUIA%20R-R%202020\NOVIEMBRE-2020\T001-00000085.pdf" TargetMode="External"/><Relationship Id="rId258" Type="http://schemas.openxmlformats.org/officeDocument/2006/relationships/hyperlink" Target="ACTAS%20DE%20CONFORMIDAD\AC-2020\02-2020\20-02-2020\REG-43881-1603596-1575.pdf" TargetMode="External"/><Relationship Id="rId465" Type="http://schemas.openxmlformats.org/officeDocument/2006/relationships/hyperlink" Target="ACTAS%20DE%20CONFORMIDAD\AC-2020\03-2020\27-03-2020\REG-43917-3004402506-1534.pdf" TargetMode="External"/><Relationship Id="rId672" Type="http://schemas.openxmlformats.org/officeDocument/2006/relationships/hyperlink" Target="ACTAS%20DE%20CONFORMIDAD\AC-2020\07-2020\22-07-2020\REG-44034-3004597773-2342.4.pdf" TargetMode="External"/><Relationship Id="rId22" Type="http://schemas.openxmlformats.org/officeDocument/2006/relationships/hyperlink" Target="ACTAS%20DE%20CONFORMIDAD\AC-2019\08-2019\01-08-2019\REG-43678-3004597775-100.9.pdf" TargetMode="External"/><Relationship Id="rId118" Type="http://schemas.openxmlformats.org/officeDocument/2006/relationships/hyperlink" Target="ACTAS%20DE%20CONFORMIDAD\AC-2019\11-2019\27-11-2019\REG-43796-3004344014-312.4.pdf" TargetMode="External"/><Relationship Id="rId325" Type="http://schemas.openxmlformats.org/officeDocument/2006/relationships/hyperlink" Target="GUIAS%20DE%20REMISION-REMITENTE\GUIA%20R-R%202020\MARZO-2020\0003-001224.pdf" TargetMode="External"/><Relationship Id="rId532" Type="http://schemas.openxmlformats.org/officeDocument/2006/relationships/hyperlink" Target="GUIAS%20DE%20REMISION-REMITENTE\GUIA%20R-R%202020\JUNIO-2020\0003-001273.pdf" TargetMode="External"/><Relationship Id="rId977" Type="http://schemas.openxmlformats.org/officeDocument/2006/relationships/hyperlink" Target="ACTAS%20DE%20CONFORMIDAD\AC-2020\11-2020\23-11-2020\REG-44158-3003566699-7932.7.pdf" TargetMode="External"/><Relationship Id="rId171" Type="http://schemas.openxmlformats.org/officeDocument/2006/relationships/hyperlink" Target="ACTAS%20DE%20CONFORMIDAD\AC-2019\09-2019\20-09-2019\REG-43728-3004428523-14.8.pdf" TargetMode="External"/><Relationship Id="rId837" Type="http://schemas.openxmlformats.org/officeDocument/2006/relationships/hyperlink" Target="GUIAS%20DE%20REMISION-REMITENTE\GUIA%20R-R%202020\SEPTIEMBRE-2020\0003-001519.pdf" TargetMode="External"/><Relationship Id="rId1022" Type="http://schemas.openxmlformats.org/officeDocument/2006/relationships/hyperlink" Target="ACTAS%20DE%20CONFORMIDAD\AC-2020\12-2020\02-12-2020\REG-44167-3003940357-6053.6.pdf" TargetMode="External"/><Relationship Id="rId269" Type="http://schemas.openxmlformats.org/officeDocument/2006/relationships/hyperlink" Target="ACTAS%20DE%20CONFORMIDAD\AC-2020\02-2020\29-02-2020\REG-43890-PEE2626871-0.pdf" TargetMode="External"/><Relationship Id="rId476" Type="http://schemas.openxmlformats.org/officeDocument/2006/relationships/hyperlink" Target="ACTAS%20DE%20CONFORMIDAD\AC-2019\11-2019\09-11-2019\REG-43778-G-4012-2093.pdf" TargetMode="External"/><Relationship Id="rId683" Type="http://schemas.openxmlformats.org/officeDocument/2006/relationships/hyperlink" Target="GUIAS%20DE%20REMISION-REMITENTE\GUIA%20R-R%202020\AGOSTO-2020\0003-001369.pdf" TargetMode="External"/><Relationship Id="rId890" Type="http://schemas.openxmlformats.org/officeDocument/2006/relationships/hyperlink" Target="ACTAS%20DE%20CONFORMIDAD\AC-2020\10-2020\22-10-2020\REG-44126-3004418790-2171.8.pdf" TargetMode="External"/><Relationship Id="rId904" Type="http://schemas.openxmlformats.org/officeDocument/2006/relationships/hyperlink" Target="ACTAS%20DE%20CONFORMIDAD\AC-2020\10-2020\21-10-2020\REG-44125-3002933964-1365.32.pdf" TargetMode="External"/><Relationship Id="rId33" Type="http://schemas.openxmlformats.org/officeDocument/2006/relationships/hyperlink" Target="ACTAS%20DE%20CONFORMIDAD\AC-2020\01-2020\24-01-2020\REG-43854-3004402507-1189.pdf" TargetMode="External"/><Relationship Id="rId129" Type="http://schemas.openxmlformats.org/officeDocument/2006/relationships/hyperlink" Target="ACTAS%20DE%20CONFORMIDAD\AC-2019\11-2019\19-11-2019\REG-43788-3004344017-518.1.pdf" TargetMode="External"/><Relationship Id="rId336" Type="http://schemas.openxmlformats.org/officeDocument/2006/relationships/hyperlink" Target="ACTAS%20DE%20CONFORMIDAD\AC-2020\03-2020\27-03-2020\REG-43917-3004331708-1163.8.pdf" TargetMode="External"/><Relationship Id="rId543" Type="http://schemas.openxmlformats.org/officeDocument/2006/relationships/hyperlink" Target="ACTAS%20DE%20CONFORMIDAD\AC-2020\06-2020\16-06-2020\REG-43998-3003963150-3839.7.pdf" TargetMode="External"/><Relationship Id="rId988" Type="http://schemas.openxmlformats.org/officeDocument/2006/relationships/hyperlink" Target="ACTAS%20DE%20CONFORMIDAD\AC-2020\12-2020\03-12-2020\REG-44168-3004336196-3148.2.pdf" TargetMode="External"/><Relationship Id="rId182" Type="http://schemas.openxmlformats.org/officeDocument/2006/relationships/hyperlink" Target="ACTAS%20DE%20CONFORMIDAD\AC-2019\09-2019\07-09-2019\REG-43715-3004418791-3.9.pdf" TargetMode="External"/><Relationship Id="rId403" Type="http://schemas.openxmlformats.org/officeDocument/2006/relationships/hyperlink" Target="GUIAS%20DE%20REMISION-REMITENTE\GUIA%20R-R%202020\ABRIL-2020\0003-001088.pdf" TargetMode="External"/><Relationship Id="rId750" Type="http://schemas.openxmlformats.org/officeDocument/2006/relationships/hyperlink" Target="GUIAS%20DE%20REMISION-REMITENTE\GUIA%20R-R%202020\SEPTIEMBRE-2020\0003-001394.pdf" TargetMode="External"/><Relationship Id="rId848" Type="http://schemas.openxmlformats.org/officeDocument/2006/relationships/hyperlink" Target="GUIAS%20DE%20REMISION-REMITENTE\GUIA%20R-R%202020\SEPTIEMBRE-2020\0003-001529.pdf" TargetMode="External"/><Relationship Id="rId1033" Type="http://schemas.openxmlformats.org/officeDocument/2006/relationships/hyperlink" Target="ACTAS%20DE%20CONFORMIDAD\AC-2020\12-2020\14-12-2020\REG-44179-3004327725-1679.8.pdf" TargetMode="External"/><Relationship Id="rId487" Type="http://schemas.openxmlformats.org/officeDocument/2006/relationships/hyperlink" Target="ACTAS%20DE%20CONFORMIDAD\AC-2020\05-2020\30-05-2020\REG-43981-3004555912-1716.pdf" TargetMode="External"/><Relationship Id="rId610" Type="http://schemas.openxmlformats.org/officeDocument/2006/relationships/hyperlink" Target="GUIAS%20DE%20REMISION-REMITENTE\GUIA%20R-R%202020\AGOSTO-2020\0003-001351.pdf" TargetMode="External"/><Relationship Id="rId694" Type="http://schemas.openxmlformats.org/officeDocument/2006/relationships/hyperlink" Target="GUIAS%20DE%20REMISION-REMITENTE\GUIA%20R-R%202020\AGOSTO-2020\0003-001379.pdf" TargetMode="External"/><Relationship Id="rId708" Type="http://schemas.openxmlformats.org/officeDocument/2006/relationships/hyperlink" Target="GUIAS%20DE%20REMISION-REMITENTE\GUIA%20R-R%202020\JULIO-2020\0003-001306.pdf" TargetMode="External"/><Relationship Id="rId915" Type="http://schemas.openxmlformats.org/officeDocument/2006/relationships/hyperlink" Target="GUIAS%20DE%20REMISION-REMITENTE\GUIA%20R-R%202020\OCTUBRE-2020\T001-00000032.pdf" TargetMode="External"/><Relationship Id="rId347" Type="http://schemas.openxmlformats.org/officeDocument/2006/relationships/hyperlink" Target="ACTAS%20DE%20CONFORMIDAD\AC-2020\03-2020\30-03-2020\REG-43920-3004337430-572.3.pdf" TargetMode="External"/><Relationship Id="rId999" Type="http://schemas.openxmlformats.org/officeDocument/2006/relationships/hyperlink" Target="ACTAS%20DE%20CONFORMIDAD\AC-2020\11-2020\20-11-2020\REG-44155-3004555912-2869.9.pdf" TargetMode="External"/><Relationship Id="rId44" Type="http://schemas.openxmlformats.org/officeDocument/2006/relationships/hyperlink" Target="ACTAS%20DE%20CONFORMIDAD\AC-2020\01-2020\13-01-2020\REG-43843-3004327724-1002.7.pdf" TargetMode="External"/><Relationship Id="rId554" Type="http://schemas.openxmlformats.org/officeDocument/2006/relationships/hyperlink" Target="GUIAS%20DE%20REMISION-REMITENTE\GUIA%20R-R%202020\JUNIO-2020\0003-001231.pdf" TargetMode="External"/><Relationship Id="rId761" Type="http://schemas.openxmlformats.org/officeDocument/2006/relationships/hyperlink" Target="ACTAS%20DE%20CONFORMIDAD\AC-2020\09-2020\10-09-2020\REG-44084-3004402506-2582.6.pdf" TargetMode="External"/><Relationship Id="rId859" Type="http://schemas.openxmlformats.org/officeDocument/2006/relationships/hyperlink" Target="ACTAS%20DE%20CONFORMIDAD\AC-2020\10-2020\08-10-2020\REG-44112-3003566703-5927.1.pdf" TargetMode="External"/><Relationship Id="rId193" Type="http://schemas.openxmlformats.org/officeDocument/2006/relationships/hyperlink" Target="ACTAS%20DE%20CONFORMIDAD\AC-2019\09-2019\02-09-2019\REG-43710-3003962766-174.pdf" TargetMode="External"/><Relationship Id="rId207" Type="http://schemas.openxmlformats.org/officeDocument/2006/relationships/hyperlink" Target="ACTAS%20DE%20CONFORMIDAD\AC-2020\02-2020\05-02-2020\REG-43866-3005005010-733.pdf" TargetMode="External"/><Relationship Id="rId414" Type="http://schemas.openxmlformats.org/officeDocument/2006/relationships/hyperlink" Target="GUIAS%20DE%20REMISION-REMITENTE\GUIA%20R-R%202020\MARZO-2020\0003-001069.pdf" TargetMode="External"/><Relationship Id="rId498" Type="http://schemas.openxmlformats.org/officeDocument/2006/relationships/hyperlink" Target="ACTAS%20DE%20CONFORMIDAD\AC-2020\06-2020\05-06-2020\REG-43987-3003987064-3726.7.pdf" TargetMode="External"/><Relationship Id="rId621" Type="http://schemas.openxmlformats.org/officeDocument/2006/relationships/hyperlink" Target="ACTAS%20DE%20CONFORMIDAD\AC-2020\08-2020\08-08-2020\REG-44051-3004331709-1891.4.pdf" TargetMode="External"/><Relationship Id="rId1044" Type="http://schemas.openxmlformats.org/officeDocument/2006/relationships/hyperlink" Target="ACTAS%20DE%20CONFORMIDAD\AC-2020\12-2020\18-12-2020\REG-44183-3003932245-6582.8.pdf" TargetMode="External"/><Relationship Id="rId260" Type="http://schemas.openxmlformats.org/officeDocument/2006/relationships/hyperlink" Target="ACTAS%20DE%20CONFORMIDAD\AC-2019\06-2019\REG-43621-1603597-477.pdf" TargetMode="External"/><Relationship Id="rId719" Type="http://schemas.openxmlformats.org/officeDocument/2006/relationships/hyperlink" Target="ACTAS%20DE%20CONFORMIDAD\AC-2020\08-2020\01-08-2020\REG-44044-3003415536-4664.4.pdf" TargetMode="External"/><Relationship Id="rId926" Type="http://schemas.openxmlformats.org/officeDocument/2006/relationships/hyperlink" Target="ACTAS%20DE%20CONFORMIDAD\AC-2020\10-2020\28-10-2020\REG-44132-3004381435-1852.2.pdf" TargetMode="External"/><Relationship Id="rId55" Type="http://schemas.openxmlformats.org/officeDocument/2006/relationships/hyperlink" Target="ACTAS%20DE%20CONFORMIDAD\AC-2020\01-2020\09-01-2020\REG-43839-3004331707-197.9.pdf" TargetMode="External"/><Relationship Id="rId120" Type="http://schemas.openxmlformats.org/officeDocument/2006/relationships/hyperlink" Target="ACTAS%20DE%20CONFORMIDAD\AC-2019\11-2019\22-11-2019\REG-43791-3003963149-992.1.pdf" TargetMode="External"/><Relationship Id="rId358" Type="http://schemas.openxmlformats.org/officeDocument/2006/relationships/hyperlink" Target="ACTAS%20DE%20CONFORMIDAD\AC-2019\12-2019\26-08-2019\REG-43825-3005167425-0.pdf" TargetMode="External"/><Relationship Id="rId565" Type="http://schemas.openxmlformats.org/officeDocument/2006/relationships/hyperlink" Target="GUIAS%20DE%20REMISION-REMITENTE\GUIA%20R-R%202020\JUNIO-2020\0003-001286.pdf" TargetMode="External"/><Relationship Id="rId772" Type="http://schemas.openxmlformats.org/officeDocument/2006/relationships/hyperlink" Target="ACTAS%20DE%20CONFORMIDAD\AC-2020\09-2020\12-09-2020\REG-44086-6FA06155-2737.2.pdf" TargetMode="External"/><Relationship Id="rId218" Type="http://schemas.openxmlformats.org/officeDocument/2006/relationships/hyperlink" Target="ACTAS%20DE%20CONFORMIDAD\AC-2019\04-2019\09-04-2019\REG-43564-3003932013-89.6.pdf" TargetMode="External"/><Relationship Id="rId425" Type="http://schemas.openxmlformats.org/officeDocument/2006/relationships/hyperlink" Target="GUIAS%20DE%20REMISION-REMITENTE\GUIA%20R-R%202020\MAYO-2020\0003-001245.pdf" TargetMode="External"/><Relationship Id="rId632" Type="http://schemas.openxmlformats.org/officeDocument/2006/relationships/hyperlink" Target="ACTAS%20DE%20CONFORMIDAD\AC-2020\08-2020\20-08-2020\REG-44063-3005167425-1136.6.pdf" TargetMode="External"/><Relationship Id="rId1055" Type="http://schemas.openxmlformats.org/officeDocument/2006/relationships/hyperlink" Target="https://onedrive.live.com/?cid=8C5B46544A563DC7&amp;id=8C5B46544A563DC7%218582&amp;parId=8C5B46544A563DC7%217812&amp;o=OneUp" TargetMode="External"/><Relationship Id="rId271" Type="http://schemas.openxmlformats.org/officeDocument/2006/relationships/hyperlink" Target="ACTAS%20DE%20CONFORMIDAD\AC-2020\02-2020\29-02-2020\REG-43890-3005005007-741.pdf" TargetMode="External"/><Relationship Id="rId937" Type="http://schemas.openxmlformats.org/officeDocument/2006/relationships/hyperlink" Target="ACTAS%20DE%20CONFORMIDAD\AC-2020\04-2020\30-04-2020\REG-43951-6JA02715-119.6.pdf" TargetMode="External"/><Relationship Id="rId66" Type="http://schemas.openxmlformats.org/officeDocument/2006/relationships/hyperlink" Target="ACTAS%20DE%20CONFORMIDAD\AC-2020\01-2020\03-01-2020\REG-43833-3004336197-393.7.pdf" TargetMode="External"/><Relationship Id="rId131" Type="http://schemas.openxmlformats.org/officeDocument/2006/relationships/hyperlink" Target="ACTAS%20DE%20CONFORMIDAD\AC-2019\11-2019\19-11-2019\REG-43788-3004402506-526.4.pdf" TargetMode="External"/><Relationship Id="rId369" Type="http://schemas.openxmlformats.org/officeDocument/2006/relationships/hyperlink" Target="GUIAS%20DE%20REMISION-REMITENTE\GUIA%20R-R%202020\ABRIL-2020\0003-001098.pdf" TargetMode="External"/><Relationship Id="rId576" Type="http://schemas.openxmlformats.org/officeDocument/2006/relationships/hyperlink" Target="GUIAS%20DE%20REMISION-REMITENTE\GUIA%20R-R%202020\AGOSTO-2020\0003-001330.pdf" TargetMode="External"/><Relationship Id="rId783" Type="http://schemas.openxmlformats.org/officeDocument/2006/relationships/hyperlink" Target="ACTAS%20DE%20CONFORMIDAD\AC-2020\09-2020\04-09-2020\REG-44078-G-4012-2096.6.pdf" TargetMode="External"/><Relationship Id="rId990" Type="http://schemas.openxmlformats.org/officeDocument/2006/relationships/hyperlink" Target="ACTAS%20DE%20CONFORMIDAD\AC-2020\12-2020\03-12-2020\REG-44168-3004344014-2070.3.pdf" TargetMode="External"/><Relationship Id="rId229" Type="http://schemas.openxmlformats.org/officeDocument/2006/relationships/hyperlink" Target="ACTAS%20DE%20CONFORMIDAD\AC-2020\02-2020\18-02-2020\REG-43879-PEE2626885-117.6.pdf" TargetMode="External"/><Relationship Id="rId436" Type="http://schemas.openxmlformats.org/officeDocument/2006/relationships/hyperlink" Target="GUIAS%20DE%20REMISION-REMITENTE\GUIA%20R-R%202020\MARZO-2020\0003-001073.pdf" TargetMode="External"/><Relationship Id="rId643" Type="http://schemas.openxmlformats.org/officeDocument/2006/relationships/hyperlink" Target="ACTAS%20DE%20CONFORMIDAD\AC-2020\08-2020\25-08-2020\REG-44068-3004290368-2539.8.pdf" TargetMode="External"/><Relationship Id="rId1066" Type="http://schemas.openxmlformats.org/officeDocument/2006/relationships/hyperlink" Target="https://onedrive.live.com/?cid=8C5B46544A563DC7&amp;id=8C5B46544A563DC7%218627&amp;parId=8C5B46544A563DC7%218626&amp;o=OneUp" TargetMode="External"/><Relationship Id="rId850" Type="http://schemas.openxmlformats.org/officeDocument/2006/relationships/hyperlink" Target="ACTAS%20DE%20CONFORMIDAD\AC-2020\10-2020\07-10-2020\REG-44111-3004337429-1711.9.pdf" TargetMode="External"/><Relationship Id="rId948" Type="http://schemas.openxmlformats.org/officeDocument/2006/relationships/hyperlink" Target="GUIAS%20DE%20REMISION-REMITENTE\GUIA%20R-R%202020\NOVIEMBRE-2020\T001-00000073.pdf" TargetMode="External"/><Relationship Id="rId77" Type="http://schemas.openxmlformats.org/officeDocument/2006/relationships/hyperlink" Target="GUIAS%20DE%20REMISION-REMITENTE\GUIA%20R-R%202020\ENERO-%202020\0003-001188.pdf" TargetMode="External"/><Relationship Id="rId282" Type="http://schemas.openxmlformats.org/officeDocument/2006/relationships/hyperlink" Target="ACTAS%20DE%20CONFORMIDAD\AC-2020\02-2020\12-02-2020\REG-43873-3004381435-254.pdf" TargetMode="External"/><Relationship Id="rId503" Type="http://schemas.openxmlformats.org/officeDocument/2006/relationships/hyperlink" Target="GUIAS%20DE%20REMISION-REMITENTE\GUIA%20R-R%202020\JUNIO-2020\0003-001255.pdf" TargetMode="External"/><Relationship Id="rId587" Type="http://schemas.openxmlformats.org/officeDocument/2006/relationships/hyperlink" Target="ACTAS%20DE%20CONFORMIDAD\AC-2020\06-2020\30-06-2020\REG-44012-3004999911-1783.1.pdf" TargetMode="External"/><Relationship Id="rId710" Type="http://schemas.openxmlformats.org/officeDocument/2006/relationships/hyperlink" Target="GUIAS%20DE%20REMISION-REMITENTE\GUIA%20R-R%202020\JULIO-2020\0003-001305.pdf" TargetMode="External"/><Relationship Id="rId808" Type="http://schemas.openxmlformats.org/officeDocument/2006/relationships/hyperlink" Target="GUIAS%20DE%20REMISION-REMITENTE\GUIA%20R-R%202020\JUNIO-2020\0003-001408.pdf" TargetMode="External"/><Relationship Id="rId8" Type="http://schemas.openxmlformats.org/officeDocument/2006/relationships/hyperlink" Target="../../../Fanny%20PC%2001/AppData/Roaming/Microsoft/Excel/ACTAS%20DE%20CONFORMIDAD/AC-2019/10-2019/10-10-2019/REG-43748-3004597775-485.pdf" TargetMode="External"/><Relationship Id="rId142" Type="http://schemas.openxmlformats.org/officeDocument/2006/relationships/hyperlink" Target="ACTAS%20DE%20CONFORMIDAD\AC-2019\11-2019\18-11-2019\REG-43787-3004344014-52.6.pdf" TargetMode="External"/><Relationship Id="rId447" Type="http://schemas.openxmlformats.org/officeDocument/2006/relationships/hyperlink" Target="GUIAS%20DE%20REMISION-REMITENTE\GUIA%20R-R%202020\MARZO-2020\0003-001084.pdf" TargetMode="External"/><Relationship Id="rId794" Type="http://schemas.openxmlformats.org/officeDocument/2006/relationships/hyperlink" Target="ACTAS%20DE%20CONFORMIDAD\AC-2020\09-2020\23-09-2020\REG-44097-3005005010-2239.1.pdf" TargetMode="External"/><Relationship Id="rId1077" Type="http://schemas.openxmlformats.org/officeDocument/2006/relationships/hyperlink" Target="https://onedrive.live.com/?cid=8C5B46544A563DC7&amp;id=8C5B46544A563DC7%218810&amp;parId=8C5B46544A563DC7%218658&amp;o=OneUp" TargetMode="External"/><Relationship Id="rId654" Type="http://schemas.openxmlformats.org/officeDocument/2006/relationships/hyperlink" Target="ACTAS%20DE%20CONFORMIDAD\AC-2020\08-2020\27-08-2020\REG-44070-3003415539-5368.7.pdf" TargetMode="External"/><Relationship Id="rId861" Type="http://schemas.openxmlformats.org/officeDocument/2006/relationships/hyperlink" Target="ACTAS%20DE%20CONFORMIDAD\AC-2020\05-2020\26-05-2020\REG-43977-3004416580-2056.8.pdf" TargetMode="External"/><Relationship Id="rId959" Type="http://schemas.openxmlformats.org/officeDocument/2006/relationships/hyperlink" Target="GUIAS%20DE%20REMISION-REMITENTE\GUIA%20R-R%202020\NOVIEMBRE-2020\T001-00000054.pdf" TargetMode="External"/><Relationship Id="rId293" Type="http://schemas.openxmlformats.org/officeDocument/2006/relationships/hyperlink" Target="ACTAS%20DE%20CONFORMIDAD\AC-2020\03-2020\06-03-2020\REG-43896-3004336197-833.pdf" TargetMode="External"/><Relationship Id="rId307" Type="http://schemas.openxmlformats.org/officeDocument/2006/relationships/hyperlink" Target="ACTAS%20DE%20CONFORMIDAD\AC-2020\03-2020\11-03-2020\REG-43901-3002933964-0.4.pdf" TargetMode="External"/><Relationship Id="rId514" Type="http://schemas.openxmlformats.org/officeDocument/2006/relationships/hyperlink" Target="ACTAS%20DE%20CONFORMIDAD\AC-2020\05-2020\30-05-2020\REG-43981-3003415544-4429.pdf" TargetMode="External"/><Relationship Id="rId721" Type="http://schemas.openxmlformats.org/officeDocument/2006/relationships/hyperlink" Target="ACTAS%20DE%20CONFORMIDAD\AC-2020\08-2020\01-08-2020\REG-44044-3003415539-5292.7.pdf" TargetMode="External"/><Relationship Id="rId88" Type="http://schemas.openxmlformats.org/officeDocument/2006/relationships/hyperlink" Target="GUIAS%20DE%20REMISION-REMITENTE\GUIA%20R-R%202020\ENERO-%202020\0003-001155.pdf" TargetMode="External"/><Relationship Id="rId153" Type="http://schemas.openxmlformats.org/officeDocument/2006/relationships/hyperlink" Target="ACTAS%20DE%20CONFORMIDAD\AC-2020\01-2020\20-01-2020\REG-43850-3004290365-592.9.pdf" TargetMode="External"/><Relationship Id="rId360" Type="http://schemas.openxmlformats.org/officeDocument/2006/relationships/hyperlink" Target="ACTAS%20DE%20CONFORMIDAD\AC-2020\04-2020\18-04-2020\REG-43939-3005005007-935.pdf" TargetMode="External"/><Relationship Id="rId598" Type="http://schemas.openxmlformats.org/officeDocument/2006/relationships/hyperlink" Target="ACTAS%20DE%20CONFORMIDAD\AC-2020\08-2020\12-08-2020\REG-44055-3004402508-1758.8.pdf" TargetMode="External"/><Relationship Id="rId819" Type="http://schemas.openxmlformats.org/officeDocument/2006/relationships/hyperlink" Target="ACTAS%20DE%20CONFORMIDAD\AC-2020\06-2020\10-06-2020\REG-43992-3004381437-1459.5.pdf" TargetMode="External"/><Relationship Id="rId1004" Type="http://schemas.openxmlformats.org/officeDocument/2006/relationships/hyperlink" Target="ACTAS%20DE%20CONFORMIDAD\AC-2020\11-2020\20-11-2020\REG-44155-3004555915-3379.4.pdf" TargetMode="External"/><Relationship Id="rId220" Type="http://schemas.openxmlformats.org/officeDocument/2006/relationships/hyperlink" Target="ACTAS%20DE%20CONFORMIDAD\AC-2019\03-2019\27-03-2019\REG-43551-3003932012-0.5.pdf" TargetMode="External"/><Relationship Id="rId458" Type="http://schemas.openxmlformats.org/officeDocument/2006/relationships/hyperlink" Target="GUIAS%20DE%20REMISION-REMITENTE\GUIA%20R-R%202020\MARZO-2020\0003-001085.pdf" TargetMode="External"/><Relationship Id="rId665" Type="http://schemas.openxmlformats.org/officeDocument/2006/relationships/hyperlink" Target="GUIAS%20DE%20REMISION-REMITENTE\GUIA%20R-R%202020\JULIO-2020\0003-001317.pdf" TargetMode="External"/><Relationship Id="rId872" Type="http://schemas.openxmlformats.org/officeDocument/2006/relationships/hyperlink" Target="ACTAS%20DE%20CONFORMIDAD\AC-2020\10-2020\12-10-2020\REG-44116-3004337427-1467.1.pdf" TargetMode="External"/><Relationship Id="rId15" Type="http://schemas.openxmlformats.org/officeDocument/2006/relationships/hyperlink" Target="../../../Fanny%20PC%2001/AppData/Roaming/Microsoft/Excel/GUIAS%20DE%20REMISION-REMITENTE/GUIA%20R-R%202019/OCTUBRE/0003-001045.pdf" TargetMode="External"/><Relationship Id="rId318" Type="http://schemas.openxmlformats.org/officeDocument/2006/relationships/hyperlink" Target="GUIAS%20DE%20REMISION-REMITENTE\GUIA%20R-R%202020\MARZO-2020\0003-001078.pdf" TargetMode="External"/><Relationship Id="rId525" Type="http://schemas.openxmlformats.org/officeDocument/2006/relationships/hyperlink" Target="GUIAS%20DE%20REMISION-REMITENTE\GUIA%20R-R%202020\JUNIO-2020\0003-001270.pdf" TargetMode="External"/><Relationship Id="rId732" Type="http://schemas.openxmlformats.org/officeDocument/2006/relationships/hyperlink" Target="ACTAS%20DE%20CONFORMIDAD\AC-2020\09-2020\02-09-2020\REG-44076-3003940357-4841.2.pdf" TargetMode="External"/><Relationship Id="rId99" Type="http://schemas.openxmlformats.org/officeDocument/2006/relationships/hyperlink" Target="ACTAS%20DE%20CONFORMIDAD\AC-2019\12-2019\23-12-2019\REG-43822-3004555914-852.pdf" TargetMode="External"/><Relationship Id="rId164" Type="http://schemas.openxmlformats.org/officeDocument/2006/relationships/hyperlink" Target="ACTAS%20DE%20CONFORMIDAD\AC-2019\10-2019\21-10-2019\REG-43759-3004327721-150.6.pdf" TargetMode="External"/><Relationship Id="rId371" Type="http://schemas.openxmlformats.org/officeDocument/2006/relationships/hyperlink" Target="GUIAS%20DE%20REMISION-REMITENTE\GUIA%20R-R%202020\ABRIL-2020\0003-001095.pdf" TargetMode="External"/><Relationship Id="rId1015" Type="http://schemas.openxmlformats.org/officeDocument/2006/relationships/hyperlink" Target="ACTAS%20DE%20CONFORMIDAD\AC-2020\12-2020\04-12-2020\REG-44169-3004370195-3519.7.pdf" TargetMode="External"/><Relationship Id="rId469" Type="http://schemas.openxmlformats.org/officeDocument/2006/relationships/hyperlink" Target="ACTAS%20DE%20CONFORMIDAD\AC-2020\05-2020\27-05-2020\REG-43978-3004331709-1580.pdf" TargetMode="External"/><Relationship Id="rId676" Type="http://schemas.openxmlformats.org/officeDocument/2006/relationships/hyperlink" Target="ACTAS%20DE%20CONFORMIDAD\AC-2020\07-2020\18-07-2020\REG-44030-3002933963-596.31.pdf" TargetMode="External"/><Relationship Id="rId883" Type="http://schemas.openxmlformats.org/officeDocument/2006/relationships/hyperlink" Target="ACTAS%20DE%20CONFORMIDAD\AC-2020\10-2020\19-10-2020\REG-44123-3003962766-4181.8.pdf" TargetMode="External"/><Relationship Id="rId26" Type="http://schemas.openxmlformats.org/officeDocument/2006/relationships/hyperlink" Target="ACTAS%20DE%20CONFORMIDAD\AC-2019\08-2019\23-08-2019\REG-43700-3004597775-259.2.pdf" TargetMode="External"/><Relationship Id="rId231" Type="http://schemas.openxmlformats.org/officeDocument/2006/relationships/hyperlink" Target="GUIAS%20DE%20REMISION-REMITENTE\GUIA%20R-R%202020\FEBRERO-2020\0003-001203.pdf" TargetMode="External"/><Relationship Id="rId329" Type="http://schemas.openxmlformats.org/officeDocument/2006/relationships/hyperlink" Target="ACTAS%20DE%20CONFORMIDAD\AC-2020\03-2020\21-03-2020\REG-43911-3004327724-1213.5.pdf" TargetMode="External"/><Relationship Id="rId536" Type="http://schemas.openxmlformats.org/officeDocument/2006/relationships/hyperlink" Target="GUIAS%20DE%20REMISION-REMITENTE\GUIA%20R-R%202020\JUNIO-2020\0003-001251.pdf" TargetMode="External"/><Relationship Id="rId175" Type="http://schemas.openxmlformats.org/officeDocument/2006/relationships/hyperlink" Target="ACTAS%20DE%20CONFORMIDAD\AC-2019\09-2019\16-09-2019\REG-43724-3004290368-0.6.pdf" TargetMode="External"/><Relationship Id="rId743" Type="http://schemas.openxmlformats.org/officeDocument/2006/relationships/hyperlink" Target="ACTAS%20DE%20CONFORMIDAD\AC-2020\09-2020\03-09-2020\REG-44077-3004416580-2865.4.pdf" TargetMode="External"/><Relationship Id="rId950" Type="http://schemas.openxmlformats.org/officeDocument/2006/relationships/hyperlink" Target="ACTAS%20DE%20CONFORMIDAD\AC-2020\11-2020\12-11-2020\REG-44147-3005005010-2239.pdf" TargetMode="External"/><Relationship Id="rId1026" Type="http://schemas.openxmlformats.org/officeDocument/2006/relationships/hyperlink" Target="ACTAS%20DE%20CONFORMIDAD\AC-2020\12-2020\04-12-2020\REG-44169-3003962766-4662.2.pdf" TargetMode="External"/><Relationship Id="rId382" Type="http://schemas.openxmlformats.org/officeDocument/2006/relationships/hyperlink" Target="ACTAS%20DE%20CONFORMIDAD\AC-2020\04-2020\18-04-2020\REG-43939-3004290369-505.5.pdf" TargetMode="External"/><Relationship Id="rId603" Type="http://schemas.openxmlformats.org/officeDocument/2006/relationships/hyperlink" Target="GUIAS%20DE%20REMISION-REMITENTE\GUIA%20R-R%202020\AGOSTO-2020\0003-001350.pdf" TargetMode="External"/><Relationship Id="rId687" Type="http://schemas.openxmlformats.org/officeDocument/2006/relationships/hyperlink" Target="GUIAS%20DE%20REMISION-REMITENTE\GUIA%20R-R%202020\JULIO-2020\0003-001302.pdf" TargetMode="External"/><Relationship Id="rId810" Type="http://schemas.openxmlformats.org/officeDocument/2006/relationships/hyperlink" Target="GUIAS%20DE%20REMISION-REMITENTE\GUIA%20R-R%202020\AGOSTO-2020\0003-001439.pdf" TargetMode="External"/><Relationship Id="rId908" Type="http://schemas.openxmlformats.org/officeDocument/2006/relationships/hyperlink" Target="ACTAS%20DE%20CONFORMIDAD\AC-2020\10-2020\23-10-2020\REG-44127-3002933964-1384.32.pdf" TargetMode="External"/><Relationship Id="rId242" Type="http://schemas.openxmlformats.org/officeDocument/2006/relationships/hyperlink" Target="ACTAS%20DE%20CONFORMIDAD\AC-2020\02-2020\18-02-2020\REG-43879-3004218547-506.1.pdf" TargetMode="External"/><Relationship Id="rId894" Type="http://schemas.openxmlformats.org/officeDocument/2006/relationships/hyperlink" Target="ACTAS%20DE%20CONFORMIDAD\AC-2020\10-2020\05-10-2020\REG-44109-3004416580-2911.6.pdf" TargetMode="External"/><Relationship Id="rId37" Type="http://schemas.openxmlformats.org/officeDocument/2006/relationships/hyperlink" Target="ACTAS%20DE%20CONFORMIDAD\AC-2020\01-2020\15-01-2020\REG-43845-3004327723-898.6.pdf" TargetMode="External"/><Relationship Id="rId102" Type="http://schemas.openxmlformats.org/officeDocument/2006/relationships/hyperlink" Target="ACTAS%20DE%20CONFORMIDAD\AC-2019\12-2019\11-12-2019\REG-43810-3004999911-122.pdf" TargetMode="External"/><Relationship Id="rId547" Type="http://schemas.openxmlformats.org/officeDocument/2006/relationships/hyperlink" Target="ACTAS%20DE%20CONFORMIDAD\AC-2020\06-2020\18-06-2020\REG-44000-3004555914-2078.9.pdf" TargetMode="External"/><Relationship Id="rId754" Type="http://schemas.openxmlformats.org/officeDocument/2006/relationships/hyperlink" Target="GUIAS%20DE%20REMISION-REMITENTE\GUIA%20R-R%202020\SEPTIEMBRE-2020\0003-001389.pdf" TargetMode="External"/><Relationship Id="rId961" Type="http://schemas.openxmlformats.org/officeDocument/2006/relationships/hyperlink" Target="GUIAS%20DE%20REMISION-REMITENTE\GUIA%20R-R%202020\NOVIEMBRE-2020\T001-00000086.pdf" TargetMode="External"/><Relationship Id="rId90" Type="http://schemas.openxmlformats.org/officeDocument/2006/relationships/hyperlink" Target="GUIAS%20DE%20REMISION-REMITENTE\GUIA%20R-R%202020\ENERO-%202020\0003-001155.pdf" TargetMode="External"/><Relationship Id="rId186" Type="http://schemas.openxmlformats.org/officeDocument/2006/relationships/hyperlink" Target="ACTAS%20DE%20CONFORMIDAD\AC-2019\09-2019\07-09-2019\REG-43715-3004416580-8.3.pdf" TargetMode="External"/><Relationship Id="rId393" Type="http://schemas.openxmlformats.org/officeDocument/2006/relationships/hyperlink" Target="GUIAS%20DE%20REMISION-REMITENTE\GUIA%20R-R%202020\ABRIL-2020\0003-001092.pdf" TargetMode="External"/><Relationship Id="rId407" Type="http://schemas.openxmlformats.org/officeDocument/2006/relationships/hyperlink" Target="ACTAS%20DE%20CONFORMIDAD\AC-2020\04-2020\02-04-2020\REG-43923-3004402507-1592.6.pdf" TargetMode="External"/><Relationship Id="rId614" Type="http://schemas.openxmlformats.org/officeDocument/2006/relationships/hyperlink" Target="ACTAS%20DE%20CONFORMIDAD\AC-2020\07-2020\14-07-2020\REG-44026-3005167425-841.9.pdf" TargetMode="External"/><Relationship Id="rId821" Type="http://schemas.openxmlformats.org/officeDocument/2006/relationships/hyperlink" Target="ACTAS%20DE%20CONFORMIDAD\AC-2020\07-2020\06-07-2020\REG-44018-3004381437-1721.6.pdf" TargetMode="External"/><Relationship Id="rId1037" Type="http://schemas.openxmlformats.org/officeDocument/2006/relationships/hyperlink" Target="ACTAS%20DE%20CONFORMIDAD\AC-2020\12-2020\21-12-2020\REG-44186-3004381435-2141.3.pdf" TargetMode="External"/><Relationship Id="rId253" Type="http://schemas.openxmlformats.org/officeDocument/2006/relationships/hyperlink" Target="GUIAS%20DE%20REMISION-REMITENTE\GUIA%20R-R%202020\FEBRERO-2020\0003-001061.pdf" TargetMode="External"/><Relationship Id="rId460" Type="http://schemas.openxmlformats.org/officeDocument/2006/relationships/hyperlink" Target="GUIAS%20DE%20REMISION-REMITENTE\GUIA%20R-R%202020\MARZO-2020\0003-001226.pdf" TargetMode="External"/><Relationship Id="rId698" Type="http://schemas.openxmlformats.org/officeDocument/2006/relationships/hyperlink" Target="GUIAS%20DE%20REMISION-REMITENTE\GUIA%20R-R%202020\JULIO-2020\0003-001315.pdf" TargetMode="External"/><Relationship Id="rId919" Type="http://schemas.openxmlformats.org/officeDocument/2006/relationships/hyperlink" Target="ACTAS%20DE%20CONFORMIDAD\AC-2020\10-2020\27-10-2020\REG-44131-3004327721-2223.6.pdf" TargetMode="External"/><Relationship Id="rId48" Type="http://schemas.openxmlformats.org/officeDocument/2006/relationships/hyperlink" Target="ACTAS%20DE%20CONFORMIDAD\AC-2020\01-2020\10-01-2020\REG-43840-3004416580-870.1.pdf" TargetMode="External"/><Relationship Id="rId113" Type="http://schemas.openxmlformats.org/officeDocument/2006/relationships/hyperlink" Target="ACTAS%20DE%20CONFORMIDAD\AC-2019\11-2019\28-11-2019\REG-43797-3004402507-482.8.pdf" TargetMode="External"/><Relationship Id="rId320" Type="http://schemas.openxmlformats.org/officeDocument/2006/relationships/hyperlink" Target="ACTAS%20DE%20CONFORMIDAD\AC-2020\03-2020\12-03-2020\REG-43902-3004336197-865.2.pdf" TargetMode="External"/><Relationship Id="rId558" Type="http://schemas.openxmlformats.org/officeDocument/2006/relationships/hyperlink" Target="ACTAS%20DE%20CONFORMIDAD\AC-2020\06-2020\23-06-2020\REG-44005-3004418790-1600.7.pdf" TargetMode="External"/><Relationship Id="rId765" Type="http://schemas.openxmlformats.org/officeDocument/2006/relationships/hyperlink" Target="ACTAS%20DE%20CONFORMIDAD\AC-2020\09-2020\13-09-2020\REG-44087-B5524F-001-203.3.pdf" TargetMode="External"/><Relationship Id="rId972" Type="http://schemas.openxmlformats.org/officeDocument/2006/relationships/hyperlink" Target="ACTAS%20DE%20CONFORMIDAD\AC-2020\11-2020\17-11-2020\REG-44152-3004418791-2074.3.pdf" TargetMode="External"/><Relationship Id="rId197" Type="http://schemas.openxmlformats.org/officeDocument/2006/relationships/hyperlink" Target="ACTAS%20DE%20CONFORMIDAD\AC-2019\09-2019\17-09-2019\REG-43725-X08331T-864.15.pdf" TargetMode="External"/><Relationship Id="rId418" Type="http://schemas.openxmlformats.org/officeDocument/2006/relationships/hyperlink" Target="GUIAS%20DE%20REMISION-REMITENTE\GUIA%20R-R%202020\MAYO-2020\0003-001244.pdf" TargetMode="External"/><Relationship Id="rId625" Type="http://schemas.openxmlformats.org/officeDocument/2006/relationships/hyperlink" Target="GUIAS%20DE%20REMISION-REMITENTE\GUIA%20R-R%202020\AGOSTO-2020\0003-001355.pdf" TargetMode="External"/><Relationship Id="rId832" Type="http://schemas.openxmlformats.org/officeDocument/2006/relationships/hyperlink" Target="GUIAS%20DE%20REMISION-REMITENTE\GUIA%20R-R%202020\SEPTIEMBRE-2020\0003-001530.pdf" TargetMode="External"/><Relationship Id="rId1048" Type="http://schemas.openxmlformats.org/officeDocument/2006/relationships/hyperlink" Target="ACTAS%20DE%20CONFORMIDAD\AC-2020\11-2020\03-11-2020\REG-44138-3004337430-546.6.pdf" TargetMode="External"/><Relationship Id="rId264" Type="http://schemas.openxmlformats.org/officeDocument/2006/relationships/hyperlink" Target="ACTAS%20DE%20CONFORMIDAD\AC-2019\12-2019\09-12-2019\REG-43808-1603587-1411.11.pdf" TargetMode="External"/><Relationship Id="rId471" Type="http://schemas.openxmlformats.org/officeDocument/2006/relationships/hyperlink" Target="ACTAS%20DE%20CONFORMIDAD\AC-2020\05-2020\27-05-2020\REG-43978-3004327723-1546.1.pdf" TargetMode="External"/><Relationship Id="rId59" Type="http://schemas.openxmlformats.org/officeDocument/2006/relationships/hyperlink" Target="ACTAS%20DE%20CONFORMIDAD\AC-2020\01-2020\07-01-2020\REG-43837-3004428523-349.9.pdf" TargetMode="External"/><Relationship Id="rId124" Type="http://schemas.openxmlformats.org/officeDocument/2006/relationships/hyperlink" Target="ACTAS%20DE%20CONFORMIDAD\AC-2019\11-2019\22-11-2019\REG-43791-3004327721-563.8.pdf" TargetMode="External"/><Relationship Id="rId569" Type="http://schemas.openxmlformats.org/officeDocument/2006/relationships/hyperlink" Target="ACTAS%20DE%20CONFORMIDAD\AC-2020\06-2020\26-06-2020\REG-44008-2117413-2628.3.pdf" TargetMode="External"/><Relationship Id="rId776" Type="http://schemas.openxmlformats.org/officeDocument/2006/relationships/hyperlink" Target="GUIAS%20DE%20REMISION-REMITENTE\GUIA%20R-R%202020\SEPTIEMBRE-2020\0003-001506.pdf" TargetMode="External"/><Relationship Id="rId983" Type="http://schemas.openxmlformats.org/officeDocument/2006/relationships/hyperlink" Target="ACTAS%20DE%20CONFORMIDAD\AC-2020\12-2020\02-12-2020\REG-44167-3004327724-2271.8.pdf" TargetMode="External"/><Relationship Id="rId331" Type="http://schemas.openxmlformats.org/officeDocument/2006/relationships/hyperlink" Target="ACTAS%20DE%20CONFORMIDAD\AC-2020\03-2020\21-03-2020\REG-43911-3004331705-1638.3.pdf" TargetMode="External"/><Relationship Id="rId429" Type="http://schemas.openxmlformats.org/officeDocument/2006/relationships/hyperlink" Target="ACTAS%20DE%20CONFORMIDAD\AC-2019\04-2019\23-04-2019\REG-43578-123234-0306-90.pdf" TargetMode="External"/><Relationship Id="rId636" Type="http://schemas.openxmlformats.org/officeDocument/2006/relationships/hyperlink" Target="ACTAS%20DE%20CONFORMIDAD\AC-2020\08-2020\25-08-2020\REG-44068-3004290369-1498.7.pdf" TargetMode="External"/><Relationship Id="rId1059" Type="http://schemas.openxmlformats.org/officeDocument/2006/relationships/hyperlink" Target="https://onedrive.live.com/?cid=8C5B46544A563DC7&amp;id=8C5B46544A563DC7%218572&amp;parId=8C5B46544A563DC7%218571&amp;o=OneUp" TargetMode="External"/><Relationship Id="rId843" Type="http://schemas.openxmlformats.org/officeDocument/2006/relationships/hyperlink" Target="ACTAS%20DE%20CONFORMIDAD\AC-2020\09-2020\22-09-2020\REG-44096-3004555914-2702.7.pdf" TargetMode="External"/><Relationship Id="rId275" Type="http://schemas.openxmlformats.org/officeDocument/2006/relationships/hyperlink" Target="ACTAS%20DE%20CONFORMIDAD\AC-2020\02-2020\05-02-2020\REG-43866-3004337430-563.1.pdf" TargetMode="External"/><Relationship Id="rId482" Type="http://schemas.openxmlformats.org/officeDocument/2006/relationships/hyperlink" Target="ACTAS%20DE%20CONFORMIDAD\AC-2020\06-2020\01-06-2020\REG-43983-3004597773-1810.pdf" TargetMode="External"/><Relationship Id="rId703" Type="http://schemas.openxmlformats.org/officeDocument/2006/relationships/hyperlink" Target="ACTAS%20DE%20CONFORMIDAD\AC-2020\09-2020\01-09-2020\REG-44075-3004402508-1914.6.pdf" TargetMode="External"/><Relationship Id="rId910" Type="http://schemas.openxmlformats.org/officeDocument/2006/relationships/hyperlink" Target="GUIAS%20DE%20REMISION-REMITENTE\GUIA%20R-R%202020\OCTUBRE-2020\T001-00000031.pdf" TargetMode="External"/><Relationship Id="rId135" Type="http://schemas.openxmlformats.org/officeDocument/2006/relationships/hyperlink" Target="ACTAS%20DE%20CONFORMIDAD\AC-2019\11-2019\19-11-2019\REG-43788-3004290366-453.1.pdf" TargetMode="External"/><Relationship Id="rId342" Type="http://schemas.openxmlformats.org/officeDocument/2006/relationships/hyperlink" Target="ACTAS%20DE%20CONFORMIDAD\AC-2020\04-2020\04-04-2020\REG-43925-3004999911-1141.2.pdf" TargetMode="External"/><Relationship Id="rId787" Type="http://schemas.openxmlformats.org/officeDocument/2006/relationships/hyperlink" Target="ACTAS%20DE%20CONFORMIDAD\AC-2020\09-2020\22-09-2020\REG-44096-3003415539-5757.pdf" TargetMode="External"/><Relationship Id="rId994" Type="http://schemas.openxmlformats.org/officeDocument/2006/relationships/hyperlink" Target="ACTAS%20DE%20CONFORMIDAD\AC-2020\11-2020\09-11-2020\REG-44144-3003415544-5533.4.pdf" TargetMode="External"/><Relationship Id="rId202" Type="http://schemas.openxmlformats.org/officeDocument/2006/relationships/hyperlink" Target="ACTAS%20DE%20CONFORMIDAD\AC-2019\09-2019\26-09-2019\REG-43734-PEE2626600-151.8.pdf" TargetMode="External"/><Relationship Id="rId647" Type="http://schemas.openxmlformats.org/officeDocument/2006/relationships/hyperlink" Target="ACTAS%20DE%20CONFORMIDAD\AC-2020\08-2020\19-08-2020\REG-44062-3004327724-1742.7.pdf" TargetMode="External"/><Relationship Id="rId854" Type="http://schemas.openxmlformats.org/officeDocument/2006/relationships/hyperlink" Target="ACTAS%20DE%20CONFORMIDAD\AC-2020\10-2020\09-10-2020\REG-44113-3003415544-5449.4.pdf" TargetMode="External"/><Relationship Id="rId286" Type="http://schemas.openxmlformats.org/officeDocument/2006/relationships/hyperlink" Target="ACTAS%20DE%20CONFORMIDAD\AC-2020\03-2020\04-03-2020\REG-43894-3004381437-456.pdf" TargetMode="External"/><Relationship Id="rId493" Type="http://schemas.openxmlformats.org/officeDocument/2006/relationships/hyperlink" Target="ACTAS%20DE%20CONFORMIDAD\AC-2020\05-2020\30-05-2020\REG-43981-3004370193-2402.7.pdf" TargetMode="External"/><Relationship Id="rId507" Type="http://schemas.openxmlformats.org/officeDocument/2006/relationships/hyperlink" Target="ACTAS%20DE%20CONFORMIDAD\AC-2020\06-2020\08-06-2020\REG-43990-3002933963-375.49.pdf" TargetMode="External"/><Relationship Id="rId714" Type="http://schemas.openxmlformats.org/officeDocument/2006/relationships/hyperlink" Target="GUIAS%20DE%20REMISION-REMITENTE\GUIA%20R-R%202020\JULIO-2020\0003-001324.pdf" TargetMode="External"/><Relationship Id="rId921" Type="http://schemas.openxmlformats.org/officeDocument/2006/relationships/hyperlink" Target="ACTAS%20DE%20CONFORMIDAD\AC-2020\10-2020\08-10-2020\REG-44112-3003963150-4278.4.pdf" TargetMode="External"/><Relationship Id="rId50" Type="http://schemas.openxmlformats.org/officeDocument/2006/relationships/hyperlink" Target="ACTAS%20DE%20CONFORMIDAD\AC-2020\01-2020\10-01-2020\REG-43840-3004402507-933.8.pdf" TargetMode="External"/><Relationship Id="rId146" Type="http://schemas.openxmlformats.org/officeDocument/2006/relationships/hyperlink" Target="ACTAS%20DE%20CONFORMIDAD\AC-2019\11-2019\08-11-2019\REG-43777-3004428523-117.4.pdf" TargetMode="External"/><Relationship Id="rId353" Type="http://schemas.openxmlformats.org/officeDocument/2006/relationships/hyperlink" Target="GUIAS%20DE%20REMISION-REMITENTE\GUIA%20R-R%202020\ABRIL-2020\0003-001233.pdf" TargetMode="External"/><Relationship Id="rId560" Type="http://schemas.openxmlformats.org/officeDocument/2006/relationships/hyperlink" Target="GUIAS%20DE%20REMISION-REMITENTE\GUIA%20R-R%202020\JUNIO-2020\0003-001284.pdf" TargetMode="External"/><Relationship Id="rId798" Type="http://schemas.openxmlformats.org/officeDocument/2006/relationships/hyperlink" Target="ACTAS%20DE%20CONFORMIDAD\AC-2020\03-2020\30-03-2020\REG-43920-A5245J-001-307.8.pdf" TargetMode="External"/><Relationship Id="rId213" Type="http://schemas.openxmlformats.org/officeDocument/2006/relationships/hyperlink" Target="ACTAS%20DE%20CONFORMIDAD\AC-2019\05-2019\07-05-2019\REG-43592-NR-9383.6.pdf" TargetMode="External"/><Relationship Id="rId420" Type="http://schemas.openxmlformats.org/officeDocument/2006/relationships/hyperlink" Target="GUIAS%20DE%20REMISION-REMITENTE\GUIA%20R-R%202020\MAYO-2020\0003-001243.pdf" TargetMode="External"/><Relationship Id="rId658" Type="http://schemas.openxmlformats.org/officeDocument/2006/relationships/hyperlink" Target="ACTAS%20DE%20CONFORMIDAD\AC-2020\07-2020\11-07-2020\REG-44023-3003962766-2873.4.pdf" TargetMode="External"/><Relationship Id="rId865" Type="http://schemas.openxmlformats.org/officeDocument/2006/relationships/hyperlink" Target="ACTAS%20DE%20CONFORMIDAD\AC-2020\06-2020\02-06-2020\REG-43984-3004290365-1413.2.pdf" TargetMode="External"/><Relationship Id="rId1050" Type="http://schemas.openxmlformats.org/officeDocument/2006/relationships/hyperlink" Target="https://onedrive.live.com/?cid=8C5B46544A563DC7&amp;id=8C5B46544A563DC7%218573&amp;parId=8C5B46544A563DC7%217804&amp;o=OneUp" TargetMode="External"/><Relationship Id="rId297" Type="http://schemas.openxmlformats.org/officeDocument/2006/relationships/hyperlink" Target="ACTAS%20DE%20CONFORMIDAD\AC-2020\03-2020\10-03-2020\REG-43900-3005125863-0.3.pdf" TargetMode="External"/><Relationship Id="rId518" Type="http://schemas.openxmlformats.org/officeDocument/2006/relationships/hyperlink" Target="ACTAS%20DE%20CONFORMIDAD\AC-2020\06-2020\12-06-2020\REG-43994-3003963150-3794.4.pdf" TargetMode="External"/><Relationship Id="rId725" Type="http://schemas.openxmlformats.org/officeDocument/2006/relationships/hyperlink" Target="GUIAS%20DE%20REMISION-REMITENTE\GUIA%20R-R%202020\SEPTIEMBRE-2020\0003-001385.pdf" TargetMode="External"/><Relationship Id="rId932" Type="http://schemas.openxmlformats.org/officeDocument/2006/relationships/hyperlink" Target="ACTAS%20DE%20CONFORMIDAD\AC-2020\09-2020\19-09-2020\REG-44093-9890344-8319.1.pdf" TargetMode="External"/><Relationship Id="rId157" Type="http://schemas.openxmlformats.org/officeDocument/2006/relationships/hyperlink" Target="ACTAS%20DE%20CONFORMIDAD\AC-2019\10-2019\21-10-2019\REG-43759-3004331709-312.9.pdf" TargetMode="External"/><Relationship Id="rId364" Type="http://schemas.openxmlformats.org/officeDocument/2006/relationships/hyperlink" Target="GUIAS%20DE%20REMISION-REMITENTE\GUIA%20R-R%202020\ABRIL-2020\0003-001234.pdf" TargetMode="External"/><Relationship Id="rId1008" Type="http://schemas.openxmlformats.org/officeDocument/2006/relationships/hyperlink" Target="ACTAS%20DE%20CONFORMIDAD\AC-2020\11-2020\30-11-2020\REG-44165-3004370195-3279.pdf" TargetMode="External"/><Relationship Id="rId61" Type="http://schemas.openxmlformats.org/officeDocument/2006/relationships/hyperlink" Target="GUIAS%20DE%20REMISION-REMITENTE\GUIA%20R-R%202020\ENERO-%202020\0003-001150.pdf" TargetMode="External"/><Relationship Id="rId571" Type="http://schemas.openxmlformats.org/officeDocument/2006/relationships/hyperlink" Target="ACTAS%20DE%20CONFORMIDAD\AC-2020\07-2020\28-07-2020\REG-44040-3004402508-1596.4.pdf" TargetMode="External"/><Relationship Id="rId669" Type="http://schemas.openxmlformats.org/officeDocument/2006/relationships/hyperlink" Target="GUIAS%20DE%20REMISION-REMITENTE\GUIA%20R-R%202020\JULIO-2020\0003-001301.pdf" TargetMode="External"/><Relationship Id="rId876" Type="http://schemas.openxmlformats.org/officeDocument/2006/relationships/hyperlink" Target="ACTAS%20DE%20CONFORMIDAD\AC-2020\10-2020\05-10-2020\REG-44109-3004336198-2049.1.pdf" TargetMode="External"/><Relationship Id="rId19" Type="http://schemas.openxmlformats.org/officeDocument/2006/relationships/hyperlink" Target="ACTAS%20DE%20CONFORMIDAD\AC-2019\08-2019\10-08-2019\REG-43687-PEE2626891-69.pdf" TargetMode="External"/><Relationship Id="rId224" Type="http://schemas.openxmlformats.org/officeDocument/2006/relationships/hyperlink" Target="ACTAS%20DE%20CONFORMIDAD\AC-2019\03-2019\13-03-2019\REG-43537-9658426-5425.1.pdf" TargetMode="External"/><Relationship Id="rId431" Type="http://schemas.openxmlformats.org/officeDocument/2006/relationships/hyperlink" Target="ACTAS%20DE%20CONFORMIDAD\AC-2020\05-2020\04-05-2020\REG-43955-123234-0306-90.pdf" TargetMode="External"/><Relationship Id="rId529" Type="http://schemas.openxmlformats.org/officeDocument/2006/relationships/hyperlink" Target="ACTAS%20DE%20CONFORMIDAD\AC-2020\02-2020\22-02-2020\REG-43883-8754673-137.3.pdf" TargetMode="External"/><Relationship Id="rId736" Type="http://schemas.openxmlformats.org/officeDocument/2006/relationships/hyperlink" Target="ACTAS%20DE%20CONFORMIDAD\AC-2020\08-2020\10-08-2020\REG-44053-3003415544-4962.7.pdf" TargetMode="External"/><Relationship Id="rId1061" Type="http://schemas.openxmlformats.org/officeDocument/2006/relationships/hyperlink" Target="https://onedrive.live.com/?cid=8C5B46544A563DC7&amp;id=8C5B46544A563DC7%218598&amp;parId=8C5B46544A563DC7%217820&amp;o=OneUp" TargetMode="External"/><Relationship Id="rId168" Type="http://schemas.openxmlformats.org/officeDocument/2006/relationships/hyperlink" Target="ACTAS%20DE%20CONFORMIDAD\AC-2019\10-2019\16-10-2019\REG-43754-3003962766-691.8.pdf" TargetMode="External"/><Relationship Id="rId943" Type="http://schemas.openxmlformats.org/officeDocument/2006/relationships/hyperlink" Target="GUIAS%20DE%20REMISION-REMITENTE\GUIA%20R-R%202020\NOVIEMBRE-2020\0003-001459.pdf" TargetMode="External"/><Relationship Id="rId1019" Type="http://schemas.openxmlformats.org/officeDocument/2006/relationships/hyperlink" Target="GUIAS%20DE%20REMISION-REMITENTE\GUIA%20R-R%202020\DICIEMBRE-2020\T001-00000122.pdf" TargetMode="External"/><Relationship Id="rId72" Type="http://schemas.openxmlformats.org/officeDocument/2006/relationships/hyperlink" Target="ACTAS%20DE%20CONFORMIDAD\AC-2020\01-2020\02-01-2020\REG-43832-3004327725-50.6.pdf" TargetMode="External"/><Relationship Id="rId375" Type="http://schemas.openxmlformats.org/officeDocument/2006/relationships/hyperlink" Target="ACTAS%20DE%20CONFORMIDAD\AC-2020\04-2020\21-04-2020\REG-43942-3004214491-1088.pdf" TargetMode="External"/><Relationship Id="rId582" Type="http://schemas.openxmlformats.org/officeDocument/2006/relationships/hyperlink" Target="GUIAS%20DE%20REMISION-REMITENTE\GUIA%20R-R%202020\AGOSTO-2020\0003-001342.pdf" TargetMode="External"/><Relationship Id="rId803" Type="http://schemas.openxmlformats.org/officeDocument/2006/relationships/hyperlink" Target="ACTAS%20DE%20CONFORMIDAD\AC-2020\05-2020\26-05-2020\REG-43977-3004336197-1382.9.pdf" TargetMode="External"/><Relationship Id="rId3" Type="http://schemas.openxmlformats.org/officeDocument/2006/relationships/hyperlink" Target="../../../Fanny%20PC%2001/AppData/Roaming/Microsoft/Excel/GUIAS%20DE%20REMISION-REMITENTE/GUIA%20R-R%202019/NOVIEMBRE/0003-001113.pdf" TargetMode="External"/><Relationship Id="rId235" Type="http://schemas.openxmlformats.org/officeDocument/2006/relationships/hyperlink" Target="GUIAS%20DE%20REMISION-REMITENTE\GUIA%20R-R%202020\FEBRERO-2020\0003-001066.pdf" TargetMode="External"/><Relationship Id="rId442" Type="http://schemas.openxmlformats.org/officeDocument/2006/relationships/hyperlink" Target="ACTAS%20DE%20CONFORMIDAD\AC-2020\03-2020\25-03-2020\REG-43915-3004235514-919.9.pdf" TargetMode="External"/><Relationship Id="rId887" Type="http://schemas.openxmlformats.org/officeDocument/2006/relationships/hyperlink" Target="ACTAS%20DE%20CONFORMIDAD\AC-2020\10-2020\16-10-2020\REG-44120-3004336198-2049.3.pdf" TargetMode="External"/><Relationship Id="rId1072" Type="http://schemas.openxmlformats.org/officeDocument/2006/relationships/hyperlink" Target="https://onedrive.live.com/?cid=8C5B46544A563DC7&amp;id=8C5B46544A563DC7%218805&amp;parId=8C5B46544A563DC7%218804&amp;o=OneUp" TargetMode="External"/><Relationship Id="rId302" Type="http://schemas.openxmlformats.org/officeDocument/2006/relationships/hyperlink" Target="GUIAS%20DE%20REMISION-REMITENTE\GUIA%20R-R%202020\MARZO-2020\0003-001075.pdf" TargetMode="External"/><Relationship Id="rId747" Type="http://schemas.openxmlformats.org/officeDocument/2006/relationships/hyperlink" Target="ACTAS%20DE%20CONFORMIDAD\AC-2020\09-2020\08-09-2020\REG-44082-1603587-1781.5.pdf" TargetMode="External"/><Relationship Id="rId954" Type="http://schemas.openxmlformats.org/officeDocument/2006/relationships/hyperlink" Target="ACTAS%20DE%20CONFORMIDAD\AC-2020\11-2020\05-11-2020\REG-44140-3003932245-6399.8.pdf" TargetMode="External"/><Relationship Id="rId83" Type="http://schemas.openxmlformats.org/officeDocument/2006/relationships/hyperlink" Target="GUIAS%20DE%20REMISION-REMITENTE\GUIA%20R-R%202020\ENERO-%202020\0003-001162.pdf" TargetMode="External"/><Relationship Id="rId179" Type="http://schemas.openxmlformats.org/officeDocument/2006/relationships/hyperlink" Target="ACTAS%20DE%20CONFORMIDAD\AC-2019\09-2019\07-09-2019\REG-43715-3004344017-0.5.pdf" TargetMode="External"/><Relationship Id="rId386" Type="http://schemas.openxmlformats.org/officeDocument/2006/relationships/hyperlink" Target="ACTAS%20DE%20CONFORMIDAD\AC-2020\04-2020\15-04-2020\REG-43936-3004402506-1703.6.pdf" TargetMode="External"/><Relationship Id="rId593" Type="http://schemas.openxmlformats.org/officeDocument/2006/relationships/hyperlink" Target="ACTAS%20DE%20CONFORMIDAD\AC-2020\08-2020\08-08-2020\REG-44051-3004336198-1922.1.pdf" TargetMode="External"/><Relationship Id="rId607" Type="http://schemas.openxmlformats.org/officeDocument/2006/relationships/hyperlink" Target="ACTAS%20DE%20CONFORMIDAD\AC-2020\08-2020\14-08-2020\REG-44057-3004370203-1923.4.pdf" TargetMode="External"/><Relationship Id="rId814" Type="http://schemas.openxmlformats.org/officeDocument/2006/relationships/hyperlink" Target="ACTAS%20DE%20CONFORMIDAD\AC-2020\06-2020\06-06-2020\REG-43988-3004381438-1879.6.pdf" TargetMode="External"/><Relationship Id="rId246" Type="http://schemas.openxmlformats.org/officeDocument/2006/relationships/hyperlink" Target="ACTAS%20DE%20CONFORMIDAD\AC-2020\02-2020\18-02-2020\REG-43879-3004344017-954.6.pdf" TargetMode="External"/><Relationship Id="rId453" Type="http://schemas.openxmlformats.org/officeDocument/2006/relationships/hyperlink" Target="ACTAS%20DE%20CONFORMIDAD\AC-2020\03-2020\26-03-2020\REG-43916-3004381435-379.5.pdf" TargetMode="External"/><Relationship Id="rId660" Type="http://schemas.openxmlformats.org/officeDocument/2006/relationships/hyperlink" Target="ACTAS%20DE%20CONFORMIDAD\AC-2020\07-2020\08-07-2020\REG-44020-3004555915-2743.6.pdf" TargetMode="External"/><Relationship Id="rId898" Type="http://schemas.openxmlformats.org/officeDocument/2006/relationships/hyperlink" Target="ACTAS%20DE%20CONFORMIDAD\AC-2020\10-2020\20-10-2020\REG-44124-3003987064-5570.3.pdf" TargetMode="External"/><Relationship Id="rId106" Type="http://schemas.openxmlformats.org/officeDocument/2006/relationships/hyperlink" Target="ACTAS%20DE%20CONFORMIDAD\AC-2019\12-2019\04-12-2019\REG-43803-3004999911-27.4.pdf" TargetMode="External"/><Relationship Id="rId313" Type="http://schemas.openxmlformats.org/officeDocument/2006/relationships/hyperlink" Target="ACTAS%20DE%20CONFORMIDAD\AC-2020\03-2020\13-03-2020\REG-43903-3004331708-997.8.pdf" TargetMode="External"/><Relationship Id="rId758" Type="http://schemas.openxmlformats.org/officeDocument/2006/relationships/hyperlink" Target="ACTAS%20DE%20CONFORMIDAD\AC-2020\09-2020\10-09-2020\REG-44084-3004344017-1851.6.pdf" TargetMode="External"/><Relationship Id="rId965" Type="http://schemas.openxmlformats.org/officeDocument/2006/relationships/hyperlink" Target="ACTAS%20DE%20CONFORMIDAD\AC-2020\11-2020\17-11-2020\REG-44152-3004370193-3580.3.pdf" TargetMode="External"/><Relationship Id="rId10" Type="http://schemas.openxmlformats.org/officeDocument/2006/relationships/hyperlink" Target="../../../Fanny%20PC%2001/AppData/Roaming/Microsoft/Excel/ACTAS%20DE%20CONFORMIDAD/AC-2019/10-2019/10-10-2019/REG-43748-3004370203-707.pdf" TargetMode="External"/><Relationship Id="rId94" Type="http://schemas.openxmlformats.org/officeDocument/2006/relationships/hyperlink" Target="GUIAS%20DE%20REMISION-REMITENTE\GUIA%20R-R%202020\ENERO-%202020\0003-001152.pdf" TargetMode="External"/><Relationship Id="rId397" Type="http://schemas.openxmlformats.org/officeDocument/2006/relationships/hyperlink" Target="GUIAS%20DE%20REMISION-REMITENTE\GUIA%20R-R%202020\ABRIL-2020\0003-001091.pdf" TargetMode="External"/><Relationship Id="rId520" Type="http://schemas.openxmlformats.org/officeDocument/2006/relationships/hyperlink" Target="GUIAS%20DE%20REMISION-REMITENTE\GUIA%20R-R%202020\JUNIO-2020\0003-001262.pdf" TargetMode="External"/><Relationship Id="rId618" Type="http://schemas.openxmlformats.org/officeDocument/2006/relationships/hyperlink" Target="ACTAS%20DE%20CONFORMIDAD\AC-2020\07-2020\18-07-2020\REG-44030-3004214491-1801.7.pdf" TargetMode="External"/><Relationship Id="rId825" Type="http://schemas.openxmlformats.org/officeDocument/2006/relationships/hyperlink" Target="GUIAS%20DE%20REMISION-REMITENTE\GUIA%20R-R%202020\OCTUBRE-2020\0003-001446.pdf" TargetMode="External"/><Relationship Id="rId257" Type="http://schemas.openxmlformats.org/officeDocument/2006/relationships/hyperlink" Target="ACTAS%20DE%20CONFORMIDAD\AC-2020\02-2020\20-02-2020\REG-43881-1603587-1589.pdf" TargetMode="External"/><Relationship Id="rId464" Type="http://schemas.openxmlformats.org/officeDocument/2006/relationships/hyperlink" Target="GUIAS%20DE%20REMISION-REMITENTE\GUIA%20R-R%202020\MARZO-2020\0003-001070.pdf" TargetMode="External"/><Relationship Id="rId1010" Type="http://schemas.openxmlformats.org/officeDocument/2006/relationships/hyperlink" Target="ACTAS%20DE%20CONFORMIDAD\AC-2020\11-2020\30-11-2020\REG-44165-3004370193-3710.pdf" TargetMode="External"/><Relationship Id="rId117" Type="http://schemas.openxmlformats.org/officeDocument/2006/relationships/hyperlink" Target="ACTAS%20DE%20CONFORMIDAD\AC-2019\11-2019\27-11-2019\REG-43796-3004416582-517.6.pdf" TargetMode="External"/><Relationship Id="rId671" Type="http://schemas.openxmlformats.org/officeDocument/2006/relationships/hyperlink" Target="GUIAS%20DE%20REMISION-REMITENTE\GUIA%20R-R%202020\JULIO-2020\0003-001323.pdf" TargetMode="External"/><Relationship Id="rId769" Type="http://schemas.openxmlformats.org/officeDocument/2006/relationships/hyperlink" Target="GUIAS%20DE%20REMISION-REMITENTE\GUIA%20R-R%202020\SEPTIEMBRE-2020\0003-001395.pdf" TargetMode="External"/><Relationship Id="rId976" Type="http://schemas.openxmlformats.org/officeDocument/2006/relationships/hyperlink" Target="GUIAS%20DE%20REMISION-REMITENTE\GUIA%20R-R%202020\NOVIEMBRE-2020\T001-00000095.pdf" TargetMode="External"/><Relationship Id="rId324" Type="http://schemas.openxmlformats.org/officeDocument/2006/relationships/hyperlink" Target="GUIAS%20DE%20REMISION-REMITENTE\GUIA%20R-R%202020\MARZO-2020\0003-001079.pdf" TargetMode="External"/><Relationship Id="rId531" Type="http://schemas.openxmlformats.org/officeDocument/2006/relationships/hyperlink" Target="ACTAS%20DE%20CONFORMIDAD\AC-2020\06-2020\13-06-2020\REG-43995-3004428523-1515.6.pdf" TargetMode="External"/><Relationship Id="rId629" Type="http://schemas.openxmlformats.org/officeDocument/2006/relationships/hyperlink" Target="ACTAS%20DE%20CONFORMIDAD\AC-2020\08-2020\12-08-2020\REG-44055-3003932245-5543.7.pdf" TargetMode="External"/><Relationship Id="rId836" Type="http://schemas.openxmlformats.org/officeDocument/2006/relationships/hyperlink" Target="ACTAS%20DE%20CONFORMIDAD\AC-2020\10-2020\01-10-2020\REG-44105-3003566703-5891.3.pdf" TargetMode="External"/><Relationship Id="rId1021" Type="http://schemas.openxmlformats.org/officeDocument/2006/relationships/hyperlink" Target="GUIAS%20DE%20REMISION-REMITENTE\GUIA%20R-R%202020\DICIEMBRE-2020\T001-00000121.pdf" TargetMode="External"/><Relationship Id="rId903" Type="http://schemas.openxmlformats.org/officeDocument/2006/relationships/hyperlink" Target="GUIAS%20DE%20REMISION-REMITENTE\GUIA%20R-R%202020\OCTUBRE-2020\T001-00000020.pdf" TargetMode="External"/><Relationship Id="rId32" Type="http://schemas.openxmlformats.org/officeDocument/2006/relationships/hyperlink" Target="ACTAS%20DE%20CONFORMIDAD\AC-2020\01-2020\24-01-2020\REG-43854-3004416581-842.2.pdf" TargetMode="External"/><Relationship Id="rId181" Type="http://schemas.openxmlformats.org/officeDocument/2006/relationships/hyperlink" Target="ACTAS%20DE%20CONFORMIDAD\AC-2019\09-2019\07-09-2019\REG-43715-3004402508-0.6.pdf" TargetMode="External"/><Relationship Id="rId279" Type="http://schemas.openxmlformats.org/officeDocument/2006/relationships/hyperlink" Target="ACTAS%20DE%20CONFORMIDAD\AC-2020\03-2020\02-03-2020\REG-43892-3004337430-572.1.pdf" TargetMode="External"/><Relationship Id="rId486" Type="http://schemas.openxmlformats.org/officeDocument/2006/relationships/hyperlink" Target="ACTAS%20DE%20CONFORMIDAD\AC-2020\05-2020\30-05-2020\REG-43981-3003962766-2455.7.pdf" TargetMode="External"/><Relationship Id="rId693" Type="http://schemas.openxmlformats.org/officeDocument/2006/relationships/hyperlink" Target="ACTAS%20DE%20CONFORMIDAD\AC-2020\08-2020\26-08-2020\REG-44069-3004597775-2093.2.pdf" TargetMode="External"/><Relationship Id="rId139" Type="http://schemas.openxmlformats.org/officeDocument/2006/relationships/hyperlink" Target="ACTAS%20DE%20CONFORMIDAD\AC-2019\11-2019\18-11-2019\REG-43787-3004402507-79.9.pdf" TargetMode="External"/><Relationship Id="rId346" Type="http://schemas.openxmlformats.org/officeDocument/2006/relationships/hyperlink" Target="ACTAS%20DE%20CONFORMIDAD\AC-2020\03-2020\30-03-2020\REG-43920-3004331707-836.5.pdf" TargetMode="External"/><Relationship Id="rId553" Type="http://schemas.openxmlformats.org/officeDocument/2006/relationships/hyperlink" Target="ACTAS%20DE%20CONFORMIDAD\AC-2020\06-2020\11-06-2020\REG-43993-F930510270-336.8.pdf" TargetMode="External"/><Relationship Id="rId760" Type="http://schemas.openxmlformats.org/officeDocument/2006/relationships/hyperlink" Target="ACTAS%20DE%20CONFORMIDAD\AC-2020\09-2020\10-09-2020\REG-44084-3004416581-1056.8.pdf" TargetMode="External"/><Relationship Id="rId998" Type="http://schemas.openxmlformats.org/officeDocument/2006/relationships/hyperlink" Target="GUIAS%20DE%20REMISION-REMITENTE\GUIA%20R-R%202020\NOVIEMBRE-2020\T001-00000089.pdf" TargetMode="External"/><Relationship Id="rId206" Type="http://schemas.openxmlformats.org/officeDocument/2006/relationships/hyperlink" Target="ACTAS%20DE%20CONFORMIDAD\AC-2019\08-2019\28-08-2019\REG-43705-3004428523-0.6.pdf" TargetMode="External"/><Relationship Id="rId413" Type="http://schemas.openxmlformats.org/officeDocument/2006/relationships/hyperlink" Target="ACTAS%20DE%20CONFORMIDAD\AC-2020\04-2020\23-04-2020" TargetMode="External"/><Relationship Id="rId858" Type="http://schemas.openxmlformats.org/officeDocument/2006/relationships/hyperlink" Target="ACTAS%20DE%20CONFORMIDAD\AC-2020\10-2020\09-10-2020\REG-44113-3004555914-2894.4.pdf" TargetMode="External"/><Relationship Id="rId1043" Type="http://schemas.openxmlformats.org/officeDocument/2006/relationships/hyperlink" Target="ACTAS%20DE%20CONFORMIDAD\AC-2020\11-2020\19-11-2020\REG-44154-3005167422-1906.8.pdf" TargetMode="External"/><Relationship Id="rId620" Type="http://schemas.openxmlformats.org/officeDocument/2006/relationships/hyperlink" Target="GUIAS%20DE%20REMISION-REMITENTE\GUIA%20R-R%202020\AGOSTO-2020\0003-001349.pdf" TargetMode="External"/><Relationship Id="rId718" Type="http://schemas.openxmlformats.org/officeDocument/2006/relationships/hyperlink" Target="GUIAS%20DE%20REMISION-REMITENTE\GUIA%20R-R%202020\AGOSTO-2020\0003-001334.pdf" TargetMode="External"/><Relationship Id="rId925" Type="http://schemas.openxmlformats.org/officeDocument/2006/relationships/hyperlink" Target="ACTAS%20DE%20CONFORMIDAD\AC-2020\10-2020\28-10-2020\REG-44132-3004256777-2456.8.pdf" TargetMode="External"/><Relationship Id="rId54" Type="http://schemas.openxmlformats.org/officeDocument/2006/relationships/hyperlink" Target="ACTAS%20DE%20CONFORMIDAD\AC-2020\01-2020\09-01-2020\REG-43839-3004290364-132.4.pdf" TargetMode="External"/><Relationship Id="rId270" Type="http://schemas.openxmlformats.org/officeDocument/2006/relationships/hyperlink" Target="ACTAS%20DE%20CONFORMIDAD\AC-2020\02-2020\29-02-2020\REG-43890-3004327724-1102.pdf" TargetMode="External"/><Relationship Id="rId130" Type="http://schemas.openxmlformats.org/officeDocument/2006/relationships/hyperlink" Target="ACTAS%20DE%20CONFORMIDAD\AC-2019\11-2019\19-11-2019\REG-43788-3004337427-240.6.pdf" TargetMode="External"/><Relationship Id="rId368" Type="http://schemas.openxmlformats.org/officeDocument/2006/relationships/hyperlink" Target="ACTAS%20DE%20CONFORMIDAD\AC-2020\04-2020\24-04-2020\REG-43945-3004402508-753.6.pdf" TargetMode="External"/><Relationship Id="rId575" Type="http://schemas.openxmlformats.org/officeDocument/2006/relationships/hyperlink" Target="ACTAS%20DE%20CONFORMIDAD\AC-2020\08-2020\07-08-2020\REG-44050-3003566703-5405.1.pdf" TargetMode="External"/><Relationship Id="rId782" Type="http://schemas.openxmlformats.org/officeDocument/2006/relationships/hyperlink" Target="ACTAS%20DE%20CONFORMIDAD\AC-2020\08-2020\31-08-2020\REG-44074-3004555914-2621.1.pdf" TargetMode="Externa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table" Target="../tables/table8.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9.xml"/><Relationship Id="rId4" Type="http://schemas.openxmlformats.org/officeDocument/2006/relationships/ctrlProp" Target="../ctrlProps/ctrlProp3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4.xml"/><Relationship Id="rId2" Type="http://schemas.openxmlformats.org/officeDocument/2006/relationships/drawing" Target="../drawings/drawing17.xml"/><Relationship Id="rId1" Type="http://schemas.openxmlformats.org/officeDocument/2006/relationships/printerSettings" Target="../printerSettings/printerSettings12.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S47"/>
  <sheetViews>
    <sheetView zoomScale="80" zoomScaleNormal="80" workbookViewId="0"/>
  </sheetViews>
  <sheetFormatPr baseColWidth="10" defaultColWidth="11.44140625" defaultRowHeight="14.4" x14ac:dyDescent="0.3"/>
  <cols>
    <col min="1" max="2" width="11.44140625" style="516"/>
    <col min="3" max="3" width="11.44140625" style="516" customWidth="1"/>
    <col min="4" max="4" width="10.6640625" style="516" customWidth="1"/>
    <col min="5" max="10" width="11.44140625" style="516" customWidth="1"/>
    <col min="11" max="11" width="7.6640625" style="516" customWidth="1"/>
    <col min="12" max="19" width="11.44140625" style="516" customWidth="1"/>
    <col min="20" max="16384" width="11.44140625" style="516"/>
  </cols>
  <sheetData>
    <row r="1" spans="1:18" ht="15" thickBot="1" x14ac:dyDescent="0.35">
      <c r="A1" s="641"/>
    </row>
    <row r="2" spans="1:18" ht="15" thickBot="1" x14ac:dyDescent="0.35">
      <c r="D2" s="642"/>
      <c r="E2" s="518"/>
      <c r="F2" s="518"/>
      <c r="G2" s="518"/>
      <c r="H2" s="518"/>
      <c r="I2" s="518"/>
      <c r="J2" s="518"/>
      <c r="K2" s="518"/>
      <c r="L2" s="518"/>
      <c r="M2" s="518"/>
      <c r="N2" s="518"/>
      <c r="O2" s="518"/>
      <c r="P2" s="518"/>
      <c r="Q2" s="643" t="s">
        <v>2760</v>
      </c>
      <c r="R2" s="519"/>
    </row>
    <row r="3" spans="1:18" ht="15" customHeight="1" x14ac:dyDescent="0.3">
      <c r="D3" s="520"/>
      <c r="E3" s="853" t="s">
        <v>1689</v>
      </c>
      <c r="F3" s="854"/>
      <c r="G3" s="854"/>
      <c r="H3" s="854"/>
      <c r="I3" s="854"/>
      <c r="J3" s="854"/>
      <c r="K3" s="854"/>
      <c r="L3" s="854"/>
      <c r="M3" s="854"/>
      <c r="N3" s="854"/>
      <c r="O3" s="854"/>
      <c r="P3" s="854"/>
      <c r="Q3" s="855"/>
      <c r="R3" s="521"/>
    </row>
    <row r="4" spans="1:18" ht="15" customHeight="1" x14ac:dyDescent="0.3">
      <c r="D4" s="520"/>
      <c r="E4" s="856"/>
      <c r="F4" s="857"/>
      <c r="G4" s="857"/>
      <c r="H4" s="857"/>
      <c r="I4" s="857"/>
      <c r="J4" s="857"/>
      <c r="K4" s="857"/>
      <c r="L4" s="857"/>
      <c r="M4" s="857"/>
      <c r="N4" s="857"/>
      <c r="O4" s="857"/>
      <c r="P4" s="857"/>
      <c r="Q4" s="858"/>
      <c r="R4" s="521"/>
    </row>
    <row r="5" spans="1:18" ht="15.75" customHeight="1" thickBot="1" x14ac:dyDescent="0.35">
      <c r="D5" s="520"/>
      <c r="E5" s="859"/>
      <c r="F5" s="860"/>
      <c r="G5" s="860"/>
      <c r="H5" s="860"/>
      <c r="I5" s="860"/>
      <c r="J5" s="860"/>
      <c r="K5" s="860"/>
      <c r="L5" s="860"/>
      <c r="M5" s="860"/>
      <c r="N5" s="860"/>
      <c r="O5" s="860"/>
      <c r="P5" s="860"/>
      <c r="Q5" s="861"/>
      <c r="R5" s="521"/>
    </row>
    <row r="6" spans="1:18" ht="15" thickBot="1" x14ac:dyDescent="0.35">
      <c r="D6" s="520"/>
      <c r="E6" s="522"/>
      <c r="F6" s="522"/>
      <c r="G6" s="522"/>
      <c r="H6" s="522"/>
      <c r="I6" s="522"/>
      <c r="J6" s="522"/>
      <c r="K6" s="522"/>
      <c r="L6" s="522"/>
      <c r="M6" s="522"/>
      <c r="N6" s="522"/>
      <c r="O6" s="522"/>
      <c r="P6" s="522"/>
      <c r="Q6" s="522"/>
      <c r="R6" s="523"/>
    </row>
    <row r="7" spans="1:18" ht="15" thickBot="1" x14ac:dyDescent="0.35">
      <c r="D7" s="520"/>
      <c r="E7" s="863"/>
      <c r="F7" s="850" t="s">
        <v>934</v>
      </c>
      <c r="G7" s="851"/>
      <c r="H7" s="851"/>
      <c r="I7" s="851"/>
      <c r="J7" s="852"/>
      <c r="K7" s="862"/>
      <c r="L7" s="863"/>
      <c r="M7" s="850" t="s">
        <v>1455</v>
      </c>
      <c r="N7" s="851"/>
      <c r="O7" s="851"/>
      <c r="P7" s="851"/>
      <c r="Q7" s="852"/>
      <c r="R7" s="523"/>
    </row>
    <row r="8" spans="1:18" ht="15" customHeight="1" x14ac:dyDescent="0.3">
      <c r="D8" s="520"/>
      <c r="E8" s="864"/>
      <c r="F8" s="866" t="s">
        <v>1147</v>
      </c>
      <c r="G8" s="867"/>
      <c r="H8" s="867"/>
      <c r="I8" s="867"/>
      <c r="J8" s="868"/>
      <c r="K8" s="862"/>
      <c r="L8" s="864"/>
      <c r="M8" s="866" t="s">
        <v>1688</v>
      </c>
      <c r="N8" s="867"/>
      <c r="O8" s="867"/>
      <c r="P8" s="867"/>
      <c r="Q8" s="868"/>
      <c r="R8" s="523"/>
    </row>
    <row r="9" spans="1:18" x14ac:dyDescent="0.3">
      <c r="D9" s="520"/>
      <c r="E9" s="864"/>
      <c r="F9" s="869"/>
      <c r="G9" s="870"/>
      <c r="H9" s="870"/>
      <c r="I9" s="870"/>
      <c r="J9" s="871"/>
      <c r="K9" s="862"/>
      <c r="L9" s="864"/>
      <c r="M9" s="869"/>
      <c r="N9" s="870"/>
      <c r="O9" s="870"/>
      <c r="P9" s="870"/>
      <c r="Q9" s="871"/>
      <c r="R9" s="523"/>
    </row>
    <row r="10" spans="1:18" ht="15" thickBot="1" x14ac:dyDescent="0.35">
      <c r="D10" s="520"/>
      <c r="E10" s="865"/>
      <c r="F10" s="872"/>
      <c r="G10" s="873"/>
      <c r="H10" s="873"/>
      <c r="I10" s="873"/>
      <c r="J10" s="874"/>
      <c r="K10" s="862"/>
      <c r="L10" s="865"/>
      <c r="M10" s="872"/>
      <c r="N10" s="873"/>
      <c r="O10" s="873"/>
      <c r="P10" s="873"/>
      <c r="Q10" s="874"/>
      <c r="R10" s="523"/>
    </row>
    <row r="11" spans="1:18" ht="15" thickBot="1" x14ac:dyDescent="0.35">
      <c r="D11" s="520"/>
      <c r="E11" s="522"/>
      <c r="F11" s="522"/>
      <c r="G11" s="522"/>
      <c r="H11" s="522"/>
      <c r="I11" s="522"/>
      <c r="J11" s="522"/>
      <c r="K11" s="522"/>
      <c r="L11" s="522"/>
      <c r="M11" s="522"/>
      <c r="N11" s="522"/>
      <c r="O11" s="522"/>
      <c r="P11" s="522"/>
      <c r="Q11" s="522"/>
      <c r="R11" s="523"/>
    </row>
    <row r="12" spans="1:18" ht="16.2" thickBot="1" x14ac:dyDescent="0.35">
      <c r="D12" s="520"/>
      <c r="E12" s="863"/>
      <c r="F12" s="850" t="s">
        <v>1691</v>
      </c>
      <c r="G12" s="851"/>
      <c r="H12" s="851"/>
      <c r="I12" s="851"/>
      <c r="J12" s="852"/>
      <c r="K12" s="862"/>
      <c r="L12" s="863"/>
      <c r="M12" s="820" t="s">
        <v>1540</v>
      </c>
      <c r="N12" s="821"/>
      <c r="O12" s="821"/>
      <c r="P12" s="821"/>
      <c r="Q12" s="822"/>
      <c r="R12" s="523"/>
    </row>
    <row r="13" spans="1:18" x14ac:dyDescent="0.3">
      <c r="D13" s="520"/>
      <c r="E13" s="864"/>
      <c r="F13" s="866" t="s">
        <v>1692</v>
      </c>
      <c r="G13" s="867"/>
      <c r="H13" s="867"/>
      <c r="I13" s="867"/>
      <c r="J13" s="868"/>
      <c r="K13" s="862"/>
      <c r="L13" s="864"/>
      <c r="M13" s="866" t="s">
        <v>1784</v>
      </c>
      <c r="N13" s="867"/>
      <c r="O13" s="867"/>
      <c r="P13" s="867"/>
      <c r="Q13" s="868"/>
      <c r="R13" s="523"/>
    </row>
    <row r="14" spans="1:18" x14ac:dyDescent="0.3">
      <c r="D14" s="520"/>
      <c r="E14" s="864"/>
      <c r="F14" s="869"/>
      <c r="G14" s="870"/>
      <c r="H14" s="870"/>
      <c r="I14" s="870"/>
      <c r="J14" s="871"/>
      <c r="K14" s="862"/>
      <c r="L14" s="864"/>
      <c r="M14" s="869"/>
      <c r="N14" s="870"/>
      <c r="O14" s="870"/>
      <c r="P14" s="870"/>
      <c r="Q14" s="871"/>
      <c r="R14" s="523"/>
    </row>
    <row r="15" spans="1:18" ht="15" thickBot="1" x14ac:dyDescent="0.35">
      <c r="D15" s="520"/>
      <c r="E15" s="865"/>
      <c r="F15" s="872"/>
      <c r="G15" s="873"/>
      <c r="H15" s="873"/>
      <c r="I15" s="873"/>
      <c r="J15" s="874"/>
      <c r="K15" s="862"/>
      <c r="L15" s="865"/>
      <c r="M15" s="872"/>
      <c r="N15" s="873"/>
      <c r="O15" s="873"/>
      <c r="P15" s="873"/>
      <c r="Q15" s="874"/>
      <c r="R15" s="523"/>
    </row>
    <row r="16" spans="1:18" ht="15" thickBot="1" x14ac:dyDescent="0.35">
      <c r="D16" s="520"/>
      <c r="E16" s="522"/>
      <c r="F16" s="522"/>
      <c r="G16" s="522"/>
      <c r="H16" s="522"/>
      <c r="I16" s="522"/>
      <c r="J16" s="522"/>
      <c r="K16" s="522"/>
      <c r="L16" s="522"/>
      <c r="M16" s="522"/>
      <c r="N16" s="522"/>
      <c r="O16" s="522"/>
      <c r="P16" s="522"/>
      <c r="Q16" s="522"/>
      <c r="R16" s="523"/>
    </row>
    <row r="17" spans="4:18" ht="15" thickBot="1" x14ac:dyDescent="0.35">
      <c r="D17" s="520"/>
      <c r="E17" s="863"/>
      <c r="F17" s="850" t="s">
        <v>1335</v>
      </c>
      <c r="G17" s="851"/>
      <c r="H17" s="851"/>
      <c r="I17" s="851"/>
      <c r="J17" s="852"/>
      <c r="K17" s="862"/>
      <c r="L17" s="863"/>
      <c r="M17" s="850" t="s">
        <v>1336</v>
      </c>
      <c r="N17" s="851"/>
      <c r="O17" s="851"/>
      <c r="P17" s="851"/>
      <c r="Q17" s="852"/>
      <c r="R17" s="523"/>
    </row>
    <row r="18" spans="4:18" x14ac:dyDescent="0.3">
      <c r="D18" s="520"/>
      <c r="E18" s="864"/>
      <c r="F18" s="866" t="s">
        <v>1330</v>
      </c>
      <c r="G18" s="867"/>
      <c r="H18" s="867"/>
      <c r="I18" s="867"/>
      <c r="J18" s="868"/>
      <c r="K18" s="862"/>
      <c r="L18" s="864"/>
      <c r="M18" s="866" t="s">
        <v>1337</v>
      </c>
      <c r="N18" s="867"/>
      <c r="O18" s="867"/>
      <c r="P18" s="867"/>
      <c r="Q18" s="868"/>
      <c r="R18" s="523"/>
    </row>
    <row r="19" spans="4:18" x14ac:dyDescent="0.3">
      <c r="D19" s="520"/>
      <c r="E19" s="864"/>
      <c r="F19" s="869"/>
      <c r="G19" s="870"/>
      <c r="H19" s="870"/>
      <c r="I19" s="870"/>
      <c r="J19" s="871"/>
      <c r="K19" s="862"/>
      <c r="L19" s="864"/>
      <c r="M19" s="869"/>
      <c r="N19" s="870"/>
      <c r="O19" s="870"/>
      <c r="P19" s="870"/>
      <c r="Q19" s="871"/>
      <c r="R19" s="523"/>
    </row>
    <row r="20" spans="4:18" ht="15" thickBot="1" x14ac:dyDescent="0.35">
      <c r="D20" s="520"/>
      <c r="E20" s="865"/>
      <c r="F20" s="872"/>
      <c r="G20" s="873"/>
      <c r="H20" s="873"/>
      <c r="I20" s="873"/>
      <c r="J20" s="874"/>
      <c r="K20" s="862"/>
      <c r="L20" s="865"/>
      <c r="M20" s="872"/>
      <c r="N20" s="873"/>
      <c r="O20" s="873"/>
      <c r="P20" s="873"/>
      <c r="Q20" s="874"/>
      <c r="R20" s="523"/>
    </row>
    <row r="21" spans="4:18" ht="15" thickBot="1" x14ac:dyDescent="0.35">
      <c r="D21" s="520"/>
      <c r="E21" s="522"/>
      <c r="F21" s="522"/>
      <c r="G21" s="522"/>
      <c r="H21" s="522"/>
      <c r="I21" s="522"/>
      <c r="J21" s="522"/>
      <c r="K21" s="522"/>
      <c r="L21" s="522"/>
      <c r="M21" s="522"/>
      <c r="N21" s="522"/>
      <c r="O21" s="522"/>
      <c r="P21" s="522"/>
      <c r="Q21" s="522"/>
      <c r="R21" s="523"/>
    </row>
    <row r="22" spans="4:18" x14ac:dyDescent="0.3">
      <c r="D22" s="520"/>
      <c r="E22" s="838" t="s">
        <v>1068</v>
      </c>
      <c r="F22" s="839"/>
      <c r="G22" s="839"/>
      <c r="H22" s="839"/>
      <c r="I22" s="839"/>
      <c r="J22" s="839"/>
      <c r="K22" s="839"/>
      <c r="L22" s="840"/>
      <c r="M22" s="522"/>
      <c r="N22" s="522"/>
      <c r="O22" s="522"/>
      <c r="P22" s="522"/>
      <c r="Q22" s="522"/>
      <c r="R22" s="523"/>
    </row>
    <row r="23" spans="4:18" ht="15" thickBot="1" x14ac:dyDescent="0.35">
      <c r="D23" s="520"/>
      <c r="E23" s="841"/>
      <c r="F23" s="842"/>
      <c r="G23" s="842"/>
      <c r="H23" s="842"/>
      <c r="I23" s="842"/>
      <c r="J23" s="842"/>
      <c r="K23" s="842"/>
      <c r="L23" s="843"/>
      <c r="M23" s="522"/>
      <c r="N23" s="522"/>
      <c r="O23" s="522"/>
      <c r="P23" s="522"/>
      <c r="Q23" s="522"/>
      <c r="R23" s="523"/>
    </row>
    <row r="24" spans="4:18" ht="15" thickBot="1" x14ac:dyDescent="0.35">
      <c r="D24" s="520"/>
      <c r="E24" s="517"/>
      <c r="F24" s="518"/>
      <c r="G24" s="518"/>
      <c r="H24" s="518"/>
      <c r="I24" s="518"/>
      <c r="J24" s="518"/>
      <c r="K24" s="518"/>
      <c r="L24" s="518"/>
      <c r="M24" s="518"/>
      <c r="N24" s="518"/>
      <c r="O24" s="518"/>
      <c r="P24" s="518"/>
      <c r="Q24" s="519"/>
      <c r="R24" s="523"/>
    </row>
    <row r="25" spans="4:18" x14ac:dyDescent="0.3">
      <c r="D25" s="520"/>
      <c r="E25" s="520"/>
      <c r="F25" s="835"/>
      <c r="G25" s="844" t="s">
        <v>1069</v>
      </c>
      <c r="H25" s="844"/>
      <c r="I25" s="844"/>
      <c r="J25" s="845"/>
      <c r="K25" s="522"/>
      <c r="L25" s="835"/>
      <c r="M25" s="811" t="s">
        <v>1645</v>
      </c>
      <c r="N25" s="812"/>
      <c r="O25" s="812"/>
      <c r="P25" s="813"/>
      <c r="Q25" s="523"/>
      <c r="R25" s="523"/>
    </row>
    <row r="26" spans="4:18" x14ac:dyDescent="0.3">
      <c r="D26" s="520"/>
      <c r="E26" s="520"/>
      <c r="F26" s="836"/>
      <c r="G26" s="846"/>
      <c r="H26" s="846"/>
      <c r="I26" s="846"/>
      <c r="J26" s="847"/>
      <c r="K26" s="522"/>
      <c r="L26" s="836"/>
      <c r="M26" s="814"/>
      <c r="N26" s="815"/>
      <c r="O26" s="815"/>
      <c r="P26" s="816"/>
      <c r="Q26" s="523"/>
      <c r="R26" s="523"/>
    </row>
    <row r="27" spans="4:18" x14ac:dyDescent="0.3">
      <c r="D27" s="520"/>
      <c r="E27" s="520"/>
      <c r="F27" s="836"/>
      <c r="G27" s="846"/>
      <c r="H27" s="846"/>
      <c r="I27" s="846"/>
      <c r="J27" s="847"/>
      <c r="K27" s="522"/>
      <c r="L27" s="836"/>
      <c r="M27" s="814"/>
      <c r="N27" s="815"/>
      <c r="O27" s="815"/>
      <c r="P27" s="816"/>
      <c r="Q27" s="523"/>
      <c r="R27" s="523"/>
    </row>
    <row r="28" spans="4:18" ht="15" thickBot="1" x14ac:dyDescent="0.35">
      <c r="D28" s="520"/>
      <c r="E28" s="520"/>
      <c r="F28" s="837"/>
      <c r="G28" s="848"/>
      <c r="H28" s="848"/>
      <c r="I28" s="848"/>
      <c r="J28" s="849"/>
      <c r="K28" s="522"/>
      <c r="L28" s="837"/>
      <c r="M28" s="817"/>
      <c r="N28" s="818"/>
      <c r="O28" s="818"/>
      <c r="P28" s="819"/>
      <c r="Q28" s="523"/>
      <c r="R28" s="523"/>
    </row>
    <row r="29" spans="4:18" ht="15" thickBot="1" x14ac:dyDescent="0.35">
      <c r="D29" s="520"/>
      <c r="E29" s="520"/>
      <c r="F29" s="522"/>
      <c r="G29" s="522"/>
      <c r="H29" s="522"/>
      <c r="I29" s="522"/>
      <c r="J29" s="522"/>
      <c r="K29" s="522"/>
      <c r="L29" s="522"/>
      <c r="M29" s="522"/>
      <c r="N29" s="522"/>
      <c r="O29" s="522"/>
      <c r="P29" s="522"/>
      <c r="Q29" s="523"/>
      <c r="R29" s="523"/>
    </row>
    <row r="30" spans="4:18" x14ac:dyDescent="0.3">
      <c r="D30" s="520"/>
      <c r="E30" s="520"/>
      <c r="F30" s="835"/>
      <c r="G30" s="811" t="s">
        <v>1070</v>
      </c>
      <c r="H30" s="812"/>
      <c r="I30" s="812"/>
      <c r="J30" s="813"/>
      <c r="K30" s="522"/>
      <c r="L30" s="835"/>
      <c r="M30" s="811" t="s">
        <v>1072</v>
      </c>
      <c r="N30" s="812"/>
      <c r="O30" s="812"/>
      <c r="P30" s="813"/>
      <c r="Q30" s="523"/>
      <c r="R30" s="523"/>
    </row>
    <row r="31" spans="4:18" x14ac:dyDescent="0.3">
      <c r="D31" s="520"/>
      <c r="E31" s="520"/>
      <c r="F31" s="836"/>
      <c r="G31" s="814"/>
      <c r="H31" s="815"/>
      <c r="I31" s="815"/>
      <c r="J31" s="816"/>
      <c r="K31" s="522"/>
      <c r="L31" s="836"/>
      <c r="M31" s="814"/>
      <c r="N31" s="815"/>
      <c r="O31" s="815"/>
      <c r="P31" s="816"/>
      <c r="Q31" s="523"/>
      <c r="R31" s="523"/>
    </row>
    <row r="32" spans="4:18" x14ac:dyDescent="0.3">
      <c r="D32" s="520"/>
      <c r="E32" s="520"/>
      <c r="F32" s="836"/>
      <c r="G32" s="814"/>
      <c r="H32" s="815"/>
      <c r="I32" s="815"/>
      <c r="J32" s="816"/>
      <c r="K32" s="522"/>
      <c r="L32" s="836"/>
      <c r="M32" s="814"/>
      <c r="N32" s="815"/>
      <c r="O32" s="815"/>
      <c r="P32" s="816"/>
      <c r="Q32" s="523"/>
      <c r="R32" s="523"/>
    </row>
    <row r="33" spans="4:19" ht="15" thickBot="1" x14ac:dyDescent="0.35">
      <c r="D33" s="520"/>
      <c r="E33" s="520"/>
      <c r="F33" s="837"/>
      <c r="G33" s="817"/>
      <c r="H33" s="818"/>
      <c r="I33" s="818"/>
      <c r="J33" s="819"/>
      <c r="K33" s="522"/>
      <c r="L33" s="837"/>
      <c r="M33" s="817"/>
      <c r="N33" s="818"/>
      <c r="O33" s="818"/>
      <c r="P33" s="819"/>
      <c r="Q33" s="523"/>
      <c r="R33" s="523"/>
    </row>
    <row r="34" spans="4:19" ht="15" thickBot="1" x14ac:dyDescent="0.35">
      <c r="D34" s="520"/>
      <c r="E34" s="520"/>
      <c r="F34" s="522"/>
      <c r="G34" s="522"/>
      <c r="H34" s="522"/>
      <c r="I34" s="522"/>
      <c r="J34" s="522"/>
      <c r="K34" s="522"/>
      <c r="L34" s="522"/>
      <c r="M34" s="522"/>
      <c r="N34" s="522"/>
      <c r="O34" s="522"/>
      <c r="P34" s="522"/>
      <c r="Q34" s="523"/>
      <c r="R34" s="523"/>
    </row>
    <row r="35" spans="4:19" x14ac:dyDescent="0.3">
      <c r="D35" s="520"/>
      <c r="E35" s="520"/>
      <c r="F35" s="823"/>
      <c r="G35" s="826" t="s">
        <v>1071</v>
      </c>
      <c r="H35" s="827"/>
      <c r="I35" s="827"/>
      <c r="J35" s="828"/>
      <c r="K35" s="522"/>
      <c r="L35" s="835"/>
      <c r="M35" s="811" t="s">
        <v>1073</v>
      </c>
      <c r="N35" s="812"/>
      <c r="O35" s="812"/>
      <c r="P35" s="813"/>
      <c r="Q35" s="523"/>
      <c r="R35" s="523"/>
    </row>
    <row r="36" spans="4:19" x14ac:dyDescent="0.3">
      <c r="D36" s="520"/>
      <c r="E36" s="520"/>
      <c r="F36" s="824"/>
      <c r="G36" s="829"/>
      <c r="H36" s="830"/>
      <c r="I36" s="830"/>
      <c r="J36" s="831"/>
      <c r="K36" s="522"/>
      <c r="L36" s="836"/>
      <c r="M36" s="814"/>
      <c r="N36" s="815"/>
      <c r="O36" s="815"/>
      <c r="P36" s="816"/>
      <c r="Q36" s="523"/>
      <c r="R36" s="523"/>
    </row>
    <row r="37" spans="4:19" x14ac:dyDescent="0.3">
      <c r="D37" s="520"/>
      <c r="E37" s="520"/>
      <c r="F37" s="824"/>
      <c r="G37" s="829"/>
      <c r="H37" s="830"/>
      <c r="I37" s="830"/>
      <c r="J37" s="831"/>
      <c r="K37" s="522"/>
      <c r="L37" s="836"/>
      <c r="M37" s="814"/>
      <c r="N37" s="815"/>
      <c r="O37" s="815"/>
      <c r="P37" s="816"/>
      <c r="Q37" s="523"/>
      <c r="R37" s="523"/>
    </row>
    <row r="38" spans="4:19" ht="15" thickBot="1" x14ac:dyDescent="0.35">
      <c r="D38" s="520"/>
      <c r="E38" s="520"/>
      <c r="F38" s="825"/>
      <c r="G38" s="832"/>
      <c r="H38" s="833"/>
      <c r="I38" s="833"/>
      <c r="J38" s="834"/>
      <c r="K38" s="522"/>
      <c r="L38" s="837"/>
      <c r="M38" s="817"/>
      <c r="N38" s="818"/>
      <c r="O38" s="818"/>
      <c r="P38" s="819"/>
      <c r="Q38" s="523"/>
      <c r="R38" s="523"/>
    </row>
    <row r="39" spans="4:19" ht="15" thickBot="1" x14ac:dyDescent="0.35">
      <c r="D39" s="520"/>
      <c r="E39" s="524"/>
      <c r="F39" s="525"/>
      <c r="G39" s="525"/>
      <c r="H39" s="525"/>
      <c r="I39" s="525"/>
      <c r="J39" s="525"/>
      <c r="K39" s="525"/>
      <c r="L39" s="525"/>
      <c r="M39" s="525"/>
      <c r="N39" s="525"/>
      <c r="O39" s="525"/>
      <c r="P39" s="525"/>
      <c r="Q39" s="526"/>
      <c r="R39" s="523"/>
    </row>
    <row r="40" spans="4:19" ht="15" thickBot="1" x14ac:dyDescent="0.35">
      <c r="D40" s="524"/>
      <c r="E40" s="525"/>
      <c r="F40" s="525"/>
      <c r="G40" s="525"/>
      <c r="H40" s="525"/>
      <c r="I40" s="525"/>
      <c r="J40" s="525"/>
      <c r="K40" s="525"/>
      <c r="L40" s="525"/>
      <c r="M40" s="525"/>
      <c r="N40" s="525"/>
      <c r="O40" s="525"/>
      <c r="P40" s="525"/>
      <c r="Q40" s="525"/>
      <c r="R40" s="526"/>
    </row>
    <row r="41" spans="4:19" ht="15.75" customHeight="1" thickBot="1" x14ac:dyDescent="0.35">
      <c r="K41" s="820" t="s">
        <v>1338</v>
      </c>
      <c r="L41" s="821"/>
      <c r="M41" s="821"/>
      <c r="N41" s="821"/>
      <c r="O41" s="821"/>
      <c r="P41" s="821"/>
      <c r="Q41" s="821"/>
      <c r="R41" s="822"/>
    </row>
    <row r="42" spans="4:19" x14ac:dyDescent="0.3">
      <c r="K42" s="527"/>
      <c r="L42" s="528"/>
      <c r="M42" s="528"/>
      <c r="N42" s="528"/>
      <c r="O42" s="528"/>
      <c r="P42" s="528"/>
      <c r="Q42" s="528"/>
      <c r="R42" s="529"/>
    </row>
    <row r="43" spans="4:19" x14ac:dyDescent="0.3">
      <c r="K43" s="527"/>
      <c r="L43" s="528"/>
      <c r="M43" s="528"/>
      <c r="N43" s="528"/>
      <c r="O43" s="528"/>
      <c r="P43" s="528"/>
      <c r="Q43" s="528"/>
      <c r="R43" s="529"/>
    </row>
    <row r="44" spans="4:19" x14ac:dyDescent="0.3">
      <c r="K44" s="527"/>
      <c r="L44" s="528"/>
      <c r="M44" s="528"/>
      <c r="N44" s="528"/>
      <c r="O44" s="528"/>
      <c r="P44" s="528"/>
      <c r="Q44" s="528"/>
      <c r="R44" s="529"/>
      <c r="S44" s="522"/>
    </row>
    <row r="45" spans="4:19" x14ac:dyDescent="0.3">
      <c r="K45" s="527"/>
      <c r="L45" s="528"/>
      <c r="M45" s="528"/>
      <c r="N45" s="528"/>
      <c r="O45" s="528"/>
      <c r="P45" s="528"/>
      <c r="Q45" s="528"/>
      <c r="R45" s="529"/>
      <c r="S45" s="522"/>
    </row>
    <row r="46" spans="4:19" x14ac:dyDescent="0.3">
      <c r="K46" s="527"/>
      <c r="L46" s="528"/>
      <c r="M46" s="528"/>
      <c r="N46" s="528"/>
      <c r="O46" s="528"/>
      <c r="P46" s="528"/>
      <c r="Q46" s="528"/>
      <c r="R46" s="529"/>
      <c r="S46" s="522"/>
    </row>
    <row r="47" spans="4:19" ht="15" thickBot="1" x14ac:dyDescent="0.35">
      <c r="K47" s="530"/>
      <c r="L47" s="531"/>
      <c r="M47" s="531"/>
      <c r="N47" s="531"/>
      <c r="O47" s="531"/>
      <c r="P47" s="531"/>
      <c r="Q47" s="531"/>
      <c r="R47" s="532"/>
      <c r="S47" s="522"/>
    </row>
  </sheetData>
  <sheetProtection algorithmName="SHA-512" hashValue="jV5KOl7UTOrcCmElOxWJv9NOMijxVqeO9Rj5pgwH9wPxK0ZoZb+optbZKY0Iu3pIkXMzOgZKFFdYecvqLXAVUw==" saltValue="Uv/3NomhOTbt64FLvLvwXQ==" spinCount="100000" sheet="1" objects="1" scenarios="1"/>
  <mergeCells count="36">
    <mergeCell ref="E3:Q5"/>
    <mergeCell ref="K12:K15"/>
    <mergeCell ref="K17:K20"/>
    <mergeCell ref="E7:E10"/>
    <mergeCell ref="L7:L10"/>
    <mergeCell ref="L12:L15"/>
    <mergeCell ref="L17:L20"/>
    <mergeCell ref="E12:E15"/>
    <mergeCell ref="E17:E20"/>
    <mergeCell ref="K7:K10"/>
    <mergeCell ref="F8:J10"/>
    <mergeCell ref="M8:Q10"/>
    <mergeCell ref="F13:J15"/>
    <mergeCell ref="M13:Q15"/>
    <mergeCell ref="F18:J20"/>
    <mergeCell ref="M18:Q20"/>
    <mergeCell ref="M7:Q7"/>
    <mergeCell ref="F12:J12"/>
    <mergeCell ref="M12:Q12"/>
    <mergeCell ref="F17:J17"/>
    <mergeCell ref="M17:Q17"/>
    <mergeCell ref="E22:L23"/>
    <mergeCell ref="F25:F28"/>
    <mergeCell ref="G25:J28"/>
    <mergeCell ref="F30:F33"/>
    <mergeCell ref="F7:J7"/>
    <mergeCell ref="F35:F38"/>
    <mergeCell ref="G35:J38"/>
    <mergeCell ref="L25:L28"/>
    <mergeCell ref="L30:L33"/>
    <mergeCell ref="L35:L38"/>
    <mergeCell ref="M25:P28"/>
    <mergeCell ref="M35:P38"/>
    <mergeCell ref="G30:J33"/>
    <mergeCell ref="M30:P33"/>
    <mergeCell ref="K41:R4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9"/>
  <dimension ref="A1:V67"/>
  <sheetViews>
    <sheetView showGridLines="0" zoomScale="80" zoomScaleNormal="80" workbookViewId="0">
      <selection activeCell="N7" sqref="N7:T8"/>
    </sheetView>
  </sheetViews>
  <sheetFormatPr baseColWidth="10" defaultColWidth="11.44140625" defaultRowHeight="14.4" x14ac:dyDescent="0.3"/>
  <cols>
    <col min="1" max="1" width="11.44140625" style="272"/>
    <col min="2" max="2" width="1.6640625" style="272" customWidth="1"/>
    <col min="3" max="3" width="11.44140625" style="272"/>
    <col min="4" max="4" width="12" style="272" customWidth="1"/>
    <col min="5" max="5" width="11.44140625" style="272"/>
    <col min="6" max="6" width="5.5546875" style="272" customWidth="1"/>
    <col min="7" max="7" width="14.5546875" style="272" customWidth="1"/>
    <col min="8" max="8" width="12.5546875" style="272" customWidth="1"/>
    <col min="9" max="9" width="12" style="272" customWidth="1"/>
    <col min="10" max="10" width="6.33203125" style="272" customWidth="1"/>
    <col min="11" max="11" width="7.6640625" style="272" customWidth="1"/>
    <col min="12" max="12" width="2.5546875" style="272" customWidth="1"/>
    <col min="13" max="13" width="11.44140625" style="272"/>
    <col min="14" max="14" width="4.44140625" style="272" customWidth="1"/>
    <col min="15" max="15" width="25.5546875" style="272" customWidth="1"/>
    <col min="16" max="16" width="33.109375" style="272" customWidth="1"/>
    <col min="17" max="17" width="8" style="272" customWidth="1"/>
    <col min="18" max="18" width="11.44140625" style="272" customWidth="1"/>
    <col min="19" max="19" width="9.44140625" style="272" customWidth="1"/>
    <col min="20" max="20" width="4" style="272" customWidth="1"/>
    <col min="21" max="16384" width="11.44140625" style="272"/>
  </cols>
  <sheetData>
    <row r="1" spans="1:22" ht="9.75" customHeight="1" x14ac:dyDescent="0.3">
      <c r="B1" s="273"/>
      <c r="D1" s="273"/>
      <c r="E1" s="273"/>
      <c r="F1" s="273"/>
      <c r="G1" s="273"/>
      <c r="H1" s="273"/>
      <c r="I1" s="273"/>
      <c r="J1" s="273"/>
      <c r="K1" s="273"/>
      <c r="L1" s="273"/>
      <c r="M1" s="273"/>
    </row>
    <row r="2" spans="1:22" x14ac:dyDescent="0.3">
      <c r="B2" s="236"/>
      <c r="C2" s="236"/>
      <c r="D2" s="237"/>
      <c r="E2" s="237"/>
      <c r="F2" s="237"/>
      <c r="G2" s="237"/>
      <c r="H2" s="237"/>
      <c r="I2" s="237"/>
      <c r="J2" s="237"/>
      <c r="K2" s="237"/>
      <c r="L2" s="237"/>
      <c r="M2" s="273"/>
    </row>
    <row r="3" spans="1:22" x14ac:dyDescent="0.3">
      <c r="A3" s="273"/>
      <c r="B3" s="236"/>
      <c r="C3" s="236"/>
      <c r="D3" s="237"/>
      <c r="E3" s="237"/>
      <c r="F3" s="237"/>
      <c r="G3" s="237"/>
      <c r="H3" s="237"/>
      <c r="I3" s="237"/>
      <c r="J3" s="237"/>
      <c r="K3" s="237"/>
      <c r="L3" s="237"/>
      <c r="M3" s="273"/>
    </row>
    <row r="4" spans="1:22" x14ac:dyDescent="0.3">
      <c r="A4" s="273"/>
      <c r="B4" s="236"/>
      <c r="C4" s="236"/>
      <c r="D4" s="237"/>
      <c r="E4" s="237"/>
      <c r="F4" s="237"/>
      <c r="G4" s="237"/>
      <c r="H4" s="237"/>
      <c r="I4" s="237"/>
      <c r="J4" s="237"/>
      <c r="K4" s="237"/>
      <c r="L4" s="237"/>
      <c r="M4" s="273"/>
    </row>
    <row r="5" spans="1:22" x14ac:dyDescent="0.3">
      <c r="A5" s="273"/>
      <c r="B5" s="236"/>
      <c r="C5" s="236"/>
      <c r="D5" s="236"/>
      <c r="E5" s="236"/>
      <c r="F5" s="236"/>
      <c r="G5" s="236"/>
      <c r="H5" s="237"/>
      <c r="I5" s="237"/>
      <c r="J5" s="237"/>
      <c r="K5" s="237"/>
      <c r="L5" s="237"/>
      <c r="M5" s="273"/>
      <c r="N5" s="274"/>
      <c r="O5" s="274"/>
      <c r="P5" s="274"/>
      <c r="Q5" s="274"/>
      <c r="R5" s="274"/>
      <c r="S5" s="274"/>
      <c r="T5" s="274"/>
      <c r="U5" s="274"/>
      <c r="V5" s="274"/>
    </row>
    <row r="6" spans="1:22" ht="15" thickBot="1" x14ac:dyDescent="0.35">
      <c r="A6" s="273"/>
      <c r="B6" s="236"/>
      <c r="C6" s="236"/>
      <c r="D6" s="236"/>
      <c r="E6" s="236"/>
      <c r="F6" s="236"/>
      <c r="G6" s="236"/>
      <c r="H6" s="236"/>
      <c r="I6" s="236"/>
      <c r="J6" s="236"/>
      <c r="K6" s="236"/>
      <c r="L6" s="236"/>
      <c r="M6" s="273"/>
      <c r="N6" s="274"/>
      <c r="O6" s="274"/>
      <c r="P6" s="274"/>
      <c r="Q6" s="274"/>
      <c r="R6" s="274"/>
      <c r="S6" s="274"/>
      <c r="T6" s="274"/>
      <c r="U6" s="274"/>
      <c r="V6" s="274"/>
    </row>
    <row r="7" spans="1:22" ht="18" x14ac:dyDescent="0.35">
      <c r="A7" s="273"/>
      <c r="B7" s="236"/>
      <c r="C7" s="881" t="s">
        <v>1003</v>
      </c>
      <c r="D7" s="882"/>
      <c r="E7" s="882"/>
      <c r="F7" s="882"/>
      <c r="G7" s="882"/>
      <c r="H7" s="882"/>
      <c r="I7" s="882"/>
      <c r="J7" s="882"/>
      <c r="K7" s="883"/>
      <c r="L7" s="236"/>
      <c r="M7" s="273"/>
      <c r="N7" s="875" t="s">
        <v>1079</v>
      </c>
      <c r="O7" s="876"/>
      <c r="P7" s="876"/>
      <c r="Q7" s="876"/>
      <c r="R7" s="876"/>
      <c r="S7" s="876"/>
      <c r="T7" s="877"/>
      <c r="U7" s="274"/>
      <c r="V7" s="274"/>
    </row>
    <row r="8" spans="1:22" ht="6.9" customHeight="1" thickBot="1" x14ac:dyDescent="0.35">
      <c r="A8" s="273"/>
      <c r="B8" s="236"/>
      <c r="C8" s="236"/>
      <c r="D8" s="236"/>
      <c r="E8" s="236"/>
      <c r="F8" s="236"/>
      <c r="G8" s="236"/>
      <c r="H8" s="236"/>
      <c r="I8" s="236"/>
      <c r="J8" s="236"/>
      <c r="K8" s="236"/>
      <c r="L8" s="236"/>
      <c r="M8" s="273"/>
      <c r="N8" s="878"/>
      <c r="O8" s="879"/>
      <c r="P8" s="879"/>
      <c r="Q8" s="879"/>
      <c r="R8" s="879"/>
      <c r="S8" s="879"/>
      <c r="T8" s="880"/>
      <c r="U8" s="274"/>
      <c r="V8" s="274"/>
    </row>
    <row r="9" spans="1:22" ht="15.6" x14ac:dyDescent="0.3">
      <c r="A9" s="273"/>
      <c r="B9" s="236"/>
      <c r="C9" s="238" t="s">
        <v>1002</v>
      </c>
      <c r="D9" s="236"/>
      <c r="E9" s="236"/>
      <c r="F9" s="236"/>
      <c r="G9" s="236"/>
      <c r="H9" s="239" t="s">
        <v>1001</v>
      </c>
      <c r="I9" s="239" t="s">
        <v>1000</v>
      </c>
      <c r="J9" s="885" t="s">
        <v>999</v>
      </c>
      <c r="K9" s="886"/>
      <c r="L9" s="236"/>
      <c r="M9" s="273"/>
      <c r="N9" s="275"/>
      <c r="O9" s="240"/>
      <c r="P9" s="276"/>
      <c r="Q9" s="276"/>
      <c r="R9" s="276"/>
      <c r="S9" s="276"/>
      <c r="T9" s="277"/>
      <c r="U9" s="274"/>
      <c r="V9" s="274"/>
    </row>
    <row r="10" spans="1:22" ht="15.6" x14ac:dyDescent="0.3">
      <c r="A10" s="273"/>
      <c r="B10" s="236"/>
      <c r="C10" s="238" t="s">
        <v>998</v>
      </c>
      <c r="D10" s="236"/>
      <c r="E10" s="236"/>
      <c r="F10" s="236"/>
      <c r="G10" s="236"/>
      <c r="H10" s="768"/>
      <c r="I10" s="768"/>
      <c r="J10" s="887"/>
      <c r="K10" s="888"/>
      <c r="L10" s="236"/>
      <c r="M10" s="273"/>
      <c r="N10" s="399"/>
      <c r="O10" s="240"/>
      <c r="P10" s="276"/>
      <c r="Q10" s="276"/>
      <c r="R10" s="276"/>
      <c r="S10" s="276"/>
      <c r="T10" s="277"/>
      <c r="U10" s="274"/>
      <c r="V10" s="274"/>
    </row>
    <row r="11" spans="1:22" ht="15" thickBot="1" x14ac:dyDescent="0.35">
      <c r="A11" s="273"/>
      <c r="B11" s="236"/>
      <c r="C11" s="236"/>
      <c r="D11" s="236"/>
      <c r="E11" s="236"/>
      <c r="F11" s="236"/>
      <c r="G11" s="236"/>
      <c r="H11" s="236"/>
      <c r="I11" s="236"/>
      <c r="J11" s="236"/>
      <c r="K11" s="236"/>
      <c r="L11" s="236"/>
      <c r="M11" s="273"/>
      <c r="N11" s="399"/>
      <c r="O11" s="240"/>
      <c r="P11" s="276"/>
      <c r="Q11" s="276"/>
      <c r="R11" s="276"/>
      <c r="S11" s="276"/>
      <c r="T11" s="277"/>
      <c r="U11" s="274"/>
      <c r="V11" s="274"/>
    </row>
    <row r="12" spans="1:22" ht="16.5" customHeight="1" thickBot="1" x14ac:dyDescent="0.35">
      <c r="A12" s="273"/>
      <c r="B12" s="236"/>
      <c r="C12" s="238" t="s">
        <v>997</v>
      </c>
      <c r="D12" s="236"/>
      <c r="E12" s="236"/>
      <c r="F12" s="889"/>
      <c r="G12" s="890"/>
      <c r="H12" s="890"/>
      <c r="I12" s="890"/>
      <c r="J12" s="890"/>
      <c r="K12" s="891"/>
      <c r="L12" s="236"/>
      <c r="M12" s="273"/>
      <c r="N12" s="399"/>
      <c r="O12" s="241" t="s">
        <v>1078</v>
      </c>
      <c r="P12" s="270"/>
      <c r="Q12" s="276"/>
      <c r="R12" s="276"/>
      <c r="S12" s="276"/>
      <c r="T12" s="277"/>
      <c r="U12" s="274"/>
      <c r="V12" s="274"/>
    </row>
    <row r="13" spans="1:22" ht="5.0999999999999996" customHeight="1" x14ac:dyDescent="0.3">
      <c r="A13" s="273"/>
      <c r="B13" s="236"/>
      <c r="C13" s="236"/>
      <c r="D13" s="236"/>
      <c r="E13" s="236"/>
      <c r="F13" s="236"/>
      <c r="G13" s="236"/>
      <c r="H13" s="236"/>
      <c r="I13" s="236"/>
      <c r="J13" s="236"/>
      <c r="K13" s="236"/>
      <c r="L13" s="236"/>
      <c r="M13" s="273"/>
      <c r="N13" s="399"/>
      <c r="O13" s="240"/>
      <c r="P13" s="276"/>
      <c r="Q13" s="276"/>
      <c r="R13" s="276"/>
      <c r="S13" s="276"/>
      <c r="T13" s="277"/>
      <c r="U13" s="274"/>
      <c r="V13" s="274"/>
    </row>
    <row r="14" spans="1:22" ht="15.6" x14ac:dyDescent="0.3">
      <c r="A14" s="273"/>
      <c r="B14" s="236"/>
      <c r="C14" s="238" t="s">
        <v>996</v>
      </c>
      <c r="D14" s="236"/>
      <c r="E14" s="236"/>
      <c r="F14" s="889"/>
      <c r="G14" s="890"/>
      <c r="H14" s="890"/>
      <c r="I14" s="890"/>
      <c r="J14" s="890"/>
      <c r="K14" s="891"/>
      <c r="L14" s="236"/>
      <c r="M14" s="273"/>
      <c r="N14" s="399"/>
      <c r="O14" s="242" t="s">
        <v>1080</v>
      </c>
      <c r="P14" s="280" t="str">
        <f>IFERROR(INDEX(BDEGENER[],MATCH(P12,BDEGENER[SERIE],0),31),"")</f>
        <v/>
      </c>
      <c r="Q14" s="276"/>
      <c r="R14" s="276"/>
      <c r="S14" s="276"/>
      <c r="T14" s="277"/>
      <c r="U14" s="274"/>
      <c r="V14" s="274"/>
    </row>
    <row r="15" spans="1:22" ht="5.0999999999999996" customHeight="1" x14ac:dyDescent="0.3">
      <c r="A15" s="273"/>
      <c r="B15" s="236"/>
      <c r="C15" s="236"/>
      <c r="D15" s="236"/>
      <c r="E15" s="236"/>
      <c r="F15" s="236"/>
      <c r="G15" s="236"/>
      <c r="H15" s="236"/>
      <c r="I15" s="236"/>
      <c r="J15" s="236"/>
      <c r="K15" s="236"/>
      <c r="L15" s="236"/>
      <c r="M15" s="273"/>
      <c r="N15" s="399"/>
      <c r="O15" s="243"/>
      <c r="P15" s="278"/>
      <c r="Q15" s="276"/>
      <c r="R15" s="276"/>
      <c r="S15" s="276"/>
      <c r="T15" s="277"/>
      <c r="U15" s="274"/>
      <c r="V15" s="274"/>
    </row>
    <row r="16" spans="1:22" ht="15.6" x14ac:dyDescent="0.3">
      <c r="A16" s="273"/>
      <c r="B16" s="236"/>
      <c r="C16" s="238" t="s">
        <v>995</v>
      </c>
      <c r="D16" s="236"/>
      <c r="E16" s="236"/>
      <c r="F16" s="892" t="s">
        <v>1077</v>
      </c>
      <c r="G16" s="893"/>
      <c r="H16" s="893"/>
      <c r="I16" s="893"/>
      <c r="J16" s="893"/>
      <c r="K16" s="894"/>
      <c r="L16" s="236"/>
      <c r="M16" s="273"/>
      <c r="N16" s="399"/>
      <c r="O16" s="242" t="s">
        <v>1081</v>
      </c>
      <c r="P16" s="280" t="str">
        <f>IFERROR(INDEX(BDEGENER[],MATCH(P12,BDEGENER[SERIE],0),53),"")</f>
        <v/>
      </c>
      <c r="Q16" s="276"/>
      <c r="R16" s="276"/>
      <c r="S16" s="276"/>
      <c r="T16" s="277"/>
      <c r="U16" s="274"/>
      <c r="V16" s="274"/>
    </row>
    <row r="17" spans="1:22" ht="5.0999999999999996" customHeight="1" x14ac:dyDescent="0.3">
      <c r="A17" s="273"/>
      <c r="B17" s="236"/>
      <c r="C17" s="236"/>
      <c r="D17" s="236"/>
      <c r="E17" s="236"/>
      <c r="F17" s="236"/>
      <c r="G17" s="236"/>
      <c r="H17" s="236"/>
      <c r="I17" s="236"/>
      <c r="J17" s="236"/>
      <c r="K17" s="236"/>
      <c r="L17" s="236"/>
      <c r="M17" s="273"/>
      <c r="N17" s="399"/>
      <c r="O17" s="240"/>
      <c r="P17" s="276"/>
      <c r="Q17" s="276"/>
      <c r="R17" s="276"/>
      <c r="S17" s="276"/>
      <c r="T17" s="277"/>
      <c r="U17" s="274"/>
      <c r="V17" s="274"/>
    </row>
    <row r="18" spans="1:22" ht="15.6" x14ac:dyDescent="0.3">
      <c r="A18" s="273"/>
      <c r="B18" s="236"/>
      <c r="C18" s="244" t="s">
        <v>993</v>
      </c>
      <c r="D18" s="236"/>
      <c r="E18" s="236"/>
      <c r="F18" s="895"/>
      <c r="G18" s="895"/>
      <c r="H18" s="338" t="s">
        <v>992</v>
      </c>
      <c r="I18" s="896"/>
      <c r="J18" s="897"/>
      <c r="K18" s="898"/>
      <c r="L18" s="236"/>
      <c r="M18" s="273"/>
      <c r="N18" s="399"/>
      <c r="O18" s="242" t="s">
        <v>926</v>
      </c>
      <c r="P18" s="281" t="str">
        <f>IFERROR(INDEX(BDEGENER[],MATCH(P12,BDEGENER[SERIE],0),48),"")</f>
        <v/>
      </c>
      <c r="Q18" s="276"/>
      <c r="R18" s="276"/>
      <c r="S18" s="276"/>
      <c r="T18" s="277"/>
      <c r="U18" s="274"/>
      <c r="V18" s="274"/>
    </row>
    <row r="19" spans="1:22" ht="5.0999999999999996" customHeight="1" x14ac:dyDescent="0.3">
      <c r="A19" s="273"/>
      <c r="B19" s="236"/>
      <c r="C19" s="236"/>
      <c r="D19" s="236"/>
      <c r="E19" s="236"/>
      <c r="F19" s="236"/>
      <c r="G19" s="236"/>
      <c r="H19" s="236"/>
      <c r="I19" s="236"/>
      <c r="J19" s="236"/>
      <c r="K19" s="236"/>
      <c r="L19" s="236"/>
      <c r="M19" s="273"/>
      <c r="N19" s="399"/>
      <c r="O19" s="240"/>
      <c r="P19" s="276"/>
      <c r="Q19" s="276"/>
      <c r="R19" s="276"/>
      <c r="S19" s="276"/>
      <c r="T19" s="277"/>
      <c r="U19" s="274"/>
      <c r="V19" s="274"/>
    </row>
    <row r="20" spans="1:22" ht="15.6" x14ac:dyDescent="0.3">
      <c r="A20" s="273"/>
      <c r="B20" s="236"/>
      <c r="C20" s="238" t="s">
        <v>991</v>
      </c>
      <c r="D20" s="236"/>
      <c r="E20" s="236"/>
      <c r="F20" s="236"/>
      <c r="G20" s="236"/>
      <c r="H20" s="236"/>
      <c r="I20" s="236"/>
      <c r="J20" s="236"/>
      <c r="K20" s="236"/>
      <c r="L20" s="236"/>
      <c r="M20" s="273"/>
      <c r="N20" s="399"/>
      <c r="O20" s="242" t="s">
        <v>24</v>
      </c>
      <c r="P20" s="271" t="s">
        <v>2770</v>
      </c>
      <c r="Q20" s="276"/>
      <c r="R20" s="276"/>
      <c r="S20" s="276"/>
      <c r="T20" s="277"/>
      <c r="U20" s="274"/>
      <c r="V20" s="274"/>
    </row>
    <row r="21" spans="1:22" ht="5.0999999999999996" customHeight="1" x14ac:dyDescent="0.3">
      <c r="A21" s="273"/>
      <c r="B21" s="236"/>
      <c r="C21" s="236"/>
      <c r="D21" s="236"/>
      <c r="E21" s="236"/>
      <c r="F21" s="236"/>
      <c r="G21" s="236"/>
      <c r="H21" s="236"/>
      <c r="I21" s="236"/>
      <c r="J21" s="236"/>
      <c r="K21" s="236"/>
      <c r="L21" s="236"/>
      <c r="M21" s="273"/>
      <c r="N21" s="399"/>
      <c r="O21" s="240"/>
      <c r="P21" s="276"/>
      <c r="Q21" s="276"/>
      <c r="R21" s="276"/>
      <c r="S21" s="276"/>
      <c r="T21" s="277"/>
      <c r="U21" s="274"/>
      <c r="V21" s="274"/>
    </row>
    <row r="22" spans="1:22" ht="15.6" x14ac:dyDescent="0.3">
      <c r="A22" s="273"/>
      <c r="B22" s="236"/>
      <c r="C22" s="236" t="s">
        <v>990</v>
      </c>
      <c r="D22" s="236"/>
      <c r="E22" s="236"/>
      <c r="F22" s="456"/>
      <c r="G22" s="236" t="s">
        <v>989</v>
      </c>
      <c r="H22" s="236"/>
      <c r="I22" s="236"/>
      <c r="J22" s="236"/>
      <c r="K22" s="236"/>
      <c r="L22" s="236"/>
      <c r="M22" s="273"/>
      <c r="N22" s="399"/>
      <c r="O22" s="240"/>
      <c r="P22" s="240"/>
      <c r="Q22" s="240"/>
      <c r="R22" s="240"/>
      <c r="S22" s="240"/>
      <c r="T22" s="277"/>
      <c r="U22" s="274"/>
      <c r="V22" s="274"/>
    </row>
    <row r="23" spans="1:22" ht="5.0999999999999996" customHeight="1" x14ac:dyDescent="0.3">
      <c r="A23" s="273"/>
      <c r="B23" s="236"/>
      <c r="C23" s="236"/>
      <c r="D23" s="236"/>
      <c r="E23" s="236"/>
      <c r="F23" s="236"/>
      <c r="G23" s="236"/>
      <c r="H23" s="236"/>
      <c r="I23" s="236"/>
      <c r="J23" s="236"/>
      <c r="K23" s="236"/>
      <c r="L23" s="236"/>
      <c r="M23" s="273"/>
      <c r="N23" s="399"/>
      <c r="O23" s="240"/>
      <c r="P23" s="240"/>
      <c r="Q23" s="240"/>
      <c r="R23" s="240"/>
      <c r="S23" s="240"/>
      <c r="T23" s="277"/>
      <c r="U23" s="274"/>
      <c r="V23" s="274"/>
    </row>
    <row r="24" spans="1:22" ht="15.6" x14ac:dyDescent="0.3">
      <c r="A24" s="273"/>
      <c r="B24" s="236"/>
      <c r="C24" s="236" t="s">
        <v>988</v>
      </c>
      <c r="D24" s="236"/>
      <c r="E24" s="236"/>
      <c r="F24" s="456"/>
      <c r="G24" s="236" t="s">
        <v>987</v>
      </c>
      <c r="H24" s="236"/>
      <c r="I24" s="236"/>
      <c r="J24" s="236"/>
      <c r="K24" s="236"/>
      <c r="L24" s="236"/>
      <c r="M24" s="273"/>
      <c r="N24" s="399"/>
      <c r="O24" s="240"/>
      <c r="P24" s="240"/>
      <c r="Q24" s="240"/>
      <c r="R24" s="240"/>
      <c r="S24" s="240"/>
      <c r="T24" s="397"/>
      <c r="U24" s="274"/>
      <c r="V24" s="274"/>
    </row>
    <row r="25" spans="1:22" ht="5.0999999999999996" customHeight="1" x14ac:dyDescent="0.3">
      <c r="A25" s="273"/>
      <c r="B25" s="236"/>
      <c r="C25" s="236"/>
      <c r="D25" s="236"/>
      <c r="E25" s="236"/>
      <c r="F25" s="236"/>
      <c r="G25" s="236"/>
      <c r="H25" s="236"/>
      <c r="I25" s="236"/>
      <c r="J25" s="236"/>
      <c r="K25" s="236"/>
      <c r="L25" s="236"/>
      <c r="M25" s="273"/>
      <c r="N25" s="399"/>
      <c r="O25" s="240"/>
      <c r="P25" s="240"/>
      <c r="Q25" s="240"/>
      <c r="R25" s="240"/>
      <c r="S25" s="240"/>
      <c r="T25" s="397"/>
      <c r="U25" s="274"/>
      <c r="V25" s="274"/>
    </row>
    <row r="26" spans="1:22" ht="15.6" x14ac:dyDescent="0.3">
      <c r="A26" s="273"/>
      <c r="B26" s="236"/>
      <c r="C26" s="244" t="s">
        <v>986</v>
      </c>
      <c r="D26" s="236"/>
      <c r="E26" s="236"/>
      <c r="F26" s="236"/>
      <c r="G26" s="236"/>
      <c r="H26" s="236"/>
      <c r="I26" s="236"/>
      <c r="J26" s="236"/>
      <c r="K26" s="236"/>
      <c r="L26" s="236"/>
      <c r="M26" s="273"/>
      <c r="N26" s="399"/>
      <c r="O26" s="901" t="s">
        <v>1642</v>
      </c>
      <c r="P26" s="902"/>
      <c r="Q26" s="240"/>
      <c r="R26" s="240"/>
      <c r="S26" s="240"/>
      <c r="T26" s="397"/>
      <c r="U26" s="274"/>
      <c r="V26" s="274"/>
    </row>
    <row r="27" spans="1:22" ht="13.5" customHeight="1" x14ac:dyDescent="0.3">
      <c r="A27" s="273"/>
      <c r="C27" s="340" t="s">
        <v>1458</v>
      </c>
      <c r="D27" s="248"/>
      <c r="E27" s="248"/>
      <c r="F27" s="248"/>
      <c r="G27" s="248"/>
      <c r="H27" s="248"/>
      <c r="I27" s="248"/>
      <c r="J27" s="248"/>
      <c r="K27" s="249" t="s">
        <v>1529</v>
      </c>
      <c r="M27" s="273"/>
      <c r="N27" s="399"/>
      <c r="O27" s="337" t="s">
        <v>1643</v>
      </c>
      <c r="P27" s="371" t="str">
        <f>IFERROR(INDEX(EQUIPOS[],MATCH(P12,EQUIPOS[SERIE],0),11),"")</f>
        <v/>
      </c>
      <c r="Q27" s="240"/>
      <c r="R27" s="240"/>
      <c r="S27" s="240"/>
      <c r="T27" s="397"/>
      <c r="U27" s="274"/>
      <c r="V27" s="274"/>
    </row>
    <row r="28" spans="1:22" ht="13.5" customHeight="1" x14ac:dyDescent="0.3">
      <c r="A28" s="273"/>
      <c r="C28" s="339" t="str">
        <f>IF(VLOOKUP($P$20,Tabla,2,0)=""," ",VLOOKUP($P$20,Tabla,2,0))</f>
        <v>Chequeo del nivel de refrigerante</v>
      </c>
      <c r="D28" s="250"/>
      <c r="E28" s="250"/>
      <c r="F28" s="250"/>
      <c r="G28" s="250"/>
      <c r="H28" s="250"/>
      <c r="I28" s="250"/>
      <c r="J28" s="250"/>
      <c r="K28" s="251" t="str">
        <f>IF(C28="Chequeo del nivel de refrigerante","[_____]","")</f>
        <v>[_____]</v>
      </c>
      <c r="M28" s="273"/>
      <c r="N28" s="399"/>
      <c r="O28" s="337" t="s">
        <v>1331</v>
      </c>
      <c r="P28" s="371" t="str">
        <f>IFERROR(INDEX(EQUIPOS[],MATCH(P12,EQUIPOS[SERIE],0),6),"")</f>
        <v/>
      </c>
      <c r="Q28" s="240"/>
      <c r="R28" s="240"/>
      <c r="S28" s="240"/>
      <c r="T28" s="397"/>
      <c r="U28" s="274"/>
      <c r="V28" s="274"/>
    </row>
    <row r="29" spans="1:22" ht="13.5" customHeight="1" thickBot="1" x14ac:dyDescent="0.35">
      <c r="A29" s="273"/>
      <c r="C29" s="339" t="str">
        <f>IF(VLOOKUP($P$20,Tabla,3,0)=""," ",VLOOKUP($P$20,Tabla,3,0))</f>
        <v>Chequeo del sistema de combustible</v>
      </c>
      <c r="D29" s="250"/>
      <c r="E29" s="250"/>
      <c r="F29" s="250"/>
      <c r="G29" s="250"/>
      <c r="H29" s="250"/>
      <c r="I29" s="250"/>
      <c r="J29" s="250"/>
      <c r="K29" s="251" t="str">
        <f>IF(C29="Chequeo del sistema de combustible","[_____]","")</f>
        <v>[_____]</v>
      </c>
      <c r="M29" s="273"/>
      <c r="N29" s="400"/>
      <c r="O29" s="247"/>
      <c r="P29" s="279"/>
      <c r="Q29" s="247"/>
      <c r="R29" s="247"/>
      <c r="S29" s="247"/>
      <c r="T29" s="398"/>
      <c r="U29" s="274"/>
      <c r="V29" s="274"/>
    </row>
    <row r="30" spans="1:22" ht="13.5" customHeight="1" x14ac:dyDescent="0.3">
      <c r="A30" s="273"/>
      <c r="C30" s="339" t="str">
        <f>IF(VLOOKUP($P$20,Tabla,4,0)=""," ",VLOOKUP($P$20,Tabla,4,0))</f>
        <v>Chequear ingresos y salidas de aire</v>
      </c>
      <c r="D30" s="250"/>
      <c r="E30" s="250"/>
      <c r="F30" s="250"/>
      <c r="G30" s="250"/>
      <c r="H30" s="250"/>
      <c r="I30" s="250"/>
      <c r="J30" s="250"/>
      <c r="K30" s="251" t="str">
        <f>IF(C30="Chequear ingresos y salidas de aire","[_____]","")</f>
        <v>[_____]</v>
      </c>
      <c r="M30" s="273"/>
      <c r="N30" s="274"/>
      <c r="Q30" s="274"/>
      <c r="R30" s="274"/>
      <c r="S30" s="274"/>
      <c r="T30" s="274"/>
      <c r="U30" s="274"/>
      <c r="V30" s="274"/>
    </row>
    <row r="31" spans="1:22" ht="13.5" customHeight="1" x14ac:dyDescent="0.3">
      <c r="A31" s="273"/>
      <c r="C31" s="339" t="str">
        <f>IF(VLOOKUP($P$20,Tabla,5,0)=""," ",VLOOKUP($P$20,Tabla,5,0))</f>
        <v>Revision de bateria</v>
      </c>
      <c r="D31" s="250"/>
      <c r="E31" s="250"/>
      <c r="F31" s="250"/>
      <c r="G31" s="250"/>
      <c r="H31" s="250"/>
      <c r="I31" s="250"/>
      <c r="J31" s="250"/>
      <c r="K31" s="251" t="str">
        <f>IF(C31="Revision de bateria","[_____]",IF(C31="Revision de bateria y evaluación de bobinas","[_____]",""))</f>
        <v>[_____]</v>
      </c>
      <c r="M31" s="273"/>
      <c r="N31" s="274"/>
      <c r="Q31" s="274"/>
      <c r="R31" s="274"/>
      <c r="S31" s="274"/>
      <c r="T31" s="274"/>
      <c r="U31" s="274"/>
      <c r="V31" s="274"/>
    </row>
    <row r="32" spans="1:22" ht="13.5" customHeight="1" x14ac:dyDescent="0.3">
      <c r="A32" s="273"/>
      <c r="C32" s="339" t="str">
        <f>IF(VLOOKUP($P$20,Tabla,6,0)=""," ",VLOOKUP($P$20,Tabla,6,0))</f>
        <v>Chequeo de mangueras del sistema de refrigeracion</v>
      </c>
      <c r="D32" s="250"/>
      <c r="E32" s="250"/>
      <c r="F32" s="250"/>
      <c r="G32" s="250"/>
      <c r="H32" s="250"/>
      <c r="I32" s="250"/>
      <c r="J32" s="250"/>
      <c r="K32" s="251" t="str">
        <f>IF(C32="Chequeo de mangueras del sistema de refrigeracion","[_____]","")</f>
        <v>[_____]</v>
      </c>
      <c r="M32" s="273"/>
      <c r="N32" s="274"/>
      <c r="Q32" s="274"/>
      <c r="R32" s="274"/>
      <c r="S32" s="274"/>
      <c r="T32" s="274"/>
      <c r="U32" s="274"/>
      <c r="V32" s="274"/>
    </row>
    <row r="33" spans="1:22" ht="13.5" customHeight="1" x14ac:dyDescent="0.3">
      <c r="A33" s="273"/>
      <c r="C33" s="339" t="str">
        <f>IF(VLOOKUP($P$20,Tabla,7,0)=""," ",VLOOKUP($P$20,Tabla,7,0))</f>
        <v>Chequear fajas y filtro de aire</v>
      </c>
      <c r="D33" s="250"/>
      <c r="E33" s="250"/>
      <c r="F33" s="250"/>
      <c r="G33" s="250"/>
      <c r="H33" s="250"/>
      <c r="I33" s="250"/>
      <c r="J33" s="250"/>
      <c r="K33" s="251" t="str">
        <f>IF(C33="Chequear fajas y filtro de aire","[_____]","")</f>
        <v>[_____]</v>
      </c>
      <c r="M33" s="273"/>
      <c r="N33" s="274"/>
      <c r="Q33" s="274"/>
      <c r="R33" s="274"/>
      <c r="S33" s="274"/>
      <c r="T33" s="274"/>
      <c r="U33" s="274"/>
      <c r="V33" s="274"/>
    </row>
    <row r="34" spans="1:22" ht="13.5" customHeight="1" x14ac:dyDescent="0.3">
      <c r="A34" s="273"/>
      <c r="C34" s="339" t="str">
        <f>IF(VLOOKUP($P$20,Tabla,8,0)=""," ",VLOOKUP($P$20,Tabla,8,0))</f>
        <v>Pulverizado y limpieza externa del generador y conectores con solvente dielectrico</v>
      </c>
      <c r="D34" s="250"/>
      <c r="E34" s="250"/>
      <c r="F34" s="250"/>
      <c r="G34" s="250"/>
      <c r="H34" s="250"/>
      <c r="I34" s="250"/>
      <c r="J34" s="250"/>
      <c r="K34" s="251" t="str">
        <f>IF(C34="Pulverizado y limpieza externa del generador y conectores con solvente dielectrico","[_____]","")</f>
        <v>[_____]</v>
      </c>
      <c r="M34" s="273"/>
      <c r="N34" s="274"/>
      <c r="Q34" s="274"/>
      <c r="R34" s="274"/>
      <c r="S34" s="274"/>
      <c r="T34" s="274"/>
      <c r="U34" s="274"/>
      <c r="V34" s="274"/>
    </row>
    <row r="35" spans="1:22" ht="13.5" customHeight="1" x14ac:dyDescent="0.3">
      <c r="A35" s="273"/>
      <c r="C35" s="339" t="str">
        <f>IF(VLOOKUP($P$20,Tabla,9,0)=""," ",VLOOKUP($P$20,Tabla,9,0))</f>
        <v>Limpieza del obturador de admision</v>
      </c>
      <c r="D35" s="250"/>
      <c r="E35" s="250"/>
      <c r="F35" s="250"/>
      <c r="G35" s="250"/>
      <c r="H35" s="250"/>
      <c r="I35" s="250"/>
      <c r="J35" s="250"/>
      <c r="K35" s="251" t="str">
        <f>IF(C35="Limpieza del obturador de admision","[_____]","")</f>
        <v>[_____]</v>
      </c>
      <c r="M35" s="273"/>
      <c r="N35" s="274"/>
      <c r="Q35" s="274"/>
      <c r="R35" s="274"/>
      <c r="S35" s="274"/>
      <c r="T35" s="274"/>
    </row>
    <row r="36" spans="1:22" ht="13.5" customHeight="1" x14ac:dyDescent="0.3">
      <c r="A36" s="273"/>
      <c r="C36" s="339" t="str">
        <f>IF(VLOOKUP($P$20,Tabla,10,0)=""," ",VLOOKUP($P$20,Tabla,10,0))</f>
        <v>Limpieza con solvente dielectrico de las cabezas visibles del generador principal.</v>
      </c>
      <c r="D36" s="250"/>
      <c r="E36" s="250"/>
      <c r="F36" s="250"/>
      <c r="G36" s="250"/>
      <c r="H36" s="250"/>
      <c r="I36" s="250"/>
      <c r="J36" s="250"/>
      <c r="K36" s="251" t="str">
        <f>IF(C36="Limpieza con solvente dielectrico de las cabezas visibles del generador principal.","[_____]",IF(C36="Cambio de aceite (Tipo: 10W-30 ) 1.5 GL (Se deja 1/2 GL para rellenar)","[_____]",""))</f>
        <v>[_____]</v>
      </c>
      <c r="M36" s="273"/>
      <c r="N36" s="274"/>
      <c r="Q36" s="274"/>
      <c r="R36" s="274"/>
      <c r="S36" s="274"/>
      <c r="T36" s="274"/>
    </row>
    <row r="37" spans="1:22" ht="13.5" customHeight="1" x14ac:dyDescent="0.3">
      <c r="A37" s="273"/>
      <c r="C37" s="339" t="str">
        <f>IF(VLOOKUP($P$20,Tabla,11,0)=""," ",VLOOKUP($P$20,Tabla,11,0))</f>
        <v>Cambio de aceite (Tipo: 15W-40 )                   GL (Se deja        GL para rellenar)</v>
      </c>
      <c r="D37" s="250"/>
      <c r="E37" s="250"/>
      <c r="F37" s="250"/>
      <c r="G37" s="250"/>
      <c r="H37" s="250"/>
      <c r="I37" s="250"/>
      <c r="J37" s="250"/>
      <c r="K37" s="251" t="str">
        <f>IF(C37="Cambio de aceite (Tipo: 15W-40 )                   GL (Se deja        GL para rellenar)","[_____]",IF(C37="Mantenimiento del generador principal","[_____]",IF(C37="Cambio de aceite (Tipo: 15W-45 )                   GL (Se deja        GL para rellenar)","[_____]","")))</f>
        <v>[_____]</v>
      </c>
      <c r="M37" s="273"/>
      <c r="N37" s="274"/>
      <c r="Q37" s="274"/>
      <c r="R37" s="274"/>
      <c r="S37" s="274"/>
      <c r="T37" s="274"/>
    </row>
    <row r="38" spans="1:22" ht="13.5" customHeight="1" x14ac:dyDescent="0.3">
      <c r="A38" s="273"/>
      <c r="C38" s="339" t="str">
        <f>IF(VLOOKUP($P$20,Tabla,12,0)=""," ",VLOOKUP($P$20,Tabla,12,0))</f>
        <v>Cambio de Filtro de aceite (         UNID)</v>
      </c>
      <c r="D38" s="250"/>
      <c r="E38" s="250"/>
      <c r="F38" s="250"/>
      <c r="G38" s="250"/>
      <c r="H38" s="250"/>
      <c r="I38" s="250"/>
      <c r="J38" s="250"/>
      <c r="K38" s="251" t="str">
        <f>IF(C38="Revision completa y limpieza en general","[_____]",IF(C38="Cambio de Filtro de aceite (         UNID)","[_____]",IF(C38="Cambio de aceite (Tipo: 10W-30 )                   GL (Se deja        GL para rellenar)","[_____]","")))</f>
        <v>[_____]</v>
      </c>
      <c r="M38" s="273"/>
    </row>
    <row r="39" spans="1:22" ht="13.5" customHeight="1" x14ac:dyDescent="0.3">
      <c r="A39" s="273"/>
      <c r="C39" s="339" t="str">
        <f>IF(VLOOKUP($P$20,Tabla,13,0)=""," ",VLOOKUP($P$20,Tabla,13,0))</f>
        <v>Cambio de Filtro de aire (           UNID)</v>
      </c>
      <c r="D39" s="250"/>
      <c r="E39" s="250"/>
      <c r="F39" s="250"/>
      <c r="G39" s="250"/>
      <c r="H39" s="250"/>
      <c r="I39" s="250"/>
      <c r="J39" s="250"/>
      <c r="K39" s="251" t="str">
        <f>IF(C39="Revision completa y limpieza en general","[_____]",IF(C39="Cambio de Filtro de aire (           UNID)","[_____]",IF(C39="Cambio de Filtro de aceite (         UNID)","[_____]",IF(C39="Chequeo del nivel de refrigerante","[_____]",IF(C39="Mantenimiento del arrancador","[_____]","")))))</f>
        <v>[_____]</v>
      </c>
      <c r="M39" s="273"/>
    </row>
    <row r="40" spans="1:22" ht="13.5" customHeight="1" x14ac:dyDescent="0.3">
      <c r="A40" s="273"/>
      <c r="C40" s="339" t="str">
        <f>IF(VLOOKUP($P$20,Tabla,14,0)=""," ",VLOOKUP($P$20,Tabla,14,0))</f>
        <v>Cambio de bujias (         UNID)</v>
      </c>
      <c r="D40" s="250"/>
      <c r="E40" s="250"/>
      <c r="F40" s="250"/>
      <c r="G40" s="250"/>
      <c r="H40" s="250"/>
      <c r="I40" s="250"/>
      <c r="J40" s="250"/>
      <c r="K40" s="251" t="str">
        <f>IF(C40="Limpieza del radiador","[_____]",IF(C40="Cambio de bujias (         UNID)","[_____]",IF(C40="Cambio de Filtro de aire (           UNID)","[_____]",IF(C40="Mantenimiento del alternador del motor","[_____]",""))))</f>
        <v>[_____]</v>
      </c>
      <c r="M40" s="273"/>
    </row>
    <row r="41" spans="1:22" ht="13.5" customHeight="1" x14ac:dyDescent="0.3">
      <c r="A41" s="273"/>
      <c r="C41" s="339" t="str">
        <f>IF(VLOOKUP($P$20,Tabla,15,0)=""," ",VLOOKUP($P$20,Tabla,15,0))</f>
        <v>Revision completa y limpieza en general</v>
      </c>
      <c r="D41" s="250"/>
      <c r="E41" s="250"/>
      <c r="F41" s="250"/>
      <c r="G41" s="250"/>
      <c r="H41" s="250"/>
      <c r="I41" s="250"/>
      <c r="J41" s="250"/>
      <c r="K41" s="251" t="str">
        <f>IF(C41="Revision completa y limpieza en general","[_____]",IF(C41="Cambio de bujias (         UNID)","[_____]",IF(C41="Limpieza del radiador","[_____]",IF(C41="Cambio de tapas y rotor del distribuidor","[_____]",IF(C41="Mantenimiento del arrancador","[_____]","")))))</f>
        <v>[_____]</v>
      </c>
      <c r="M41" s="273"/>
    </row>
    <row r="42" spans="1:22" ht="13.5" customHeight="1" x14ac:dyDescent="0.3">
      <c r="A42" s="273"/>
      <c r="C42" s="339" t="str">
        <f>IF(VLOOKUP($P$20,Tabla,16,0)=""," ",VLOOKUP($P$20,Tabla,16,0))</f>
        <v xml:space="preserve"> </v>
      </c>
      <c r="D42" s="250"/>
      <c r="E42" s="250"/>
      <c r="F42" s="250"/>
      <c r="G42" s="250"/>
      <c r="H42" s="250"/>
      <c r="I42" s="250"/>
      <c r="J42" s="250"/>
      <c r="K42" s="251" t="str">
        <f>IF(C42="Revision completa y limpieza en general","[_____]",IF(C42="Cambio de polea","[_____]",IF(C42="Mantenimiento del alternador del motor","[_____]","")))</f>
        <v/>
      </c>
      <c r="M42" s="273"/>
    </row>
    <row r="43" spans="1:22" ht="13.5" customHeight="1" x14ac:dyDescent="0.3">
      <c r="A43" s="273"/>
      <c r="C43" s="339" t="str">
        <f>IF(VLOOKUP($P$20,Tabla,17,0)=""," ",VLOOKUP($P$20,Tabla,17,0))</f>
        <v xml:space="preserve"> </v>
      </c>
      <c r="D43" s="250"/>
      <c r="E43" s="250"/>
      <c r="F43" s="250"/>
      <c r="G43" s="250"/>
      <c r="H43" s="250"/>
      <c r="I43" s="250"/>
      <c r="J43" s="250"/>
      <c r="K43" s="251" t="str">
        <f>IF(C43="Cambio de faja","[_____]",IF(C43="Cambio de polea y faja","[_____]",""))</f>
        <v/>
      </c>
      <c r="M43" s="273"/>
    </row>
    <row r="44" spans="1:22" ht="13.5" customHeight="1" x14ac:dyDescent="0.3">
      <c r="A44" s="273"/>
      <c r="C44" s="351" t="str">
        <f>IF(VLOOKUP($P$20,Tabla,18,0)=""," ",VLOOKUP($P$20,Tabla,18,0))</f>
        <v xml:space="preserve"> </v>
      </c>
      <c r="D44" s="352"/>
      <c r="E44" s="352"/>
      <c r="F44" s="352"/>
      <c r="G44" s="352"/>
      <c r="H44" s="352"/>
      <c r="I44" s="352"/>
      <c r="J44" s="352"/>
      <c r="K44" s="353" t="str">
        <f>IF(C44="Revision completa y limpieza en general","[_____]","")</f>
        <v/>
      </c>
      <c r="M44" s="273"/>
    </row>
    <row r="45" spans="1:22" ht="13.5" customHeight="1" x14ac:dyDescent="0.3">
      <c r="A45" s="273"/>
      <c r="C45" s="346" t="s">
        <v>969</v>
      </c>
      <c r="D45" s="899" t="str">
        <f>CONCATENATE(P12)</f>
        <v/>
      </c>
      <c r="E45" s="899"/>
      <c r="F45" s="347"/>
      <c r="G45" s="348" t="s">
        <v>1082</v>
      </c>
      <c r="H45" s="349" t="str">
        <f>IFERROR(INDEX(BDEGENER[],MATCH(P12,BDEGENER[SERIE],0),28),"")</f>
        <v/>
      </c>
      <c r="I45" s="350" t="s">
        <v>1508</v>
      </c>
      <c r="J45" s="347"/>
      <c r="K45" s="341"/>
      <c r="M45" s="273"/>
    </row>
    <row r="46" spans="1:22" ht="13.5" customHeight="1" x14ac:dyDescent="0.3">
      <c r="A46" s="273"/>
      <c r="C46" s="344" t="s">
        <v>984</v>
      </c>
      <c r="D46" s="342"/>
      <c r="E46" s="342"/>
      <c r="F46" s="342"/>
      <c r="G46" s="345" t="s">
        <v>970</v>
      </c>
      <c r="H46" s="900" t="str">
        <f>IFERROR(INDEX(BDEGENER[],MATCH(P12,BDEGENER[SERIE],0),27),"")</f>
        <v/>
      </c>
      <c r="I46" s="900"/>
      <c r="J46" s="342"/>
      <c r="K46" s="343"/>
      <c r="M46" s="273"/>
    </row>
    <row r="47" spans="1:22" ht="15.6" x14ac:dyDescent="0.3">
      <c r="A47" s="237"/>
      <c r="B47" s="236"/>
      <c r="C47" s="238" t="s">
        <v>983</v>
      </c>
      <c r="D47" s="236"/>
      <c r="E47" s="236"/>
      <c r="F47" s="236"/>
      <c r="G47" s="236"/>
      <c r="H47" s="236"/>
      <c r="I47" s="236"/>
      <c r="J47" s="236"/>
      <c r="K47" s="236"/>
      <c r="L47" s="236"/>
      <c r="M47" s="237"/>
    </row>
    <row r="48" spans="1:22" x14ac:dyDescent="0.3">
      <c r="A48" s="237"/>
      <c r="B48" s="236"/>
      <c r="C48" s="701"/>
      <c r="D48" s="253"/>
      <c r="E48" s="253"/>
      <c r="F48" s="253"/>
      <c r="G48" s="253"/>
      <c r="H48" s="253"/>
      <c r="I48" s="253"/>
      <c r="J48" s="253"/>
      <c r="K48" s="254"/>
      <c r="L48" s="236"/>
      <c r="M48" s="237"/>
    </row>
    <row r="49" spans="1:13" x14ac:dyDescent="0.3">
      <c r="A49" s="237"/>
      <c r="B49" s="236"/>
      <c r="C49" s="702"/>
      <c r="D49" s="237"/>
      <c r="E49" s="237"/>
      <c r="F49" s="237"/>
      <c r="G49" s="237"/>
      <c r="H49" s="237"/>
      <c r="I49" s="237"/>
      <c r="J49" s="237"/>
      <c r="K49" s="256"/>
      <c r="L49" s="236"/>
      <c r="M49" s="237"/>
    </row>
    <row r="50" spans="1:13" x14ac:dyDescent="0.3">
      <c r="A50" s="237"/>
      <c r="B50" s="236"/>
      <c r="C50" s="702"/>
      <c r="D50" s="237"/>
      <c r="E50" s="237"/>
      <c r="F50" s="237"/>
      <c r="G50" s="237"/>
      <c r="H50" s="237"/>
      <c r="I50" s="237"/>
      <c r="J50" s="237"/>
      <c r="K50" s="256"/>
      <c r="L50" s="236"/>
      <c r="M50" s="237"/>
    </row>
    <row r="51" spans="1:13" x14ac:dyDescent="0.3">
      <c r="A51" s="237"/>
      <c r="B51" s="236"/>
      <c r="C51" s="702"/>
      <c r="D51" s="237"/>
      <c r="E51" s="237"/>
      <c r="F51" s="237"/>
      <c r="G51" s="237"/>
      <c r="H51" s="237"/>
      <c r="I51" s="237"/>
      <c r="J51" s="237"/>
      <c r="K51" s="256"/>
      <c r="L51" s="236"/>
      <c r="M51" s="237"/>
    </row>
    <row r="52" spans="1:13" x14ac:dyDescent="0.3">
      <c r="A52" s="237"/>
      <c r="B52" s="236"/>
      <c r="C52" s="702"/>
      <c r="D52" s="237"/>
      <c r="E52" s="237"/>
      <c r="F52" s="237"/>
      <c r="G52" s="237"/>
      <c r="H52" s="237"/>
      <c r="I52" s="237"/>
      <c r="J52" s="237"/>
      <c r="K52" s="256"/>
      <c r="L52" s="236"/>
      <c r="M52" s="237"/>
    </row>
    <row r="53" spans="1:13" x14ac:dyDescent="0.3">
      <c r="A53" s="237"/>
      <c r="B53" s="236"/>
      <c r="C53" s="703"/>
      <c r="D53" s="258"/>
      <c r="E53" s="258"/>
      <c r="F53" s="258"/>
      <c r="G53" s="258"/>
      <c r="H53" s="258"/>
      <c r="I53" s="258"/>
      <c r="J53" s="258"/>
      <c r="K53" s="259"/>
      <c r="L53" s="236"/>
      <c r="M53" s="237"/>
    </row>
    <row r="54" spans="1:13" ht="15.6" x14ac:dyDescent="0.3">
      <c r="A54" s="237"/>
      <c r="B54" s="236"/>
      <c r="C54" s="244" t="s">
        <v>982</v>
      </c>
      <c r="D54" s="236"/>
      <c r="E54" s="236"/>
      <c r="F54" s="236"/>
      <c r="G54" s="236"/>
      <c r="H54" s="236"/>
      <c r="I54" s="236"/>
      <c r="J54" s="236"/>
      <c r="K54" s="236"/>
      <c r="L54" s="236"/>
      <c r="M54" s="237"/>
    </row>
    <row r="55" spans="1:13" ht="17.399999999999999" x14ac:dyDescent="0.35">
      <c r="A55" s="237"/>
      <c r="B55" s="236"/>
      <c r="C55" s="260" t="s">
        <v>981</v>
      </c>
      <c r="D55" s="261"/>
      <c r="E55" s="261"/>
      <c r="F55" s="261"/>
      <c r="G55" s="261"/>
      <c r="H55" s="261"/>
      <c r="I55" s="261"/>
      <c r="J55" s="261"/>
      <c r="K55" s="262"/>
      <c r="L55" s="236"/>
      <c r="M55" s="237"/>
    </row>
    <row r="56" spans="1:13" ht="17.399999999999999" x14ac:dyDescent="0.35">
      <c r="A56" s="237"/>
      <c r="B56" s="236"/>
      <c r="C56" s="263" t="s">
        <v>980</v>
      </c>
      <c r="D56" s="264"/>
      <c r="E56" s="264"/>
      <c r="F56" s="264"/>
      <c r="G56" s="264"/>
      <c r="H56" s="264"/>
      <c r="I56" s="264"/>
      <c r="J56" s="264"/>
      <c r="K56" s="265"/>
      <c r="L56" s="236"/>
      <c r="M56" s="237"/>
    </row>
    <row r="57" spans="1:13" ht="17.399999999999999" x14ac:dyDescent="0.35">
      <c r="A57" s="237"/>
      <c r="B57" s="236"/>
      <c r="C57" s="263" t="s">
        <v>979</v>
      </c>
      <c r="D57" s="264"/>
      <c r="E57" s="264"/>
      <c r="F57" s="264"/>
      <c r="G57" s="264"/>
      <c r="H57" s="264"/>
      <c r="I57" s="264"/>
      <c r="J57" s="264"/>
      <c r="K57" s="265"/>
      <c r="L57" s="236"/>
      <c r="M57" s="237"/>
    </row>
    <row r="58" spans="1:13" ht="17.399999999999999" x14ac:dyDescent="0.35">
      <c r="A58" s="237"/>
      <c r="B58" s="236"/>
      <c r="C58" s="266" t="s">
        <v>978</v>
      </c>
      <c r="D58" s="267"/>
      <c r="E58" s="267"/>
      <c r="F58" s="267"/>
      <c r="G58" s="267"/>
      <c r="H58" s="267"/>
      <c r="I58" s="267"/>
      <c r="J58" s="267"/>
      <c r="K58" s="268"/>
      <c r="L58" s="236"/>
      <c r="M58" s="237"/>
    </row>
    <row r="59" spans="1:13" ht="14.25" customHeight="1" x14ac:dyDescent="0.3">
      <c r="A59" s="237"/>
      <c r="B59" s="236"/>
      <c r="C59" s="236"/>
      <c r="D59" s="236"/>
      <c r="E59" s="236"/>
      <c r="F59" s="236"/>
      <c r="G59" s="236"/>
      <c r="H59" s="236"/>
      <c r="I59" s="236"/>
      <c r="J59" s="236"/>
      <c r="K59" s="236"/>
      <c r="L59" s="236"/>
      <c r="M59" s="237"/>
    </row>
    <row r="60" spans="1:13" x14ac:dyDescent="0.3">
      <c r="A60" s="237"/>
      <c r="B60" s="236"/>
      <c r="C60" s="236"/>
      <c r="D60" s="236"/>
      <c r="E60" s="236"/>
      <c r="F60" s="236"/>
      <c r="G60" s="236"/>
      <c r="H60" s="236"/>
      <c r="I60" s="236"/>
      <c r="J60" s="236"/>
      <c r="K60" s="236"/>
      <c r="L60" s="236"/>
      <c r="M60" s="237"/>
    </row>
    <row r="61" spans="1:13" x14ac:dyDescent="0.3">
      <c r="A61" s="237"/>
      <c r="B61" s="236"/>
      <c r="C61" s="236"/>
      <c r="D61" s="236"/>
      <c r="E61" s="236"/>
      <c r="F61" s="236"/>
      <c r="G61" s="237"/>
      <c r="H61" s="236"/>
      <c r="I61" s="236"/>
      <c r="J61" s="236"/>
      <c r="K61" s="236"/>
      <c r="L61" s="236"/>
      <c r="M61" s="237"/>
    </row>
    <row r="62" spans="1:13" ht="15.6" x14ac:dyDescent="0.3">
      <c r="A62" s="237"/>
      <c r="B62" s="236"/>
      <c r="C62" s="236"/>
      <c r="D62" s="884" t="s">
        <v>977</v>
      </c>
      <c r="E62" s="884"/>
      <c r="F62" s="884"/>
      <c r="G62" s="236"/>
      <c r="H62" s="884" t="s">
        <v>976</v>
      </c>
      <c r="I62" s="884"/>
      <c r="J62" s="269"/>
      <c r="K62" s="236"/>
      <c r="L62" s="236"/>
      <c r="M62" s="237"/>
    </row>
    <row r="63" spans="1:13" x14ac:dyDescent="0.3">
      <c r="A63" s="237"/>
      <c r="B63" s="236"/>
      <c r="C63" s="236"/>
      <c r="D63" s="236" t="s">
        <v>3012</v>
      </c>
      <c r="E63" s="236"/>
      <c r="F63" s="236"/>
      <c r="G63" s="236"/>
      <c r="H63" s="236" t="s">
        <v>3011</v>
      </c>
      <c r="I63" s="236"/>
      <c r="J63" s="236"/>
      <c r="K63" s="236"/>
      <c r="L63" s="236"/>
      <c r="M63" s="236"/>
    </row>
    <row r="64" spans="1:13" x14ac:dyDescent="0.3">
      <c r="A64" s="237"/>
      <c r="B64" s="236"/>
      <c r="C64" s="236"/>
      <c r="D64" s="236"/>
      <c r="E64" s="236"/>
      <c r="F64" s="236"/>
      <c r="G64" s="236"/>
      <c r="H64" s="236"/>
      <c r="I64" s="236"/>
      <c r="J64" s="236"/>
      <c r="K64" s="236"/>
      <c r="L64" s="236"/>
      <c r="M64" s="236"/>
    </row>
    <row r="65" spans="1:1" x14ac:dyDescent="0.3">
      <c r="A65" s="273"/>
    </row>
    <row r="66" spans="1:1" x14ac:dyDescent="0.3">
      <c r="A66" s="273"/>
    </row>
    <row r="67" spans="1:1" x14ac:dyDescent="0.3">
      <c r="A67" s="273"/>
    </row>
  </sheetData>
  <sheetProtection algorithmName="SHA-512" hashValue="nyzxpbvKP3r0fmh7sxcKSllTYrJNasL/dYM4NZzB7ZTMJNEozSF/i3LpaX3mHs7TplLrI4bAziapQ5JPjiWg+Q==" saltValue="x6/P30giDkZSvVLbwJ5uGw==" spinCount="100000" sheet="1" objects="1" scenarios="1"/>
  <mergeCells count="14">
    <mergeCell ref="N7:T8"/>
    <mergeCell ref="C7:K7"/>
    <mergeCell ref="D62:F62"/>
    <mergeCell ref="H62:I62"/>
    <mergeCell ref="J9:K9"/>
    <mergeCell ref="J10:K10"/>
    <mergeCell ref="F12:K12"/>
    <mergeCell ref="F14:K14"/>
    <mergeCell ref="F16:K16"/>
    <mergeCell ref="F18:G18"/>
    <mergeCell ref="I18:K18"/>
    <mergeCell ref="D45:E45"/>
    <mergeCell ref="H46:I46"/>
    <mergeCell ref="O26:P26"/>
  </mergeCells>
  <printOptions horizontalCentered="1" verticalCentered="1"/>
  <pageMargins left="0" right="0" top="0" bottom="0" header="0.31496062992126" footer="0.31496062992126"/>
  <pageSetup paperSize="9"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IrMenuPrincipal">
                <anchor>
                  <from>
                    <xdr:col>16</xdr:col>
                    <xdr:colOff>533400</xdr:colOff>
                    <xdr:row>17</xdr:row>
                    <xdr:rowOff>106680</xdr:rowOff>
                  </from>
                  <to>
                    <xdr:col>19</xdr:col>
                    <xdr:colOff>38100</xdr:colOff>
                    <xdr:row>19</xdr:row>
                    <xdr:rowOff>190500</xdr:rowOff>
                  </to>
                </anchor>
              </controlPr>
            </control>
          </mc:Choice>
        </mc:AlternateContent>
        <mc:AlternateContent xmlns:mc="http://schemas.openxmlformats.org/markup-compatibility/2006">
          <mc:Choice Requires="x14">
            <control shapeId="3079" r:id="rId5" name="Button 7">
              <controlPr defaultSize="0" print="0" autoFill="0" autoPict="0" macro="[0]!LimpiarActaSanFernando">
                <anchor moveWithCells="1" sizeWithCells="1">
                  <from>
                    <xdr:col>16</xdr:col>
                    <xdr:colOff>533400</xdr:colOff>
                    <xdr:row>13</xdr:row>
                    <xdr:rowOff>137160</xdr:rowOff>
                  </from>
                  <to>
                    <xdr:col>19</xdr:col>
                    <xdr:colOff>45720</xdr:colOff>
                    <xdr:row>16</xdr:row>
                    <xdr:rowOff>22860</xdr:rowOff>
                  </to>
                </anchor>
              </controlPr>
            </control>
          </mc:Choice>
        </mc:AlternateContent>
        <mc:AlternateContent xmlns:mc="http://schemas.openxmlformats.org/markup-compatibility/2006">
          <mc:Choice Requires="x14">
            <control shapeId="3080" r:id="rId6" name="Button 8">
              <controlPr defaultSize="0" print="0" autoFill="0" autoPict="0" macro="[0]!ImprimirActaSanFernando">
                <anchor moveWithCells="1" sizeWithCells="1">
                  <from>
                    <xdr:col>16</xdr:col>
                    <xdr:colOff>533400</xdr:colOff>
                    <xdr:row>10</xdr:row>
                    <xdr:rowOff>106680</xdr:rowOff>
                  </from>
                  <to>
                    <xdr:col>19</xdr:col>
                    <xdr:colOff>45720</xdr:colOff>
                    <xdr:row>12</xdr:row>
                    <xdr:rowOff>45720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PROCEDIMIENTOS!$E$2:$E$32</xm:f>
          </x14:formula1>
          <xm:sqref>P20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W60"/>
  <sheetViews>
    <sheetView showGridLines="0" zoomScale="80" zoomScaleNormal="80" workbookViewId="0">
      <selection activeCell="T13" sqref="T13"/>
    </sheetView>
  </sheetViews>
  <sheetFormatPr baseColWidth="10" defaultColWidth="11.44140625" defaultRowHeight="14.4" x14ac:dyDescent="0.3"/>
  <cols>
    <col min="1" max="1" width="7.44140625" style="282" customWidth="1"/>
    <col min="2" max="2" width="0.88671875" style="282" customWidth="1"/>
    <col min="3" max="3" width="5.6640625" style="282" customWidth="1"/>
    <col min="4" max="4" width="10.33203125" style="282" customWidth="1"/>
    <col min="5" max="5" width="6.109375" style="282" customWidth="1"/>
    <col min="6" max="7" width="7.6640625" style="282" customWidth="1"/>
    <col min="8" max="8" width="6.6640625" style="282" customWidth="1"/>
    <col min="9" max="9" width="3.6640625" style="282" customWidth="1"/>
    <col min="10" max="10" width="5.6640625" style="282" customWidth="1"/>
    <col min="11" max="11" width="13.109375" style="282" customWidth="1"/>
    <col min="12" max="12" width="8.44140625" style="282" customWidth="1"/>
    <col min="13" max="13" width="7.88671875" style="282" customWidth="1"/>
    <col min="14" max="14" width="10.5546875" style="282" customWidth="1"/>
    <col min="15" max="15" width="7.88671875" style="282" customWidth="1"/>
    <col min="16" max="16" width="0.88671875" style="282" customWidth="1"/>
    <col min="17" max="17" width="11.44140625" style="282"/>
    <col min="18" max="18" width="7.6640625" style="282" customWidth="1"/>
    <col min="19" max="19" width="28" style="282" customWidth="1"/>
    <col min="20" max="20" width="21.109375" style="282" customWidth="1"/>
    <col min="21" max="23" width="8.6640625" style="282" customWidth="1"/>
    <col min="24" max="16384" width="11.44140625" style="282"/>
  </cols>
  <sheetData>
    <row r="1" spans="1:23" x14ac:dyDescent="0.3">
      <c r="A1" s="236"/>
      <c r="B1" s="236"/>
      <c r="C1" s="236"/>
      <c r="D1" s="236"/>
      <c r="E1" s="236"/>
      <c r="F1" s="236"/>
      <c r="G1" s="236"/>
      <c r="H1" s="236"/>
      <c r="I1" s="236"/>
      <c r="J1" s="236"/>
      <c r="K1" s="236"/>
      <c r="L1" s="236"/>
      <c r="M1" s="236"/>
      <c r="N1" s="236"/>
      <c r="O1" s="236"/>
      <c r="P1" s="236"/>
      <c r="Q1" s="236"/>
    </row>
    <row r="2" spans="1:23" x14ac:dyDescent="0.3">
      <c r="A2" s="236"/>
      <c r="B2" s="236"/>
      <c r="C2" s="915"/>
      <c r="D2" s="915"/>
      <c r="E2" s="915"/>
      <c r="F2" s="916" t="s">
        <v>1041</v>
      </c>
      <c r="G2" s="917"/>
      <c r="H2" s="917"/>
      <c r="I2" s="917"/>
      <c r="J2" s="917"/>
      <c r="K2" s="918"/>
      <c r="L2" s="440" t="s">
        <v>1040</v>
      </c>
      <c r="M2" s="441" t="s">
        <v>1039</v>
      </c>
      <c r="N2" s="921" t="s">
        <v>1038</v>
      </c>
      <c r="O2" s="922"/>
      <c r="P2" s="236"/>
      <c r="Q2" s="236"/>
    </row>
    <row r="3" spans="1:23" ht="15" thickBot="1" x14ac:dyDescent="0.35">
      <c r="A3" s="236"/>
      <c r="B3" s="236"/>
      <c r="C3" s="915"/>
      <c r="D3" s="915"/>
      <c r="E3" s="915"/>
      <c r="F3" s="917"/>
      <c r="G3" s="917"/>
      <c r="H3" s="917"/>
      <c r="I3" s="917"/>
      <c r="J3" s="917"/>
      <c r="K3" s="918"/>
      <c r="L3" s="442" t="s">
        <v>1037</v>
      </c>
      <c r="M3" s="443" t="s">
        <v>879</v>
      </c>
      <c r="N3" s="909">
        <v>42296</v>
      </c>
      <c r="O3" s="910"/>
      <c r="P3" s="236"/>
      <c r="Q3" s="236"/>
    </row>
    <row r="4" spans="1:23" x14ac:dyDescent="0.3">
      <c r="A4" s="236"/>
      <c r="B4" s="236"/>
      <c r="C4" s="915"/>
      <c r="D4" s="915"/>
      <c r="E4" s="915"/>
      <c r="F4" s="917"/>
      <c r="G4" s="917"/>
      <c r="H4" s="917"/>
      <c r="I4" s="917"/>
      <c r="J4" s="917"/>
      <c r="K4" s="918"/>
      <c r="L4" s="444" t="s">
        <v>1036</v>
      </c>
      <c r="M4" s="445" t="s">
        <v>1035</v>
      </c>
      <c r="N4" s="446" t="s">
        <v>1034</v>
      </c>
      <c r="O4" s="447"/>
      <c r="P4" s="236"/>
      <c r="Q4" s="236"/>
      <c r="R4" s="903" t="s">
        <v>1079</v>
      </c>
      <c r="S4" s="904"/>
      <c r="T4" s="904"/>
      <c r="U4" s="904"/>
      <c r="V4" s="904"/>
      <c r="W4" s="905"/>
    </row>
    <row r="5" spans="1:23" ht="15" thickBot="1" x14ac:dyDescent="0.35">
      <c r="C5" s="236"/>
      <c r="D5" s="236"/>
      <c r="E5" s="236"/>
      <c r="F5" s="236"/>
      <c r="G5" s="236"/>
      <c r="H5" s="236"/>
      <c r="I5" s="236"/>
      <c r="J5" s="236"/>
      <c r="K5" s="236"/>
      <c r="L5" s="236"/>
      <c r="M5" s="236"/>
      <c r="N5" s="236"/>
      <c r="O5" s="236"/>
      <c r="R5" s="906"/>
      <c r="S5" s="907"/>
      <c r="T5" s="907"/>
      <c r="U5" s="907"/>
      <c r="V5" s="907"/>
      <c r="W5" s="908"/>
    </row>
    <row r="6" spans="1:23" ht="15.6" x14ac:dyDescent="0.3">
      <c r="C6" s="919" t="s">
        <v>1033</v>
      </c>
      <c r="D6" s="919"/>
      <c r="E6" s="914"/>
      <c r="F6" s="914"/>
      <c r="G6" s="914"/>
      <c r="H6" s="914"/>
      <c r="I6" s="236"/>
      <c r="J6" s="919" t="s">
        <v>1032</v>
      </c>
      <c r="K6" s="920"/>
      <c r="L6" s="911"/>
      <c r="M6" s="912"/>
      <c r="N6" s="912"/>
      <c r="O6" s="913"/>
      <c r="R6" s="299"/>
      <c r="S6" s="300"/>
      <c r="T6" s="300"/>
      <c r="U6" s="300"/>
      <c r="V6" s="300"/>
      <c r="W6" s="301"/>
    </row>
    <row r="7" spans="1:23" ht="15" thickBot="1" x14ac:dyDescent="0.35">
      <c r="C7" s="919" t="s">
        <v>1031</v>
      </c>
      <c r="D7" s="919"/>
      <c r="E7" s="914"/>
      <c r="F7" s="914"/>
      <c r="G7" s="914"/>
      <c r="H7" s="914"/>
      <c r="I7" s="236"/>
      <c r="J7" s="919" t="s">
        <v>1030</v>
      </c>
      <c r="K7" s="919"/>
      <c r="L7" s="911"/>
      <c r="M7" s="912"/>
      <c r="N7" s="912"/>
      <c r="O7" s="913"/>
      <c r="R7" s="302"/>
      <c r="S7" s="303"/>
      <c r="T7" s="303"/>
      <c r="U7" s="303"/>
      <c r="V7" s="303"/>
      <c r="W7" s="304"/>
    </row>
    <row r="8" spans="1:23" ht="15" customHeight="1" thickBot="1" x14ac:dyDescent="0.35">
      <c r="C8" s="919" t="s">
        <v>1029</v>
      </c>
      <c r="D8" s="919"/>
      <c r="E8" s="914"/>
      <c r="F8" s="914"/>
      <c r="G8" s="914"/>
      <c r="H8" s="914"/>
      <c r="I8" s="236"/>
      <c r="J8" s="919" t="s">
        <v>1028</v>
      </c>
      <c r="K8" s="919"/>
      <c r="L8" s="911"/>
      <c r="M8" s="912"/>
      <c r="N8" s="912"/>
      <c r="O8" s="913"/>
      <c r="R8" s="302"/>
      <c r="S8" s="305" t="s">
        <v>1078</v>
      </c>
      <c r="T8" s="285"/>
      <c r="U8" s="283"/>
      <c r="V8" s="283"/>
      <c r="W8" s="284"/>
    </row>
    <row r="9" spans="1:23" x14ac:dyDescent="0.3">
      <c r="C9" s="919" t="s">
        <v>1027</v>
      </c>
      <c r="D9" s="919"/>
      <c r="E9" s="914" t="s">
        <v>1329</v>
      </c>
      <c r="F9" s="914"/>
      <c r="G9" s="914"/>
      <c r="H9" s="914"/>
      <c r="I9" s="236"/>
      <c r="J9" s="919" t="s">
        <v>1026</v>
      </c>
      <c r="K9" s="919"/>
      <c r="L9" s="911"/>
      <c r="M9" s="912"/>
      <c r="N9" s="912"/>
      <c r="O9" s="913"/>
      <c r="R9" s="302"/>
      <c r="S9" s="306" t="s">
        <v>1080</v>
      </c>
      <c r="T9" s="286" t="str">
        <f>IFERROR(INDEX(BDEGENER[],MATCH(T8,BDEGENER[SERIE],0),31),"")</f>
        <v/>
      </c>
      <c r="U9" s="283"/>
      <c r="V9" s="283"/>
      <c r="W9" s="284"/>
    </row>
    <row r="10" spans="1:23" x14ac:dyDescent="0.3">
      <c r="A10" s="236"/>
      <c r="B10" s="236"/>
      <c r="C10" s="236"/>
      <c r="D10" s="236"/>
      <c r="E10" s="236"/>
      <c r="F10" s="236"/>
      <c r="G10" s="236"/>
      <c r="H10" s="236"/>
      <c r="I10" s="236"/>
      <c r="J10" s="236"/>
      <c r="K10" s="236"/>
      <c r="L10" s="236"/>
      <c r="M10" s="236"/>
      <c r="N10" s="236"/>
      <c r="O10" s="236"/>
      <c r="P10" s="236"/>
      <c r="R10" s="302"/>
      <c r="S10" s="307" t="s">
        <v>1138</v>
      </c>
      <c r="T10" s="287" t="str">
        <f>IFERROR(INDEX(BDEGENER[],MATCH(T8,BDEGENER[SERIE],0),53),"")</f>
        <v/>
      </c>
      <c r="U10" s="283"/>
      <c r="V10" s="283"/>
      <c r="W10" s="284"/>
    </row>
    <row r="11" spans="1:23" ht="22.5" customHeight="1" thickBot="1" x14ac:dyDescent="0.35">
      <c r="A11" s="236"/>
      <c r="B11" s="236"/>
      <c r="C11" s="923" t="s">
        <v>1025</v>
      </c>
      <c r="D11" s="923"/>
      <c r="E11" s="923"/>
      <c r="F11" s="923"/>
      <c r="G11" s="923"/>
      <c r="H11" s="923"/>
      <c r="I11" s="923"/>
      <c r="J11" s="923"/>
      <c r="K11" s="923"/>
      <c r="L11" s="923"/>
      <c r="M11" s="923"/>
      <c r="N11" s="923"/>
      <c r="O11" s="923"/>
      <c r="P11" s="236"/>
      <c r="R11" s="302"/>
      <c r="S11" s="308" t="s">
        <v>926</v>
      </c>
      <c r="T11" s="288" t="str">
        <f>IFERROR(INDEX(BDEGENER[],MATCH(T8,BDEGENER[SERIE],0),48),"")</f>
        <v/>
      </c>
      <c r="U11" s="283"/>
      <c r="V11" s="283"/>
      <c r="W11" s="284"/>
    </row>
    <row r="12" spans="1:23" ht="15" customHeight="1" x14ac:dyDescent="0.3">
      <c r="A12" s="236"/>
      <c r="B12" s="236"/>
      <c r="C12" s="239" t="s">
        <v>1024</v>
      </c>
      <c r="D12" s="925" t="s">
        <v>1023</v>
      </c>
      <c r="E12" s="925"/>
      <c r="F12" s="925"/>
      <c r="G12" s="925"/>
      <c r="H12" s="239" t="s">
        <v>1022</v>
      </c>
      <c r="I12" s="236"/>
      <c r="J12" s="239" t="s">
        <v>1024</v>
      </c>
      <c r="K12" s="926" t="s">
        <v>1023</v>
      </c>
      <c r="L12" s="926"/>
      <c r="M12" s="926"/>
      <c r="N12" s="926"/>
      <c r="O12" s="239" t="s">
        <v>1022</v>
      </c>
      <c r="P12" s="236"/>
      <c r="R12" s="302"/>
      <c r="S12" s="303"/>
      <c r="T12" s="283"/>
      <c r="U12" s="283"/>
      <c r="V12" s="283"/>
      <c r="W12" s="284"/>
    </row>
    <row r="13" spans="1:23" ht="15" customHeight="1" x14ac:dyDescent="0.3">
      <c r="C13" s="368">
        <v>1</v>
      </c>
      <c r="D13" s="408"/>
      <c r="E13" s="407"/>
      <c r="F13" s="407"/>
      <c r="G13" s="409"/>
      <c r="H13" s="409"/>
      <c r="I13" s="236"/>
      <c r="J13" s="239">
        <v>6</v>
      </c>
      <c r="K13" s="407"/>
      <c r="L13" s="407"/>
      <c r="M13" s="407"/>
      <c r="N13" s="407"/>
      <c r="O13" s="406"/>
      <c r="R13" s="302"/>
      <c r="S13" s="309" t="s">
        <v>24</v>
      </c>
      <c r="T13" s="289" t="s">
        <v>1457</v>
      </c>
      <c r="U13" s="283"/>
      <c r="V13" s="283"/>
      <c r="W13" s="284"/>
    </row>
    <row r="14" spans="1:23" ht="15" customHeight="1" x14ac:dyDescent="0.3">
      <c r="C14" s="239">
        <v>2</v>
      </c>
      <c r="D14" s="408"/>
      <c r="E14" s="407"/>
      <c r="F14" s="407"/>
      <c r="G14" s="409"/>
      <c r="H14" s="406"/>
      <c r="I14" s="236"/>
      <c r="J14" s="239">
        <v>7</v>
      </c>
      <c r="K14" s="407"/>
      <c r="L14" s="407"/>
      <c r="M14" s="407"/>
      <c r="N14" s="407"/>
      <c r="O14" s="406"/>
      <c r="R14" s="302"/>
      <c r="S14" s="303"/>
      <c r="T14" s="283"/>
      <c r="U14" s="283"/>
      <c r="V14" s="283"/>
      <c r="W14" s="284"/>
    </row>
    <row r="15" spans="1:23" ht="15" customHeight="1" thickBot="1" x14ac:dyDescent="0.35">
      <c r="C15" s="239">
        <v>3</v>
      </c>
      <c r="D15" s="408"/>
      <c r="E15" s="407"/>
      <c r="F15" s="407"/>
      <c r="G15" s="409"/>
      <c r="H15" s="406"/>
      <c r="I15" s="236"/>
      <c r="J15" s="239">
        <v>8</v>
      </c>
      <c r="K15" s="407"/>
      <c r="L15" s="407"/>
      <c r="M15" s="407"/>
      <c r="N15" s="407"/>
      <c r="O15" s="406"/>
      <c r="R15" s="310"/>
      <c r="S15" s="311"/>
      <c r="T15" s="290"/>
      <c r="U15" s="290"/>
      <c r="V15" s="290"/>
      <c r="W15" s="291"/>
    </row>
    <row r="16" spans="1:23" ht="15" customHeight="1" x14ac:dyDescent="0.3">
      <c r="C16" s="239">
        <v>4</v>
      </c>
      <c r="D16" s="408"/>
      <c r="E16" s="407"/>
      <c r="F16" s="407"/>
      <c r="G16" s="409"/>
      <c r="H16" s="406"/>
      <c r="I16" s="236"/>
      <c r="J16" s="239">
        <v>9</v>
      </c>
      <c r="K16" s="407"/>
      <c r="L16" s="407"/>
      <c r="M16" s="407"/>
      <c r="N16" s="407"/>
      <c r="O16" s="406"/>
    </row>
    <row r="17" spans="3:15" ht="15" customHeight="1" x14ac:dyDescent="0.3">
      <c r="C17" s="239">
        <v>5</v>
      </c>
      <c r="D17" s="408"/>
      <c r="E17" s="407"/>
      <c r="F17" s="407"/>
      <c r="G17" s="409"/>
      <c r="H17" s="406"/>
      <c r="I17" s="236"/>
      <c r="J17" s="239">
        <v>10</v>
      </c>
      <c r="K17" s="407"/>
      <c r="L17" s="407"/>
      <c r="M17" s="407"/>
      <c r="N17" s="407"/>
      <c r="O17" s="406"/>
    </row>
    <row r="18" spans="3:15" ht="15" customHeight="1" x14ac:dyDescent="0.3">
      <c r="C18" s="236"/>
      <c r="D18" s="236"/>
      <c r="E18" s="236"/>
      <c r="F18" s="236"/>
      <c r="G18" s="236"/>
      <c r="H18" s="236"/>
      <c r="I18" s="236"/>
      <c r="J18" s="236"/>
      <c r="K18" s="236"/>
      <c r="L18" s="236"/>
      <c r="M18" s="236"/>
      <c r="N18" s="236"/>
      <c r="O18" s="236"/>
    </row>
    <row r="19" spans="3:15" ht="15.6" x14ac:dyDescent="0.3">
      <c r="C19" s="927" t="s">
        <v>1021</v>
      </c>
      <c r="D19" s="928"/>
      <c r="E19" s="928"/>
      <c r="F19" s="928"/>
      <c r="G19" s="928"/>
      <c r="H19" s="928"/>
      <c r="I19" s="928"/>
      <c r="J19" s="928"/>
      <c r="K19" s="928"/>
      <c r="L19" s="928"/>
      <c r="M19" s="928"/>
      <c r="N19" s="928"/>
      <c r="O19" s="929"/>
    </row>
    <row r="20" spans="3:15" ht="15.6" x14ac:dyDescent="0.3">
      <c r="C20" s="930" t="s">
        <v>1020</v>
      </c>
      <c r="D20" s="931"/>
      <c r="E20" s="931"/>
      <c r="F20" s="931"/>
      <c r="G20" s="931"/>
      <c r="H20" s="931"/>
      <c r="I20" s="931"/>
      <c r="J20" s="931"/>
      <c r="K20" s="931"/>
      <c r="L20" s="931"/>
      <c r="M20" s="931"/>
      <c r="N20" s="931"/>
      <c r="O20" s="932"/>
    </row>
    <row r="21" spans="3:15" ht="14.1" customHeight="1" x14ac:dyDescent="0.3">
      <c r="C21" s="417" t="s">
        <v>1459</v>
      </c>
      <c r="D21" s="418"/>
      <c r="E21" s="418"/>
      <c r="F21" s="418"/>
      <c r="G21" s="418"/>
      <c r="H21" s="418"/>
      <c r="I21" s="418"/>
      <c r="J21" s="418"/>
      <c r="K21" s="418"/>
      <c r="L21" s="418"/>
      <c r="M21" s="418"/>
      <c r="N21" s="418"/>
      <c r="O21" s="419" t="s">
        <v>1529</v>
      </c>
    </row>
    <row r="22" spans="3:15" ht="14.1" customHeight="1" x14ac:dyDescent="0.3">
      <c r="C22" s="420" t="str">
        <f>IF(VLOOKUP($T$13,Tabla,2,0)=""," ",VLOOKUP($T$13,Tabla,2,0))</f>
        <v xml:space="preserve"> </v>
      </c>
      <c r="D22" s="421"/>
      <c r="E22" s="421"/>
      <c r="F22" s="421"/>
      <c r="G22" s="421"/>
      <c r="H22" s="421"/>
      <c r="I22" s="421"/>
      <c r="J22" s="421"/>
      <c r="K22" s="421"/>
      <c r="L22" s="421"/>
      <c r="M22" s="421"/>
      <c r="N22" s="421"/>
      <c r="O22" s="422" t="str">
        <f>IF(C22="Chequeo del nivel de refrigerante","[_____]","")</f>
        <v/>
      </c>
    </row>
    <row r="23" spans="3:15" ht="14.1" customHeight="1" x14ac:dyDescent="0.3">
      <c r="C23" s="420" t="str">
        <f>IF(VLOOKUP($T$13,Tabla,3,0)=""," ",VLOOKUP($T$13,Tabla,3,0))</f>
        <v xml:space="preserve"> </v>
      </c>
      <c r="D23" s="421"/>
      <c r="E23" s="421"/>
      <c r="F23" s="421"/>
      <c r="G23" s="421"/>
      <c r="H23" s="421"/>
      <c r="I23" s="421"/>
      <c r="J23" s="421"/>
      <c r="K23" s="421"/>
      <c r="L23" s="421"/>
      <c r="M23" s="421"/>
      <c r="N23" s="421"/>
      <c r="O23" s="422" t="str">
        <f>IF(C23="Chequeo del sistema de combustible","[_____]","")</f>
        <v/>
      </c>
    </row>
    <row r="24" spans="3:15" ht="14.1" customHeight="1" x14ac:dyDescent="0.3">
      <c r="C24" s="420" t="str">
        <f>IF(VLOOKUP($T$13,Tabla,4,0)=""," ",VLOOKUP($T$13,Tabla,4,0))</f>
        <v xml:space="preserve"> </v>
      </c>
      <c r="D24" s="421"/>
      <c r="E24" s="421"/>
      <c r="F24" s="421"/>
      <c r="G24" s="421"/>
      <c r="H24" s="421"/>
      <c r="I24" s="421"/>
      <c r="J24" s="421"/>
      <c r="K24" s="421"/>
      <c r="L24" s="421"/>
      <c r="M24" s="421"/>
      <c r="N24" s="421"/>
      <c r="O24" s="422" t="str">
        <f>IF(C24="Chequear ingresos y salidas de aire","[_____]","")</f>
        <v/>
      </c>
    </row>
    <row r="25" spans="3:15" ht="14.1" customHeight="1" x14ac:dyDescent="0.3">
      <c r="C25" s="420" t="str">
        <f>IF(VLOOKUP($T$13,Tabla,5,0)=""," ",VLOOKUP($T$13,Tabla,5,0))</f>
        <v xml:space="preserve"> </v>
      </c>
      <c r="D25" s="421"/>
      <c r="E25" s="421"/>
      <c r="F25" s="421"/>
      <c r="G25" s="421"/>
      <c r="H25" s="421"/>
      <c r="I25" s="421"/>
      <c r="J25" s="421"/>
      <c r="K25" s="421"/>
      <c r="L25" s="421"/>
      <c r="M25" s="421"/>
      <c r="N25" s="421"/>
      <c r="O25" s="422" t="str">
        <f>IF(C25="Revision de bateria","[_____]","")</f>
        <v/>
      </c>
    </row>
    <row r="26" spans="3:15" ht="14.1" customHeight="1" x14ac:dyDescent="0.3">
      <c r="C26" s="420" t="str">
        <f>IF(VLOOKUP($T$13,Tabla,6,0)=""," ",VLOOKUP($T$13,Tabla,6,0))</f>
        <v xml:space="preserve"> </v>
      </c>
      <c r="D26" s="421"/>
      <c r="E26" s="421"/>
      <c r="F26" s="421"/>
      <c r="G26" s="421"/>
      <c r="H26" s="421"/>
      <c r="I26" s="421"/>
      <c r="J26" s="421"/>
      <c r="K26" s="421"/>
      <c r="L26" s="421"/>
      <c r="M26" s="421"/>
      <c r="N26" s="421"/>
      <c r="O26" s="422" t="str">
        <f>IF(C26="Chequeo de mangueras del sistema de refrigeracion","[_____]","")</f>
        <v/>
      </c>
    </row>
    <row r="27" spans="3:15" ht="14.1" customHeight="1" x14ac:dyDescent="0.3">
      <c r="C27" s="420" t="str">
        <f>IF(VLOOKUP($T$13,Tabla,7,0)=""," ",VLOOKUP($T$13,Tabla,7,0))</f>
        <v xml:space="preserve"> </v>
      </c>
      <c r="D27" s="421"/>
      <c r="E27" s="421"/>
      <c r="F27" s="421"/>
      <c r="G27" s="421"/>
      <c r="H27" s="421"/>
      <c r="I27" s="421"/>
      <c r="J27" s="421"/>
      <c r="K27" s="421"/>
      <c r="L27" s="421"/>
      <c r="M27" s="421"/>
      <c r="N27" s="421"/>
      <c r="O27" s="422" t="str">
        <f>IF(C27="Chequear fajas y filtro de aire","[_____]","")</f>
        <v/>
      </c>
    </row>
    <row r="28" spans="3:15" ht="14.1" customHeight="1" x14ac:dyDescent="0.3">
      <c r="C28" s="420" t="str">
        <f>IF(VLOOKUP($T$13,Tabla,8,0)=""," ",VLOOKUP($T$13,Tabla,8,0))</f>
        <v xml:space="preserve"> </v>
      </c>
      <c r="D28" s="421"/>
      <c r="E28" s="421"/>
      <c r="F28" s="421"/>
      <c r="G28" s="421"/>
      <c r="H28" s="421"/>
      <c r="I28" s="421"/>
      <c r="J28" s="421"/>
      <c r="K28" s="421"/>
      <c r="L28" s="421"/>
      <c r="M28" s="421"/>
      <c r="N28" s="421"/>
      <c r="O28" s="422" t="str">
        <f>IF(C28="Pulverizado y limpieza externa del generador y conectores con solvente dielectrico","[_____]","")</f>
        <v/>
      </c>
    </row>
    <row r="29" spans="3:15" ht="14.1" customHeight="1" x14ac:dyDescent="0.3">
      <c r="C29" s="420" t="str">
        <f>IF(VLOOKUP($T$13,Tabla,9,0)=""," ",VLOOKUP($T$13,Tabla,9,0))</f>
        <v xml:space="preserve"> </v>
      </c>
      <c r="D29" s="421"/>
      <c r="E29" s="421"/>
      <c r="F29" s="421"/>
      <c r="G29" s="421"/>
      <c r="H29" s="421"/>
      <c r="I29" s="421"/>
      <c r="J29" s="421"/>
      <c r="K29" s="421"/>
      <c r="L29" s="421"/>
      <c r="M29" s="421"/>
      <c r="N29" s="421"/>
      <c r="O29" s="422" t="str">
        <f>IF(C29="Limpieza del obturador de admision","[_____]","")</f>
        <v/>
      </c>
    </row>
    <row r="30" spans="3:15" ht="14.1" customHeight="1" x14ac:dyDescent="0.3">
      <c r="C30" s="420" t="str">
        <f>IF(VLOOKUP($T$13,Tabla,10,0)=""," ",VLOOKUP($T$13,Tabla,10,0))</f>
        <v xml:space="preserve"> </v>
      </c>
      <c r="D30" s="421"/>
      <c r="E30" s="421"/>
      <c r="F30" s="421"/>
      <c r="G30" s="421"/>
      <c r="H30" s="421"/>
      <c r="I30" s="421"/>
      <c r="J30" s="421"/>
      <c r="K30" s="421"/>
      <c r="L30" s="421"/>
      <c r="M30" s="421"/>
      <c r="N30" s="421"/>
      <c r="O30" s="422" t="str">
        <f>IF(C30="Limpieza con solvente dielectrico de las cabezas visibles del generador principal.","[_____]","")</f>
        <v/>
      </c>
    </row>
    <row r="31" spans="3:15" ht="14.1" customHeight="1" x14ac:dyDescent="0.3">
      <c r="C31" s="420" t="str">
        <f>IF(VLOOKUP($T$13,Tabla,11,0)=""," ",VLOOKUP($T$13,Tabla,11,0))</f>
        <v xml:space="preserve"> </v>
      </c>
      <c r="D31" s="421"/>
      <c r="E31" s="421"/>
      <c r="F31" s="423"/>
      <c r="G31" s="421"/>
      <c r="H31" s="421"/>
      <c r="I31" s="421"/>
      <c r="J31" s="421"/>
      <c r="K31" s="421"/>
      <c r="L31" s="421"/>
      <c r="M31" s="421"/>
      <c r="N31" s="421"/>
      <c r="O31" s="422" t="str">
        <f>IF(C31="Cambio de aceite (Tipo: 10W-30 )                   GL (Se deja        GL para rellenar)","[_____]",IF(C31="Mantenimiento del generador principal","[_____]",IF(C31="Cambio de aceite (Tipo: 15W-45 )                   GL (Se deja        GL para rellenar)","[_____]","")))</f>
        <v/>
      </c>
    </row>
    <row r="32" spans="3:15" ht="14.1" customHeight="1" x14ac:dyDescent="0.3">
      <c r="C32" s="420" t="str">
        <f>IF(VLOOKUP($T$13,Tabla,12,0)=""," ",VLOOKUP($T$13,Tabla,12,0))</f>
        <v xml:space="preserve"> </v>
      </c>
      <c r="D32" s="421"/>
      <c r="E32" s="421"/>
      <c r="F32" s="421"/>
      <c r="G32" s="421"/>
      <c r="H32" s="421"/>
      <c r="I32" s="421"/>
      <c r="J32" s="421"/>
      <c r="K32" s="421"/>
      <c r="L32" s="421"/>
      <c r="M32" s="421"/>
      <c r="N32" s="421"/>
      <c r="O32" s="422" t="str">
        <f>IF(C32="Revision completa y limpieza en general","[_____]",IF(C32="Cambio de Filtro de aceite (         UNID)","[_____]",IF(C32="Cambio de aceite (Tipo: 10W-30 )                   GL (Se deja        GL para rellenar)","[_____]","")))</f>
        <v/>
      </c>
    </row>
    <row r="33" spans="1:16" ht="14.1" customHeight="1" x14ac:dyDescent="0.3">
      <c r="C33" s="420" t="str">
        <f>IF(VLOOKUP($T$13,Tabla,13,0)=""," ",VLOOKUP($T$13,Tabla,13,0))</f>
        <v xml:space="preserve"> </v>
      </c>
      <c r="D33" s="421"/>
      <c r="E33" s="421"/>
      <c r="F33" s="421"/>
      <c r="G33" s="421"/>
      <c r="H33" s="421"/>
      <c r="I33" s="421"/>
      <c r="J33" s="421"/>
      <c r="K33" s="421"/>
      <c r="L33" s="421"/>
      <c r="M33" s="421"/>
      <c r="N33" s="421"/>
      <c r="O33" s="422" t="str">
        <f>IF(C33="Revision completa y limpieza en general","[_____]",IF(C33="Cambio de Filtro de aire (           UNID)","[_____]",IF(C33="Cambio de Filtro de aceite (         UNID)","[_____]",IF(C33="Chequeo del nivel de refrigerante","[_____]",IF(C33="Mantenimiento del arrancador","[_____]","")))))</f>
        <v/>
      </c>
    </row>
    <row r="34" spans="1:16" ht="14.1" customHeight="1" x14ac:dyDescent="0.3">
      <c r="C34" s="420" t="str">
        <f>IF(VLOOKUP($T$13,Tabla,14,0)=""," ",VLOOKUP($T$13,Tabla,14,0))</f>
        <v xml:space="preserve"> </v>
      </c>
      <c r="D34" s="421"/>
      <c r="E34" s="421"/>
      <c r="F34" s="421"/>
      <c r="G34" s="421"/>
      <c r="H34" s="421"/>
      <c r="I34" s="421"/>
      <c r="J34" s="421"/>
      <c r="K34" s="421"/>
      <c r="L34" s="421"/>
      <c r="M34" s="421"/>
      <c r="N34" s="421"/>
      <c r="O34" s="422" t="str">
        <f>IF(C34="Limpieza del radiador","[_____]",IF(C34="Cambio de bujias (         UNID)","[_____]",IF(C34="Cambio de Filtro de aire (           UNID)","[_____]",IF(C34="Mantenimiento del alternador del motor","[_____]",""))))</f>
        <v/>
      </c>
    </row>
    <row r="35" spans="1:16" ht="14.1" customHeight="1" x14ac:dyDescent="0.3">
      <c r="C35" s="420" t="str">
        <f>IF(VLOOKUP($T$13,Tabla,15,0)=""," ",VLOOKUP($T$13,Tabla,15,0))</f>
        <v xml:space="preserve"> </v>
      </c>
      <c r="D35" s="421"/>
      <c r="E35" s="421"/>
      <c r="F35" s="421"/>
      <c r="G35" s="421"/>
      <c r="H35" s="421"/>
      <c r="I35" s="421"/>
      <c r="J35" s="421"/>
      <c r="K35" s="421"/>
      <c r="L35" s="421"/>
      <c r="M35" s="421"/>
      <c r="N35" s="421"/>
      <c r="O35" s="422" t="str">
        <f>IF(C35="Revision completa y limpieza en general","[_____]",IF(C35="Cambio de bujias (         UNID)","[_____]",IF(C35="Limpieza del radiador","[_____]",IF(C35="Cambio de tapa y rotor del distribuidor","[_____]",""))))</f>
        <v/>
      </c>
    </row>
    <row r="36" spans="1:16" ht="14.1" customHeight="1" x14ac:dyDescent="0.3">
      <c r="C36" s="420" t="str">
        <f>IF(VLOOKUP($T$13,Tabla,16,0)=""," ",VLOOKUP($T$13,Tabla,16,0))</f>
        <v xml:space="preserve"> </v>
      </c>
      <c r="D36" s="421"/>
      <c r="E36" s="421"/>
      <c r="F36" s="421"/>
      <c r="G36" s="421"/>
      <c r="H36" s="421"/>
      <c r="I36" s="421"/>
      <c r="J36" s="421"/>
      <c r="K36" s="421"/>
      <c r="L36" s="421"/>
      <c r="M36" s="421"/>
      <c r="N36" s="421"/>
      <c r="O36" s="422" t="str">
        <f>IF(C36="Revision completa y limpieza en general","[_____]",IF(C36="Cambio de polea","[_____]",""))</f>
        <v/>
      </c>
    </row>
    <row r="37" spans="1:16" ht="14.1" customHeight="1" x14ac:dyDescent="0.3">
      <c r="C37" s="420" t="str">
        <f>IF(VLOOKUP($T$13,Tabla,17,0)=""," ",VLOOKUP($T$13,Tabla,17,0))</f>
        <v xml:space="preserve"> </v>
      </c>
      <c r="D37" s="421"/>
      <c r="E37" s="421"/>
      <c r="F37" s="421"/>
      <c r="G37" s="421"/>
      <c r="H37" s="421"/>
      <c r="I37" s="421"/>
      <c r="J37" s="421"/>
      <c r="K37" s="421"/>
      <c r="L37" s="421"/>
      <c r="M37" s="421"/>
      <c r="N37" s="421"/>
      <c r="O37" s="422" t="str">
        <f>IF(C37="Cambio de faja","[_____]","")</f>
        <v/>
      </c>
    </row>
    <row r="38" spans="1:16" ht="14.1" customHeight="1" x14ac:dyDescent="0.3">
      <c r="C38" s="425" t="str">
        <f>IF(VLOOKUP($T$13,Tabla,18,0)=""," ",VLOOKUP($T$13,Tabla,18,0))</f>
        <v xml:space="preserve"> </v>
      </c>
      <c r="D38" s="426"/>
      <c r="E38" s="426"/>
      <c r="F38" s="426"/>
      <c r="G38" s="426"/>
      <c r="H38" s="426"/>
      <c r="I38" s="426"/>
      <c r="J38" s="426"/>
      <c r="K38" s="426"/>
      <c r="L38" s="426"/>
      <c r="M38" s="426"/>
      <c r="N38" s="426"/>
      <c r="O38" s="427" t="str">
        <f>IF(C38="Revision completa y limpieza en general","[_____]","")</f>
        <v/>
      </c>
    </row>
    <row r="39" spans="1:16" ht="14.1" customHeight="1" x14ac:dyDescent="0.3">
      <c r="C39" s="424" t="s">
        <v>1654</v>
      </c>
      <c r="D39" s="410"/>
      <c r="E39" s="411"/>
      <c r="F39" s="410"/>
      <c r="G39" s="410"/>
      <c r="H39" s="410"/>
      <c r="I39" s="410"/>
      <c r="J39" s="410"/>
      <c r="K39" s="410"/>
      <c r="L39" s="411"/>
      <c r="M39" s="410"/>
      <c r="N39" s="410"/>
      <c r="O39" s="412"/>
    </row>
    <row r="40" spans="1:16" ht="14.1" customHeight="1" x14ac:dyDescent="0.3">
      <c r="C40" s="424"/>
      <c r="D40" s="410"/>
      <c r="E40" s="411"/>
      <c r="F40" s="410"/>
      <c r="G40" s="410"/>
      <c r="H40" s="410"/>
      <c r="I40" s="410"/>
      <c r="J40" s="410"/>
      <c r="K40" s="410"/>
      <c r="L40" s="411"/>
      <c r="M40" s="410"/>
      <c r="N40" s="410"/>
      <c r="O40" s="412"/>
    </row>
    <row r="41" spans="1:16" ht="14.1" customHeight="1" x14ac:dyDescent="0.3">
      <c r="C41" s="432"/>
      <c r="D41" s="433"/>
      <c r="E41" s="434"/>
      <c r="F41" s="433"/>
      <c r="G41" s="433"/>
      <c r="H41" s="433"/>
      <c r="I41" s="433"/>
      <c r="J41" s="433"/>
      <c r="K41" s="433"/>
      <c r="L41" s="435"/>
      <c r="M41" s="434"/>
      <c r="N41" s="433"/>
      <c r="O41" s="436"/>
    </row>
    <row r="42" spans="1:16" ht="14.1" customHeight="1" x14ac:dyDescent="0.3">
      <c r="C42" s="428"/>
      <c r="D42" s="439" t="s">
        <v>1629</v>
      </c>
      <c r="E42" s="933" t="str">
        <f>IFERROR(INDEX(BDEGENER[],MATCH(T8,BDEGENER[SERIE],0),28),"")</f>
        <v/>
      </c>
      <c r="F42" s="933"/>
      <c r="G42" s="933"/>
      <c r="H42" s="437" t="s">
        <v>1652</v>
      </c>
      <c r="I42" s="429"/>
      <c r="J42" s="430"/>
      <c r="K42" s="936" t="str">
        <f>IFERROR(INDEX(BDEGENER[],MATCH(T8,BDEGENER[SERIE],0),23),"")</f>
        <v/>
      </c>
      <c r="L42" s="936"/>
      <c r="M42" s="431" t="s">
        <v>1653</v>
      </c>
      <c r="N42" s="410"/>
      <c r="O42" s="412"/>
    </row>
    <row r="43" spans="1:16" ht="14.1" customHeight="1" x14ac:dyDescent="0.3">
      <c r="C43" s="413"/>
      <c r="D43" s="438" t="s">
        <v>1628</v>
      </c>
      <c r="E43" s="934" t="str">
        <f>IFERROR(INDEX(BDEGENER[],MATCH(T8,BDEGENER[SERIE],0),27),"")</f>
        <v/>
      </c>
      <c r="F43" s="934"/>
      <c r="G43" s="934"/>
      <c r="H43" s="438" t="s">
        <v>962</v>
      </c>
      <c r="I43" s="935" t="str">
        <f>CONCATENATE(T8)</f>
        <v/>
      </c>
      <c r="J43" s="935"/>
      <c r="K43" s="935"/>
      <c r="L43" s="935"/>
      <c r="M43" s="414" t="s">
        <v>1649</v>
      </c>
      <c r="N43" s="415"/>
      <c r="O43" s="416"/>
    </row>
    <row r="44" spans="1:16" ht="14.1" customHeight="1" x14ac:dyDescent="0.3">
      <c r="A44" s="236"/>
      <c r="B44" s="236"/>
      <c r="C44" s="252"/>
      <c r="D44" s="253"/>
      <c r="E44" s="253"/>
      <c r="F44" s="253"/>
      <c r="G44" s="253"/>
      <c r="H44" s="253"/>
      <c r="I44" s="253"/>
      <c r="J44" s="253"/>
      <c r="K44" s="253"/>
      <c r="L44" s="253"/>
      <c r="M44" s="253"/>
      <c r="N44" s="253"/>
      <c r="O44" s="254"/>
      <c r="P44" s="236"/>
    </row>
    <row r="45" spans="1:16" ht="14.1" customHeight="1" x14ac:dyDescent="0.3">
      <c r="A45" s="236"/>
      <c r="B45" s="236"/>
      <c r="C45" s="295" t="s">
        <v>1019</v>
      </c>
      <c r="D45" s="237" t="s">
        <v>1018</v>
      </c>
      <c r="E45" s="237"/>
      <c r="F45" s="237"/>
      <c r="G45" s="237"/>
      <c r="H45" s="237"/>
      <c r="I45" s="237"/>
      <c r="J45" s="237"/>
      <c r="K45" s="296" t="s">
        <v>1011</v>
      </c>
      <c r="L45" s="237" t="s">
        <v>1010</v>
      </c>
      <c r="M45" s="237" t="s">
        <v>1009</v>
      </c>
      <c r="N45" s="236"/>
      <c r="O45" s="256"/>
      <c r="P45" s="236"/>
    </row>
    <row r="46" spans="1:16" ht="14.1" customHeight="1" x14ac:dyDescent="0.3">
      <c r="A46" s="236"/>
      <c r="B46" s="236"/>
      <c r="C46" s="295" t="s">
        <v>1017</v>
      </c>
      <c r="D46" s="237" t="s">
        <v>1016</v>
      </c>
      <c r="E46" s="237"/>
      <c r="F46" s="237"/>
      <c r="G46" s="237"/>
      <c r="H46" s="237"/>
      <c r="I46" s="237"/>
      <c r="J46" s="237"/>
      <c r="K46" s="296" t="s">
        <v>1011</v>
      </c>
      <c r="L46" s="237" t="s">
        <v>1010</v>
      </c>
      <c r="M46" s="237" t="s">
        <v>1009</v>
      </c>
      <c r="N46" s="236"/>
      <c r="O46" s="256"/>
      <c r="P46" s="236"/>
    </row>
    <row r="47" spans="1:16" ht="14.1" customHeight="1" x14ac:dyDescent="0.3">
      <c r="A47" s="236"/>
      <c r="B47" s="236"/>
      <c r="C47" s="295" t="s">
        <v>1015</v>
      </c>
      <c r="D47" s="237" t="s">
        <v>1014</v>
      </c>
      <c r="E47" s="237"/>
      <c r="F47" s="237"/>
      <c r="G47" s="237"/>
      <c r="H47" s="237"/>
      <c r="I47" s="237"/>
      <c r="J47" s="237"/>
      <c r="K47" s="296" t="s">
        <v>1011</v>
      </c>
      <c r="L47" s="237" t="s">
        <v>1010</v>
      </c>
      <c r="M47" s="237" t="s">
        <v>1009</v>
      </c>
      <c r="N47" s="236"/>
      <c r="O47" s="256"/>
      <c r="P47" s="236"/>
    </row>
    <row r="48" spans="1:16" ht="14.1" customHeight="1" x14ac:dyDescent="0.3">
      <c r="A48" s="236"/>
      <c r="B48" s="236"/>
      <c r="C48" s="295" t="s">
        <v>1013</v>
      </c>
      <c r="D48" s="297" t="s">
        <v>1012</v>
      </c>
      <c r="E48" s="237"/>
      <c r="F48" s="237"/>
      <c r="G48" s="237"/>
      <c r="H48" s="237"/>
      <c r="I48" s="237"/>
      <c r="J48" s="237"/>
      <c r="K48" s="296" t="s">
        <v>1011</v>
      </c>
      <c r="L48" s="237" t="s">
        <v>1010</v>
      </c>
      <c r="M48" s="237" t="s">
        <v>1009</v>
      </c>
      <c r="N48" s="236"/>
      <c r="O48" s="256"/>
      <c r="P48" s="236"/>
    </row>
    <row r="49" spans="1:16" ht="14.1" customHeight="1" x14ac:dyDescent="0.3">
      <c r="A49" s="236"/>
      <c r="B49" s="236"/>
      <c r="C49" s="298" t="s">
        <v>1008</v>
      </c>
      <c r="D49" s="258"/>
      <c r="E49" s="258"/>
      <c r="F49" s="258"/>
      <c r="G49" s="258"/>
      <c r="H49" s="258"/>
      <c r="I49" s="258"/>
      <c r="J49" s="258"/>
      <c r="K49" s="258"/>
      <c r="L49" s="258"/>
      <c r="M49" s="258"/>
      <c r="N49" s="258"/>
      <c r="O49" s="259"/>
      <c r="P49" s="236"/>
    </row>
    <row r="50" spans="1:16" ht="14.1" customHeight="1" x14ac:dyDescent="0.3">
      <c r="A50" s="236"/>
      <c r="B50" s="236"/>
      <c r="C50" s="292"/>
      <c r="D50" s="293"/>
      <c r="E50" s="293"/>
      <c r="F50" s="293"/>
      <c r="G50" s="293"/>
      <c r="H50" s="293"/>
      <c r="I50" s="293"/>
      <c r="J50" s="293"/>
      <c r="K50" s="293"/>
      <c r="L50" s="293"/>
      <c r="M50" s="293"/>
      <c r="N50" s="293"/>
      <c r="O50" s="294"/>
      <c r="P50" s="236"/>
    </row>
    <row r="51" spans="1:16" ht="14.1" customHeight="1" x14ac:dyDescent="0.3">
      <c r="A51" s="236"/>
      <c r="B51" s="236"/>
      <c r="C51" s="292"/>
      <c r="D51" s="293"/>
      <c r="E51" s="293"/>
      <c r="F51" s="293"/>
      <c r="G51" s="293"/>
      <c r="H51" s="293"/>
      <c r="I51" s="293"/>
      <c r="J51" s="293"/>
      <c r="K51" s="293"/>
      <c r="L51" s="293"/>
      <c r="M51" s="293"/>
      <c r="N51" s="293"/>
      <c r="O51" s="294"/>
      <c r="P51" s="236"/>
    </row>
    <row r="52" spans="1:16" ht="14.1" customHeight="1" x14ac:dyDescent="0.3">
      <c r="A52" s="236"/>
      <c r="B52" s="236"/>
      <c r="C52" s="292"/>
      <c r="D52" s="293"/>
      <c r="E52" s="293"/>
      <c r="F52" s="293"/>
      <c r="G52" s="293"/>
      <c r="H52" s="293"/>
      <c r="I52" s="293"/>
      <c r="J52" s="293"/>
      <c r="K52" s="293"/>
      <c r="L52" s="293"/>
      <c r="M52" s="293"/>
      <c r="N52" s="293"/>
      <c r="O52" s="294"/>
      <c r="P52" s="236"/>
    </row>
    <row r="53" spans="1:16" x14ac:dyDescent="0.3">
      <c r="A53" s="236"/>
      <c r="B53" s="236"/>
      <c r="C53" s="236"/>
      <c r="D53" s="236"/>
      <c r="E53" s="236"/>
      <c r="F53" s="236"/>
      <c r="G53" s="236"/>
      <c r="H53" s="236"/>
      <c r="I53" s="236"/>
      <c r="J53" s="236"/>
      <c r="K53" s="236"/>
      <c r="L53" s="236"/>
      <c r="M53" s="236"/>
      <c r="N53" s="236"/>
      <c r="O53" s="236"/>
      <c r="P53" s="236"/>
    </row>
    <row r="54" spans="1:16" x14ac:dyDescent="0.3">
      <c r="A54" s="236"/>
      <c r="B54" s="236"/>
      <c r="C54" s="236"/>
      <c r="D54" s="236"/>
      <c r="E54" s="236"/>
      <c r="F54" s="236"/>
      <c r="G54" s="236"/>
      <c r="H54" s="236"/>
      <c r="I54" s="236"/>
      <c r="J54" s="236"/>
      <c r="K54" s="236"/>
      <c r="L54" s="236"/>
      <c r="M54" s="236"/>
      <c r="N54" s="236"/>
      <c r="O54" s="236"/>
      <c r="P54" s="236"/>
    </row>
    <row r="55" spans="1:16" x14ac:dyDescent="0.3">
      <c r="A55" s="236"/>
      <c r="B55" s="236"/>
      <c r="C55" s="236"/>
      <c r="D55" s="236"/>
      <c r="E55" s="236"/>
      <c r="F55" s="236"/>
      <c r="G55" s="236"/>
      <c r="H55" s="236"/>
      <c r="I55" s="236"/>
      <c r="J55" s="236"/>
      <c r="K55" s="236"/>
      <c r="L55" s="236"/>
      <c r="M55" s="236"/>
      <c r="N55" s="236"/>
      <c r="O55" s="236"/>
      <c r="P55" s="236"/>
    </row>
    <row r="56" spans="1:16" x14ac:dyDescent="0.3">
      <c r="A56" s="236"/>
      <c r="B56" s="236"/>
      <c r="C56" s="236"/>
      <c r="D56" s="236"/>
      <c r="E56" s="924" t="s">
        <v>1007</v>
      </c>
      <c r="F56" s="924"/>
      <c r="G56" s="924"/>
      <c r="H56" s="924"/>
      <c r="I56" s="236"/>
      <c r="J56" s="236"/>
      <c r="K56" s="236"/>
      <c r="L56" s="924" t="s">
        <v>1006</v>
      </c>
      <c r="M56" s="924"/>
      <c r="N56" s="924"/>
      <c r="O56" s="236"/>
      <c r="P56" s="236"/>
    </row>
    <row r="57" spans="1:16" x14ac:dyDescent="0.3">
      <c r="A57" s="236"/>
      <c r="B57" s="236"/>
      <c r="C57" s="236"/>
      <c r="D57" s="245" t="s">
        <v>1005</v>
      </c>
      <c r="E57" s="236"/>
      <c r="F57" s="236"/>
      <c r="G57" s="236"/>
      <c r="H57" s="236"/>
      <c r="I57" s="236"/>
      <c r="J57" s="236"/>
      <c r="K57" s="245" t="s">
        <v>1005</v>
      </c>
      <c r="L57" s="236"/>
      <c r="M57" s="245"/>
      <c r="N57" s="236"/>
      <c r="O57" s="236"/>
      <c r="P57" s="236"/>
    </row>
    <row r="58" spans="1:16" x14ac:dyDescent="0.3">
      <c r="A58" s="236"/>
      <c r="B58" s="236"/>
      <c r="C58" s="236"/>
      <c r="D58" s="245" t="s">
        <v>1004</v>
      </c>
      <c r="E58" s="236"/>
      <c r="F58" s="236"/>
      <c r="G58" s="236"/>
      <c r="H58" s="236"/>
      <c r="I58" s="236"/>
      <c r="J58" s="236"/>
      <c r="K58" s="245" t="s">
        <v>1004</v>
      </c>
      <c r="L58" s="236"/>
      <c r="M58" s="245"/>
      <c r="N58" s="236"/>
      <c r="O58" s="236"/>
      <c r="P58" s="236"/>
    </row>
    <row r="59" spans="1:16" x14ac:dyDescent="0.3">
      <c r="A59" s="236"/>
      <c r="B59" s="236"/>
      <c r="C59" s="236"/>
      <c r="D59" s="236"/>
      <c r="E59" s="236"/>
      <c r="F59" s="236"/>
      <c r="G59" s="236"/>
      <c r="H59" s="236"/>
      <c r="I59" s="236"/>
      <c r="J59" s="236"/>
      <c r="K59" s="236"/>
      <c r="L59" s="236"/>
      <c r="M59" s="236"/>
      <c r="N59" s="236"/>
      <c r="O59" s="236"/>
      <c r="P59" s="236"/>
    </row>
    <row r="60" spans="1:16" x14ac:dyDescent="0.3">
      <c r="A60" s="236"/>
      <c r="B60" s="236"/>
      <c r="C60" s="236"/>
      <c r="D60" s="236"/>
      <c r="E60" s="236"/>
      <c r="F60" s="236"/>
      <c r="G60" s="236"/>
      <c r="H60" s="236"/>
      <c r="I60" s="236"/>
      <c r="J60" s="236"/>
      <c r="K60" s="236"/>
      <c r="L60" s="236"/>
      <c r="M60" s="236"/>
      <c r="N60" s="236"/>
      <c r="O60" s="236"/>
      <c r="P60" s="236"/>
    </row>
  </sheetData>
  <sheetProtection algorithmName="SHA-512" hashValue="G1MR+De/zPPva8kJr9OzumhvVkS4rmLbQXsAmxqy3lOxNhvuCHgtAp0hQ87L5z1DM47q29bNKJkYJVF17KPd5A==" saltValue="2FdhZ3P/Y/lNebO/aJkP7g==" spinCount="100000" sheet="1" objects="1" scenarios="1"/>
  <mergeCells count="32">
    <mergeCell ref="L56:N56"/>
    <mergeCell ref="E56:H56"/>
    <mergeCell ref="D12:G12"/>
    <mergeCell ref="K12:N12"/>
    <mergeCell ref="C19:O19"/>
    <mergeCell ref="C20:O20"/>
    <mergeCell ref="E42:G42"/>
    <mergeCell ref="E43:G43"/>
    <mergeCell ref="I43:L43"/>
    <mergeCell ref="K42:L42"/>
    <mergeCell ref="C11:O11"/>
    <mergeCell ref="C6:D6"/>
    <mergeCell ref="C7:D7"/>
    <mergeCell ref="C8:D8"/>
    <mergeCell ref="C9:D9"/>
    <mergeCell ref="J7:K7"/>
    <mergeCell ref="J8:K8"/>
    <mergeCell ref="J9:K9"/>
    <mergeCell ref="L6:O6"/>
    <mergeCell ref="L7:O7"/>
    <mergeCell ref="R4:W5"/>
    <mergeCell ref="N3:O3"/>
    <mergeCell ref="L8:O8"/>
    <mergeCell ref="L9:O9"/>
    <mergeCell ref="E7:H7"/>
    <mergeCell ref="E8:H8"/>
    <mergeCell ref="E9:H9"/>
    <mergeCell ref="C2:E4"/>
    <mergeCell ref="F2:K4"/>
    <mergeCell ref="J6:K6"/>
    <mergeCell ref="E6:H6"/>
    <mergeCell ref="N2:O2"/>
  </mergeCells>
  <printOptions horizontalCentered="1" verticalCentered="1"/>
  <pageMargins left="0" right="0" top="0" bottom="0" header="0.31496062992126" footer="0.31496062992126"/>
  <pageSetup paperSize="9" scale="90" orientation="portrait" cellComments="atEnd" r:id="rId1"/>
  <ignoredErrors>
    <ignoredError sqref="M3"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IrMenuPrincipal">
                <anchor>
                  <from>
                    <xdr:col>20</xdr:col>
                    <xdr:colOff>175260</xdr:colOff>
                    <xdr:row>10</xdr:row>
                    <xdr:rowOff>220980</xdr:rowOff>
                  </from>
                  <to>
                    <xdr:col>22</xdr:col>
                    <xdr:colOff>411480</xdr:colOff>
                    <xdr:row>12</xdr:row>
                    <xdr:rowOff>76200</xdr:rowOff>
                  </to>
                </anchor>
              </controlPr>
            </control>
          </mc:Choice>
        </mc:AlternateContent>
        <mc:AlternateContent xmlns:mc="http://schemas.openxmlformats.org/markup-compatibility/2006">
          <mc:Choice Requires="x14">
            <control shapeId="4100" r:id="rId5" name="Button 4">
              <controlPr defaultSize="0" print="0" autoFill="0" autoPict="0" macro="[0]!ImprimirActaRedondos">
                <anchor>
                  <from>
                    <xdr:col>20</xdr:col>
                    <xdr:colOff>144780</xdr:colOff>
                    <xdr:row>6</xdr:row>
                    <xdr:rowOff>76200</xdr:rowOff>
                  </from>
                  <to>
                    <xdr:col>22</xdr:col>
                    <xdr:colOff>388620</xdr:colOff>
                    <xdr:row>8</xdr:row>
                    <xdr:rowOff>45720</xdr:rowOff>
                  </to>
                </anchor>
              </controlPr>
            </control>
          </mc:Choice>
        </mc:AlternateContent>
        <mc:AlternateContent xmlns:mc="http://schemas.openxmlformats.org/markup-compatibility/2006">
          <mc:Choice Requires="x14">
            <control shapeId="4101" r:id="rId6" name="Button 5">
              <controlPr defaultSize="0" print="0" autoFill="0" autoPict="0" macro="[0]!LimpiarActaRedondos">
                <anchor>
                  <from>
                    <xdr:col>20</xdr:col>
                    <xdr:colOff>152400</xdr:colOff>
                    <xdr:row>8</xdr:row>
                    <xdr:rowOff>137160</xdr:rowOff>
                  </from>
                  <to>
                    <xdr:col>22</xdr:col>
                    <xdr:colOff>411480</xdr:colOff>
                    <xdr:row>10</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PROCEDIMIENTOS!$E$2:$E$32</xm:f>
          </x14:formula1>
          <xm:sqref>T13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1"/>
  <dimension ref="A2:R53"/>
  <sheetViews>
    <sheetView showGridLines="0" zoomScale="80" zoomScaleNormal="80" workbookViewId="0"/>
  </sheetViews>
  <sheetFormatPr baseColWidth="10" defaultRowHeight="14.4" x14ac:dyDescent="0.3"/>
  <cols>
    <col min="1" max="1" width="8.5546875" customWidth="1"/>
    <col min="2" max="2" width="1.6640625" customWidth="1"/>
    <col min="3" max="3" width="41.109375" customWidth="1"/>
    <col min="4" max="4" width="12.6640625" customWidth="1"/>
    <col min="5" max="5" width="15.6640625" customWidth="1"/>
    <col min="6" max="6" width="8.109375" bestFit="1" customWidth="1"/>
    <col min="7" max="7" width="4.44140625" customWidth="1"/>
    <col min="8" max="8" width="15.5546875" customWidth="1"/>
    <col min="10" max="10" width="24.6640625" customWidth="1"/>
    <col min="11" max="11" width="1.6640625" customWidth="1"/>
    <col min="12" max="12" width="7" customWidth="1"/>
    <col min="13" max="13" width="2.88671875" customWidth="1"/>
    <col min="14" max="14" width="28.88671875" customWidth="1"/>
    <col min="15" max="15" width="28.5546875" customWidth="1"/>
    <col min="16" max="16" width="3.109375" customWidth="1"/>
    <col min="17" max="17" width="20.88671875" customWidth="1"/>
    <col min="18" max="18" width="2.6640625" customWidth="1"/>
  </cols>
  <sheetData>
    <row r="2" spans="1:18" ht="5.0999999999999996" customHeight="1" x14ac:dyDescent="0.3">
      <c r="A2" s="236"/>
      <c r="B2" s="236"/>
      <c r="C2" s="236"/>
      <c r="D2" s="236"/>
      <c r="E2" s="236"/>
      <c r="F2" s="236"/>
      <c r="G2" s="236"/>
      <c r="H2" s="236"/>
      <c r="I2" s="236"/>
      <c r="J2" s="236"/>
      <c r="K2" s="236"/>
      <c r="L2" s="236"/>
    </row>
    <row r="3" spans="1:18" ht="15.75" customHeight="1" x14ac:dyDescent="0.3">
      <c r="A3" s="236"/>
      <c r="B3" s="236"/>
      <c r="C3" s="946"/>
      <c r="D3" s="949" t="s">
        <v>1058</v>
      </c>
      <c r="E3" s="949"/>
      <c r="F3" s="949"/>
      <c r="G3" s="949"/>
      <c r="H3" s="949"/>
      <c r="I3" s="949"/>
      <c r="J3" s="458" t="s">
        <v>1057</v>
      </c>
      <c r="K3" s="236"/>
      <c r="L3" s="236"/>
    </row>
    <row r="4" spans="1:18" ht="15" customHeight="1" thickBot="1" x14ac:dyDescent="0.35">
      <c r="A4" s="236"/>
      <c r="B4" s="236"/>
      <c r="C4" s="947"/>
      <c r="D4" s="950" t="s">
        <v>1056</v>
      </c>
      <c r="E4" s="950"/>
      <c r="F4" s="950"/>
      <c r="G4" s="950"/>
      <c r="H4" s="950"/>
      <c r="I4" s="950"/>
      <c r="J4" s="458" t="s">
        <v>1055</v>
      </c>
      <c r="K4" s="236"/>
      <c r="L4" s="236"/>
    </row>
    <row r="5" spans="1:18" ht="15" customHeight="1" thickBot="1" x14ac:dyDescent="0.35">
      <c r="A5" s="236"/>
      <c r="B5" s="236"/>
      <c r="C5" s="948"/>
      <c r="D5" s="950"/>
      <c r="E5" s="950"/>
      <c r="F5" s="950"/>
      <c r="G5" s="950"/>
      <c r="H5" s="950"/>
      <c r="I5" s="950"/>
      <c r="J5" s="458" t="s">
        <v>1054</v>
      </c>
      <c r="K5" s="236"/>
      <c r="L5" s="236"/>
      <c r="M5" s="493"/>
      <c r="N5" s="945"/>
      <c r="O5" s="945"/>
      <c r="P5" s="207"/>
      <c r="Q5" s="209"/>
      <c r="R5" s="204"/>
    </row>
    <row r="6" spans="1:18" ht="11.25" customHeight="1" x14ac:dyDescent="0.3">
      <c r="A6" s="236"/>
      <c r="B6" s="236"/>
      <c r="C6" s="236"/>
      <c r="D6" s="236"/>
      <c r="E6" s="236"/>
      <c r="F6" s="236"/>
      <c r="G6" s="236"/>
      <c r="H6" s="236"/>
      <c r="I6" s="236"/>
      <c r="J6" s="236"/>
      <c r="K6" s="236"/>
      <c r="L6" s="236"/>
      <c r="M6" s="494"/>
      <c r="N6" s="937" t="s">
        <v>1079</v>
      </c>
      <c r="O6" s="938"/>
      <c r="P6" s="938"/>
      <c r="Q6" s="939"/>
      <c r="R6" s="205"/>
    </row>
    <row r="7" spans="1:18" s="108" customFormat="1" ht="20.100000000000001" customHeight="1" thickBot="1" x14ac:dyDescent="0.35">
      <c r="C7" s="477" t="s">
        <v>1074</v>
      </c>
      <c r="D7" s="951" t="str">
        <f>IFERROR(INDEX(BDEGENER[],MATCH(O8,BDEGENER[SERIE],0),11),"")</f>
        <v/>
      </c>
      <c r="E7" s="952"/>
      <c r="F7" s="952"/>
      <c r="G7" s="952"/>
      <c r="H7" s="953"/>
      <c r="I7" s="312" t="s">
        <v>940</v>
      </c>
      <c r="J7" s="478"/>
      <c r="M7" s="494"/>
      <c r="N7" s="940"/>
      <c r="O7" s="941"/>
      <c r="P7" s="941"/>
      <c r="Q7" s="942"/>
      <c r="R7" s="206"/>
    </row>
    <row r="8" spans="1:18" s="108" customFormat="1" ht="20.100000000000001" customHeight="1" x14ac:dyDescent="0.3">
      <c r="B8" s="459"/>
      <c r="C8" s="476" t="s">
        <v>1053</v>
      </c>
      <c r="D8" s="236"/>
      <c r="E8" s="236"/>
      <c r="F8" s="236"/>
      <c r="G8" s="236"/>
      <c r="H8" s="236"/>
      <c r="I8" s="236"/>
      <c r="J8" s="236"/>
      <c r="K8" s="236"/>
      <c r="L8"/>
      <c r="M8" s="494"/>
      <c r="N8" s="479" t="s">
        <v>1078</v>
      </c>
      <c r="O8" s="484"/>
      <c r="P8" s="208"/>
      <c r="Q8" s="203"/>
      <c r="R8" s="206"/>
    </row>
    <row r="9" spans="1:18" s="108" customFormat="1" ht="20.100000000000001" customHeight="1" x14ac:dyDescent="0.3">
      <c r="C9" s="477" t="s">
        <v>1052</v>
      </c>
      <c r="D9" s="954" t="str">
        <f>IFERROR(INDEX(BDEGENER[],MATCH(O8,BDEGENER[SERIE],0),26),"")</f>
        <v/>
      </c>
      <c r="E9" s="955"/>
      <c r="F9" s="312" t="s">
        <v>1049</v>
      </c>
      <c r="G9" s="954" t="str">
        <f>IFERROR(INDEX(BDEGENER[],MATCH(O8,BDEGENER[SERIE],0),27),"")</f>
        <v/>
      </c>
      <c r="H9" s="955"/>
      <c r="I9" s="477" t="s">
        <v>1048</v>
      </c>
      <c r="J9" s="456" t="str">
        <f>CONCATENATE(O8)</f>
        <v/>
      </c>
      <c r="M9" s="494"/>
      <c r="N9" s="480" t="s">
        <v>1398</v>
      </c>
      <c r="O9" s="485" t="str">
        <f>IFERROR(INDEX(BDEGENER[],MATCH(O8,BDEGENER[SERIE],0),31),"")</f>
        <v/>
      </c>
      <c r="P9" s="208"/>
      <c r="Q9" s="203"/>
      <c r="R9" s="206"/>
    </row>
    <row r="10" spans="1:18" s="108" customFormat="1" ht="20.100000000000001" customHeight="1" x14ac:dyDescent="0.3">
      <c r="C10" s="477" t="s">
        <v>1051</v>
      </c>
      <c r="D10" s="954" t="str">
        <f>IFERROR(INDEX(BDEGENER[],MATCH(O8,BDEGENER[SERIE],0),34),"")</f>
        <v/>
      </c>
      <c r="E10" s="955"/>
      <c r="F10" s="312" t="s">
        <v>1049</v>
      </c>
      <c r="G10" s="954"/>
      <c r="H10" s="955"/>
      <c r="I10" s="477" t="s">
        <v>1048</v>
      </c>
      <c r="J10" s="457" t="str">
        <f>IFERROR(INDEX(BDEGENER[],MATCH(O8,BDEGENER[SERIE],0),35),"")</f>
        <v/>
      </c>
      <c r="M10" s="494"/>
      <c r="N10" s="480" t="s">
        <v>1399</v>
      </c>
      <c r="O10" s="485" t="str">
        <f>IFERROR(INDEX(BDEGENER[],MATCH(O8,BDEGENER[SERIE],0),53),"")</f>
        <v/>
      </c>
      <c r="P10" s="208"/>
      <c r="Q10" s="203"/>
      <c r="R10" s="206"/>
    </row>
    <row r="11" spans="1:18" s="108" customFormat="1" ht="20.100000000000001" customHeight="1" x14ac:dyDescent="0.3">
      <c r="C11" s="477" t="s">
        <v>1050</v>
      </c>
      <c r="D11" s="954" t="str">
        <f>IFERROR(INDEX(BDEGENER[],MATCH(O8,BDEGENER[SERIE],0),36),"")</f>
        <v/>
      </c>
      <c r="E11" s="955"/>
      <c r="F11" s="312" t="s">
        <v>1049</v>
      </c>
      <c r="G11" s="954"/>
      <c r="H11" s="955"/>
      <c r="I11" s="477" t="s">
        <v>1048</v>
      </c>
      <c r="J11" s="457" t="str">
        <f>IFERROR(INDEX(BDEGENER[],MATCH(O8,BDEGENER[SERIE],0),37),"")</f>
        <v/>
      </c>
      <c r="M11" s="494"/>
      <c r="N11" s="480" t="s">
        <v>1456</v>
      </c>
      <c r="O11" s="485" t="str">
        <f>IFERROR(INDEX(BDEGENER[],MATCH(O8,BDEGENER[SERIE],0),48),"")</f>
        <v/>
      </c>
      <c r="P11" s="208"/>
      <c r="Q11" s="203"/>
      <c r="R11" s="206"/>
    </row>
    <row r="12" spans="1:18" s="108" customFormat="1" ht="20.100000000000001" customHeight="1" thickBot="1" x14ac:dyDescent="0.35">
      <c r="C12" s="477" t="s">
        <v>1047</v>
      </c>
      <c r="D12" s="954" t="str">
        <f>IFERROR(INDEX(BDEGENER[],MATCH(O8,BDEGENER[SERIE],0),28),"")</f>
        <v/>
      </c>
      <c r="E12" s="955"/>
      <c r="F12" s="312" t="s">
        <v>1046</v>
      </c>
      <c r="G12" s="954"/>
      <c r="H12" s="955"/>
      <c r="I12" s="477" t="s">
        <v>985</v>
      </c>
      <c r="J12" s="457"/>
      <c r="M12" s="494"/>
      <c r="N12" s="481" t="s">
        <v>916</v>
      </c>
      <c r="O12" s="497" t="str">
        <f>IFERROR(INDEX(BDEGENER[],MATCH(O8,BDEGENER[SERIE],0),23),"")</f>
        <v/>
      </c>
      <c r="P12" s="208"/>
      <c r="Q12" s="203"/>
      <c r="R12" s="206"/>
    </row>
    <row r="13" spans="1:18" s="108" customFormat="1" ht="9.75" customHeight="1" thickBot="1" x14ac:dyDescent="0.35">
      <c r="B13" s="459"/>
      <c r="C13" s="236"/>
      <c r="D13" s="236"/>
      <c r="E13" s="236"/>
      <c r="F13" s="236"/>
      <c r="G13" s="236"/>
      <c r="H13" s="236"/>
      <c r="I13" s="236"/>
      <c r="J13" s="236"/>
      <c r="K13" s="236"/>
      <c r="L13"/>
      <c r="M13" s="494"/>
      <c r="N13" s="495"/>
      <c r="O13" s="496"/>
      <c r="P13" s="208"/>
      <c r="Q13" s="203"/>
      <c r="R13" s="206"/>
    </row>
    <row r="14" spans="1:18" s="108" customFormat="1" ht="20.100000000000001" customHeight="1" thickBot="1" x14ac:dyDescent="0.35">
      <c r="B14" s="459"/>
      <c r="C14" s="957" t="s">
        <v>1045</v>
      </c>
      <c r="D14" s="958"/>
      <c r="E14" s="959"/>
      <c r="F14" s="959"/>
      <c r="G14" s="959"/>
      <c r="H14" s="949" t="s">
        <v>2</v>
      </c>
      <c r="I14" s="949"/>
      <c r="J14" s="949"/>
      <c r="K14" s="459"/>
      <c r="M14" s="494"/>
      <c r="N14" s="498" t="s">
        <v>985</v>
      </c>
      <c r="O14" s="499" t="s">
        <v>1457</v>
      </c>
      <c r="P14" s="208"/>
      <c r="Q14" s="203"/>
      <c r="R14" s="206"/>
    </row>
    <row r="15" spans="1:18" s="108" customFormat="1" ht="30" customHeight="1" thickBot="1" x14ac:dyDescent="0.35">
      <c r="B15" s="459"/>
      <c r="C15" s="460" t="str">
        <f>IF(VLOOKUP($O$14,Tabla,2,0)=""," ",VLOOKUP($O$14,Tabla,2,0))</f>
        <v xml:space="preserve"> </v>
      </c>
      <c r="D15" s="461"/>
      <c r="E15" s="462"/>
      <c r="F15" s="462"/>
      <c r="G15" s="463"/>
      <c r="H15" s="960"/>
      <c r="I15" s="960"/>
      <c r="J15" s="960"/>
      <c r="K15" s="459"/>
      <c r="M15" s="943"/>
      <c r="N15" s="944"/>
      <c r="O15" s="944"/>
      <c r="P15" s="944"/>
      <c r="Q15" s="210"/>
      <c r="R15" s="211"/>
    </row>
    <row r="16" spans="1:18" s="108" customFormat="1" ht="30" customHeight="1" x14ac:dyDescent="0.3">
      <c r="B16" s="459"/>
      <c r="C16" s="460" t="str">
        <f>IF(VLOOKUP($O$14,Tabla,3,0)=""," ",VLOOKUP($O$14,Tabla,3,0))</f>
        <v xml:space="preserve"> </v>
      </c>
      <c r="D16" s="461"/>
      <c r="E16" s="461"/>
      <c r="F16" s="461"/>
      <c r="G16" s="464"/>
      <c r="H16" s="960"/>
      <c r="I16" s="960"/>
      <c r="J16" s="960"/>
      <c r="K16" s="459"/>
      <c r="N16" s="92"/>
      <c r="O16" s="92"/>
      <c r="P16" s="202"/>
      <c r="Q16" s="92"/>
    </row>
    <row r="17" spans="2:18" s="108" customFormat="1" ht="30" customHeight="1" x14ac:dyDescent="0.3">
      <c r="B17" s="459"/>
      <c r="C17" s="460" t="str">
        <f>IF(VLOOKUP($O$14,Tabla,4,0)=""," ",VLOOKUP($O$14,Tabla,4,0))</f>
        <v xml:space="preserve"> </v>
      </c>
      <c r="D17" s="461"/>
      <c r="E17" s="461"/>
      <c r="F17" s="461"/>
      <c r="G17" s="464"/>
      <c r="H17" s="960"/>
      <c r="I17" s="960"/>
      <c r="J17" s="960"/>
      <c r="K17" s="459"/>
      <c r="N17" s="202"/>
      <c r="O17" s="202"/>
      <c r="P17" s="202"/>
      <c r="Q17" s="202"/>
      <c r="R17"/>
    </row>
    <row r="18" spans="2:18" s="108" customFormat="1" ht="30" customHeight="1" x14ac:dyDescent="0.3">
      <c r="B18" s="459"/>
      <c r="C18" s="460" t="str">
        <f>IF(VLOOKUP($O$14,Tabla,5,0)=""," ",VLOOKUP($O$14,Tabla,5,0))</f>
        <v xml:space="preserve"> </v>
      </c>
      <c r="D18" s="461"/>
      <c r="E18" s="461"/>
      <c r="F18" s="461"/>
      <c r="G18" s="464"/>
      <c r="H18" s="960"/>
      <c r="I18" s="960"/>
      <c r="J18" s="960"/>
      <c r="K18" s="459"/>
      <c r="N18" s="202"/>
      <c r="O18" s="202"/>
      <c r="P18" s="202"/>
      <c r="Q18" s="202"/>
      <c r="R18"/>
    </row>
    <row r="19" spans="2:18" s="108" customFormat="1" ht="30" customHeight="1" x14ac:dyDescent="0.3">
      <c r="B19" s="459"/>
      <c r="C19" s="460" t="str">
        <f>IF(VLOOKUP($O$14,Tabla,6,0)=""," ",VLOOKUP($O$14,Tabla,6,0))</f>
        <v xml:space="preserve"> </v>
      </c>
      <c r="D19" s="461"/>
      <c r="E19" s="461"/>
      <c r="F19" s="461"/>
      <c r="G19" s="464"/>
      <c r="H19" s="960"/>
      <c r="I19" s="960"/>
      <c r="J19" s="960"/>
      <c r="K19" s="459"/>
      <c r="Q19" s="202"/>
      <c r="R19"/>
    </row>
    <row r="20" spans="2:18" s="108" customFormat="1" ht="30" customHeight="1" x14ac:dyDescent="0.3">
      <c r="B20" s="459"/>
      <c r="C20" s="460" t="str">
        <f>IF(VLOOKUP($O$14,Tabla,7,0)=""," ",VLOOKUP($O$14,Tabla,7,0))</f>
        <v xml:space="preserve"> </v>
      </c>
      <c r="D20" s="462"/>
      <c r="E20" s="462"/>
      <c r="F20" s="462"/>
      <c r="G20" s="463"/>
      <c r="H20" s="960"/>
      <c r="I20" s="960"/>
      <c r="J20" s="960"/>
      <c r="K20" s="459"/>
      <c r="R20"/>
    </row>
    <row r="21" spans="2:18" s="108" customFormat="1" ht="30" customHeight="1" x14ac:dyDescent="0.3">
      <c r="B21" s="459"/>
      <c r="C21" s="460" t="str">
        <f>IF(VLOOKUP($O$14,Tabla,8,0)=""," ",VLOOKUP($O$14,Tabla,8,0))</f>
        <v xml:space="preserve"> </v>
      </c>
      <c r="D21" s="461"/>
      <c r="E21" s="461"/>
      <c r="F21" s="461"/>
      <c r="G21" s="464"/>
      <c r="H21" s="960"/>
      <c r="I21" s="960"/>
      <c r="J21" s="960"/>
      <c r="K21" s="459"/>
      <c r="R21"/>
    </row>
    <row r="22" spans="2:18" s="108" customFormat="1" ht="30" customHeight="1" x14ac:dyDescent="0.3">
      <c r="B22" s="459"/>
      <c r="C22" s="460" t="str">
        <f>IF(VLOOKUP($O$14,Tabla,9,0)=""," ",VLOOKUP($O$14,Tabla,9,0))</f>
        <v xml:space="preserve"> </v>
      </c>
      <c r="D22" s="461"/>
      <c r="E22" s="461"/>
      <c r="F22" s="461"/>
      <c r="G22" s="464"/>
      <c r="H22" s="960"/>
      <c r="I22" s="960"/>
      <c r="J22" s="960"/>
      <c r="K22" s="459"/>
      <c r="R22"/>
    </row>
    <row r="23" spans="2:18" s="108" customFormat="1" ht="30" customHeight="1" x14ac:dyDescent="0.3">
      <c r="B23" s="459"/>
      <c r="C23" s="460" t="str">
        <f>IF(VLOOKUP($O$14,Tabla,10,0)=""," ",VLOOKUP($O$14,Tabla,10,0))</f>
        <v xml:space="preserve"> </v>
      </c>
      <c r="D23" s="461"/>
      <c r="E23" s="461"/>
      <c r="F23" s="461"/>
      <c r="G23" s="464"/>
      <c r="H23" s="915"/>
      <c r="I23" s="915"/>
      <c r="J23" s="915"/>
      <c r="K23" s="459"/>
      <c r="R23"/>
    </row>
    <row r="24" spans="2:18" s="108" customFormat="1" ht="30" customHeight="1" x14ac:dyDescent="0.3">
      <c r="B24" s="459"/>
      <c r="C24" s="460" t="str">
        <f>IF(VLOOKUP($O$14,Tabla,11,0)=""," ",VLOOKUP($O$14,Tabla,11,0))</f>
        <v xml:space="preserve"> </v>
      </c>
      <c r="D24" s="461"/>
      <c r="E24" s="461"/>
      <c r="F24" s="461"/>
      <c r="G24" s="464"/>
      <c r="H24" s="960"/>
      <c r="I24" s="960"/>
      <c r="J24" s="960"/>
      <c r="K24" s="459"/>
      <c r="R24"/>
    </row>
    <row r="25" spans="2:18" s="108" customFormat="1" ht="30" customHeight="1" x14ac:dyDescent="0.3">
      <c r="B25" s="459"/>
      <c r="C25" s="460" t="str">
        <f>IF(VLOOKUP($O$14,Tabla,12,0)=""," ",VLOOKUP($O$14,Tabla,12,0))</f>
        <v xml:space="preserve"> </v>
      </c>
      <c r="D25" s="461"/>
      <c r="E25" s="461"/>
      <c r="F25" s="461"/>
      <c r="G25" s="464"/>
      <c r="H25" s="960"/>
      <c r="I25" s="960"/>
      <c r="J25" s="960"/>
      <c r="K25" s="459"/>
      <c r="R25"/>
    </row>
    <row r="26" spans="2:18" s="108" customFormat="1" ht="30" customHeight="1" x14ac:dyDescent="0.3">
      <c r="B26" s="459"/>
      <c r="C26" s="460" t="str">
        <f>IF(VLOOKUP($O$14,Tabla,13,0)=""," ",VLOOKUP($O$14,Tabla,13,0))</f>
        <v xml:space="preserve"> </v>
      </c>
      <c r="D26" s="462"/>
      <c r="E26" s="462"/>
      <c r="F26" s="462"/>
      <c r="G26" s="463"/>
      <c r="H26" s="885"/>
      <c r="I26" s="956"/>
      <c r="J26" s="886"/>
      <c r="K26" s="459"/>
      <c r="R26"/>
    </row>
    <row r="27" spans="2:18" s="108" customFormat="1" ht="30" customHeight="1" x14ac:dyDescent="0.3">
      <c r="B27" s="459"/>
      <c r="C27" s="460" t="str">
        <f>IF(VLOOKUP($O$14,Tabla,14,0)=""," ",VLOOKUP($O$14,Tabla,14,0))</f>
        <v xml:space="preserve"> </v>
      </c>
      <c r="D27" s="462"/>
      <c r="E27" s="462"/>
      <c r="F27" s="462"/>
      <c r="G27" s="463"/>
      <c r="H27" s="885"/>
      <c r="I27" s="956"/>
      <c r="J27" s="886"/>
      <c r="K27" s="459"/>
      <c r="R27"/>
    </row>
    <row r="28" spans="2:18" s="108" customFormat="1" ht="30" customHeight="1" x14ac:dyDescent="0.3">
      <c r="B28" s="459"/>
      <c r="C28" s="465" t="str">
        <f>IF(VLOOKUP($O$14,Tabla,15,0)=""," ",VLOOKUP($O$14,Tabla,15,0))</f>
        <v xml:space="preserve"> </v>
      </c>
      <c r="D28" s="462"/>
      <c r="E28" s="462"/>
      <c r="F28" s="462"/>
      <c r="G28" s="463"/>
      <c r="H28" s="885"/>
      <c r="I28" s="956"/>
      <c r="J28" s="886"/>
      <c r="K28" s="459"/>
      <c r="R28"/>
    </row>
    <row r="29" spans="2:18" s="108" customFormat="1" ht="30" customHeight="1" x14ac:dyDescent="0.3">
      <c r="B29" s="459"/>
      <c r="C29" s="460" t="str">
        <f>IF(VLOOKUP($O$14,Tabla,16,0)=""," ",VLOOKUP($O$14,Tabla,16,0))</f>
        <v xml:space="preserve"> </v>
      </c>
      <c r="D29" s="461"/>
      <c r="E29" s="461"/>
      <c r="F29" s="461"/>
      <c r="G29" s="464"/>
      <c r="H29" s="885"/>
      <c r="I29" s="956"/>
      <c r="J29" s="886"/>
      <c r="K29" s="459"/>
      <c r="R29"/>
    </row>
    <row r="30" spans="2:18" s="108" customFormat="1" ht="30" customHeight="1" x14ac:dyDescent="0.3">
      <c r="B30" s="459"/>
      <c r="C30" s="460" t="str">
        <f>IF(VLOOKUP($O$14,Tabla,17,0)=""," ",VLOOKUP($O$14,Tabla,17,0))</f>
        <v xml:space="preserve"> </v>
      </c>
      <c r="D30" s="462"/>
      <c r="E30" s="462"/>
      <c r="F30" s="462"/>
      <c r="G30" s="463"/>
      <c r="H30" s="885"/>
      <c r="I30" s="956"/>
      <c r="J30" s="886"/>
      <c r="K30" s="459"/>
      <c r="R30"/>
    </row>
    <row r="31" spans="2:18" s="108" customFormat="1" ht="30" customHeight="1" x14ac:dyDescent="0.3">
      <c r="B31" s="459"/>
      <c r="C31" s="460" t="str">
        <f>IF(VLOOKUP($O$14,Tabla,18,0)=""," ",VLOOKUP($O$14,Tabla,18,0))</f>
        <v xml:space="preserve"> </v>
      </c>
      <c r="D31" s="462"/>
      <c r="E31" s="462"/>
      <c r="F31" s="462"/>
      <c r="G31" s="463"/>
      <c r="H31" s="885"/>
      <c r="I31" s="956"/>
      <c r="J31" s="886"/>
      <c r="K31" s="459"/>
      <c r="R31"/>
    </row>
    <row r="32" spans="2:18" s="108" customFormat="1" ht="20.100000000000001" customHeight="1" x14ac:dyDescent="0.3">
      <c r="B32" s="459"/>
      <c r="C32" s="466" t="s">
        <v>1044</v>
      </c>
      <c r="D32" s="467"/>
      <c r="E32" s="467"/>
      <c r="F32" s="468"/>
      <c r="G32" s="468"/>
      <c r="H32" s="468"/>
      <c r="I32" s="468"/>
      <c r="J32" s="468"/>
      <c r="K32" s="459"/>
      <c r="R32"/>
    </row>
    <row r="33" spans="2:18" s="108" customFormat="1" ht="20.100000000000001" customHeight="1" x14ac:dyDescent="0.3">
      <c r="B33" s="459"/>
      <c r="C33" s="469"/>
      <c r="D33" s="467"/>
      <c r="E33" s="467"/>
      <c r="F33" s="468"/>
      <c r="G33" s="468"/>
      <c r="H33" s="468"/>
      <c r="I33" s="468"/>
      <c r="J33" s="468"/>
      <c r="K33" s="459"/>
      <c r="R33"/>
    </row>
    <row r="34" spans="2:18" s="108" customFormat="1" ht="20.100000000000001" customHeight="1" x14ac:dyDescent="0.3">
      <c r="B34" s="459"/>
      <c r="C34" s="470"/>
      <c r="D34" s="470"/>
      <c r="E34" s="470"/>
      <c r="F34" s="471"/>
      <c r="G34" s="471"/>
      <c r="H34" s="471"/>
      <c r="I34" s="471"/>
      <c r="J34" s="471"/>
      <c r="K34" s="459"/>
    </row>
    <row r="35" spans="2:18" s="108" customFormat="1" ht="20.100000000000001" customHeight="1" x14ac:dyDescent="0.3">
      <c r="B35" s="459"/>
      <c r="C35" s="469"/>
      <c r="D35" s="469"/>
      <c r="E35" s="469"/>
      <c r="F35" s="472"/>
      <c r="G35" s="472"/>
      <c r="H35" s="472"/>
      <c r="I35" s="472"/>
      <c r="J35" s="472"/>
      <c r="K35" s="459"/>
    </row>
    <row r="36" spans="2:18" s="108" customFormat="1" ht="20.100000000000001" customHeight="1" x14ac:dyDescent="0.3">
      <c r="B36" s="459"/>
      <c r="C36" s="469"/>
      <c r="D36" s="469"/>
      <c r="E36" s="469"/>
      <c r="F36" s="472"/>
      <c r="G36" s="472"/>
      <c r="H36" s="472"/>
      <c r="I36" s="472"/>
      <c r="J36" s="472"/>
      <c r="K36" s="459"/>
    </row>
    <row r="37" spans="2:18" s="108" customFormat="1" ht="20.100000000000001" customHeight="1" x14ac:dyDescent="0.3">
      <c r="B37" s="459"/>
      <c r="C37" s="470"/>
      <c r="D37" s="470"/>
      <c r="E37" s="470"/>
      <c r="F37" s="471"/>
      <c r="G37" s="471"/>
      <c r="H37" s="471"/>
      <c r="I37" s="471"/>
      <c r="J37" s="471"/>
      <c r="K37" s="459"/>
    </row>
    <row r="38" spans="2:18" s="108" customFormat="1" ht="20.100000000000001" customHeight="1" x14ac:dyDescent="0.3">
      <c r="B38" s="459"/>
      <c r="C38" s="467"/>
      <c r="D38" s="467"/>
      <c r="E38" s="467"/>
      <c r="F38" s="468"/>
      <c r="G38" s="468"/>
      <c r="H38" s="468"/>
      <c r="I38" s="468"/>
      <c r="J38" s="468"/>
      <c r="K38" s="459"/>
    </row>
    <row r="39" spans="2:18" s="108" customFormat="1" ht="20.100000000000001" customHeight="1" x14ac:dyDescent="0.3">
      <c r="B39" s="459"/>
      <c r="C39" s="466" t="s">
        <v>949</v>
      </c>
      <c r="D39" s="467"/>
      <c r="E39" s="467"/>
      <c r="F39" s="468"/>
      <c r="G39" s="468"/>
      <c r="H39" s="468"/>
      <c r="I39" s="468"/>
      <c r="J39" s="468"/>
      <c r="K39" s="459"/>
    </row>
    <row r="40" spans="2:18" s="108" customFormat="1" ht="20.100000000000001" customHeight="1" x14ac:dyDescent="0.3">
      <c r="B40" s="459"/>
      <c r="C40" s="469"/>
      <c r="D40" s="469"/>
      <c r="E40" s="469"/>
      <c r="F40" s="469"/>
      <c r="G40" s="469"/>
      <c r="H40" s="469"/>
      <c r="I40" s="469"/>
      <c r="J40" s="469"/>
      <c r="K40" s="459"/>
    </row>
    <row r="41" spans="2:18" s="108" customFormat="1" ht="20.100000000000001" customHeight="1" x14ac:dyDescent="0.3">
      <c r="B41" s="459"/>
      <c r="C41" s="470"/>
      <c r="D41" s="470"/>
      <c r="E41" s="470"/>
      <c r="F41" s="470"/>
      <c r="G41" s="470"/>
      <c r="H41" s="470"/>
      <c r="I41" s="470"/>
      <c r="J41" s="470"/>
      <c r="K41" s="459"/>
    </row>
    <row r="42" spans="2:18" s="108" customFormat="1" ht="20.100000000000001" customHeight="1" x14ac:dyDescent="0.3">
      <c r="B42" s="459"/>
      <c r="C42" s="469"/>
      <c r="D42" s="469"/>
      <c r="E42" s="469"/>
      <c r="F42" s="469"/>
      <c r="G42" s="469"/>
      <c r="H42" s="469"/>
      <c r="I42" s="469"/>
      <c r="J42" s="469"/>
      <c r="K42" s="459"/>
      <c r="M42"/>
      <c r="N42"/>
      <c r="O42"/>
      <c r="P42"/>
    </row>
    <row r="43" spans="2:18" s="108" customFormat="1" ht="20.100000000000001" customHeight="1" x14ac:dyDescent="0.3">
      <c r="B43" s="459"/>
      <c r="C43" s="469"/>
      <c r="D43" s="469"/>
      <c r="E43" s="469"/>
      <c r="F43" s="472"/>
      <c r="G43" s="472"/>
      <c r="H43" s="472"/>
      <c r="I43" s="472"/>
      <c r="J43" s="472"/>
      <c r="K43" s="459"/>
      <c r="M43"/>
      <c r="N43"/>
      <c r="O43"/>
      <c r="P43"/>
      <c r="Q43"/>
    </row>
    <row r="44" spans="2:18" s="108" customFormat="1" ht="20.100000000000001" customHeight="1" x14ac:dyDescent="0.3">
      <c r="B44" s="459"/>
      <c r="C44" s="470"/>
      <c r="D44" s="470"/>
      <c r="E44" s="470"/>
      <c r="F44" s="471"/>
      <c r="G44" s="471"/>
      <c r="H44" s="471"/>
      <c r="I44" s="471"/>
      <c r="J44" s="471"/>
      <c r="K44" s="459"/>
      <c r="M44"/>
      <c r="N44"/>
      <c r="O44"/>
      <c r="P44"/>
      <c r="Q44"/>
    </row>
    <row r="45" spans="2:18" s="108" customFormat="1" ht="20.100000000000001" customHeight="1" x14ac:dyDescent="0.3">
      <c r="B45" s="459"/>
      <c r="C45" s="467"/>
      <c r="D45" s="467"/>
      <c r="E45" s="467"/>
      <c r="F45" s="467"/>
      <c r="G45" s="467"/>
      <c r="H45" s="467"/>
      <c r="I45" s="467"/>
      <c r="J45" s="467"/>
      <c r="K45" s="459"/>
      <c r="M45"/>
      <c r="N45"/>
      <c r="O45"/>
      <c r="P45"/>
      <c r="Q45"/>
    </row>
    <row r="46" spans="2:18" ht="20.100000000000001" customHeight="1" x14ac:dyDescent="0.3">
      <c r="B46" s="236"/>
      <c r="C46" s="473" t="s">
        <v>1043</v>
      </c>
      <c r="D46" s="236"/>
      <c r="E46" s="236"/>
      <c r="F46" s="236"/>
      <c r="G46" s="236"/>
      <c r="H46" s="236"/>
      <c r="I46" s="236"/>
      <c r="J46" s="236"/>
      <c r="K46" s="236"/>
      <c r="M46" s="108"/>
      <c r="N46" s="108"/>
      <c r="O46" s="108"/>
      <c r="P46" s="108"/>
      <c r="R46" s="108"/>
    </row>
    <row r="47" spans="2:18" ht="20.100000000000001" customHeight="1" x14ac:dyDescent="0.3">
      <c r="B47" s="236"/>
      <c r="C47" s="459"/>
      <c r="D47" s="236"/>
      <c r="E47" s="236"/>
      <c r="F47" s="236"/>
      <c r="G47" s="236"/>
      <c r="H47" s="236"/>
      <c r="I47" s="236"/>
      <c r="J47" s="236"/>
      <c r="K47" s="236"/>
      <c r="M47" s="108"/>
      <c r="N47" s="108"/>
      <c r="O47" s="108"/>
      <c r="P47" s="108"/>
      <c r="Q47" s="108"/>
      <c r="R47" s="108"/>
    </row>
    <row r="48" spans="2:18" ht="20.100000000000001" customHeight="1" x14ac:dyDescent="0.3">
      <c r="B48" s="236"/>
      <c r="C48" s="459"/>
      <c r="D48" s="236"/>
      <c r="E48" s="236"/>
      <c r="F48" s="236"/>
      <c r="G48" s="236"/>
      <c r="H48" s="236"/>
      <c r="I48" s="236"/>
      <c r="J48" s="236"/>
      <c r="K48" s="236"/>
      <c r="Q48" s="108"/>
    </row>
    <row r="49" spans="2:18" ht="20.100000000000001" customHeight="1" x14ac:dyDescent="0.3">
      <c r="B49" s="236"/>
      <c r="C49" s="459"/>
      <c r="D49" s="236"/>
      <c r="E49" s="236"/>
      <c r="F49" s="236"/>
      <c r="G49" s="236"/>
      <c r="H49" s="236"/>
      <c r="I49" s="236"/>
      <c r="J49" s="236"/>
      <c r="K49" s="236"/>
    </row>
    <row r="50" spans="2:18" s="108" customFormat="1" ht="20.100000000000001" customHeight="1" x14ac:dyDescent="0.3">
      <c r="B50" s="459"/>
      <c r="C50" s="236"/>
      <c r="D50" s="236"/>
      <c r="E50" s="236"/>
      <c r="F50" s="236"/>
      <c r="G50" s="236"/>
      <c r="H50" s="236"/>
      <c r="I50" s="236"/>
      <c r="J50" s="236"/>
      <c r="K50" s="459"/>
      <c r="M50"/>
      <c r="N50"/>
      <c r="O50"/>
      <c r="P50"/>
      <c r="Q50"/>
      <c r="R50"/>
    </row>
    <row r="51" spans="2:18" s="108" customFormat="1" ht="20.100000000000001" customHeight="1" x14ac:dyDescent="0.35">
      <c r="B51" s="459"/>
      <c r="C51" s="474" t="s">
        <v>994</v>
      </c>
      <c r="D51" s="459"/>
      <c r="E51" s="236"/>
      <c r="F51" s="236"/>
      <c r="G51" s="236"/>
      <c r="H51" s="253"/>
      <c r="I51" s="475" t="s">
        <v>1042</v>
      </c>
      <c r="J51" s="475"/>
      <c r="K51" s="459"/>
      <c r="M51"/>
      <c r="N51"/>
      <c r="O51"/>
      <c r="P51"/>
      <c r="Q51"/>
      <c r="R51"/>
    </row>
    <row r="52" spans="2:18" x14ac:dyDescent="0.3">
      <c r="R52" s="108"/>
    </row>
    <row r="53" spans="2:18" x14ac:dyDescent="0.3">
      <c r="R53" s="108"/>
    </row>
  </sheetData>
  <sheetProtection algorithmName="SHA-512" hashValue="Mbc5w2ZXk1MrZEEQEKjVjG7iTMnCTL7cxEyL798N4GBMSn6lXGdYkCcBQ0VedYRk0xEbueSy8RDaMiB3s0K/TQ==" saltValue="/8c4wJCpoZiLkDM9w/8pNg==" spinCount="100000" sheet="1" objects="1" scenarios="1"/>
  <mergeCells count="34">
    <mergeCell ref="H27:J27"/>
    <mergeCell ref="H28:J28"/>
    <mergeCell ref="H29:J29"/>
    <mergeCell ref="H30:J30"/>
    <mergeCell ref="H31:J31"/>
    <mergeCell ref="H26:J26"/>
    <mergeCell ref="C14:G14"/>
    <mergeCell ref="H24:J24"/>
    <mergeCell ref="H25:J25"/>
    <mergeCell ref="H18:J18"/>
    <mergeCell ref="H19:J19"/>
    <mergeCell ref="H20:J20"/>
    <mergeCell ref="H21:J21"/>
    <mergeCell ref="H22:J22"/>
    <mergeCell ref="H23:J23"/>
    <mergeCell ref="H17:J17"/>
    <mergeCell ref="H15:J15"/>
    <mergeCell ref="H16:J16"/>
    <mergeCell ref="H14:J14"/>
    <mergeCell ref="N6:Q7"/>
    <mergeCell ref="M15:P15"/>
    <mergeCell ref="N5:O5"/>
    <mergeCell ref="C3:C5"/>
    <mergeCell ref="D3:I3"/>
    <mergeCell ref="D4:I5"/>
    <mergeCell ref="D7:H7"/>
    <mergeCell ref="D9:E9"/>
    <mergeCell ref="D10:E10"/>
    <mergeCell ref="D11:E11"/>
    <mergeCell ref="D12:E12"/>
    <mergeCell ref="G9:H9"/>
    <mergeCell ref="G10:H10"/>
    <mergeCell ref="G11:H11"/>
    <mergeCell ref="G12:H12"/>
  </mergeCells>
  <printOptions horizontalCentered="1" verticalCentered="1"/>
  <pageMargins left="0" right="0" top="0" bottom="0" header="0.31496062992126" footer="0.31496062992126"/>
  <pageSetup paperSize="9" scale="7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rMenuPrincipal">
                <anchor>
                  <from>
                    <xdr:col>16</xdr:col>
                    <xdr:colOff>0</xdr:colOff>
                    <xdr:row>10</xdr:row>
                    <xdr:rowOff>144780</xdr:rowOff>
                  </from>
                  <to>
                    <xdr:col>17</xdr:col>
                    <xdr:colOff>0</xdr:colOff>
                    <xdr:row>11</xdr:row>
                    <xdr:rowOff>236220</xdr:rowOff>
                  </to>
                </anchor>
              </controlPr>
            </control>
          </mc:Choice>
        </mc:AlternateContent>
        <mc:AlternateContent xmlns:mc="http://schemas.openxmlformats.org/markup-compatibility/2006">
          <mc:Choice Requires="x14">
            <control shapeId="5123" r:id="rId5" name="Button 3">
              <controlPr defaultSize="0" print="0" autoFill="0" autoPict="0" macro="[0]!LimpiarActaEgener">
                <anchor moveWithCells="1" sizeWithCells="1">
                  <from>
                    <xdr:col>15</xdr:col>
                    <xdr:colOff>198120</xdr:colOff>
                    <xdr:row>9</xdr:row>
                    <xdr:rowOff>0</xdr:rowOff>
                  </from>
                  <to>
                    <xdr:col>17</xdr:col>
                    <xdr:colOff>0</xdr:colOff>
                    <xdr:row>10</xdr:row>
                    <xdr:rowOff>99060</xdr:rowOff>
                  </to>
                </anchor>
              </controlPr>
            </control>
          </mc:Choice>
        </mc:AlternateContent>
        <mc:AlternateContent xmlns:mc="http://schemas.openxmlformats.org/markup-compatibility/2006">
          <mc:Choice Requires="x14">
            <control shapeId="5124" r:id="rId6" name="Button 4">
              <controlPr defaultSize="0" print="0" autoFill="0" autoPict="0" macro="[0]!ImprimirActaGeneralEgener">
                <anchor moveWithCells="1" sizeWithCells="1">
                  <from>
                    <xdr:col>15</xdr:col>
                    <xdr:colOff>198120</xdr:colOff>
                    <xdr:row>7</xdr:row>
                    <xdr:rowOff>106680</xdr:rowOff>
                  </from>
                  <to>
                    <xdr:col>17</xdr:col>
                    <xdr:colOff>0</xdr:colOff>
                    <xdr:row>8</xdr:row>
                    <xdr:rowOff>198120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PROCEDIMIENTOS!$E$2:$E$32</xm:f>
          </x14:formula1>
          <xm:sqref>O14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8"/>
  <dimension ref="A1:S73"/>
  <sheetViews>
    <sheetView showGridLines="0" zoomScale="80" zoomScaleNormal="80" workbookViewId="0"/>
  </sheetViews>
  <sheetFormatPr baseColWidth="10" defaultRowHeight="14.4" x14ac:dyDescent="0.3"/>
  <cols>
    <col min="1" max="1" width="7.109375" customWidth="1"/>
    <col min="2" max="2" width="2.88671875" customWidth="1"/>
    <col min="3" max="3" width="12.33203125" customWidth="1"/>
    <col min="4" max="4" width="18.6640625" customWidth="1"/>
    <col min="5" max="5" width="4.88671875" customWidth="1"/>
    <col min="6" max="6" width="12" customWidth="1"/>
    <col min="7" max="7" width="12.5546875" customWidth="1"/>
    <col min="8" max="8" width="13.6640625" customWidth="1"/>
    <col min="9" max="9" width="10.33203125" customWidth="1"/>
    <col min="10" max="10" width="13.109375" customWidth="1"/>
    <col min="11" max="11" width="10.6640625" customWidth="1"/>
    <col min="12" max="12" width="5" customWidth="1"/>
    <col min="14" max="14" width="5.109375" customWidth="1"/>
    <col min="15" max="15" width="27.5546875" customWidth="1"/>
    <col min="16" max="16" width="32.6640625" customWidth="1"/>
    <col min="19" max="19" width="4" customWidth="1"/>
  </cols>
  <sheetData>
    <row r="1" spans="1:19" x14ac:dyDescent="0.3">
      <c r="A1" s="236"/>
      <c r="B1" s="236"/>
      <c r="C1" s="236"/>
      <c r="D1" s="236"/>
      <c r="E1" s="236"/>
      <c r="F1" s="236"/>
      <c r="G1" s="236"/>
      <c r="H1" s="236"/>
      <c r="I1" s="236"/>
      <c r="J1" s="236"/>
      <c r="K1" s="236"/>
      <c r="L1" s="236"/>
      <c r="M1" s="236"/>
    </row>
    <row r="2" spans="1:19" x14ac:dyDescent="0.3">
      <c r="A2" s="236"/>
      <c r="B2" s="236"/>
      <c r="C2" s="236"/>
      <c r="D2" s="236"/>
      <c r="E2" s="236"/>
      <c r="F2" s="236"/>
      <c r="G2" s="236"/>
      <c r="H2" s="236"/>
      <c r="I2" s="236"/>
      <c r="J2" s="236"/>
      <c r="K2" s="236"/>
      <c r="L2" s="236"/>
      <c r="M2" s="236"/>
    </row>
    <row r="3" spans="1:19" x14ac:dyDescent="0.3">
      <c r="A3" s="236"/>
      <c r="B3" s="236"/>
      <c r="C3" s="236"/>
      <c r="D3" s="236"/>
      <c r="E3" s="236"/>
      <c r="F3" s="236"/>
      <c r="G3" s="236"/>
      <c r="H3" s="236"/>
      <c r="I3" s="236"/>
      <c r="J3" s="236"/>
      <c r="K3" s="236"/>
      <c r="L3" s="236"/>
      <c r="M3" s="236"/>
    </row>
    <row r="4" spans="1:19" ht="15" thickBot="1" x14ac:dyDescent="0.35">
      <c r="A4" s="236"/>
      <c r="B4" s="236"/>
      <c r="C4" s="236"/>
      <c r="D4" s="236"/>
      <c r="E4" s="236"/>
      <c r="F4" s="236"/>
      <c r="G4" s="236"/>
      <c r="H4" s="236"/>
      <c r="I4" s="236"/>
      <c r="J4" s="236"/>
      <c r="K4" s="236"/>
      <c r="L4" s="236"/>
      <c r="M4" s="236"/>
    </row>
    <row r="5" spans="1:19" ht="18.600000000000001" thickBot="1" x14ac:dyDescent="0.4">
      <c r="A5" s="236"/>
      <c r="B5" s="236"/>
      <c r="C5" s="329"/>
      <c r="D5" s="329"/>
      <c r="E5" s="330" t="s">
        <v>1603</v>
      </c>
      <c r="F5" s="330"/>
      <c r="G5" s="330"/>
      <c r="H5" s="330"/>
      <c r="I5" s="329"/>
      <c r="J5" s="329"/>
      <c r="K5" s="236"/>
      <c r="L5" s="237"/>
      <c r="M5" s="236"/>
      <c r="N5" s="961" t="s">
        <v>1079</v>
      </c>
      <c r="O5" s="962"/>
      <c r="P5" s="962"/>
      <c r="Q5" s="962"/>
      <c r="R5" s="962"/>
      <c r="S5" s="963"/>
    </row>
    <row r="6" spans="1:19" ht="15" thickBot="1" x14ac:dyDescent="0.35">
      <c r="A6" s="236"/>
      <c r="B6" s="236"/>
      <c r="C6" s="236"/>
      <c r="D6" s="236"/>
      <c r="E6" s="236"/>
      <c r="F6" s="236"/>
      <c r="G6" s="236"/>
      <c r="H6" s="236"/>
      <c r="I6" s="236"/>
      <c r="J6" s="236"/>
      <c r="K6" s="236"/>
      <c r="L6" s="237"/>
      <c r="M6" s="236"/>
      <c r="N6" s="964"/>
      <c r="O6" s="965"/>
      <c r="P6" s="965"/>
      <c r="Q6" s="965"/>
      <c r="R6" s="965"/>
      <c r="S6" s="966"/>
    </row>
    <row r="7" spans="1:19" ht="17.399999999999999" x14ac:dyDescent="0.35">
      <c r="A7" s="236"/>
      <c r="B7" s="331" t="s">
        <v>1605</v>
      </c>
      <c r="C7" s="236"/>
      <c r="D7" s="972" t="s">
        <v>1329</v>
      </c>
      <c r="E7" s="972"/>
      <c r="F7" s="972"/>
      <c r="G7" s="236"/>
      <c r="H7" s="236"/>
      <c r="I7" s="971"/>
      <c r="J7" s="971"/>
      <c r="K7" s="971"/>
      <c r="L7" s="237"/>
      <c r="N7" s="488"/>
      <c r="O7" s="487"/>
      <c r="P7" s="487"/>
      <c r="Q7" s="487"/>
      <c r="R7" s="487"/>
      <c r="S7" s="489"/>
    </row>
    <row r="8" spans="1:19" ht="20.100000000000001" customHeight="1" x14ac:dyDescent="0.35">
      <c r="A8" s="236"/>
      <c r="B8" s="332" t="s">
        <v>1639</v>
      </c>
      <c r="C8" s="236"/>
      <c r="D8" s="973">
        <v>20549680942</v>
      </c>
      <c r="E8" s="973"/>
      <c r="F8" s="973"/>
      <c r="G8" s="236"/>
      <c r="H8" s="236"/>
      <c r="I8" s="745"/>
      <c r="J8" s="745"/>
      <c r="K8" s="745"/>
      <c r="L8" s="237"/>
      <c r="N8" s="482"/>
      <c r="O8" s="483" t="s">
        <v>1078</v>
      </c>
      <c r="P8" s="500"/>
      <c r="Q8" s="487"/>
      <c r="R8" s="487"/>
      <c r="S8" s="489"/>
    </row>
    <row r="9" spans="1:19" ht="17.399999999999999" x14ac:dyDescent="0.35">
      <c r="A9" s="236"/>
      <c r="B9" s="331" t="s">
        <v>1640</v>
      </c>
      <c r="C9" s="236"/>
      <c r="D9" s="968" t="s">
        <v>2360</v>
      </c>
      <c r="E9" s="968"/>
      <c r="F9" s="968"/>
      <c r="G9" s="968"/>
      <c r="H9" s="968"/>
      <c r="I9" s="236"/>
      <c r="J9" s="236"/>
      <c r="K9" s="236"/>
      <c r="L9" s="237"/>
      <c r="N9" s="482"/>
      <c r="O9" s="483" t="s">
        <v>1138</v>
      </c>
      <c r="P9" s="500" t="str">
        <f>IFERROR(INDEX(BDEGENER[],MATCH(P8,BDEGENER[SERIE],0),53),"")</f>
        <v/>
      </c>
      <c r="Q9" s="487"/>
      <c r="R9" s="487"/>
      <c r="S9" s="489"/>
    </row>
    <row r="10" spans="1:19" x14ac:dyDescent="0.3">
      <c r="A10" s="236"/>
      <c r="B10" s="236"/>
      <c r="C10" s="236"/>
      <c r="D10" s="236"/>
      <c r="E10" s="236"/>
      <c r="F10" s="236"/>
      <c r="G10" s="236"/>
      <c r="H10" s="236"/>
      <c r="I10" s="236"/>
      <c r="J10" s="236"/>
      <c r="K10" s="236"/>
      <c r="L10" s="237"/>
      <c r="M10" s="236"/>
      <c r="N10" s="482"/>
      <c r="O10" s="483" t="s">
        <v>1656</v>
      </c>
      <c r="P10" s="500" t="str">
        <f>IFERROR(INDEX(BDEGENER[],MATCH(P8,BDEGENER[SERIE],0),48),"")</f>
        <v/>
      </c>
      <c r="Q10" s="487"/>
      <c r="R10" s="487"/>
      <c r="S10" s="489"/>
    </row>
    <row r="11" spans="1:19" ht="15.6" x14ac:dyDescent="0.3">
      <c r="A11" s="236"/>
      <c r="B11" s="238" t="s">
        <v>1606</v>
      </c>
      <c r="C11" s="236"/>
      <c r="D11" s="236"/>
      <c r="E11" s="236"/>
      <c r="F11" s="244" t="s">
        <v>1607</v>
      </c>
      <c r="G11" s="244" t="s">
        <v>2363</v>
      </c>
      <c r="H11" s="244" t="s">
        <v>1608</v>
      </c>
      <c r="I11" s="236"/>
      <c r="J11" s="236"/>
      <c r="K11" s="236"/>
      <c r="L11" s="237"/>
      <c r="M11" s="236"/>
      <c r="N11" s="482"/>
      <c r="O11" s="483" t="s">
        <v>916</v>
      </c>
      <c r="P11" s="501" t="str">
        <f>IFERROR(INDEX(BDEGENER[],MATCH(P8,BDEGENER[SERIE],0),23),"")</f>
        <v/>
      </c>
      <c r="Q11" s="487"/>
      <c r="R11" s="487"/>
      <c r="S11" s="489"/>
    </row>
    <row r="12" spans="1:19" x14ac:dyDescent="0.3">
      <c r="A12" s="236"/>
      <c r="B12" s="236"/>
      <c r="C12" s="236"/>
      <c r="D12" s="236"/>
      <c r="E12" s="236"/>
      <c r="F12" s="236"/>
      <c r="G12" s="236"/>
      <c r="H12" s="236"/>
      <c r="I12" s="236"/>
      <c r="J12" s="236"/>
      <c r="K12" s="236"/>
      <c r="L12" s="237"/>
      <c r="M12" s="236"/>
      <c r="N12" s="482"/>
      <c r="O12" s="483" t="s">
        <v>24</v>
      </c>
      <c r="P12" s="486" t="s">
        <v>1457</v>
      </c>
      <c r="Q12" s="487"/>
      <c r="R12" s="487"/>
      <c r="S12" s="489"/>
    </row>
    <row r="13" spans="1:19" ht="15.6" x14ac:dyDescent="0.3">
      <c r="A13" s="236"/>
      <c r="B13" s="238" t="s">
        <v>1621</v>
      </c>
      <c r="C13" s="236"/>
      <c r="D13" s="236"/>
      <c r="E13" s="245" t="s">
        <v>1620</v>
      </c>
      <c r="F13" s="747"/>
      <c r="G13" s="747"/>
      <c r="H13" s="747"/>
      <c r="I13" s="749"/>
      <c r="J13" s="749"/>
      <c r="K13" s="749"/>
      <c r="L13" s="237"/>
      <c r="M13" s="236"/>
      <c r="N13" s="488"/>
      <c r="O13" s="487"/>
      <c r="P13" s="487"/>
      <c r="Q13" s="487"/>
      <c r="R13" s="487"/>
      <c r="S13" s="489"/>
    </row>
    <row r="14" spans="1:19" ht="16.2" thickBot="1" x14ac:dyDescent="0.35">
      <c r="A14" s="236"/>
      <c r="B14" s="238" t="s">
        <v>1622</v>
      </c>
      <c r="C14" s="236"/>
      <c r="D14" s="236"/>
      <c r="E14" s="245" t="s">
        <v>1620</v>
      </c>
      <c r="F14" s="748"/>
      <c r="G14" s="748"/>
      <c r="H14" s="748"/>
      <c r="I14" s="749"/>
      <c r="J14" s="749"/>
      <c r="K14" s="749"/>
      <c r="L14" s="237"/>
      <c r="M14" s="236"/>
      <c r="N14" s="490"/>
      <c r="O14" s="491"/>
      <c r="P14" s="491"/>
      <c r="Q14" s="491"/>
      <c r="R14" s="491"/>
      <c r="S14" s="492"/>
    </row>
    <row r="15" spans="1:19" ht="15.6" x14ac:dyDescent="0.3">
      <c r="A15" s="236"/>
      <c r="B15" s="238" t="s">
        <v>1609</v>
      </c>
      <c r="C15" s="236"/>
      <c r="D15" s="236"/>
      <c r="E15" s="245" t="s">
        <v>1620</v>
      </c>
      <c r="F15" s="748"/>
      <c r="G15" s="748"/>
      <c r="H15" s="748"/>
      <c r="I15" s="749"/>
      <c r="J15" s="749"/>
      <c r="K15" s="749"/>
      <c r="L15" s="237"/>
      <c r="M15" s="236"/>
    </row>
    <row r="16" spans="1:19" ht="15.6" x14ac:dyDescent="0.3">
      <c r="A16" s="236"/>
      <c r="B16" s="238" t="s">
        <v>1623</v>
      </c>
      <c r="C16" s="236"/>
      <c r="D16" s="236"/>
      <c r="E16" s="245" t="s">
        <v>1620</v>
      </c>
      <c r="F16" s="748"/>
      <c r="G16" s="748"/>
      <c r="H16" s="748"/>
      <c r="I16" s="749"/>
      <c r="J16" s="749"/>
      <c r="K16" s="749"/>
      <c r="L16" s="237"/>
      <c r="M16" s="236"/>
    </row>
    <row r="17" spans="1:13" ht="15.6" x14ac:dyDescent="0.3">
      <c r="A17" s="236"/>
      <c r="B17" s="238" t="s">
        <v>1624</v>
      </c>
      <c r="C17" s="236"/>
      <c r="D17" s="236"/>
      <c r="E17" s="245" t="s">
        <v>1620</v>
      </c>
      <c r="F17" s="748"/>
      <c r="G17" s="748"/>
      <c r="H17" s="748"/>
      <c r="I17" s="749"/>
      <c r="J17" s="749"/>
      <c r="K17" s="749"/>
      <c r="L17" s="237"/>
      <c r="M17" s="236"/>
    </row>
    <row r="18" spans="1:13" ht="15.6" x14ac:dyDescent="0.3">
      <c r="A18" s="236"/>
      <c r="B18" s="238"/>
      <c r="C18" s="236"/>
      <c r="D18" s="236"/>
      <c r="E18" s="245"/>
      <c r="F18" s="746"/>
      <c r="G18" s="746"/>
      <c r="H18" s="746"/>
      <c r="I18" s="746"/>
      <c r="J18" s="746"/>
      <c r="K18" s="746"/>
      <c r="L18" s="237"/>
      <c r="M18" s="236"/>
    </row>
    <row r="19" spans="1:13" ht="15.6" x14ac:dyDescent="0.3">
      <c r="A19" s="236"/>
      <c r="B19" s="974" t="s">
        <v>2361</v>
      </c>
      <c r="C19" s="974"/>
      <c r="D19" s="974"/>
      <c r="E19" s="974"/>
      <c r="F19" s="743"/>
      <c r="G19" s="743" t="s">
        <v>2362</v>
      </c>
      <c r="H19" s="743" t="s">
        <v>2362</v>
      </c>
      <c r="I19" s="746"/>
      <c r="J19" s="746"/>
      <c r="K19" s="746"/>
      <c r="L19" s="237"/>
      <c r="M19" s="236"/>
    </row>
    <row r="20" spans="1:13" x14ac:dyDescent="0.3">
      <c r="A20" s="236"/>
      <c r="B20" s="236"/>
      <c r="C20" s="236"/>
      <c r="D20" s="236"/>
      <c r="E20" s="236"/>
      <c r="F20" s="236"/>
      <c r="G20" s="236"/>
      <c r="H20" s="236"/>
      <c r="I20" s="237"/>
      <c r="J20" s="237"/>
      <c r="K20" s="236"/>
      <c r="L20" s="237"/>
      <c r="M20" s="236"/>
    </row>
    <row r="21" spans="1:13" x14ac:dyDescent="0.3">
      <c r="A21" s="236"/>
      <c r="B21" s="246" t="s">
        <v>1655</v>
      </c>
      <c r="C21" s="236"/>
      <c r="D21" s="236"/>
      <c r="E21" s="236"/>
      <c r="F21" s="236"/>
      <c r="G21" s="236"/>
      <c r="H21" s="236"/>
      <c r="I21" s="236"/>
      <c r="J21" s="236"/>
      <c r="K21" s="236"/>
      <c r="L21" s="237"/>
      <c r="M21" s="236"/>
    </row>
    <row r="22" spans="1:13" ht="15.6" x14ac:dyDescent="0.3">
      <c r="A22" s="236"/>
      <c r="B22" s="244" t="s">
        <v>1604</v>
      </c>
      <c r="C22" s="236"/>
      <c r="D22" s="236"/>
      <c r="E22" s="236"/>
      <c r="F22" s="236"/>
      <c r="G22" s="236"/>
      <c r="H22" s="236"/>
      <c r="I22" s="236"/>
      <c r="J22" s="236"/>
      <c r="K22" s="236"/>
      <c r="L22" s="237"/>
      <c r="M22" s="236"/>
    </row>
    <row r="23" spans="1:13" ht="15.6" x14ac:dyDescent="0.3">
      <c r="B23" s="354" t="str">
        <f>IF(VLOOKUP($P$12,Tabla,2,0)=""," ",VLOOKUP($P$12,Tabla,2,0))</f>
        <v xml:space="preserve"> </v>
      </c>
      <c r="C23" s="355"/>
      <c r="D23" s="355"/>
      <c r="E23" s="355"/>
      <c r="F23" s="355"/>
      <c r="G23" s="355"/>
      <c r="H23" s="355"/>
      <c r="I23" s="355"/>
      <c r="J23" s="356"/>
      <c r="K23" s="403" t="str">
        <f>IF(B23="Chequeo del nivel de refrigerante","[_____]","")</f>
        <v/>
      </c>
      <c r="L23" s="273"/>
    </row>
    <row r="24" spans="1:13" ht="15.6" x14ac:dyDescent="0.3">
      <c r="B24" s="357" t="str">
        <f>IF(VLOOKUP($P$12,Tabla,3,0)=""," ",VLOOKUP($P$12,Tabla,3,0))</f>
        <v xml:space="preserve"> </v>
      </c>
      <c r="C24" s="358"/>
      <c r="D24" s="358"/>
      <c r="E24" s="358"/>
      <c r="F24" s="358"/>
      <c r="G24" s="358"/>
      <c r="H24" s="358"/>
      <c r="I24" s="358"/>
      <c r="J24" s="359"/>
      <c r="K24" s="404" t="str">
        <f>IF(B24="Chequeo del sistema de combustible","[_____]","")</f>
        <v/>
      </c>
      <c r="L24" s="273"/>
    </row>
    <row r="25" spans="1:13" ht="15.6" x14ac:dyDescent="0.3">
      <c r="B25" s="357" t="str">
        <f>IF(VLOOKUP($P$12,Tabla,4,0)=""," ",VLOOKUP($P$12,Tabla,4,0))</f>
        <v xml:space="preserve"> </v>
      </c>
      <c r="C25" s="358"/>
      <c r="D25" s="358"/>
      <c r="E25" s="358"/>
      <c r="F25" s="358"/>
      <c r="G25" s="358"/>
      <c r="H25" s="358"/>
      <c r="I25" s="358"/>
      <c r="J25" s="359"/>
      <c r="K25" s="404" t="str">
        <f>IF(B25="Chequear ingresos y salidas de aire","[_____]","")</f>
        <v/>
      </c>
      <c r="L25" s="273"/>
    </row>
    <row r="26" spans="1:13" ht="15.6" x14ac:dyDescent="0.3">
      <c r="B26" s="357" t="str">
        <f>IF(VLOOKUP($P$12,Tabla,5,0)=""," ",VLOOKUP($P$12,Tabla,5,0))</f>
        <v xml:space="preserve"> </v>
      </c>
      <c r="C26" s="358"/>
      <c r="D26" s="358"/>
      <c r="E26" s="358"/>
      <c r="F26" s="358"/>
      <c r="G26" s="358"/>
      <c r="H26" s="358"/>
      <c r="I26" s="358"/>
      <c r="J26" s="359"/>
      <c r="K26" s="404" t="str">
        <f>IF(B26="Revision de bateria","[_____]","")</f>
        <v/>
      </c>
      <c r="L26" s="273"/>
    </row>
    <row r="27" spans="1:13" ht="15.6" x14ac:dyDescent="0.3">
      <c r="B27" s="357" t="str">
        <f>IF(VLOOKUP($P$12,Tabla,6,0)=""," ",VLOOKUP($P$12,Tabla,6,0))</f>
        <v xml:space="preserve"> </v>
      </c>
      <c r="C27" s="358"/>
      <c r="D27" s="358"/>
      <c r="E27" s="358"/>
      <c r="F27" s="358"/>
      <c r="G27" s="358"/>
      <c r="H27" s="358"/>
      <c r="I27" s="358"/>
      <c r="J27" s="359"/>
      <c r="K27" s="404" t="str">
        <f>IF(B27="Chequeo de mangueras del sistema de refrigeracion","[_____]","")</f>
        <v/>
      </c>
      <c r="L27" s="273"/>
    </row>
    <row r="28" spans="1:13" ht="15.6" x14ac:dyDescent="0.3">
      <c r="B28" s="357" t="str">
        <f>IF(VLOOKUP($P$12,Tabla,7,0)=""," ",VLOOKUP($P$12,Tabla,7,0))</f>
        <v xml:space="preserve"> </v>
      </c>
      <c r="C28" s="358"/>
      <c r="D28" s="358"/>
      <c r="E28" s="358"/>
      <c r="F28" s="358"/>
      <c r="G28" s="358"/>
      <c r="H28" s="358"/>
      <c r="I28" s="358"/>
      <c r="J28" s="359"/>
      <c r="K28" s="404" t="str">
        <f>IF(B28="Chequear fajas y filtro de aire","[_____]","")</f>
        <v/>
      </c>
      <c r="L28" s="273"/>
    </row>
    <row r="29" spans="1:13" ht="15.6" x14ac:dyDescent="0.3">
      <c r="B29" s="357" t="str">
        <f>IF(VLOOKUP($P$12,Tabla,8,0)=""," ",VLOOKUP($P$12,Tabla,8,0))</f>
        <v xml:space="preserve"> </v>
      </c>
      <c r="C29" s="358"/>
      <c r="D29" s="358"/>
      <c r="E29" s="358"/>
      <c r="F29" s="358"/>
      <c r="G29" s="358"/>
      <c r="H29" s="358"/>
      <c r="I29" s="358"/>
      <c r="J29" s="359"/>
      <c r="K29" s="404" t="str">
        <f>IF(B29="Pulverizado y limpieza externa del generador y conectores con solvente dielectrico","[_____]","")</f>
        <v/>
      </c>
      <c r="L29" s="273"/>
    </row>
    <row r="30" spans="1:13" ht="15.6" x14ac:dyDescent="0.3">
      <c r="B30" s="357" t="str">
        <f>IF(VLOOKUP($P$12,Tabla,9,0)=""," ",VLOOKUP($P$12,Tabla,9,0))</f>
        <v xml:space="preserve"> </v>
      </c>
      <c r="C30" s="358"/>
      <c r="D30" s="358"/>
      <c r="E30" s="358"/>
      <c r="F30" s="358"/>
      <c r="G30" s="358"/>
      <c r="H30" s="358"/>
      <c r="I30" s="358"/>
      <c r="J30" s="359"/>
      <c r="K30" s="404" t="str">
        <f>IF(B30="Limpieza del obturador de admision","[_____]","")</f>
        <v/>
      </c>
      <c r="L30" s="273"/>
    </row>
    <row r="31" spans="1:13" ht="15.6" x14ac:dyDescent="0.3">
      <c r="B31" s="357" t="str">
        <f>IF(VLOOKUP($P$12,Tabla,10,0)=""," ",VLOOKUP($P$12,Tabla,10,0))</f>
        <v xml:space="preserve"> </v>
      </c>
      <c r="C31" s="358"/>
      <c r="D31" s="358"/>
      <c r="E31" s="358"/>
      <c r="F31" s="358"/>
      <c r="G31" s="358"/>
      <c r="H31" s="358"/>
      <c r="I31" s="358"/>
      <c r="J31" s="359"/>
      <c r="K31" s="404" t="str">
        <f>IF(B31="Limpieza con solvente dielectrico de las cabezas visibles del generador principal.","[_____]","")</f>
        <v/>
      </c>
      <c r="L31" s="273"/>
    </row>
    <row r="32" spans="1:13" ht="15.6" x14ac:dyDescent="0.3">
      <c r="B32" s="357" t="str">
        <f>IF(VLOOKUP($P$12,Tabla,11,0)=""," ",VLOOKUP($P$12,Tabla,11,0))</f>
        <v xml:space="preserve"> </v>
      </c>
      <c r="C32" s="358"/>
      <c r="D32" s="358"/>
      <c r="E32" s="358"/>
      <c r="F32" s="358"/>
      <c r="G32" s="358"/>
      <c r="H32" s="358"/>
      <c r="I32" s="358"/>
      <c r="J32" s="359"/>
      <c r="K32" s="404" t="str">
        <f>IF(B32="Cambio de aceite (Tipo: 10W-30 )                   GL (Se deja        GL para rellenar)","[_____]",IF(B32="Mantenimiento del generador principal","[_____]",IF(B32="Cambio de aceite (Tipo: 15W-45 )                   GL (Se deja        GL para rellenar)","[_____]","")))</f>
        <v/>
      </c>
      <c r="L32" s="273"/>
    </row>
    <row r="33" spans="1:14" ht="15.6" x14ac:dyDescent="0.3">
      <c r="B33" s="357" t="str">
        <f>IF(VLOOKUP($P$12,Tabla,12,0)=""," ",VLOOKUP($P$12,Tabla,12,0))</f>
        <v xml:space="preserve"> </v>
      </c>
      <c r="C33" s="358"/>
      <c r="D33" s="358"/>
      <c r="E33" s="358"/>
      <c r="F33" s="358"/>
      <c r="G33" s="358"/>
      <c r="H33" s="358"/>
      <c r="I33" s="358"/>
      <c r="J33" s="359"/>
      <c r="K33" s="404" t="str">
        <f>IF(B33="Revision completa y limpieza en general","[_____]",IF(B33="Cambio de Filtro de aceite (         UNID)","[_____]",IF(B33="Cambio de aceite (Tipo: 10W-30 )                   GL (Se deja        GL para rellenar)","[_____]","")))</f>
        <v/>
      </c>
      <c r="L33" s="273"/>
    </row>
    <row r="34" spans="1:14" ht="15.6" x14ac:dyDescent="0.3">
      <c r="B34" s="357" t="str">
        <f>IF(VLOOKUP($P$12,Tabla,13,0)=""," ",VLOOKUP($P$12,Tabla,13,0))</f>
        <v xml:space="preserve"> </v>
      </c>
      <c r="C34" s="358"/>
      <c r="D34" s="358"/>
      <c r="E34" s="358"/>
      <c r="F34" s="358"/>
      <c r="G34" s="358"/>
      <c r="H34" s="358"/>
      <c r="I34" s="358"/>
      <c r="J34" s="359"/>
      <c r="K34" s="404" t="str">
        <f>IF(B34="Revision completa y limpieza en general","[_____]",IF(B34="Cambio de Filtro de aire (           UNID)","[_____]",IF(B34="Cambio de Filtro de aceite (         UNID)","[_____]",IF(B34="Chequeo del nivel de refrigerante","[_____]",IF(B34="Mantenimiento del arrancador","[_____]","")))))</f>
        <v/>
      </c>
      <c r="L34" s="273"/>
    </row>
    <row r="35" spans="1:14" ht="15.6" x14ac:dyDescent="0.3">
      <c r="B35" s="357" t="str">
        <f>IF(VLOOKUP($P$12,Tabla,14,0)=""," ",VLOOKUP($P$12,Tabla,14,0))</f>
        <v xml:space="preserve"> </v>
      </c>
      <c r="C35" s="358"/>
      <c r="D35" s="358"/>
      <c r="E35" s="358"/>
      <c r="F35" s="358"/>
      <c r="G35" s="358"/>
      <c r="H35" s="358"/>
      <c r="I35" s="358"/>
      <c r="J35" s="359"/>
      <c r="K35" s="404" t="str">
        <f>IF(B35="Limpieza del radiador","[_____]",IF(B35="Cambio de bujias (         UNID)","[_____]",IF(B35="Cambio de Filtro de aire (           UNID)","[_____]",IF(B35="Mantenimiento del alternador del motor","[_____]",""))))</f>
        <v/>
      </c>
      <c r="L35" s="273"/>
    </row>
    <row r="36" spans="1:14" ht="15.6" x14ac:dyDescent="0.3">
      <c r="B36" s="357" t="str">
        <f>IF(VLOOKUP($P$12,Tabla,15,0)=""," ",VLOOKUP($P$12,Tabla,15,0))</f>
        <v xml:space="preserve"> </v>
      </c>
      <c r="C36" s="358"/>
      <c r="D36" s="358"/>
      <c r="E36" s="358"/>
      <c r="F36" s="358"/>
      <c r="G36" s="358"/>
      <c r="H36" s="358"/>
      <c r="I36" s="358"/>
      <c r="J36" s="359"/>
      <c r="K36" s="404" t="str">
        <f>IF(B36="Revision completa y limpieza en general","[_____]",IF(B36="Cambio de bujias (         UNID)","[_____]",IF(B36="Limpieza del radiador","[_____]",IF(B36="Cambio de tapa y rotor del distribuidor","[_____]",""))))</f>
        <v/>
      </c>
      <c r="L36" s="273"/>
    </row>
    <row r="37" spans="1:14" ht="15.6" x14ac:dyDescent="0.3">
      <c r="B37" s="357" t="str">
        <f>IF(VLOOKUP($P$12,Tabla,16,0)=""," ",VLOOKUP($P$12,Tabla,16,0))</f>
        <v xml:space="preserve"> </v>
      </c>
      <c r="C37" s="358"/>
      <c r="D37" s="358"/>
      <c r="E37" s="358"/>
      <c r="F37" s="358"/>
      <c r="G37" s="358"/>
      <c r="H37" s="358"/>
      <c r="I37" s="358"/>
      <c r="J37" s="359"/>
      <c r="K37" s="404" t="str">
        <f>IF(B37="Revision completa y limpieza en general","[_____]",IF(B37="Cambio de polea","[_____]",""))</f>
        <v/>
      </c>
      <c r="L37" s="273"/>
    </row>
    <row r="38" spans="1:14" ht="15.6" x14ac:dyDescent="0.3">
      <c r="B38" s="357" t="str">
        <f>IF(VLOOKUP($P$12,Tabla,17,0)=""," ",VLOOKUP($P$12,Tabla,17,0))</f>
        <v xml:space="preserve"> </v>
      </c>
      <c r="C38" s="358"/>
      <c r="D38" s="358"/>
      <c r="E38" s="358"/>
      <c r="F38" s="358"/>
      <c r="G38" s="358"/>
      <c r="H38" s="358"/>
      <c r="I38" s="358"/>
      <c r="J38" s="359"/>
      <c r="K38" s="404" t="str">
        <f>IF(B38="Cambio de faja","[_____]","")</f>
        <v/>
      </c>
      <c r="L38" s="273"/>
    </row>
    <row r="39" spans="1:14" ht="15.6" x14ac:dyDescent="0.3">
      <c r="B39" s="362" t="str">
        <f>IF(VLOOKUP($P$12,Tabla,18,0)=""," ",VLOOKUP($P$12,Tabla,18,0))</f>
        <v xml:space="preserve"> </v>
      </c>
      <c r="C39" s="363"/>
      <c r="D39" s="363"/>
      <c r="E39" s="363"/>
      <c r="F39" s="363"/>
      <c r="G39" s="363"/>
      <c r="H39" s="363"/>
      <c r="I39" s="363"/>
      <c r="J39" s="364"/>
      <c r="K39" s="405" t="str">
        <f>IF(B39="Revision completa y limpieza en general","[_____]","")</f>
        <v/>
      </c>
      <c r="L39" s="273"/>
    </row>
    <row r="40" spans="1:14" ht="15.6" x14ac:dyDescent="0.3">
      <c r="B40" s="360" t="s">
        <v>192</v>
      </c>
      <c r="C40" s="361" t="s">
        <v>1638</v>
      </c>
      <c r="D40" s="967" t="str">
        <f>CONCATENATE(P8)</f>
        <v/>
      </c>
      <c r="E40" s="967"/>
      <c r="F40" s="361" t="s">
        <v>1628</v>
      </c>
      <c r="G40" s="936" t="str">
        <f>IFERROR(INDEX(BDEGENER[],MATCH(P8,BDEGENER[SERIE],0),27),"")</f>
        <v/>
      </c>
      <c r="H40" s="936"/>
      <c r="I40" s="361" t="s">
        <v>1629</v>
      </c>
      <c r="J40" s="969" t="str">
        <f>IFERROR(INDEX(BDEGENER[],MATCH(P8,BDEGENER[SERIE],0),28),"")</f>
        <v/>
      </c>
      <c r="K40" s="970"/>
      <c r="L40" s="273"/>
    </row>
    <row r="41" spans="1:14" x14ac:dyDescent="0.3">
      <c r="B41" s="401" t="s">
        <v>1647</v>
      </c>
      <c r="C41" s="365"/>
      <c r="D41" s="366"/>
      <c r="E41" s="366" t="s">
        <v>1651</v>
      </c>
      <c r="F41" s="365"/>
      <c r="G41" s="366" t="s">
        <v>1650</v>
      </c>
      <c r="H41" s="365"/>
      <c r="I41" s="366"/>
      <c r="J41" s="366" t="s">
        <v>1648</v>
      </c>
      <c r="K41" s="367"/>
      <c r="L41" s="273"/>
    </row>
    <row r="42" spans="1:14" x14ac:dyDescent="0.3">
      <c r="B42" s="448"/>
      <c r="C42" s="450" t="s">
        <v>1044</v>
      </c>
      <c r="D42" s="450"/>
      <c r="E42" s="450"/>
      <c r="F42" s="449"/>
      <c r="G42" s="450"/>
      <c r="H42" s="449"/>
      <c r="I42" s="450"/>
      <c r="J42" s="450"/>
      <c r="K42" s="451"/>
      <c r="L42" s="273"/>
    </row>
    <row r="43" spans="1:14" x14ac:dyDescent="0.3">
      <c r="B43" s="452"/>
      <c r="C43" s="453"/>
      <c r="D43" s="454"/>
      <c r="E43" s="454"/>
      <c r="F43" s="453"/>
      <c r="G43" s="454"/>
      <c r="H43" s="453"/>
      <c r="I43" s="454"/>
      <c r="J43" s="454"/>
      <c r="K43" s="455"/>
      <c r="L43" s="273"/>
    </row>
    <row r="44" spans="1:14" x14ac:dyDescent="0.3">
      <c r="B44" s="452"/>
      <c r="C44" s="453"/>
      <c r="D44" s="454"/>
      <c r="E44" s="454"/>
      <c r="F44" s="453"/>
      <c r="G44" s="454"/>
      <c r="H44" s="453"/>
      <c r="I44" s="454"/>
      <c r="J44" s="454"/>
      <c r="K44" s="455"/>
      <c r="L44" s="273"/>
    </row>
    <row r="45" spans="1:14" x14ac:dyDescent="0.3">
      <c r="B45" s="452"/>
      <c r="C45" s="453"/>
      <c r="D45" s="454"/>
      <c r="E45" s="454"/>
      <c r="F45" s="453"/>
      <c r="G45" s="454"/>
      <c r="H45" s="453"/>
      <c r="I45" s="454"/>
      <c r="J45" s="454"/>
      <c r="K45" s="455"/>
      <c r="L45" s="273"/>
    </row>
    <row r="46" spans="1:14" x14ac:dyDescent="0.3">
      <c r="A46" s="236"/>
      <c r="B46" s="255" t="s">
        <v>1610</v>
      </c>
      <c r="C46" s="237"/>
      <c r="D46" s="237"/>
      <c r="E46" s="237"/>
      <c r="F46" s="237"/>
      <c r="G46" s="237"/>
      <c r="H46" s="237"/>
      <c r="I46" s="237"/>
      <c r="J46" s="237"/>
      <c r="K46" s="256"/>
      <c r="L46" s="237"/>
      <c r="M46" s="236"/>
      <c r="N46" s="236"/>
    </row>
    <row r="47" spans="1:14" x14ac:dyDescent="0.3">
      <c r="A47" s="236"/>
      <c r="B47" s="255"/>
      <c r="C47" s="237"/>
      <c r="D47" s="237"/>
      <c r="E47" s="237"/>
      <c r="F47" s="237"/>
      <c r="G47" s="237"/>
      <c r="H47" s="237"/>
      <c r="I47" s="237"/>
      <c r="J47" s="237"/>
      <c r="K47" s="256"/>
      <c r="L47" s="237"/>
      <c r="M47" s="236"/>
      <c r="N47" s="236"/>
    </row>
    <row r="48" spans="1:14" ht="15.6" x14ac:dyDescent="0.3">
      <c r="A48" s="236"/>
      <c r="B48" s="334" t="s">
        <v>1611</v>
      </c>
      <c r="C48" s="237"/>
      <c r="D48" s="333" t="s">
        <v>1631</v>
      </c>
      <c r="E48" s="333" t="s">
        <v>1641</v>
      </c>
      <c r="F48" s="237"/>
      <c r="G48" s="333" t="s">
        <v>1630</v>
      </c>
      <c r="H48" s="237"/>
      <c r="I48" s="333" t="s">
        <v>1612</v>
      </c>
      <c r="J48" s="237"/>
      <c r="K48" s="256"/>
      <c r="L48" s="237"/>
      <c r="M48" s="236"/>
      <c r="N48" s="236"/>
    </row>
    <row r="49" spans="1:14" x14ac:dyDescent="0.3">
      <c r="A49" s="236"/>
      <c r="B49" s="255"/>
      <c r="C49" s="237"/>
      <c r="D49" s="237"/>
      <c r="E49" s="237"/>
      <c r="F49" s="237"/>
      <c r="G49" s="237"/>
      <c r="H49" s="237"/>
      <c r="I49" s="237"/>
      <c r="J49" s="237"/>
      <c r="K49" s="256"/>
      <c r="L49" s="237"/>
      <c r="M49" s="236"/>
      <c r="N49" s="236"/>
    </row>
    <row r="50" spans="1:14" x14ac:dyDescent="0.3">
      <c r="A50" s="236"/>
      <c r="B50" s="255" t="s">
        <v>1613</v>
      </c>
      <c r="C50" s="237"/>
      <c r="D50" s="237"/>
      <c r="E50" s="237"/>
      <c r="F50" s="237"/>
      <c r="G50" s="237"/>
      <c r="H50" s="258"/>
      <c r="I50" s="258"/>
      <c r="J50" s="258"/>
      <c r="K50" s="256"/>
      <c r="L50" s="237"/>
      <c r="M50" s="236"/>
      <c r="N50" s="236"/>
    </row>
    <row r="51" spans="1:14" x14ac:dyDescent="0.3">
      <c r="A51" s="236"/>
      <c r="B51" s="255"/>
      <c r="C51" s="258"/>
      <c r="D51" s="258"/>
      <c r="E51" s="258"/>
      <c r="F51" s="258"/>
      <c r="G51" s="258"/>
      <c r="H51" s="258"/>
      <c r="I51" s="258"/>
      <c r="J51" s="258"/>
      <c r="K51" s="256"/>
      <c r="L51" s="237"/>
      <c r="M51" s="236"/>
      <c r="N51" s="236"/>
    </row>
    <row r="52" spans="1:14" x14ac:dyDescent="0.3">
      <c r="A52" s="236"/>
      <c r="B52" s="255"/>
      <c r="C52" s="293"/>
      <c r="D52" s="293"/>
      <c r="E52" s="293"/>
      <c r="F52" s="293"/>
      <c r="G52" s="293"/>
      <c r="H52" s="293"/>
      <c r="I52" s="293"/>
      <c r="J52" s="293"/>
      <c r="K52" s="256"/>
      <c r="L52" s="237"/>
      <c r="M52" s="236"/>
      <c r="N52" s="236"/>
    </row>
    <row r="53" spans="1:14" x14ac:dyDescent="0.3">
      <c r="A53" s="236"/>
      <c r="B53" s="257"/>
      <c r="C53" s="258"/>
      <c r="D53" s="258"/>
      <c r="E53" s="258"/>
      <c r="F53" s="258"/>
      <c r="G53" s="258"/>
      <c r="H53" s="258"/>
      <c r="I53" s="258"/>
      <c r="J53" s="258"/>
      <c r="K53" s="259"/>
      <c r="L53" s="237"/>
      <c r="M53" s="236"/>
      <c r="N53" s="236"/>
    </row>
    <row r="54" spans="1:14" x14ac:dyDescent="0.3">
      <c r="A54" s="236"/>
      <c r="B54" s="236"/>
      <c r="C54" s="236"/>
      <c r="D54" s="236"/>
      <c r="E54" s="236"/>
      <c r="F54" s="236"/>
      <c r="G54" s="236"/>
      <c r="H54" s="236"/>
      <c r="I54" s="236"/>
      <c r="J54" s="236"/>
      <c r="K54" s="236"/>
      <c r="L54" s="237"/>
      <c r="M54" s="236"/>
      <c r="N54" s="236"/>
    </row>
    <row r="55" spans="1:14" x14ac:dyDescent="0.3">
      <c r="A55" s="236"/>
      <c r="B55" s="236"/>
      <c r="C55" s="236"/>
      <c r="D55" s="236"/>
      <c r="E55" s="236"/>
      <c r="F55" s="236"/>
      <c r="G55" s="236"/>
      <c r="H55" s="236"/>
      <c r="I55" s="236"/>
      <c r="J55" s="236"/>
      <c r="K55" s="236"/>
      <c r="L55" s="237"/>
      <c r="M55" s="236"/>
      <c r="N55" s="236"/>
    </row>
    <row r="56" spans="1:14" x14ac:dyDescent="0.3">
      <c r="A56" s="236"/>
      <c r="B56" s="236"/>
      <c r="C56" s="236"/>
      <c r="D56" s="236"/>
      <c r="E56" s="236"/>
      <c r="F56" s="236"/>
      <c r="G56" s="236"/>
      <c r="H56" s="236"/>
      <c r="I56" s="236"/>
      <c r="J56" s="236"/>
      <c r="K56" s="236"/>
      <c r="L56" s="237"/>
      <c r="M56" s="236"/>
      <c r="N56" s="236"/>
    </row>
    <row r="57" spans="1:14" ht="15.6" x14ac:dyDescent="0.3">
      <c r="A57" s="236"/>
      <c r="B57" s="236"/>
      <c r="C57" s="402" t="s">
        <v>1644</v>
      </c>
      <c r="D57" s="253"/>
      <c r="E57" s="236"/>
      <c r="F57" s="236"/>
      <c r="G57" s="236"/>
      <c r="H57" s="402" t="s">
        <v>1614</v>
      </c>
      <c r="I57" s="253"/>
      <c r="J57" s="236"/>
      <c r="K57" s="236"/>
      <c r="L57" s="237"/>
      <c r="M57" s="236"/>
      <c r="N57" s="236"/>
    </row>
    <row r="58" spans="1:14" ht="15.6" x14ac:dyDescent="0.3">
      <c r="A58" s="236"/>
      <c r="B58" s="236"/>
      <c r="C58" s="236"/>
      <c r="D58" s="236"/>
      <c r="E58" s="236"/>
      <c r="F58" s="236"/>
      <c r="G58" s="236"/>
      <c r="H58" s="244" t="s">
        <v>1615</v>
      </c>
      <c r="I58" s="236"/>
      <c r="J58" s="236"/>
      <c r="K58" s="236"/>
      <c r="L58" s="237"/>
      <c r="M58" s="236"/>
      <c r="N58" s="236"/>
    </row>
    <row r="59" spans="1:14" x14ac:dyDescent="0.3">
      <c r="A59" s="236"/>
      <c r="B59" s="236"/>
      <c r="C59" s="236"/>
      <c r="D59" s="236"/>
      <c r="E59" s="236"/>
      <c r="F59" s="236"/>
      <c r="G59" s="236"/>
      <c r="H59" s="246" t="s">
        <v>1625</v>
      </c>
      <c r="I59" s="246" t="s">
        <v>1616</v>
      </c>
      <c r="J59" s="236"/>
      <c r="K59" s="236"/>
      <c r="L59" s="236"/>
      <c r="M59" s="236"/>
      <c r="N59" s="236"/>
    </row>
    <row r="60" spans="1:14" x14ac:dyDescent="0.3">
      <c r="A60" s="236"/>
      <c r="B60" s="236"/>
      <c r="C60" s="236"/>
      <c r="D60" s="236"/>
      <c r="E60" s="236"/>
      <c r="F60" s="236"/>
      <c r="G60" s="236"/>
      <c r="H60" s="246"/>
      <c r="I60" s="246"/>
      <c r="J60" s="236"/>
      <c r="K60" s="236"/>
      <c r="L60" s="236"/>
      <c r="M60" s="236"/>
      <c r="N60" s="236"/>
    </row>
    <row r="61" spans="1:14" x14ac:dyDescent="0.3">
      <c r="A61" s="236"/>
      <c r="B61" s="246" t="s">
        <v>1617</v>
      </c>
      <c r="C61" s="246" t="s">
        <v>1626</v>
      </c>
      <c r="D61" s="236"/>
      <c r="E61" s="236"/>
      <c r="F61" s="236"/>
      <c r="G61" s="236"/>
      <c r="H61" s="236"/>
      <c r="I61" s="236"/>
      <c r="J61" s="236"/>
      <c r="K61" s="236"/>
      <c r="L61" s="236"/>
      <c r="M61" s="236"/>
      <c r="N61" s="236"/>
    </row>
    <row r="62" spans="1:14" x14ac:dyDescent="0.3">
      <c r="A62" s="236"/>
      <c r="B62" s="236"/>
      <c r="C62" s="246" t="s">
        <v>1627</v>
      </c>
      <c r="D62" s="236"/>
      <c r="E62" s="236"/>
      <c r="F62" s="236"/>
      <c r="G62" s="236"/>
      <c r="H62" s="236"/>
      <c r="I62" s="236"/>
      <c r="J62" s="236"/>
      <c r="K62" s="236"/>
      <c r="L62" s="236"/>
      <c r="M62" s="236"/>
      <c r="N62" s="236"/>
    </row>
    <row r="63" spans="1:14" x14ac:dyDescent="0.3">
      <c r="A63" s="236"/>
      <c r="B63" s="236" t="s">
        <v>1618</v>
      </c>
      <c r="C63" s="246" t="s">
        <v>1619</v>
      </c>
      <c r="D63" s="236"/>
      <c r="E63" s="236"/>
      <c r="F63" s="236"/>
      <c r="G63" s="236"/>
      <c r="H63" s="236"/>
      <c r="I63" s="236"/>
      <c r="J63" s="236"/>
      <c r="K63" s="236"/>
      <c r="L63" s="236"/>
      <c r="M63" s="236"/>
      <c r="N63" s="236"/>
    </row>
    <row r="64" spans="1:14" x14ac:dyDescent="0.3">
      <c r="A64" s="236"/>
      <c r="B64" s="236"/>
      <c r="C64" s="236"/>
      <c r="D64" s="236"/>
      <c r="E64" s="236"/>
      <c r="F64" s="236"/>
      <c r="G64" s="236"/>
      <c r="H64" s="236"/>
      <c r="I64" s="236"/>
      <c r="J64" s="236"/>
      <c r="K64" s="236"/>
      <c r="L64" s="236"/>
      <c r="M64" s="236"/>
      <c r="N64" s="236"/>
    </row>
    <row r="65" spans="1:14" x14ac:dyDescent="0.3">
      <c r="A65" s="236"/>
      <c r="B65" s="236"/>
      <c r="C65" s="236"/>
      <c r="D65" s="236"/>
      <c r="E65" s="236"/>
      <c r="F65" s="236"/>
      <c r="G65" s="236"/>
      <c r="H65" s="236"/>
      <c r="I65" s="236"/>
      <c r="J65" s="236"/>
      <c r="K65" s="236"/>
      <c r="L65" s="236"/>
      <c r="M65" s="236"/>
      <c r="N65" s="236"/>
    </row>
    <row r="66" spans="1:14" x14ac:dyDescent="0.3">
      <c r="A66" s="236"/>
      <c r="B66" s="236"/>
      <c r="C66" s="236"/>
      <c r="D66" s="236"/>
      <c r="E66" s="236"/>
      <c r="F66" s="236"/>
      <c r="G66" s="236"/>
      <c r="H66" s="236"/>
      <c r="I66" s="236"/>
      <c r="J66" s="236"/>
      <c r="K66" s="236"/>
      <c r="L66" s="236"/>
      <c r="M66" s="236"/>
      <c r="N66" s="236"/>
    </row>
    <row r="67" spans="1:14" x14ac:dyDescent="0.3">
      <c r="A67" s="236"/>
      <c r="B67" s="236"/>
      <c r="C67" s="236"/>
      <c r="D67" s="236"/>
      <c r="E67" s="236"/>
      <c r="F67" s="236"/>
      <c r="G67" s="236"/>
      <c r="H67" s="236"/>
      <c r="I67" s="236"/>
      <c r="J67" s="236"/>
      <c r="K67" s="236"/>
      <c r="L67" s="236"/>
      <c r="M67" s="236"/>
      <c r="N67" s="236"/>
    </row>
    <row r="68" spans="1:14" x14ac:dyDescent="0.3">
      <c r="A68" s="236"/>
      <c r="B68" s="236"/>
      <c r="C68" s="236"/>
      <c r="D68" s="236"/>
      <c r="E68" s="236"/>
      <c r="F68" s="236"/>
      <c r="G68" s="236"/>
      <c r="H68" s="236"/>
      <c r="I68" s="236"/>
      <c r="J68" s="236"/>
      <c r="K68" s="236"/>
      <c r="L68" s="236"/>
      <c r="M68" s="236"/>
      <c r="N68" s="236"/>
    </row>
    <row r="69" spans="1:14" x14ac:dyDescent="0.3">
      <c r="A69" s="236"/>
      <c r="B69" s="236"/>
      <c r="C69" s="236"/>
      <c r="D69" s="236"/>
      <c r="E69" s="236"/>
      <c r="F69" s="236"/>
      <c r="G69" s="236"/>
      <c r="H69" s="236"/>
      <c r="I69" s="236"/>
      <c r="J69" s="236"/>
      <c r="K69" s="236"/>
      <c r="L69" s="236"/>
      <c r="M69" s="236"/>
      <c r="N69" s="236"/>
    </row>
    <row r="70" spans="1:14" x14ac:dyDescent="0.3">
      <c r="A70" s="236"/>
      <c r="B70" s="236"/>
      <c r="C70" s="236"/>
      <c r="D70" s="236"/>
      <c r="E70" s="236"/>
      <c r="F70" s="236"/>
      <c r="G70" s="236"/>
      <c r="H70" s="236"/>
      <c r="I70" s="236"/>
      <c r="J70" s="236"/>
      <c r="K70" s="236"/>
      <c r="L70" s="236"/>
      <c r="M70" s="236"/>
      <c r="N70" s="236"/>
    </row>
    <row r="71" spans="1:14" x14ac:dyDescent="0.3">
      <c r="A71" s="236"/>
      <c r="B71" s="236"/>
      <c r="C71" s="236"/>
      <c r="D71" s="236"/>
      <c r="E71" s="236"/>
      <c r="F71" s="236"/>
      <c r="G71" s="236"/>
      <c r="H71" s="236"/>
      <c r="I71" s="236"/>
      <c r="J71" s="236"/>
      <c r="K71" s="236"/>
      <c r="L71" s="236"/>
      <c r="M71" s="236"/>
      <c r="N71" s="236"/>
    </row>
    <row r="72" spans="1:14" x14ac:dyDescent="0.3">
      <c r="A72" s="236"/>
      <c r="B72" s="236"/>
      <c r="C72" s="236"/>
      <c r="D72" s="236"/>
      <c r="E72" s="236"/>
      <c r="F72" s="236"/>
      <c r="G72" s="236"/>
      <c r="H72" s="236"/>
      <c r="I72" s="236"/>
      <c r="J72" s="236"/>
      <c r="K72" s="236"/>
      <c r="L72" s="236"/>
      <c r="M72" s="236"/>
      <c r="N72" s="236"/>
    </row>
    <row r="73" spans="1:14" x14ac:dyDescent="0.3">
      <c r="A73" s="236"/>
      <c r="B73" s="236"/>
      <c r="C73" s="236"/>
      <c r="D73" s="236"/>
      <c r="E73" s="236"/>
      <c r="F73" s="236"/>
      <c r="G73" s="236"/>
      <c r="H73" s="236"/>
      <c r="I73" s="236"/>
      <c r="J73" s="236"/>
      <c r="K73" s="236"/>
      <c r="L73" s="236"/>
      <c r="M73" s="236"/>
      <c r="N73" s="236"/>
    </row>
  </sheetData>
  <sheetProtection algorithmName="SHA-512" hashValue="pRnpWyyqEKBtbPD068it/trubUR22Gw1RL9TvA30oATRUu1vXINdbV/SiOfdOD5eQiZnTToQ9FRakueIv0fMhQ==" saltValue="R4LXyfrqwMDaH6eJAPSEVw==" spinCount="100000" sheet="1" objects="1" scenarios="1"/>
  <mergeCells count="9">
    <mergeCell ref="N5:S6"/>
    <mergeCell ref="D40:E40"/>
    <mergeCell ref="D9:H9"/>
    <mergeCell ref="G40:H40"/>
    <mergeCell ref="J40:K40"/>
    <mergeCell ref="I7:K7"/>
    <mergeCell ref="D7:F7"/>
    <mergeCell ref="D8:F8"/>
    <mergeCell ref="B19:E19"/>
  </mergeCells>
  <printOptions horizontalCentered="1" verticalCentered="1"/>
  <pageMargins left="0" right="0" top="0" bottom="0" header="0.31496062992126" footer="0.31496062992126"/>
  <pageSetup scale="8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IrMenuPrincipal">
                <anchor>
                  <from>
                    <xdr:col>16</xdr:col>
                    <xdr:colOff>198120</xdr:colOff>
                    <xdr:row>10</xdr:row>
                    <xdr:rowOff>175260</xdr:rowOff>
                  </from>
                  <to>
                    <xdr:col>18</xdr:col>
                    <xdr:colOff>114300</xdr:colOff>
                    <xdr:row>12</xdr:row>
                    <xdr:rowOff>144780</xdr:rowOff>
                  </to>
                </anchor>
              </controlPr>
            </control>
          </mc:Choice>
        </mc:AlternateContent>
        <mc:AlternateContent xmlns:mc="http://schemas.openxmlformats.org/markup-compatibility/2006">
          <mc:Choice Requires="x14">
            <control shapeId="15365" r:id="rId5" name="Button 5">
              <controlPr defaultSize="0" print="0" autoFill="0" autoPict="0" macro="[0]!LimpiarActaScotiabank">
                <anchor moveWithCells="1" sizeWithCells="1">
                  <from>
                    <xdr:col>16</xdr:col>
                    <xdr:colOff>198120</xdr:colOff>
                    <xdr:row>8</xdr:row>
                    <xdr:rowOff>0</xdr:rowOff>
                  </from>
                  <to>
                    <xdr:col>18</xdr:col>
                    <xdr:colOff>114300</xdr:colOff>
                    <xdr:row>9</xdr:row>
                    <xdr:rowOff>83820</xdr:rowOff>
                  </to>
                </anchor>
              </controlPr>
            </control>
          </mc:Choice>
        </mc:AlternateContent>
        <mc:AlternateContent xmlns:mc="http://schemas.openxmlformats.org/markup-compatibility/2006">
          <mc:Choice Requires="x14">
            <control shapeId="15366" r:id="rId6" name="Button 6">
              <controlPr defaultSize="0" print="0" autoFill="0" autoPict="0" macro="[0]!ImprimirActaScotiabank">
                <anchor moveWithCells="1" sizeWithCells="1">
                  <from>
                    <xdr:col>16</xdr:col>
                    <xdr:colOff>198120</xdr:colOff>
                    <xdr:row>6</xdr:row>
                    <xdr:rowOff>152400</xdr:rowOff>
                  </from>
                  <to>
                    <xdr:col>18</xdr:col>
                    <xdr:colOff>114300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PROCEDIMIENTOS!$E$2:$E$32</xm:f>
          </x14:formula1>
          <xm:sqref>P12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C1:Z32"/>
  <sheetViews>
    <sheetView topLeftCell="A7" zoomScale="50" zoomScaleNormal="50" workbookViewId="0">
      <selection activeCell="O7" sqref="O7"/>
    </sheetView>
  </sheetViews>
  <sheetFormatPr baseColWidth="10" defaultRowHeight="14.4" x14ac:dyDescent="0.3"/>
  <cols>
    <col min="5" max="5" width="40.5546875" customWidth="1"/>
    <col min="6" max="14" width="20.6640625" customWidth="1"/>
    <col min="15" max="15" width="27.33203125" customWidth="1"/>
    <col min="16" max="16" width="27.44140625" customWidth="1"/>
    <col min="17" max="17" width="20.5546875" customWidth="1"/>
    <col min="18" max="18" width="15.5546875" customWidth="1"/>
    <col min="19" max="19" width="14.88671875" customWidth="1"/>
  </cols>
  <sheetData>
    <row r="1" spans="4:26" ht="19.5" customHeight="1" thickBot="1" x14ac:dyDescent="0.35">
      <c r="F1">
        <v>1</v>
      </c>
      <c r="G1">
        <v>2</v>
      </c>
      <c r="H1">
        <v>3</v>
      </c>
      <c r="I1">
        <v>4</v>
      </c>
      <c r="J1">
        <v>5</v>
      </c>
      <c r="K1">
        <v>6</v>
      </c>
      <c r="L1">
        <v>7</v>
      </c>
      <c r="M1">
        <v>8</v>
      </c>
      <c r="N1">
        <v>9</v>
      </c>
      <c r="O1">
        <v>10</v>
      </c>
      <c r="P1">
        <v>11</v>
      </c>
      <c r="Q1">
        <v>12</v>
      </c>
      <c r="R1">
        <v>13</v>
      </c>
      <c r="S1">
        <v>14</v>
      </c>
      <c r="T1">
        <v>15</v>
      </c>
      <c r="U1">
        <v>16</v>
      </c>
      <c r="V1">
        <v>17</v>
      </c>
    </row>
    <row r="2" spans="4:26" ht="75" customHeight="1" x14ac:dyDescent="0.3">
      <c r="D2" s="975" t="s">
        <v>918</v>
      </c>
      <c r="E2" s="381" t="s">
        <v>2761</v>
      </c>
      <c r="F2" s="372" t="s">
        <v>1519</v>
      </c>
      <c r="G2" s="372" t="s">
        <v>1520</v>
      </c>
      <c r="H2" s="372" t="s">
        <v>1514</v>
      </c>
      <c r="I2" s="372" t="s">
        <v>1513</v>
      </c>
      <c r="J2" s="372" t="s">
        <v>1512</v>
      </c>
      <c r="K2" s="372" t="s">
        <v>1511</v>
      </c>
      <c r="L2" s="372" t="s">
        <v>1510</v>
      </c>
      <c r="M2" s="372" t="s">
        <v>1521</v>
      </c>
      <c r="N2" s="372" t="s">
        <v>1522</v>
      </c>
      <c r="O2" s="372" t="s">
        <v>3584</v>
      </c>
      <c r="P2" s="372" t="s">
        <v>1516</v>
      </c>
      <c r="Q2" s="372" t="s">
        <v>1526</v>
      </c>
      <c r="R2" s="372" t="s">
        <v>192</v>
      </c>
      <c r="S2" s="372"/>
      <c r="T2" s="372"/>
      <c r="U2" s="372"/>
      <c r="V2" s="374"/>
      <c r="W2" s="335"/>
      <c r="X2" s="214"/>
      <c r="Y2" s="214"/>
      <c r="Z2" s="214"/>
    </row>
    <row r="3" spans="4:26" ht="57.6" x14ac:dyDescent="0.3">
      <c r="D3" s="976"/>
      <c r="E3" s="382" t="s">
        <v>2762</v>
      </c>
      <c r="F3" s="373" t="s">
        <v>1519</v>
      </c>
      <c r="G3" s="373" t="s">
        <v>1520</v>
      </c>
      <c r="H3" s="373" t="s">
        <v>1514</v>
      </c>
      <c r="I3" s="373" t="s">
        <v>1513</v>
      </c>
      <c r="J3" s="373" t="s">
        <v>1512</v>
      </c>
      <c r="K3" s="373" t="s">
        <v>1511</v>
      </c>
      <c r="L3" s="373" t="s">
        <v>1510</v>
      </c>
      <c r="M3" s="373" t="s">
        <v>1521</v>
      </c>
      <c r="N3" s="373" t="s">
        <v>1522</v>
      </c>
      <c r="O3" s="373" t="s">
        <v>3584</v>
      </c>
      <c r="P3" s="373" t="s">
        <v>1516</v>
      </c>
      <c r="Q3" s="373" t="s">
        <v>1526</v>
      </c>
      <c r="R3" s="373"/>
      <c r="S3" s="373"/>
      <c r="T3" s="373"/>
      <c r="U3" s="373"/>
      <c r="V3" s="375"/>
      <c r="W3" s="335"/>
      <c r="X3" s="214"/>
      <c r="Y3" s="214"/>
      <c r="Z3" s="214"/>
    </row>
    <row r="4" spans="4:26" ht="60" customHeight="1" x14ac:dyDescent="0.3">
      <c r="D4" s="976"/>
      <c r="E4" s="383" t="s">
        <v>2763</v>
      </c>
      <c r="F4" s="380" t="s">
        <v>1519</v>
      </c>
      <c r="G4" s="380" t="s">
        <v>1520</v>
      </c>
      <c r="H4" s="380" t="s">
        <v>1514</v>
      </c>
      <c r="I4" s="380" t="s">
        <v>1513</v>
      </c>
      <c r="J4" s="380" t="s">
        <v>1512</v>
      </c>
      <c r="K4" s="380" t="s">
        <v>1511</v>
      </c>
      <c r="L4" s="380" t="s">
        <v>1510</v>
      </c>
      <c r="M4" s="380" t="s">
        <v>1521</v>
      </c>
      <c r="N4" s="380" t="s">
        <v>1522</v>
      </c>
      <c r="O4" s="380" t="s">
        <v>3584</v>
      </c>
      <c r="P4" s="380" t="s">
        <v>1516</v>
      </c>
      <c r="Q4" s="380" t="s">
        <v>1517</v>
      </c>
      <c r="R4" s="380" t="s">
        <v>1527</v>
      </c>
      <c r="S4" s="380" t="s">
        <v>1526</v>
      </c>
      <c r="T4" s="380"/>
      <c r="U4" s="380"/>
      <c r="V4" s="394"/>
      <c r="W4" s="335"/>
      <c r="X4" s="214"/>
      <c r="Y4" s="214"/>
      <c r="Z4" s="214"/>
    </row>
    <row r="5" spans="4:26" ht="60" customHeight="1" x14ac:dyDescent="0.3">
      <c r="D5" s="976"/>
      <c r="E5" s="384" t="s">
        <v>2764</v>
      </c>
      <c r="F5" s="390" t="s">
        <v>1519</v>
      </c>
      <c r="G5" s="390" t="s">
        <v>1520</v>
      </c>
      <c r="H5" s="390" t="s">
        <v>1514</v>
      </c>
      <c r="I5" s="390" t="s">
        <v>1513</v>
      </c>
      <c r="J5" s="390" t="s">
        <v>1512</v>
      </c>
      <c r="K5" s="390" t="s">
        <v>1511</v>
      </c>
      <c r="L5" s="390" t="s">
        <v>1510</v>
      </c>
      <c r="M5" s="390" t="s">
        <v>1521</v>
      </c>
      <c r="N5" s="390" t="s">
        <v>1522</v>
      </c>
      <c r="O5" s="390" t="s">
        <v>3584</v>
      </c>
      <c r="P5" s="390" t="s">
        <v>1516</v>
      </c>
      <c r="Q5" s="390" t="s">
        <v>1517</v>
      </c>
      <c r="R5" s="390" t="s">
        <v>1515</v>
      </c>
      <c r="S5" s="390" t="s">
        <v>1526</v>
      </c>
      <c r="T5" s="390"/>
      <c r="U5" s="390"/>
      <c r="V5" s="393"/>
      <c r="W5" s="335"/>
      <c r="X5" s="214"/>
      <c r="Y5" s="214"/>
      <c r="Z5" s="214"/>
    </row>
    <row r="6" spans="4:26" ht="60" customHeight="1" x14ac:dyDescent="0.3">
      <c r="D6" s="976"/>
      <c r="E6" s="383" t="s">
        <v>2765</v>
      </c>
      <c r="F6" s="380" t="s">
        <v>1519</v>
      </c>
      <c r="G6" s="380" t="s">
        <v>1520</v>
      </c>
      <c r="H6" s="380" t="s">
        <v>1514</v>
      </c>
      <c r="I6" s="380" t="s">
        <v>1513</v>
      </c>
      <c r="J6" s="380" t="s">
        <v>1512</v>
      </c>
      <c r="K6" s="380" t="s">
        <v>1511</v>
      </c>
      <c r="L6" s="380" t="s">
        <v>1510</v>
      </c>
      <c r="M6" s="380" t="s">
        <v>1521</v>
      </c>
      <c r="N6" s="380" t="s">
        <v>1522</v>
      </c>
      <c r="O6" s="380" t="s">
        <v>3584</v>
      </c>
      <c r="P6" s="380" t="s">
        <v>1516</v>
      </c>
      <c r="Q6" s="380" t="s">
        <v>1517</v>
      </c>
      <c r="R6" s="380" t="s">
        <v>1527</v>
      </c>
      <c r="S6" s="380" t="s">
        <v>1526</v>
      </c>
      <c r="T6" s="380"/>
      <c r="U6" s="380"/>
      <c r="V6" s="394"/>
      <c r="W6" s="335"/>
      <c r="X6" s="214"/>
      <c r="Y6" s="214"/>
      <c r="Z6" s="214"/>
    </row>
    <row r="7" spans="4:26" ht="57.6" x14ac:dyDescent="0.3">
      <c r="D7" s="976"/>
      <c r="E7" s="382" t="s">
        <v>2766</v>
      </c>
      <c r="F7" s="373" t="s">
        <v>1519</v>
      </c>
      <c r="G7" s="373" t="s">
        <v>1520</v>
      </c>
      <c r="H7" s="373" t="s">
        <v>1514</v>
      </c>
      <c r="I7" s="373" t="s">
        <v>1513</v>
      </c>
      <c r="J7" s="373" t="s">
        <v>1512</v>
      </c>
      <c r="K7" s="373" t="s">
        <v>1511</v>
      </c>
      <c r="L7" s="373" t="s">
        <v>1510</v>
      </c>
      <c r="M7" s="373" t="s">
        <v>1521</v>
      </c>
      <c r="N7" s="373" t="s">
        <v>1522</v>
      </c>
      <c r="O7" s="373" t="s">
        <v>3584</v>
      </c>
      <c r="P7" s="373" t="s">
        <v>1516</v>
      </c>
      <c r="Q7" s="373" t="s">
        <v>1526</v>
      </c>
      <c r="R7" s="373"/>
      <c r="S7" s="373"/>
      <c r="T7" s="373"/>
      <c r="U7" s="373"/>
      <c r="V7" s="375"/>
      <c r="W7" s="335"/>
      <c r="X7" s="214"/>
      <c r="Y7" s="214"/>
      <c r="Z7" s="214"/>
    </row>
    <row r="8" spans="4:26" ht="57.6" x14ac:dyDescent="0.3">
      <c r="D8" s="976"/>
      <c r="E8" s="755" t="s">
        <v>2767</v>
      </c>
      <c r="F8" s="754" t="s">
        <v>1519</v>
      </c>
      <c r="G8" s="754" t="s">
        <v>1520</v>
      </c>
      <c r="H8" s="754" t="s">
        <v>1514</v>
      </c>
      <c r="I8" s="754" t="s">
        <v>1513</v>
      </c>
      <c r="J8" s="754" t="s">
        <v>1512</v>
      </c>
      <c r="K8" s="754" t="s">
        <v>1511</v>
      </c>
      <c r="L8" s="754" t="s">
        <v>1510</v>
      </c>
      <c r="M8" s="754" t="s">
        <v>1521</v>
      </c>
      <c r="N8" s="754" t="s">
        <v>1522</v>
      </c>
      <c r="O8" s="754" t="s">
        <v>3584</v>
      </c>
      <c r="P8" s="754" t="s">
        <v>1516</v>
      </c>
      <c r="Q8" s="754" t="s">
        <v>1517</v>
      </c>
      <c r="R8" s="754" t="s">
        <v>1515</v>
      </c>
      <c r="S8" s="754" t="s">
        <v>1526</v>
      </c>
      <c r="T8" s="754"/>
      <c r="U8" s="754"/>
      <c r="V8" s="754"/>
      <c r="W8" s="335"/>
      <c r="X8" s="214"/>
      <c r="Y8" s="214"/>
    </row>
    <row r="9" spans="4:26" ht="60" customHeight="1" x14ac:dyDescent="0.3">
      <c r="D9" s="976"/>
      <c r="E9" s="385" t="s">
        <v>2768</v>
      </c>
      <c r="F9" s="378" t="s">
        <v>1519</v>
      </c>
      <c r="G9" s="378" t="s">
        <v>1520</v>
      </c>
      <c r="H9" s="378" t="s">
        <v>1514</v>
      </c>
      <c r="I9" s="378" t="s">
        <v>1513</v>
      </c>
      <c r="J9" s="378" t="s">
        <v>1512</v>
      </c>
      <c r="K9" s="378" t="s">
        <v>1511</v>
      </c>
      <c r="L9" s="378" t="s">
        <v>1510</v>
      </c>
      <c r="M9" s="378" t="s">
        <v>1521</v>
      </c>
      <c r="N9" s="378" t="s">
        <v>1522</v>
      </c>
      <c r="O9" s="378" t="s">
        <v>3584</v>
      </c>
      <c r="P9" s="378" t="s">
        <v>1516</v>
      </c>
      <c r="Q9" s="378" t="s">
        <v>1518</v>
      </c>
      <c r="R9" s="378" t="s">
        <v>1525</v>
      </c>
      <c r="S9" s="378" t="s">
        <v>3022</v>
      </c>
      <c r="T9" s="378" t="s">
        <v>1524</v>
      </c>
      <c r="U9" s="378" t="s">
        <v>1528</v>
      </c>
      <c r="V9" s="379" t="s">
        <v>1526</v>
      </c>
      <c r="W9" s="214"/>
      <c r="X9" s="214"/>
      <c r="Y9" s="214"/>
    </row>
    <row r="10" spans="4:26" ht="60" customHeight="1" x14ac:dyDescent="0.3">
      <c r="D10" s="976"/>
      <c r="E10" s="383" t="s">
        <v>2769</v>
      </c>
      <c r="F10" s="380" t="s">
        <v>1519</v>
      </c>
      <c r="G10" s="380" t="s">
        <v>1520</v>
      </c>
      <c r="H10" s="380" t="s">
        <v>1514</v>
      </c>
      <c r="I10" s="380" t="s">
        <v>1513</v>
      </c>
      <c r="J10" s="380" t="s">
        <v>1512</v>
      </c>
      <c r="K10" s="380" t="s">
        <v>1511</v>
      </c>
      <c r="L10" s="380" t="s">
        <v>1510</v>
      </c>
      <c r="M10" s="380" t="s">
        <v>1521</v>
      </c>
      <c r="N10" s="380" t="s">
        <v>1522</v>
      </c>
      <c r="O10" s="380" t="s">
        <v>3584</v>
      </c>
      <c r="P10" s="380" t="s">
        <v>1516</v>
      </c>
      <c r="Q10" s="380" t="s">
        <v>1517</v>
      </c>
      <c r="R10" s="380" t="s">
        <v>1527</v>
      </c>
      <c r="S10" s="380" t="s">
        <v>1526</v>
      </c>
      <c r="T10" s="380"/>
      <c r="U10" s="380"/>
      <c r="V10" s="394"/>
      <c r="W10" s="335"/>
      <c r="X10" s="214"/>
      <c r="Y10" s="214"/>
      <c r="Z10" s="214"/>
    </row>
    <row r="11" spans="4:26" ht="60" customHeight="1" x14ac:dyDescent="0.3">
      <c r="D11" s="976"/>
      <c r="E11" s="386" t="s">
        <v>2770</v>
      </c>
      <c r="F11" s="390" t="s">
        <v>1519</v>
      </c>
      <c r="G11" s="390" t="s">
        <v>1520</v>
      </c>
      <c r="H11" s="390" t="s">
        <v>1514</v>
      </c>
      <c r="I11" s="390" t="s">
        <v>1513</v>
      </c>
      <c r="J11" s="390" t="s">
        <v>1512</v>
      </c>
      <c r="K11" s="390" t="s">
        <v>1511</v>
      </c>
      <c r="L11" s="390" t="s">
        <v>1510</v>
      </c>
      <c r="M11" s="390" t="s">
        <v>1521</v>
      </c>
      <c r="N11" s="390" t="s">
        <v>1522</v>
      </c>
      <c r="O11" s="390" t="s">
        <v>3584</v>
      </c>
      <c r="P11" s="390" t="s">
        <v>1516</v>
      </c>
      <c r="Q11" s="390" t="s">
        <v>1517</v>
      </c>
      <c r="R11" s="390" t="s">
        <v>1515</v>
      </c>
      <c r="S11" s="390" t="s">
        <v>1526</v>
      </c>
      <c r="T11" s="390"/>
      <c r="U11" s="390"/>
      <c r="V11" s="393"/>
      <c r="W11" s="335"/>
      <c r="X11" s="214"/>
      <c r="Y11" s="214"/>
      <c r="Z11" s="214"/>
    </row>
    <row r="12" spans="4:26" ht="60" customHeight="1" x14ac:dyDescent="0.3">
      <c r="D12" s="976"/>
      <c r="E12" s="383" t="s">
        <v>2771</v>
      </c>
      <c r="F12" s="380" t="s">
        <v>1519</v>
      </c>
      <c r="G12" s="380" t="s">
        <v>1520</v>
      </c>
      <c r="H12" s="380" t="s">
        <v>1514</v>
      </c>
      <c r="I12" s="380" t="s">
        <v>1513</v>
      </c>
      <c r="J12" s="380" t="s">
        <v>1512</v>
      </c>
      <c r="K12" s="380" t="s">
        <v>1511</v>
      </c>
      <c r="L12" s="380" t="s">
        <v>1510</v>
      </c>
      <c r="M12" s="380" t="s">
        <v>1521</v>
      </c>
      <c r="N12" s="380" t="s">
        <v>1522</v>
      </c>
      <c r="O12" s="380" t="s">
        <v>3584</v>
      </c>
      <c r="P12" s="380" t="s">
        <v>1516</v>
      </c>
      <c r="Q12" s="380" t="s">
        <v>1517</v>
      </c>
      <c r="R12" s="380" t="s">
        <v>1527</v>
      </c>
      <c r="S12" s="380" t="s">
        <v>1526</v>
      </c>
      <c r="T12" s="380"/>
      <c r="U12" s="380"/>
      <c r="V12" s="394"/>
      <c r="W12" s="335"/>
      <c r="X12" s="214"/>
      <c r="Y12" s="214"/>
      <c r="Z12" s="214"/>
    </row>
    <row r="13" spans="4:26" ht="57.6" x14ac:dyDescent="0.3">
      <c r="D13" s="976"/>
      <c r="E13" s="382" t="s">
        <v>2772</v>
      </c>
      <c r="F13" s="373" t="s">
        <v>1519</v>
      </c>
      <c r="G13" s="373" t="s">
        <v>1520</v>
      </c>
      <c r="H13" s="373" t="s">
        <v>1514</v>
      </c>
      <c r="I13" s="373" t="s">
        <v>1513</v>
      </c>
      <c r="J13" s="373" t="s">
        <v>1512</v>
      </c>
      <c r="K13" s="373" t="s">
        <v>1511</v>
      </c>
      <c r="L13" s="373" t="s">
        <v>1510</v>
      </c>
      <c r="M13" s="373" t="s">
        <v>1521</v>
      </c>
      <c r="N13" s="373" t="s">
        <v>1522</v>
      </c>
      <c r="O13" s="373" t="s">
        <v>3584</v>
      </c>
      <c r="P13" s="373" t="s">
        <v>1516</v>
      </c>
      <c r="Q13" s="373" t="s">
        <v>1526</v>
      </c>
      <c r="R13" s="373"/>
      <c r="S13" s="373"/>
      <c r="T13" s="373"/>
      <c r="U13" s="373"/>
      <c r="V13" s="375"/>
      <c r="W13" s="335"/>
      <c r="X13" s="214"/>
      <c r="Y13" s="214"/>
      <c r="Z13" s="214"/>
    </row>
    <row r="14" spans="4:26" ht="57.6" x14ac:dyDescent="0.3">
      <c r="D14" s="976"/>
      <c r="E14" s="755" t="s">
        <v>2773</v>
      </c>
      <c r="F14" s="754" t="s">
        <v>1519</v>
      </c>
      <c r="G14" s="754" t="s">
        <v>1520</v>
      </c>
      <c r="H14" s="754" t="s">
        <v>1514</v>
      </c>
      <c r="I14" s="754" t="s">
        <v>1513</v>
      </c>
      <c r="J14" s="754" t="s">
        <v>1512</v>
      </c>
      <c r="K14" s="754" t="s">
        <v>1511</v>
      </c>
      <c r="L14" s="754" t="s">
        <v>1510</v>
      </c>
      <c r="M14" s="754" t="s">
        <v>1521</v>
      </c>
      <c r="N14" s="754" t="s">
        <v>1522</v>
      </c>
      <c r="O14" s="754" t="s">
        <v>3584</v>
      </c>
      <c r="P14" s="754" t="s">
        <v>1516</v>
      </c>
      <c r="Q14" s="754" t="s">
        <v>1517</v>
      </c>
      <c r="R14" s="754" t="s">
        <v>1515</v>
      </c>
      <c r="S14" s="754" t="s">
        <v>1526</v>
      </c>
      <c r="T14" s="754"/>
      <c r="U14" s="754"/>
      <c r="V14" s="754"/>
      <c r="W14" s="335"/>
      <c r="X14" s="214"/>
      <c r="Y14" s="214"/>
    </row>
    <row r="15" spans="4:26" ht="60" customHeight="1" x14ac:dyDescent="0.3">
      <c r="D15" s="976"/>
      <c r="E15" s="385" t="s">
        <v>2774</v>
      </c>
      <c r="F15" s="378" t="s">
        <v>1519</v>
      </c>
      <c r="G15" s="378" t="s">
        <v>1520</v>
      </c>
      <c r="H15" s="378" t="s">
        <v>1514</v>
      </c>
      <c r="I15" s="378" t="s">
        <v>1513</v>
      </c>
      <c r="J15" s="378" t="s">
        <v>1512</v>
      </c>
      <c r="K15" s="378" t="s">
        <v>1511</v>
      </c>
      <c r="L15" s="378" t="s">
        <v>1510</v>
      </c>
      <c r="M15" s="378" t="s">
        <v>1521</v>
      </c>
      <c r="N15" s="378" t="s">
        <v>1522</v>
      </c>
      <c r="O15" s="378" t="s">
        <v>3584</v>
      </c>
      <c r="P15" s="378" t="s">
        <v>1516</v>
      </c>
      <c r="Q15" s="378" t="s">
        <v>1518</v>
      </c>
      <c r="R15" s="378" t="s">
        <v>1525</v>
      </c>
      <c r="S15" s="378" t="s">
        <v>1523</v>
      </c>
      <c r="T15" s="378" t="s">
        <v>1524</v>
      </c>
      <c r="U15" s="378" t="s">
        <v>1528</v>
      </c>
      <c r="V15" s="379" t="s">
        <v>1526</v>
      </c>
      <c r="W15" s="335"/>
      <c r="X15" s="214"/>
      <c r="Y15" s="214"/>
      <c r="Z15" s="214"/>
    </row>
    <row r="16" spans="4:26" ht="60" customHeight="1" x14ac:dyDescent="0.3">
      <c r="D16" s="976"/>
      <c r="E16" s="387" t="s">
        <v>2775</v>
      </c>
      <c r="F16" s="391" t="s">
        <v>1519</v>
      </c>
      <c r="G16" s="391" t="s">
        <v>1520</v>
      </c>
      <c r="H16" s="391" t="s">
        <v>1514</v>
      </c>
      <c r="I16" s="391" t="s">
        <v>1513</v>
      </c>
      <c r="J16" s="391" t="s">
        <v>1512</v>
      </c>
      <c r="K16" s="391" t="s">
        <v>1511</v>
      </c>
      <c r="L16" s="391" t="s">
        <v>1510</v>
      </c>
      <c r="M16" s="391" t="s">
        <v>1521</v>
      </c>
      <c r="N16" s="391" t="s">
        <v>1522</v>
      </c>
      <c r="O16" s="391" t="s">
        <v>1632</v>
      </c>
      <c r="P16" s="391" t="s">
        <v>1516</v>
      </c>
      <c r="Q16" s="391" t="s">
        <v>1517</v>
      </c>
      <c r="R16" s="391" t="s">
        <v>1515</v>
      </c>
      <c r="S16" s="391" t="s">
        <v>1527</v>
      </c>
      <c r="T16" s="391" t="s">
        <v>1526</v>
      </c>
      <c r="U16" s="391"/>
      <c r="V16" s="392"/>
      <c r="W16" s="335"/>
      <c r="X16" s="214"/>
      <c r="Y16" s="214"/>
      <c r="Z16" s="214"/>
    </row>
    <row r="17" spans="3:26" ht="57.6" x14ac:dyDescent="0.3">
      <c r="D17" s="976"/>
      <c r="E17" s="388" t="s">
        <v>2776</v>
      </c>
      <c r="F17" s="395" t="s">
        <v>1519</v>
      </c>
      <c r="G17" s="395" t="s">
        <v>1520</v>
      </c>
      <c r="H17" s="395" t="s">
        <v>1514</v>
      </c>
      <c r="I17" s="395" t="s">
        <v>1513</v>
      </c>
      <c r="J17" s="395" t="s">
        <v>1512</v>
      </c>
      <c r="K17" s="395" t="s">
        <v>1511</v>
      </c>
      <c r="L17" s="395" t="s">
        <v>1510</v>
      </c>
      <c r="M17" s="395" t="s">
        <v>1521</v>
      </c>
      <c r="N17" s="395" t="s">
        <v>1522</v>
      </c>
      <c r="O17" s="395" t="s">
        <v>1646</v>
      </c>
      <c r="P17" s="395" t="s">
        <v>1632</v>
      </c>
      <c r="Q17" s="395" t="s">
        <v>1516</v>
      </c>
      <c r="R17" s="395" t="s">
        <v>1517</v>
      </c>
      <c r="S17" s="395" t="s">
        <v>1526</v>
      </c>
      <c r="T17" s="395"/>
      <c r="U17" s="395"/>
      <c r="V17" s="396"/>
      <c r="W17" s="335"/>
      <c r="X17" s="214"/>
      <c r="Y17" s="214"/>
      <c r="Z17" s="214"/>
    </row>
    <row r="18" spans="3:26" ht="60" customHeight="1" x14ac:dyDescent="0.3">
      <c r="D18" s="976"/>
      <c r="E18" s="387" t="s">
        <v>2777</v>
      </c>
      <c r="F18" s="391" t="s">
        <v>1519</v>
      </c>
      <c r="G18" s="391" t="s">
        <v>1520</v>
      </c>
      <c r="H18" s="391" t="s">
        <v>1514</v>
      </c>
      <c r="I18" s="391" t="s">
        <v>1513</v>
      </c>
      <c r="J18" s="391" t="s">
        <v>1512</v>
      </c>
      <c r="K18" s="391" t="s">
        <v>1511</v>
      </c>
      <c r="L18" s="391" t="s">
        <v>1510</v>
      </c>
      <c r="M18" s="391" t="s">
        <v>1521</v>
      </c>
      <c r="N18" s="391" t="s">
        <v>1522</v>
      </c>
      <c r="O18" s="391" t="s">
        <v>1632</v>
      </c>
      <c r="P18" s="391" t="s">
        <v>1516</v>
      </c>
      <c r="Q18" s="391" t="s">
        <v>1517</v>
      </c>
      <c r="R18" s="391" t="s">
        <v>1515</v>
      </c>
      <c r="S18" s="391" t="s">
        <v>1527</v>
      </c>
      <c r="T18" s="391" t="s">
        <v>1526</v>
      </c>
      <c r="U18" s="391"/>
      <c r="V18" s="392"/>
      <c r="W18" s="335"/>
      <c r="X18" s="214"/>
      <c r="Y18" s="214"/>
      <c r="Z18" s="214"/>
    </row>
    <row r="19" spans="3:26" ht="57.6" x14ac:dyDescent="0.3">
      <c r="D19" s="976"/>
      <c r="E19" s="382" t="s">
        <v>2778</v>
      </c>
      <c r="F19" s="373" t="s">
        <v>1519</v>
      </c>
      <c r="G19" s="373" t="s">
        <v>1520</v>
      </c>
      <c r="H19" s="373" t="s">
        <v>1514</v>
      </c>
      <c r="I19" s="373" t="s">
        <v>1513</v>
      </c>
      <c r="J19" s="373" t="s">
        <v>1512</v>
      </c>
      <c r="K19" s="373" t="s">
        <v>1511</v>
      </c>
      <c r="L19" s="373" t="s">
        <v>1510</v>
      </c>
      <c r="M19" s="373" t="s">
        <v>1521</v>
      </c>
      <c r="N19" s="373" t="s">
        <v>1522</v>
      </c>
      <c r="O19" s="373" t="s">
        <v>1632</v>
      </c>
      <c r="P19" s="373" t="s">
        <v>1516</v>
      </c>
      <c r="Q19" s="373" t="s">
        <v>1526</v>
      </c>
      <c r="R19" s="373"/>
      <c r="S19" s="373"/>
      <c r="T19" s="373"/>
      <c r="U19" s="373"/>
      <c r="V19" s="375"/>
      <c r="W19" s="335"/>
      <c r="X19" s="233"/>
      <c r="Y19" s="233"/>
      <c r="Z19" s="233"/>
    </row>
    <row r="20" spans="3:26" ht="58.2" thickBot="1" x14ac:dyDescent="0.35">
      <c r="D20" s="976"/>
      <c r="E20" s="389" t="s">
        <v>2779</v>
      </c>
      <c r="F20" s="376" t="s">
        <v>1519</v>
      </c>
      <c r="G20" s="376" t="s">
        <v>1520</v>
      </c>
      <c r="H20" s="376" t="s">
        <v>1514</v>
      </c>
      <c r="I20" s="376" t="s">
        <v>1513</v>
      </c>
      <c r="J20" s="376" t="s">
        <v>1512</v>
      </c>
      <c r="K20" s="376" t="s">
        <v>1511</v>
      </c>
      <c r="L20" s="376" t="s">
        <v>1510</v>
      </c>
      <c r="M20" s="376" t="s">
        <v>1521</v>
      </c>
      <c r="N20" s="376" t="s">
        <v>1522</v>
      </c>
      <c r="O20" s="376" t="s">
        <v>1646</v>
      </c>
      <c r="P20" s="376" t="s">
        <v>1632</v>
      </c>
      <c r="Q20" s="756" t="s">
        <v>1516</v>
      </c>
      <c r="R20" s="376" t="s">
        <v>1517</v>
      </c>
      <c r="S20" s="376" t="s">
        <v>1515</v>
      </c>
      <c r="T20" s="376" t="s">
        <v>1526</v>
      </c>
      <c r="U20" s="376"/>
      <c r="V20" s="377"/>
      <c r="W20" s="335"/>
      <c r="X20" s="336"/>
      <c r="Y20" s="336"/>
      <c r="Z20" s="336"/>
    </row>
    <row r="21" spans="3:26" ht="58.2" thickBot="1" x14ac:dyDescent="0.35">
      <c r="D21" s="976"/>
      <c r="E21" s="795" t="s">
        <v>3636</v>
      </c>
      <c r="F21" s="372" t="s">
        <v>1519</v>
      </c>
      <c r="G21" s="372" t="s">
        <v>1520</v>
      </c>
      <c r="H21" s="372" t="s">
        <v>1514</v>
      </c>
      <c r="I21" s="372" t="s">
        <v>1513</v>
      </c>
      <c r="J21" s="372" t="s">
        <v>1512</v>
      </c>
      <c r="K21" s="372" t="s">
        <v>1511</v>
      </c>
      <c r="L21" s="372" t="s">
        <v>1510</v>
      </c>
      <c r="M21" s="372" t="s">
        <v>1521</v>
      </c>
      <c r="N21" s="372" t="s">
        <v>1522</v>
      </c>
      <c r="O21" s="372" t="s">
        <v>3584</v>
      </c>
      <c r="P21" s="372" t="s">
        <v>1516</v>
      </c>
      <c r="Q21" s="372" t="s">
        <v>1526</v>
      </c>
      <c r="W21" s="793"/>
      <c r="X21" s="776"/>
      <c r="Y21" s="794"/>
      <c r="Z21" s="794"/>
    </row>
    <row r="22" spans="3:26" ht="57.6" x14ac:dyDescent="0.3">
      <c r="C22">
        <v>50</v>
      </c>
      <c r="D22" s="976"/>
      <c r="E22" s="796" t="s">
        <v>3637</v>
      </c>
      <c r="F22" s="372" t="s">
        <v>1519</v>
      </c>
      <c r="G22" s="372" t="s">
        <v>1520</v>
      </c>
      <c r="H22" s="372" t="s">
        <v>1514</v>
      </c>
      <c r="I22" s="372" t="s">
        <v>1513</v>
      </c>
      <c r="J22" s="372" t="s">
        <v>1512</v>
      </c>
      <c r="K22" s="372" t="s">
        <v>1511</v>
      </c>
      <c r="L22" s="372" t="s">
        <v>1510</v>
      </c>
      <c r="M22" s="372" t="s">
        <v>1521</v>
      </c>
      <c r="N22" s="372" t="s">
        <v>1522</v>
      </c>
      <c r="O22" s="372" t="s">
        <v>3584</v>
      </c>
      <c r="P22" s="372" t="s">
        <v>1516</v>
      </c>
      <c r="Q22" s="372" t="s">
        <v>1526</v>
      </c>
      <c r="W22" s="328"/>
      <c r="X22" s="328"/>
    </row>
    <row r="23" spans="3:26" ht="57.6" x14ac:dyDescent="0.3">
      <c r="C23">
        <v>250</v>
      </c>
      <c r="D23" s="976"/>
      <c r="E23" s="796" t="s">
        <v>3638</v>
      </c>
      <c r="F23" s="390" t="s">
        <v>1519</v>
      </c>
      <c r="G23" s="390" t="s">
        <v>1520</v>
      </c>
      <c r="H23" s="390" t="s">
        <v>1514</v>
      </c>
      <c r="I23" s="390" t="s">
        <v>1513</v>
      </c>
      <c r="J23" s="390" t="s">
        <v>1512</v>
      </c>
      <c r="K23" s="390" t="s">
        <v>1511</v>
      </c>
      <c r="L23" s="390" t="s">
        <v>1510</v>
      </c>
      <c r="M23" s="390" t="s">
        <v>1521</v>
      </c>
      <c r="N23" s="390" t="s">
        <v>1522</v>
      </c>
      <c r="O23" s="390" t="s">
        <v>3584</v>
      </c>
      <c r="P23" s="390" t="s">
        <v>1516</v>
      </c>
      <c r="Q23" s="390" t="s">
        <v>1517</v>
      </c>
      <c r="R23" s="390" t="s">
        <v>1515</v>
      </c>
      <c r="S23" s="390" t="s">
        <v>1526</v>
      </c>
      <c r="W23" s="328"/>
      <c r="X23" s="328"/>
    </row>
    <row r="24" spans="3:26" ht="57.6" x14ac:dyDescent="0.3">
      <c r="C24">
        <v>450</v>
      </c>
      <c r="D24" s="976"/>
      <c r="E24" s="796" t="s">
        <v>3639</v>
      </c>
      <c r="F24" s="378" t="s">
        <v>1519</v>
      </c>
      <c r="G24" s="378" t="s">
        <v>1520</v>
      </c>
      <c r="H24" s="378" t="s">
        <v>1514</v>
      </c>
      <c r="I24" s="378" t="s">
        <v>1513</v>
      </c>
      <c r="J24" s="378" t="s">
        <v>1512</v>
      </c>
      <c r="K24" s="378" t="s">
        <v>1511</v>
      </c>
      <c r="L24" s="378" t="s">
        <v>1510</v>
      </c>
      <c r="M24" s="378" t="s">
        <v>1521</v>
      </c>
      <c r="N24" s="378" t="s">
        <v>1522</v>
      </c>
      <c r="O24" s="378" t="s">
        <v>3584</v>
      </c>
      <c r="P24" s="378" t="s">
        <v>1516</v>
      </c>
      <c r="Q24" s="378" t="s">
        <v>1518</v>
      </c>
      <c r="R24" s="378" t="s">
        <v>1525</v>
      </c>
      <c r="S24" s="378" t="s">
        <v>1526</v>
      </c>
      <c r="W24" s="328"/>
      <c r="X24" s="328"/>
    </row>
    <row r="25" spans="3:26" ht="58.2" thickBot="1" x14ac:dyDescent="0.35">
      <c r="C25">
        <v>650</v>
      </c>
      <c r="D25" s="976"/>
      <c r="E25" s="796" t="s">
        <v>3640</v>
      </c>
      <c r="F25" s="390" t="s">
        <v>1519</v>
      </c>
      <c r="G25" s="390" t="s">
        <v>1520</v>
      </c>
      <c r="H25" s="390" t="s">
        <v>1514</v>
      </c>
      <c r="I25" s="390" t="s">
        <v>1513</v>
      </c>
      <c r="J25" s="390" t="s">
        <v>1512</v>
      </c>
      <c r="K25" s="390" t="s">
        <v>1511</v>
      </c>
      <c r="L25" s="390" t="s">
        <v>1510</v>
      </c>
      <c r="M25" s="390" t="s">
        <v>1521</v>
      </c>
      <c r="N25" s="390" t="s">
        <v>1522</v>
      </c>
      <c r="O25" s="390" t="s">
        <v>3584</v>
      </c>
      <c r="P25" s="390" t="s">
        <v>1516</v>
      </c>
      <c r="Q25" s="390" t="s">
        <v>1517</v>
      </c>
      <c r="R25" s="390" t="s">
        <v>1515</v>
      </c>
      <c r="S25" s="390" t="s">
        <v>1526</v>
      </c>
      <c r="W25" s="328"/>
      <c r="X25" s="328"/>
    </row>
    <row r="26" spans="3:26" ht="57.6" x14ac:dyDescent="0.3">
      <c r="C26">
        <v>850</v>
      </c>
      <c r="D26" s="976"/>
      <c r="E26" s="796" t="s">
        <v>3641</v>
      </c>
      <c r="F26" s="372" t="s">
        <v>1519</v>
      </c>
      <c r="G26" s="372" t="s">
        <v>1520</v>
      </c>
      <c r="H26" s="372" t="s">
        <v>1514</v>
      </c>
      <c r="I26" s="372" t="s">
        <v>1513</v>
      </c>
      <c r="J26" s="372" t="s">
        <v>1512</v>
      </c>
      <c r="K26" s="372" t="s">
        <v>1511</v>
      </c>
      <c r="L26" s="372" t="s">
        <v>1510</v>
      </c>
      <c r="M26" s="372" t="s">
        <v>1521</v>
      </c>
      <c r="N26" s="372" t="s">
        <v>1522</v>
      </c>
      <c r="O26" s="372" t="s">
        <v>3584</v>
      </c>
      <c r="P26" s="372" t="s">
        <v>1516</v>
      </c>
      <c r="Q26" s="372" t="s">
        <v>1526</v>
      </c>
      <c r="W26" s="328"/>
      <c r="X26" s="328"/>
    </row>
    <row r="27" spans="3:26" ht="58.2" thickBot="1" x14ac:dyDescent="0.35">
      <c r="C27">
        <v>1050</v>
      </c>
      <c r="D27" s="976"/>
      <c r="E27" s="797" t="s">
        <v>3642</v>
      </c>
      <c r="F27" s="378" t="s">
        <v>1519</v>
      </c>
      <c r="G27" s="378" t="s">
        <v>1520</v>
      </c>
      <c r="H27" s="378" t="s">
        <v>1514</v>
      </c>
      <c r="I27" s="378" t="s">
        <v>1513</v>
      </c>
      <c r="J27" s="378" t="s">
        <v>1512</v>
      </c>
      <c r="K27" s="378" t="s">
        <v>1511</v>
      </c>
      <c r="L27" s="378" t="s">
        <v>1510</v>
      </c>
      <c r="M27" s="378" t="s">
        <v>1521</v>
      </c>
      <c r="N27" s="378" t="s">
        <v>1522</v>
      </c>
      <c r="O27" s="378" t="s">
        <v>3584</v>
      </c>
      <c r="P27" s="378" t="s">
        <v>1516</v>
      </c>
      <c r="Q27" s="378" t="s">
        <v>1517</v>
      </c>
      <c r="R27" s="378" t="s">
        <v>1515</v>
      </c>
      <c r="S27" s="378" t="s">
        <v>1518</v>
      </c>
      <c r="T27" s="378" t="s">
        <v>1525</v>
      </c>
      <c r="U27" s="378" t="s">
        <v>3645</v>
      </c>
      <c r="V27" s="379" t="s">
        <v>1526</v>
      </c>
      <c r="W27" s="328"/>
      <c r="X27" s="328"/>
    </row>
    <row r="28" spans="3:26" ht="57.6" x14ac:dyDescent="0.3">
      <c r="C28">
        <v>1250</v>
      </c>
      <c r="D28" s="976"/>
      <c r="E28" s="796" t="s">
        <v>3643</v>
      </c>
      <c r="F28" s="372" t="s">
        <v>1519</v>
      </c>
      <c r="G28" s="372" t="s">
        <v>1520</v>
      </c>
      <c r="H28" s="372" t="s">
        <v>1514</v>
      </c>
      <c r="I28" s="372" t="s">
        <v>1513</v>
      </c>
      <c r="J28" s="372" t="s">
        <v>1512</v>
      </c>
      <c r="K28" s="372" t="s">
        <v>1511</v>
      </c>
      <c r="L28" s="372" t="s">
        <v>1510</v>
      </c>
      <c r="M28" s="372" t="s">
        <v>1521</v>
      </c>
      <c r="N28" s="372" t="s">
        <v>1522</v>
      </c>
      <c r="O28" s="372" t="s">
        <v>3584</v>
      </c>
      <c r="P28" s="372" t="s">
        <v>1516</v>
      </c>
      <c r="Q28" s="372" t="s">
        <v>1526</v>
      </c>
      <c r="W28" s="328"/>
      <c r="X28" s="328"/>
    </row>
    <row r="29" spans="3:26" ht="57.6" x14ac:dyDescent="0.3">
      <c r="C29">
        <v>1450</v>
      </c>
      <c r="D29" s="976"/>
      <c r="E29" s="796" t="s">
        <v>3644</v>
      </c>
      <c r="F29" s="390" t="s">
        <v>1519</v>
      </c>
      <c r="G29" s="390" t="s">
        <v>1520</v>
      </c>
      <c r="H29" s="390" t="s">
        <v>1514</v>
      </c>
      <c r="I29" s="390" t="s">
        <v>1513</v>
      </c>
      <c r="J29" s="390" t="s">
        <v>1512</v>
      </c>
      <c r="K29" s="390" t="s">
        <v>1511</v>
      </c>
      <c r="L29" s="390" t="s">
        <v>1510</v>
      </c>
      <c r="M29" s="390" t="s">
        <v>1521</v>
      </c>
      <c r="N29" s="390" t="s">
        <v>1522</v>
      </c>
      <c r="O29" s="390" t="s">
        <v>3584</v>
      </c>
      <c r="P29" s="390" t="s">
        <v>1516</v>
      </c>
      <c r="Q29" s="390" t="s">
        <v>1517</v>
      </c>
      <c r="R29" s="390" t="s">
        <v>1515</v>
      </c>
      <c r="S29" s="390" t="s">
        <v>1526</v>
      </c>
      <c r="W29" s="328"/>
      <c r="X29" s="328"/>
    </row>
    <row r="30" spans="3:26" ht="18" x14ac:dyDescent="0.3">
      <c r="E30" s="219" t="s">
        <v>1854</v>
      </c>
      <c r="F30" s="231"/>
      <c r="G30" s="231"/>
      <c r="H30" s="231"/>
      <c r="I30" s="231"/>
      <c r="J30" s="231"/>
      <c r="K30" s="231"/>
      <c r="L30" s="231"/>
      <c r="M30" s="231"/>
      <c r="N30" s="231"/>
      <c r="O30" s="232"/>
      <c r="P30" s="231"/>
      <c r="Q30" s="232"/>
      <c r="R30" s="231"/>
      <c r="S30" s="231"/>
      <c r="T30" s="231"/>
      <c r="U30" s="231"/>
      <c r="V30" s="231"/>
      <c r="W30" s="336"/>
      <c r="X30" s="336"/>
      <c r="Y30" s="336"/>
      <c r="Z30" s="336"/>
    </row>
    <row r="31" spans="3:26" ht="60" customHeight="1" x14ac:dyDescent="0.3">
      <c r="E31" s="219" t="s">
        <v>1060</v>
      </c>
      <c r="F31" s="231" t="s">
        <v>1063</v>
      </c>
      <c r="G31" s="231"/>
      <c r="H31" s="231"/>
      <c r="I31" s="231"/>
      <c r="J31" s="231" t="s">
        <v>1061</v>
      </c>
      <c r="K31" s="231"/>
      <c r="L31" s="231"/>
      <c r="M31" s="231"/>
      <c r="N31" s="231"/>
      <c r="O31" s="231"/>
      <c r="P31" s="231"/>
      <c r="Q31" s="231"/>
      <c r="R31" s="231"/>
      <c r="S31" s="231" t="s">
        <v>1062</v>
      </c>
      <c r="T31" s="231"/>
      <c r="U31" s="231"/>
      <c r="V31" s="231"/>
      <c r="W31" s="214"/>
      <c r="X31" s="214"/>
      <c r="Y31" s="214"/>
      <c r="Z31" s="214"/>
    </row>
    <row r="32" spans="3:26" ht="60" customHeight="1" x14ac:dyDescent="0.3">
      <c r="E32" s="219" t="s">
        <v>1457</v>
      </c>
      <c r="F32" s="231"/>
      <c r="G32" s="231"/>
      <c r="H32" s="231"/>
      <c r="I32" s="231"/>
      <c r="J32" s="231"/>
      <c r="K32" s="231"/>
      <c r="L32" s="231"/>
      <c r="M32" s="231"/>
      <c r="N32" s="231"/>
      <c r="O32" s="232"/>
      <c r="P32" s="231"/>
      <c r="Q32" s="232"/>
      <c r="R32" s="231"/>
      <c r="S32" s="231"/>
      <c r="T32" s="231"/>
      <c r="U32" s="231"/>
      <c r="V32" s="231"/>
      <c r="W32" s="214"/>
      <c r="X32" s="214"/>
      <c r="Y32" s="214"/>
      <c r="Z32" s="214"/>
    </row>
  </sheetData>
  <mergeCells count="1">
    <mergeCell ref="D2:D29"/>
  </mergeCells>
  <phoneticPr fontId="28"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5:S47"/>
  <sheetViews>
    <sheetView showGridLines="0" showRowColHeaders="0" zoomScale="80" zoomScaleNormal="80" workbookViewId="0">
      <selection activeCell="M5" sqref="M5"/>
    </sheetView>
  </sheetViews>
  <sheetFormatPr baseColWidth="10" defaultRowHeight="14.4" x14ac:dyDescent="0.3"/>
  <cols>
    <col min="1" max="1" width="6.6640625" customWidth="1"/>
    <col min="2" max="6" width="7.6640625" customWidth="1"/>
    <col min="7" max="7" width="7.33203125" customWidth="1"/>
    <col min="8" max="8" width="11.5546875" customWidth="1"/>
    <col min="9" max="9" width="10.6640625" customWidth="1"/>
    <col min="10" max="10" width="9.88671875" customWidth="1"/>
    <col min="11" max="11" width="7.88671875" customWidth="1"/>
    <col min="12" max="12" width="15" customWidth="1"/>
    <col min="14" max="17" width="10.6640625" customWidth="1"/>
    <col min="18" max="18" width="11.88671875" customWidth="1"/>
    <col min="19" max="19" width="10.6640625" customWidth="1"/>
  </cols>
  <sheetData>
    <row r="5" spans="1:19" ht="57.75" customHeight="1" thickBot="1" x14ac:dyDescent="0.35">
      <c r="B5" s="1008"/>
      <c r="C5" s="1008"/>
      <c r="D5" s="1008"/>
      <c r="E5" s="1008"/>
      <c r="F5" s="1008"/>
      <c r="G5" s="1008"/>
      <c r="H5" s="1008"/>
      <c r="I5" s="1008"/>
      <c r="J5" s="1008"/>
      <c r="K5" s="1008"/>
      <c r="L5" s="1008"/>
    </row>
    <row r="6" spans="1:19" ht="19.2" thickTop="1" thickBot="1" x14ac:dyDescent="0.35">
      <c r="H6" s="106" t="s">
        <v>975</v>
      </c>
      <c r="N6" s="116"/>
      <c r="O6" s="117"/>
      <c r="P6" s="117"/>
      <c r="Q6" s="117"/>
      <c r="R6" s="117"/>
      <c r="S6" s="118"/>
    </row>
    <row r="7" spans="1:19" ht="12" customHeight="1" x14ac:dyDescent="0.3">
      <c r="N7" s="119"/>
      <c r="O7" s="977" t="s">
        <v>1066</v>
      </c>
      <c r="P7" s="978"/>
      <c r="Q7" s="978"/>
      <c r="R7" s="979"/>
      <c r="S7" s="120"/>
    </row>
    <row r="8" spans="1:19" ht="17.100000000000001" customHeight="1" thickBot="1" x14ac:dyDescent="0.35">
      <c r="B8" s="143" t="s">
        <v>974</v>
      </c>
      <c r="C8" s="100"/>
      <c r="D8" s="1000" t="str">
        <f>IFERROR(INDEX(BDEGENER[],MATCH(Q11,BDEGENER[SERIE],0),11),"")</f>
        <v/>
      </c>
      <c r="E8" s="1000"/>
      <c r="F8" s="1000"/>
      <c r="G8" s="1000"/>
      <c r="H8" s="1000"/>
      <c r="I8" s="1000"/>
      <c r="J8" s="1000"/>
      <c r="K8" s="144" t="s">
        <v>973</v>
      </c>
      <c r="L8" s="327"/>
      <c r="N8" s="119"/>
      <c r="O8" s="980"/>
      <c r="P8" s="981"/>
      <c r="Q8" s="981"/>
      <c r="R8" s="982"/>
      <c r="S8" s="120"/>
    </row>
    <row r="9" spans="1:19" x14ac:dyDescent="0.3">
      <c r="N9" s="119"/>
      <c r="O9" s="114"/>
      <c r="P9" s="114"/>
      <c r="Q9" s="114"/>
      <c r="R9" s="114"/>
      <c r="S9" s="120"/>
    </row>
    <row r="10" spans="1:19" ht="17.100000000000001" customHeight="1" thickBot="1" x14ac:dyDescent="0.35">
      <c r="A10" s="92"/>
      <c r="B10" s="991" t="s">
        <v>972</v>
      </c>
      <c r="C10" s="992"/>
      <c r="D10" s="992"/>
      <c r="E10" s="1001" t="str">
        <f>IFERROR(INDEX(BDEGENER[],MATCH(Q11,BDEGENER[SERIE],0),22),"")</f>
        <v/>
      </c>
      <c r="F10" s="1001"/>
      <c r="G10" s="1001"/>
      <c r="H10" s="1001"/>
      <c r="I10" s="1002"/>
      <c r="J10" s="1001"/>
      <c r="K10" s="1001"/>
      <c r="L10" s="1003"/>
      <c r="N10" s="119"/>
      <c r="O10" s="114"/>
      <c r="P10" s="114"/>
      <c r="Q10" s="114"/>
      <c r="R10" s="114"/>
      <c r="S10" s="120"/>
    </row>
    <row r="11" spans="1:19" ht="17.100000000000001" customHeight="1" x14ac:dyDescent="0.3">
      <c r="A11" s="92"/>
      <c r="B11" s="991" t="s">
        <v>971</v>
      </c>
      <c r="C11" s="992"/>
      <c r="D11" s="1001" t="str">
        <f>IFERROR(INDEX(BDEGENER[],MATCH(Q11,BDEGENER[SERIE],0),26),"")</f>
        <v/>
      </c>
      <c r="E11" s="1001"/>
      <c r="F11" s="1001"/>
      <c r="G11" s="1003"/>
      <c r="H11" s="137" t="s">
        <v>970</v>
      </c>
      <c r="I11" s="1001" t="str">
        <f>IFERROR(INDEX(BDEGENER[],MATCH(Q11,BDEGENER[SERIE],0),27),"")</f>
        <v/>
      </c>
      <c r="J11" s="1003"/>
      <c r="K11" s="137" t="s">
        <v>969</v>
      </c>
      <c r="L11" s="234" t="str">
        <f>CONCATENATE(Q11)</f>
        <v/>
      </c>
      <c r="N11" s="119"/>
      <c r="O11" s="983" t="s">
        <v>1067</v>
      </c>
      <c r="P11" s="984"/>
      <c r="Q11" s="987"/>
      <c r="R11" s="988"/>
      <c r="S11" s="120"/>
    </row>
    <row r="12" spans="1:19" ht="15" thickBot="1" x14ac:dyDescent="0.35">
      <c r="A12" s="92"/>
      <c r="L12" s="92"/>
      <c r="N12" s="119"/>
      <c r="O12" s="985"/>
      <c r="P12" s="986"/>
      <c r="Q12" s="989"/>
      <c r="R12" s="990"/>
      <c r="S12" s="120"/>
    </row>
    <row r="13" spans="1:19" ht="30" customHeight="1" x14ac:dyDescent="0.3">
      <c r="A13" s="92"/>
      <c r="B13" s="991" t="s">
        <v>968</v>
      </c>
      <c r="C13" s="993"/>
      <c r="D13" s="1015" t="s">
        <v>967</v>
      </c>
      <c r="E13" s="1015"/>
      <c r="F13" s="1015" t="s">
        <v>14</v>
      </c>
      <c r="G13" s="1015"/>
      <c r="H13" s="136" t="s">
        <v>966</v>
      </c>
      <c r="I13" s="1015" t="s">
        <v>965</v>
      </c>
      <c r="J13" s="1015"/>
      <c r="K13" s="1015" t="s">
        <v>964</v>
      </c>
      <c r="L13" s="1015"/>
      <c r="M13" s="92"/>
      <c r="N13" s="119"/>
      <c r="O13" s="114"/>
      <c r="P13" s="114"/>
      <c r="Q13" s="114"/>
      <c r="R13" s="114"/>
      <c r="S13" s="120"/>
    </row>
    <row r="14" spans="1:19" ht="17.100000000000001" customHeight="1" x14ac:dyDescent="0.3">
      <c r="A14" s="92"/>
      <c r="B14" s="1013" t="str">
        <f>IFERROR(INDEX(BDEGENER[],MATCH(Q11,BDEGENER[SERIE],0),28),"")</f>
        <v/>
      </c>
      <c r="C14" s="1014"/>
      <c r="D14" s="1013"/>
      <c r="E14" s="1014"/>
      <c r="F14" s="1013"/>
      <c r="G14" s="1014"/>
      <c r="H14" s="101"/>
      <c r="I14" s="1013" t="str">
        <f>IFERROR(INDEX(BDEGENER[],MATCH(Q11,BDEGENER[SERIE],0),32),"")</f>
        <v/>
      </c>
      <c r="J14" s="1014"/>
      <c r="K14" s="1013" t="str">
        <f>IFERROR(INDEX(BDEGENER[],MATCH(Q11,BDEGENER[SERIE],0),33),"")</f>
        <v/>
      </c>
      <c r="L14" s="1014"/>
      <c r="M14" s="92"/>
      <c r="N14" s="119"/>
      <c r="O14" s="114"/>
      <c r="P14" s="114"/>
      <c r="Q14" s="114"/>
      <c r="R14" s="114"/>
      <c r="S14" s="120"/>
    </row>
    <row r="15" spans="1:19" x14ac:dyDescent="0.3">
      <c r="A15" s="92"/>
      <c r="B15" s="99"/>
      <c r="C15" s="99"/>
      <c r="D15" s="99"/>
      <c r="E15" s="99"/>
      <c r="F15" s="99"/>
      <c r="G15" s="99"/>
      <c r="H15" s="99"/>
      <c r="I15" s="99"/>
      <c r="J15" s="99"/>
      <c r="K15" s="99"/>
      <c r="L15" s="99"/>
      <c r="M15" s="92"/>
      <c r="N15" s="119"/>
      <c r="O15" s="114"/>
      <c r="P15" s="114"/>
      <c r="Q15" s="114"/>
      <c r="R15" s="114"/>
      <c r="S15" s="120"/>
    </row>
    <row r="16" spans="1:19" ht="15" customHeight="1" x14ac:dyDescent="0.3">
      <c r="B16" s="1004" t="s">
        <v>30</v>
      </c>
      <c r="C16" s="1005"/>
      <c r="D16" s="1005"/>
      <c r="E16" s="1005"/>
      <c r="F16" s="1005"/>
      <c r="G16" s="1006"/>
      <c r="H16" s="1004" t="s">
        <v>31</v>
      </c>
      <c r="I16" s="1005"/>
      <c r="J16" s="1005"/>
      <c r="K16" s="1005"/>
      <c r="L16" s="1006"/>
      <c r="M16" s="92"/>
      <c r="N16" s="119"/>
      <c r="O16" s="114"/>
      <c r="P16" s="114"/>
      <c r="Q16" s="114"/>
      <c r="R16" s="114"/>
      <c r="S16" s="120"/>
    </row>
    <row r="17" spans="1:19" ht="30" customHeight="1" x14ac:dyDescent="0.3">
      <c r="B17" s="997" t="s">
        <v>963</v>
      </c>
      <c r="C17" s="998"/>
      <c r="D17" s="1009" t="str">
        <f>IFERROR(INDEX(BDEGENER[],MATCH(Q11,BDEGENER[SERIE],0),34),"")</f>
        <v/>
      </c>
      <c r="E17" s="1009"/>
      <c r="F17" s="1009"/>
      <c r="G17" s="1010"/>
      <c r="H17" s="369" t="s">
        <v>963</v>
      </c>
      <c r="I17" s="1011" t="str">
        <f>IFERROR(INDEX(BDEGENER[],MATCH(Q11,BDEGENER[SERIE],0),36),"")</f>
        <v/>
      </c>
      <c r="J17" s="1011"/>
      <c r="K17" s="1011"/>
      <c r="L17" s="1012"/>
      <c r="N17" s="119"/>
      <c r="O17" s="114"/>
      <c r="P17" s="114"/>
      <c r="Q17" s="114"/>
      <c r="R17" s="114"/>
      <c r="S17" s="120"/>
    </row>
    <row r="18" spans="1:19" ht="17.100000000000001" customHeight="1" x14ac:dyDescent="0.3">
      <c r="B18" s="997" t="s">
        <v>962</v>
      </c>
      <c r="C18" s="998"/>
      <c r="D18" s="1009" t="str">
        <f>IFERROR(INDEX(BDEGENER[],MATCH(Q11,BDEGENER[SERIE],0),35),"")</f>
        <v/>
      </c>
      <c r="E18" s="1009"/>
      <c r="F18" s="1009"/>
      <c r="G18" s="1010"/>
      <c r="H18" s="509" t="s">
        <v>962</v>
      </c>
      <c r="I18" s="1020" t="str">
        <f>IFERROR(INDEX(BDEGENER[],MATCH(Q11,BDEGENER[SERIE],0),37),"")</f>
        <v/>
      </c>
      <c r="J18" s="1020"/>
      <c r="K18" s="1020"/>
      <c r="L18" s="1021"/>
      <c r="N18" s="119"/>
      <c r="O18" s="114"/>
      <c r="P18" s="114"/>
      <c r="Q18" s="114"/>
      <c r="R18" s="114"/>
      <c r="S18" s="120"/>
    </row>
    <row r="19" spans="1:19" x14ac:dyDescent="0.3">
      <c r="A19" s="92"/>
      <c r="B19" s="92"/>
      <c r="C19" s="92"/>
      <c r="D19" s="92"/>
      <c r="E19" s="92"/>
      <c r="F19" s="92"/>
      <c r="G19" s="92"/>
      <c r="H19" s="92"/>
      <c r="I19" s="92"/>
      <c r="J19" s="92"/>
      <c r="K19" s="92"/>
      <c r="N19" s="119"/>
      <c r="O19" s="114"/>
      <c r="P19" s="114"/>
      <c r="Q19" s="114"/>
      <c r="R19" s="114"/>
      <c r="S19" s="120"/>
    </row>
    <row r="20" spans="1:19" ht="18" customHeight="1" x14ac:dyDescent="0.3">
      <c r="A20" s="92"/>
      <c r="B20" s="1007" t="s">
        <v>961</v>
      </c>
      <c r="C20" s="1007"/>
      <c r="D20" s="1007"/>
      <c r="E20" s="1007"/>
      <c r="F20" s="1007"/>
      <c r="G20" s="1007"/>
      <c r="H20" s="1007"/>
      <c r="I20" s="1007"/>
      <c r="N20" s="119"/>
      <c r="O20" s="114"/>
      <c r="P20" s="114"/>
      <c r="Q20" s="114"/>
      <c r="R20" s="114"/>
      <c r="S20" s="120"/>
    </row>
    <row r="21" spans="1:19" s="102" customFormat="1" ht="30" customHeight="1" thickBot="1" x14ac:dyDescent="0.35">
      <c r="A21" s="103"/>
      <c r="B21" s="105" t="s">
        <v>960</v>
      </c>
      <c r="C21" s="105" t="s">
        <v>14</v>
      </c>
      <c r="D21" s="105" t="s">
        <v>959</v>
      </c>
      <c r="E21" s="104" t="s">
        <v>958</v>
      </c>
      <c r="F21" s="104" t="s">
        <v>957</v>
      </c>
      <c r="G21" s="104" t="s">
        <v>956</v>
      </c>
      <c r="I21" s="997" t="s">
        <v>29</v>
      </c>
      <c r="J21" s="998"/>
      <c r="K21" s="999"/>
      <c r="L21" s="141" t="s">
        <v>955</v>
      </c>
      <c r="M21" s="103"/>
      <c r="N21" s="138"/>
      <c r="O21" s="139"/>
      <c r="P21" s="139"/>
      <c r="Q21" s="139"/>
      <c r="R21" s="139"/>
      <c r="S21" s="140"/>
    </row>
    <row r="22" spans="1:19" ht="24.9" customHeight="1" x14ac:dyDescent="0.3">
      <c r="A22" s="92"/>
      <c r="B22" s="101">
        <v>25</v>
      </c>
      <c r="C22" s="101"/>
      <c r="D22" s="101"/>
      <c r="E22" s="101"/>
      <c r="F22" s="101"/>
      <c r="G22" s="101"/>
      <c r="H22" s="99"/>
      <c r="I22" s="991" t="s">
        <v>954</v>
      </c>
      <c r="J22" s="992"/>
      <c r="K22" s="993"/>
      <c r="L22" s="141"/>
      <c r="M22" s="99"/>
      <c r="N22" s="99"/>
      <c r="O22" s="92"/>
    </row>
    <row r="23" spans="1:19" ht="24.9" customHeight="1" x14ac:dyDescent="0.3">
      <c r="A23" s="92"/>
      <c r="B23" s="101">
        <v>50</v>
      </c>
      <c r="C23" s="101"/>
      <c r="D23" s="101"/>
      <c r="E23" s="101"/>
      <c r="F23" s="101"/>
      <c r="G23" s="101"/>
      <c r="H23" s="99"/>
      <c r="I23" s="994" t="s">
        <v>953</v>
      </c>
      <c r="J23" s="995"/>
      <c r="K23" s="996"/>
      <c r="L23" s="141"/>
      <c r="M23" s="99"/>
      <c r="N23" s="99"/>
      <c r="O23" s="92"/>
    </row>
    <row r="24" spans="1:19" ht="24.9" customHeight="1" x14ac:dyDescent="0.3">
      <c r="A24" s="92"/>
      <c r="B24" s="101">
        <v>75</v>
      </c>
      <c r="C24" s="101"/>
      <c r="D24" s="101"/>
      <c r="E24" s="101"/>
      <c r="F24" s="101"/>
      <c r="G24" s="101"/>
      <c r="I24" s="991" t="s">
        <v>952</v>
      </c>
      <c r="J24" s="992"/>
      <c r="K24" s="993"/>
      <c r="L24" s="141"/>
      <c r="M24" s="99"/>
      <c r="N24" s="99"/>
      <c r="O24" s="92"/>
    </row>
    <row r="25" spans="1:19" ht="25.5" customHeight="1" x14ac:dyDescent="0.3">
      <c r="A25" s="92"/>
      <c r="B25" s="109">
        <v>100</v>
      </c>
      <c r="C25" s="109"/>
      <c r="D25" s="109"/>
      <c r="E25" s="109"/>
      <c r="F25" s="109"/>
      <c r="G25" s="109"/>
      <c r="H25" s="93"/>
      <c r="I25" s="991" t="s">
        <v>951</v>
      </c>
      <c r="J25" s="992"/>
      <c r="K25" s="993"/>
      <c r="L25" s="142"/>
      <c r="M25" s="93"/>
      <c r="N25" s="93"/>
      <c r="O25" s="92"/>
    </row>
    <row r="26" spans="1:19" ht="18.75" customHeight="1" x14ac:dyDescent="0.3">
      <c r="A26" s="92"/>
      <c r="B26" s="110"/>
      <c r="C26" s="110"/>
      <c r="D26" s="110"/>
      <c r="E26" s="110"/>
      <c r="F26" s="110"/>
      <c r="G26" s="110"/>
      <c r="H26" s="93"/>
      <c r="I26" s="1016" t="s">
        <v>950</v>
      </c>
      <c r="J26" s="1017"/>
      <c r="K26" s="98"/>
      <c r="L26" s="97"/>
      <c r="M26" s="93"/>
      <c r="N26" s="93"/>
      <c r="O26" s="92"/>
    </row>
    <row r="27" spans="1:19" x14ac:dyDescent="0.3">
      <c r="I27" s="88"/>
      <c r="J27" s="92"/>
      <c r="K27" s="92"/>
      <c r="L27" s="96"/>
      <c r="M27" s="93"/>
      <c r="N27" s="93"/>
      <c r="O27" s="92"/>
    </row>
    <row r="28" spans="1:19" ht="35.1" customHeight="1" x14ac:dyDescent="0.3">
      <c r="B28" s="1022" t="s">
        <v>1064</v>
      </c>
      <c r="C28" s="1022"/>
      <c r="D28" s="1022"/>
      <c r="E28" s="1022" t="s">
        <v>1065</v>
      </c>
      <c r="F28" s="1022"/>
      <c r="G28" s="1022"/>
      <c r="I28" s="88"/>
      <c r="J28" s="92"/>
      <c r="K28" s="92"/>
      <c r="L28" s="96"/>
      <c r="M28" s="93"/>
      <c r="N28" s="93"/>
      <c r="O28" s="92"/>
    </row>
    <row r="29" spans="1:19" x14ac:dyDescent="0.3">
      <c r="B29" s="1022"/>
      <c r="C29" s="1022"/>
      <c r="D29" s="1022"/>
      <c r="E29" s="1022"/>
      <c r="F29" s="1022"/>
      <c r="G29" s="1022"/>
      <c r="H29" s="93"/>
      <c r="I29" s="95"/>
      <c r="J29" s="90"/>
      <c r="K29" s="90"/>
      <c r="L29" s="94"/>
      <c r="M29" s="93"/>
      <c r="N29" s="93"/>
      <c r="O29" s="92"/>
    </row>
    <row r="30" spans="1:19" ht="18" customHeight="1" x14ac:dyDescent="0.3">
      <c r="B30" s="1023" t="s">
        <v>1509</v>
      </c>
      <c r="C30" s="1023"/>
      <c r="D30" s="1024"/>
      <c r="E30" s="1024"/>
      <c r="F30" s="1024"/>
      <c r="G30" s="1024"/>
      <c r="L30" s="93"/>
      <c r="M30" s="93"/>
      <c r="N30" s="93"/>
      <c r="O30" s="92"/>
    </row>
    <row r="31" spans="1:19" x14ac:dyDescent="0.3">
      <c r="B31" s="1023"/>
      <c r="C31" s="1023"/>
      <c r="D31" s="1024"/>
      <c r="E31" s="1024"/>
      <c r="F31" s="1024"/>
      <c r="G31" s="1024"/>
      <c r="L31" s="93"/>
      <c r="M31" s="93"/>
      <c r="N31" s="93"/>
      <c r="O31" s="92"/>
    </row>
    <row r="32" spans="1:19" x14ac:dyDescent="0.3">
      <c r="L32" s="93"/>
      <c r="M32" s="93"/>
      <c r="N32" s="93"/>
      <c r="O32" s="92"/>
    </row>
    <row r="33" spans="2:15" x14ac:dyDescent="0.3">
      <c r="L33" s="93"/>
      <c r="M33" s="93"/>
      <c r="N33" s="93"/>
      <c r="O33" s="92"/>
    </row>
    <row r="34" spans="2:15" ht="15.75" customHeight="1" x14ac:dyDescent="0.3">
      <c r="B34" s="1018" t="s">
        <v>949</v>
      </c>
      <c r="C34" s="1019"/>
      <c r="D34" s="1019"/>
      <c r="E34" s="86"/>
      <c r="F34" s="86"/>
      <c r="G34" s="86"/>
      <c r="H34" s="86"/>
      <c r="I34" s="86"/>
      <c r="J34" s="86"/>
      <c r="K34" s="86"/>
      <c r="L34" s="87"/>
    </row>
    <row r="35" spans="2:15" ht="17.100000000000001" customHeight="1" x14ac:dyDescent="0.3">
      <c r="B35" s="89"/>
      <c r="C35" s="90"/>
      <c r="D35" s="90"/>
      <c r="E35" s="90"/>
      <c r="F35" s="90"/>
      <c r="G35" s="90"/>
      <c r="H35" s="90"/>
      <c r="I35" s="90"/>
      <c r="J35" s="90"/>
      <c r="K35" s="90"/>
      <c r="L35" s="91"/>
    </row>
    <row r="36" spans="2:15" ht="17.100000000000001" customHeight="1" x14ac:dyDescent="0.3">
      <c r="B36" s="89"/>
      <c r="C36" s="90"/>
      <c r="D36" s="90"/>
      <c r="E36" s="90"/>
      <c r="F36" s="90"/>
      <c r="G36" s="90"/>
      <c r="H36" s="90"/>
      <c r="I36" s="90"/>
      <c r="J36" s="90"/>
      <c r="K36" s="90"/>
      <c r="L36" s="91"/>
    </row>
    <row r="37" spans="2:15" ht="17.100000000000001" customHeight="1" x14ac:dyDescent="0.3">
      <c r="B37" s="89"/>
      <c r="C37" s="90"/>
      <c r="D37" s="90"/>
      <c r="E37" s="90"/>
      <c r="F37" s="90"/>
      <c r="G37" s="90"/>
      <c r="H37" s="90"/>
      <c r="I37" s="90"/>
      <c r="J37" s="90"/>
      <c r="K37" s="90"/>
      <c r="L37" s="91"/>
    </row>
    <row r="38" spans="2:15" ht="17.100000000000001" customHeight="1" x14ac:dyDescent="0.3">
      <c r="B38" s="89"/>
      <c r="C38" s="90"/>
      <c r="D38" s="90"/>
      <c r="E38" s="90"/>
      <c r="F38" s="90"/>
      <c r="G38" s="90"/>
      <c r="H38" s="90"/>
      <c r="I38" s="90"/>
      <c r="J38" s="90"/>
      <c r="K38" s="90"/>
      <c r="L38" s="91"/>
    </row>
    <row r="39" spans="2:15" ht="17.100000000000001" customHeight="1" x14ac:dyDescent="0.3">
      <c r="B39" s="89"/>
      <c r="C39" s="90"/>
      <c r="D39" s="90"/>
      <c r="E39" s="90"/>
      <c r="F39" s="90"/>
      <c r="G39" s="90"/>
      <c r="H39" s="90"/>
      <c r="I39" s="90"/>
      <c r="J39" s="90"/>
      <c r="K39" s="90"/>
      <c r="L39" s="91"/>
    </row>
    <row r="40" spans="2:15" ht="17.100000000000001" customHeight="1" x14ac:dyDescent="0.3">
      <c r="B40" s="89"/>
      <c r="C40" s="90"/>
      <c r="D40" s="90"/>
      <c r="E40" s="90"/>
      <c r="F40" s="90"/>
      <c r="G40" s="90"/>
      <c r="H40" s="90"/>
      <c r="I40" s="90"/>
      <c r="J40" s="90"/>
      <c r="K40" s="90"/>
      <c r="L40" s="91"/>
    </row>
    <row r="41" spans="2:15" ht="17.100000000000001" customHeight="1" x14ac:dyDescent="0.3">
      <c r="B41" s="89"/>
      <c r="C41" s="90"/>
      <c r="D41" s="90"/>
      <c r="E41" s="90"/>
      <c r="F41" s="90"/>
      <c r="G41" s="90"/>
      <c r="H41" s="90"/>
      <c r="I41" s="90"/>
      <c r="J41" s="90"/>
      <c r="K41" s="90"/>
      <c r="L41" s="91"/>
    </row>
    <row r="42" spans="2:15" ht="17.100000000000001" customHeight="1" x14ac:dyDescent="0.3">
      <c r="B42" s="89"/>
      <c r="C42" s="90"/>
      <c r="D42" s="90"/>
      <c r="E42" s="90"/>
      <c r="F42" s="90"/>
      <c r="G42" s="90"/>
      <c r="H42" s="90"/>
      <c r="I42" s="90"/>
      <c r="J42" s="90"/>
      <c r="K42" s="90"/>
      <c r="L42" s="91"/>
    </row>
    <row r="44" spans="2:15" x14ac:dyDescent="0.3">
      <c r="B44" t="s">
        <v>948</v>
      </c>
      <c r="I44" t="s">
        <v>1076</v>
      </c>
    </row>
    <row r="46" spans="2:15" x14ac:dyDescent="0.3">
      <c r="C46" t="s">
        <v>947</v>
      </c>
      <c r="D46" s="90"/>
      <c r="E46" s="90"/>
      <c r="F46" s="90"/>
      <c r="I46" s="92" t="s">
        <v>1136</v>
      </c>
    </row>
    <row r="47" spans="2:15" x14ac:dyDescent="0.3">
      <c r="C47" s="92" t="s">
        <v>1135</v>
      </c>
      <c r="D47" s="92"/>
      <c r="I47" s="92" t="s">
        <v>1137</v>
      </c>
      <c r="J47" s="86"/>
      <c r="K47" s="86"/>
    </row>
  </sheetData>
  <mergeCells count="40">
    <mergeCell ref="I26:J26"/>
    <mergeCell ref="B34:D34"/>
    <mergeCell ref="B18:C18"/>
    <mergeCell ref="I18:L18"/>
    <mergeCell ref="D18:G18"/>
    <mergeCell ref="B28:D29"/>
    <mergeCell ref="E28:G29"/>
    <mergeCell ref="I24:K24"/>
    <mergeCell ref="I25:K25"/>
    <mergeCell ref="B30:C31"/>
    <mergeCell ref="D30:G31"/>
    <mergeCell ref="B5:L5"/>
    <mergeCell ref="D17:G17"/>
    <mergeCell ref="B17:C17"/>
    <mergeCell ref="I17:L17"/>
    <mergeCell ref="B14:C14"/>
    <mergeCell ref="D14:E14"/>
    <mergeCell ref="F14:G14"/>
    <mergeCell ref="I14:J14"/>
    <mergeCell ref="K14:L14"/>
    <mergeCell ref="B13:C13"/>
    <mergeCell ref="D13:E13"/>
    <mergeCell ref="F13:G13"/>
    <mergeCell ref="I13:J13"/>
    <mergeCell ref="K13:L13"/>
    <mergeCell ref="O7:R8"/>
    <mergeCell ref="O11:P12"/>
    <mergeCell ref="Q11:R12"/>
    <mergeCell ref="I22:K22"/>
    <mergeCell ref="I23:K23"/>
    <mergeCell ref="I21:K21"/>
    <mergeCell ref="D8:J8"/>
    <mergeCell ref="B10:D10"/>
    <mergeCell ref="E10:L10"/>
    <mergeCell ref="B11:C11"/>
    <mergeCell ref="I11:J11"/>
    <mergeCell ref="B16:G16"/>
    <mergeCell ref="H16:L16"/>
    <mergeCell ref="D11:G11"/>
    <mergeCell ref="B20:I20"/>
  </mergeCells>
  <printOptions horizontalCentered="1" verticalCentered="1"/>
  <pageMargins left="0" right="0" top="0" bottom="0" header="0" footer="0.31496062992126"/>
  <pageSetup paperSize="9" scale="85"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LimpiarProtocloPruebaTaller">
                <anchor moveWithCells="1" sizeWithCells="1">
                  <from>
                    <xdr:col>14</xdr:col>
                    <xdr:colOff>137160</xdr:colOff>
                    <xdr:row>12</xdr:row>
                    <xdr:rowOff>342900</xdr:rowOff>
                  </from>
                  <to>
                    <xdr:col>16</xdr:col>
                    <xdr:colOff>289560</xdr:colOff>
                    <xdr:row>14</xdr:row>
                    <xdr:rowOff>114300</xdr:rowOff>
                  </to>
                </anchor>
              </controlPr>
            </control>
          </mc:Choice>
        </mc:AlternateContent>
        <mc:AlternateContent xmlns:mc="http://schemas.openxmlformats.org/markup-compatibility/2006">
          <mc:Choice Requires="x14">
            <control shapeId="12291" r:id="rId5" name="Button 3">
              <controlPr defaultSize="0" print="0" autoFill="0" autoPict="0" macro="[0]!ImprimirProtocoloPruebaTaller">
                <anchor moveWithCells="1" sizeWithCells="1">
                  <from>
                    <xdr:col>14</xdr:col>
                    <xdr:colOff>144780</xdr:colOff>
                    <xdr:row>15</xdr:row>
                    <xdr:rowOff>83820</xdr:rowOff>
                  </from>
                  <to>
                    <xdr:col>16</xdr:col>
                    <xdr:colOff>297180</xdr:colOff>
                    <xdr:row>16</xdr:row>
                    <xdr:rowOff>236220</xdr:rowOff>
                  </to>
                </anchor>
              </controlPr>
            </control>
          </mc:Choice>
        </mc:AlternateContent>
        <mc:AlternateContent xmlns:mc="http://schemas.openxmlformats.org/markup-compatibility/2006">
          <mc:Choice Requires="x14">
            <control shapeId="12292" r:id="rId6" name="Button 4">
              <controlPr defaultSize="0" print="0" autoFill="0" autoPict="0" macro="[0]!IrMenuPrincipal">
                <anchor moveWithCells="1" sizeWithCells="1">
                  <from>
                    <xdr:col>14</xdr:col>
                    <xdr:colOff>160020</xdr:colOff>
                    <xdr:row>17</xdr:row>
                    <xdr:rowOff>0</xdr:rowOff>
                  </from>
                  <to>
                    <xdr:col>16</xdr:col>
                    <xdr:colOff>289560</xdr:colOff>
                    <xdr:row>18</xdr:row>
                    <xdr:rowOff>144780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3">
    <tabColor rgb="FFFFFF00"/>
  </sheetPr>
  <dimension ref="A6:U47"/>
  <sheetViews>
    <sheetView showGridLines="0" showRowColHeaders="0" tabSelected="1" topLeftCell="A13" zoomScale="80" zoomScaleNormal="80" workbookViewId="0">
      <selection activeCell="I14" sqref="I14:J14"/>
    </sheetView>
  </sheetViews>
  <sheetFormatPr baseColWidth="10" defaultRowHeight="14.4" x14ac:dyDescent="0.3"/>
  <cols>
    <col min="1" max="1" width="6.6640625" customWidth="1"/>
    <col min="2" max="2" width="10.88671875" customWidth="1"/>
    <col min="3" max="3" width="8.109375" customWidth="1"/>
    <col min="4" max="4" width="7.44140625" customWidth="1"/>
    <col min="5" max="5" width="8.109375" customWidth="1"/>
    <col min="6" max="7" width="7.6640625" customWidth="1"/>
    <col min="8" max="8" width="12.33203125" customWidth="1"/>
    <col min="9" max="9" width="9.88671875" customWidth="1"/>
    <col min="10" max="10" width="11.109375" customWidth="1"/>
    <col min="11" max="11" width="8" customWidth="1"/>
    <col min="12" max="12" width="16.5546875" customWidth="1"/>
    <col min="14" max="16" width="7.6640625" customWidth="1"/>
    <col min="17" max="17" width="9" customWidth="1"/>
    <col min="18" max="21" width="7.6640625" customWidth="1"/>
  </cols>
  <sheetData>
    <row r="6" spans="1:21" ht="54.75" customHeight="1" thickBot="1" x14ac:dyDescent="0.35">
      <c r="B6" s="112"/>
      <c r="C6" s="112"/>
      <c r="D6" s="112"/>
      <c r="E6" s="112"/>
      <c r="F6" s="112"/>
      <c r="G6" s="112"/>
      <c r="H6" s="113"/>
      <c r="I6" s="112"/>
      <c r="J6" s="112"/>
      <c r="K6" s="112"/>
      <c r="L6" s="112"/>
    </row>
    <row r="7" spans="1:21" ht="27" customHeight="1" thickTop="1" x14ac:dyDescent="0.3">
      <c r="B7" s="1025" t="s">
        <v>1059</v>
      </c>
      <c r="C7" s="1025"/>
      <c r="D7" s="1025"/>
      <c r="E7" s="1025"/>
      <c r="F7" s="1025"/>
      <c r="G7" s="1025"/>
      <c r="H7" s="1025"/>
      <c r="I7" s="1025"/>
      <c r="J7" s="1025"/>
      <c r="K7" s="1025"/>
      <c r="L7" s="1025"/>
    </row>
    <row r="8" spans="1:21" ht="15" thickBot="1" x14ac:dyDescent="0.35">
      <c r="B8" s="1026"/>
      <c r="C8" s="1026"/>
      <c r="D8" s="1026"/>
      <c r="E8" s="1026"/>
      <c r="F8" s="1026"/>
      <c r="G8" s="1026"/>
      <c r="H8" s="1026"/>
      <c r="I8" s="1026"/>
      <c r="J8" s="1026"/>
      <c r="K8" s="1026"/>
      <c r="L8" s="1026"/>
    </row>
    <row r="9" spans="1:21" ht="18" customHeight="1" thickBot="1" x14ac:dyDescent="0.35">
      <c r="B9" s="1037" t="s">
        <v>974</v>
      </c>
      <c r="C9" s="1038"/>
      <c r="D9" s="1034" t="str">
        <f>IFERROR(INDEX(BDEGENER[],MATCH(R14,BDEGENER[SERIE],0),11),"")</f>
        <v>SAN FERNANDO</v>
      </c>
      <c r="E9" s="1034"/>
      <c r="F9" s="1034"/>
      <c r="G9" s="1034"/>
      <c r="H9" s="1034"/>
      <c r="I9" s="1034"/>
      <c r="J9" s="1034"/>
      <c r="K9" s="502" t="s">
        <v>973</v>
      </c>
      <c r="L9" s="706"/>
      <c r="N9" s="116"/>
      <c r="O9" s="117"/>
      <c r="P9" s="117"/>
      <c r="Q9" s="117"/>
      <c r="R9" s="117"/>
      <c r="S9" s="117"/>
      <c r="T9" s="117"/>
      <c r="U9" s="118"/>
    </row>
    <row r="10" spans="1:21" x14ac:dyDescent="0.3">
      <c r="N10" s="119"/>
      <c r="O10" s="977" t="s">
        <v>1066</v>
      </c>
      <c r="P10" s="978"/>
      <c r="Q10" s="978"/>
      <c r="R10" s="978"/>
      <c r="S10" s="978"/>
      <c r="T10" s="979"/>
      <c r="U10" s="120"/>
    </row>
    <row r="11" spans="1:21" ht="17.100000000000001" customHeight="1" thickBot="1" x14ac:dyDescent="0.35">
      <c r="A11" s="92"/>
      <c r="B11" s="1032" t="s">
        <v>972</v>
      </c>
      <c r="C11" s="1032"/>
      <c r="D11" s="1032"/>
      <c r="E11" s="1033" t="str">
        <f>IFERROR(INDEX(BDEGENER[],MATCH(R14,BDEGENER[SERIE],0),22),"")</f>
        <v>GRUPO ELECTROGENO INDUSTRIAL</v>
      </c>
      <c r="F11" s="1033"/>
      <c r="G11" s="1033"/>
      <c r="H11" s="1033"/>
      <c r="I11" s="1033"/>
      <c r="J11" s="1033"/>
      <c r="K11" s="1033"/>
      <c r="L11" s="1033"/>
      <c r="N11" s="119"/>
      <c r="O11" s="980"/>
      <c r="P11" s="981"/>
      <c r="Q11" s="981"/>
      <c r="R11" s="981"/>
      <c r="S11" s="981"/>
      <c r="T11" s="982"/>
      <c r="U11" s="120"/>
    </row>
    <row r="12" spans="1:21" ht="17.100000000000001" customHeight="1" x14ac:dyDescent="0.3">
      <c r="A12" s="92"/>
      <c r="B12" s="997" t="s">
        <v>963</v>
      </c>
      <c r="C12" s="998"/>
      <c r="D12" s="1035" t="str">
        <f>IFERROR(INDEX(BDEGENER[],MATCH(R14,BDEGENER[SERIE],0),26),"")</f>
        <v>GENERAC</v>
      </c>
      <c r="E12" s="1035"/>
      <c r="F12" s="1035"/>
      <c r="G12" s="1036"/>
      <c r="H12" s="503" t="s">
        <v>1628</v>
      </c>
      <c r="I12" s="1035" t="str">
        <f>IFERROR(INDEX(BDEGENER[],MATCH(R14,BDEGENER[SERIE],0),27),"")</f>
        <v>PG090</v>
      </c>
      <c r="J12" s="1036"/>
      <c r="K12" s="504" t="s">
        <v>962</v>
      </c>
      <c r="L12" s="235" t="str">
        <f>CONCATENATE(R14)</f>
        <v>3004416580</v>
      </c>
      <c r="N12" s="119"/>
      <c r="O12" s="114"/>
      <c r="P12" s="114"/>
      <c r="Q12" s="114"/>
      <c r="R12" s="114"/>
      <c r="S12" s="114"/>
      <c r="T12" s="114"/>
      <c r="U12" s="120"/>
    </row>
    <row r="13" spans="1:21" ht="15" thickBot="1" x14ac:dyDescent="0.35">
      <c r="A13" s="92"/>
      <c r="L13" s="92"/>
      <c r="N13" s="119"/>
      <c r="O13" s="114"/>
      <c r="P13" s="114"/>
      <c r="Q13" s="114"/>
      <c r="R13" s="114"/>
      <c r="S13" s="114"/>
      <c r="T13" s="114"/>
      <c r="U13" s="120"/>
    </row>
    <row r="14" spans="1:21" ht="30" customHeight="1" thickBot="1" x14ac:dyDescent="0.35">
      <c r="A14" s="92"/>
      <c r="B14" s="997" t="s">
        <v>968</v>
      </c>
      <c r="C14" s="999"/>
      <c r="D14" s="1032" t="s">
        <v>967</v>
      </c>
      <c r="E14" s="1032"/>
      <c r="F14" s="1032" t="s">
        <v>14</v>
      </c>
      <c r="G14" s="1032"/>
      <c r="H14" s="370" t="s">
        <v>966</v>
      </c>
      <c r="I14" s="1032" t="s">
        <v>965</v>
      </c>
      <c r="J14" s="1032"/>
      <c r="K14" s="1032" t="s">
        <v>964</v>
      </c>
      <c r="L14" s="1032"/>
      <c r="M14" s="92"/>
      <c r="N14" s="119"/>
      <c r="O14" s="1029" t="s">
        <v>1067</v>
      </c>
      <c r="P14" s="1030"/>
      <c r="Q14" s="1031"/>
      <c r="R14" s="1027">
        <v>3004416580</v>
      </c>
      <c r="S14" s="1027"/>
      <c r="T14" s="1028"/>
      <c r="U14" s="120"/>
    </row>
    <row r="15" spans="1:21" ht="20.100000000000001" customHeight="1" x14ac:dyDescent="0.3">
      <c r="A15" s="92"/>
      <c r="B15" s="1039" t="str">
        <f>IFERROR(INDEX(BDEGENER[],MATCH(R14,BDEGENER[SERIE],0),28),"")</f>
        <v>90 KW</v>
      </c>
      <c r="C15" s="1036"/>
      <c r="D15" s="1174"/>
      <c r="E15" s="1175"/>
      <c r="F15" s="1174"/>
      <c r="G15" s="1175"/>
      <c r="H15" s="1176"/>
      <c r="I15" s="1039" t="str">
        <f>IFERROR(INDEX(BDEGENER[],MATCH(R14,BDEGENER[SERIE],0),32),"")</f>
        <v>ELECTRONICA</v>
      </c>
      <c r="J15" s="1036"/>
      <c r="K15" s="1039" t="str">
        <f>IFERROR(INDEX(BDEGENER[],MATCH(R14,BDEGENER[SERIE],0),33),"")</f>
        <v>H100</v>
      </c>
      <c r="L15" s="1036"/>
      <c r="M15" s="92"/>
      <c r="N15" s="119"/>
      <c r="O15" s="114"/>
      <c r="P15" s="114"/>
      <c r="Q15" s="114"/>
      <c r="R15" s="114"/>
      <c r="S15" s="114"/>
      <c r="T15" s="114"/>
      <c r="U15" s="120"/>
    </row>
    <row r="16" spans="1:21" ht="43.2" x14ac:dyDescent="0.3">
      <c r="A16" s="92"/>
      <c r="B16" s="1173" t="s">
        <v>3960</v>
      </c>
      <c r="C16" s="99"/>
      <c r="D16" s="99"/>
      <c r="E16" s="99"/>
      <c r="F16" s="99"/>
      <c r="G16" s="99"/>
      <c r="H16" s="99"/>
      <c r="I16" s="99"/>
      <c r="J16" s="99"/>
      <c r="K16" s="99"/>
      <c r="L16" s="99"/>
      <c r="M16" s="92"/>
      <c r="N16" s="119"/>
      <c r="O16" s="114"/>
      <c r="P16" s="114"/>
      <c r="Q16" s="114"/>
      <c r="R16" s="114"/>
      <c r="S16" s="114"/>
      <c r="T16" s="114"/>
      <c r="U16" s="120"/>
    </row>
    <row r="17" spans="1:21" ht="15" customHeight="1" x14ac:dyDescent="0.3">
      <c r="B17" s="1162" t="s">
        <v>30</v>
      </c>
      <c r="C17" s="1163"/>
      <c r="D17" s="1163"/>
      <c r="E17" s="1163"/>
      <c r="F17" s="1163"/>
      <c r="G17" s="1164"/>
      <c r="H17" s="1162" t="s">
        <v>31</v>
      </c>
      <c r="I17" s="1163"/>
      <c r="J17" s="1163"/>
      <c r="K17" s="1163"/>
      <c r="L17" s="1164"/>
      <c r="M17" s="92"/>
      <c r="N17" s="119"/>
      <c r="O17" s="114"/>
      <c r="P17" s="114"/>
      <c r="Q17" s="114"/>
      <c r="R17" s="114"/>
      <c r="S17" s="114"/>
      <c r="T17" s="114"/>
      <c r="U17" s="120"/>
    </row>
    <row r="18" spans="1:21" ht="15.6" x14ac:dyDescent="0.3">
      <c r="B18" s="1165" t="s">
        <v>963</v>
      </c>
      <c r="C18" s="1166" t="str">
        <f>IFERROR(INDEX(BDEGENER[],MATCH(R14,BDEGENER[SERIE],0),34),"")</f>
        <v>GENERAC</v>
      </c>
      <c r="D18" s="1166"/>
      <c r="E18" s="1166"/>
      <c r="F18" s="1166"/>
      <c r="G18" s="1167"/>
      <c r="H18" s="1168" t="s">
        <v>963</v>
      </c>
      <c r="I18" s="1169" t="str">
        <f>IFERROR(INDEX(BDEGENER[],MATCH(R14,BDEGENER[SERIE],0),36),"")</f>
        <v>GENERAC</v>
      </c>
      <c r="J18" s="1169"/>
      <c r="K18" s="1169"/>
      <c r="L18" s="1170"/>
      <c r="N18" s="119"/>
      <c r="O18" s="114"/>
      <c r="P18" s="114"/>
      <c r="Q18" s="114"/>
      <c r="R18" s="114"/>
      <c r="S18" s="114"/>
      <c r="T18" s="114"/>
      <c r="U18" s="120"/>
    </row>
    <row r="19" spans="1:21" ht="15.6" x14ac:dyDescent="0.3">
      <c r="B19" s="1165" t="s">
        <v>962</v>
      </c>
      <c r="C19" s="1166">
        <f>IFERROR(INDEX(BDEGENER[],MATCH(R14,BDEGENER[SERIE],0),35),"")</f>
        <v>3004426061</v>
      </c>
      <c r="D19" s="1166"/>
      <c r="E19" s="1166"/>
      <c r="F19" s="1166"/>
      <c r="G19" s="1167"/>
      <c r="H19" s="1165" t="s">
        <v>962</v>
      </c>
      <c r="I19" s="1171">
        <f>IFERROR(INDEX(BDEGENER[],MATCH(R14,BDEGENER[SERIE],0),37),"")</f>
        <v>107746810</v>
      </c>
      <c r="J19" s="1171"/>
      <c r="K19" s="1171"/>
      <c r="L19" s="1172"/>
      <c r="N19" s="119"/>
      <c r="O19" s="114"/>
      <c r="P19" s="114"/>
      <c r="Q19" s="114"/>
      <c r="R19" s="114"/>
      <c r="S19" s="114"/>
      <c r="T19" s="114"/>
      <c r="U19" s="120"/>
    </row>
    <row r="20" spans="1:21" ht="15.6" x14ac:dyDescent="0.3">
      <c r="A20" s="92"/>
      <c r="B20" s="695"/>
      <c r="C20" s="696"/>
      <c r="D20" s="696"/>
      <c r="E20" s="696"/>
      <c r="F20" s="696"/>
      <c r="G20" s="696"/>
      <c r="H20" s="92"/>
      <c r="I20" s="92"/>
      <c r="J20" s="92"/>
      <c r="K20" s="92"/>
      <c r="N20" s="119"/>
      <c r="O20" s="114"/>
      <c r="P20" s="114"/>
      <c r="Q20" s="114"/>
      <c r="R20" s="114"/>
      <c r="S20" s="114"/>
      <c r="T20" s="114"/>
      <c r="U20" s="120"/>
    </row>
    <row r="21" spans="1:21" ht="18" customHeight="1" x14ac:dyDescent="0.3">
      <c r="A21" s="92"/>
      <c r="B21" s="92" t="s">
        <v>3958</v>
      </c>
      <c r="C21" s="92"/>
      <c r="D21" s="92"/>
      <c r="E21" s="92"/>
      <c r="F21" s="92"/>
      <c r="G21" s="92"/>
      <c r="H21" s="644"/>
      <c r="I21" s="644"/>
      <c r="N21" s="119"/>
      <c r="O21" s="114"/>
      <c r="P21" s="114"/>
      <c r="Q21" s="114"/>
      <c r="R21" s="114"/>
      <c r="S21" s="114"/>
      <c r="T21" s="114"/>
      <c r="U21" s="120"/>
    </row>
    <row r="22" spans="1:21" s="102" customFormat="1" ht="32.1" customHeight="1" x14ac:dyDescent="0.3">
      <c r="A22" s="103"/>
      <c r="B22" s="644"/>
      <c r="C22" s="644"/>
      <c r="D22" s="644"/>
      <c r="E22" s="1040" t="s">
        <v>961</v>
      </c>
      <c r="F22" s="1040"/>
      <c r="G22" s="1040"/>
      <c r="I22" s="1144" t="s">
        <v>29</v>
      </c>
      <c r="J22" s="1145"/>
      <c r="K22" s="1146" t="s">
        <v>955</v>
      </c>
      <c r="L22" s="1146"/>
      <c r="M22" s="103"/>
      <c r="N22" s="121"/>
      <c r="O22" s="115"/>
      <c r="P22" s="115"/>
      <c r="Q22" s="115"/>
      <c r="R22" s="115"/>
      <c r="S22" s="115"/>
      <c r="T22" s="115"/>
      <c r="U22" s="122"/>
    </row>
    <row r="23" spans="1:21" ht="21.9" customHeight="1" x14ac:dyDescent="0.3">
      <c r="A23" s="92"/>
      <c r="B23" s="1141" t="s">
        <v>1890</v>
      </c>
      <c r="C23" s="1141" t="s">
        <v>14</v>
      </c>
      <c r="D23" s="1141" t="s">
        <v>959</v>
      </c>
      <c r="E23" s="1142" t="s">
        <v>958</v>
      </c>
      <c r="F23" s="1139" t="s">
        <v>957</v>
      </c>
      <c r="G23" s="1139" t="s">
        <v>956</v>
      </c>
      <c r="H23" s="99"/>
      <c r="I23" s="1147" t="s">
        <v>954</v>
      </c>
      <c r="J23" s="1148"/>
      <c r="K23" s="1146"/>
      <c r="L23" s="1146"/>
      <c r="M23" s="99"/>
      <c r="N23" s="123"/>
      <c r="O23" s="114"/>
      <c r="P23" s="114"/>
      <c r="Q23" s="114"/>
      <c r="R23" s="114"/>
      <c r="S23" s="114"/>
      <c r="T23" s="114"/>
      <c r="U23" s="120"/>
    </row>
    <row r="24" spans="1:21" ht="21.9" customHeight="1" x14ac:dyDescent="0.3">
      <c r="A24" s="92"/>
      <c r="B24" s="1142" t="s">
        <v>1898</v>
      </c>
      <c r="C24" s="1143">
        <v>1</v>
      </c>
      <c r="D24" s="1143">
        <v>2</v>
      </c>
      <c r="E24" s="1143">
        <v>3</v>
      </c>
      <c r="F24" s="1140"/>
      <c r="G24" s="1140"/>
      <c r="H24" s="99"/>
      <c r="I24" s="1147" t="s">
        <v>3959</v>
      </c>
      <c r="J24" s="1148"/>
      <c r="K24" s="1146"/>
      <c r="L24" s="1146"/>
      <c r="M24" s="99"/>
      <c r="N24" s="123"/>
      <c r="O24" s="114"/>
      <c r="P24" s="114"/>
      <c r="Q24" s="114"/>
      <c r="R24" s="114"/>
      <c r="S24" s="114"/>
      <c r="T24" s="114"/>
      <c r="U24" s="120"/>
    </row>
    <row r="25" spans="1:21" ht="21.9" customHeight="1" x14ac:dyDescent="0.3">
      <c r="A25" s="92"/>
      <c r="B25" s="1142" t="s">
        <v>1899</v>
      </c>
      <c r="C25" s="1143">
        <v>3</v>
      </c>
      <c r="D25" s="1143">
        <v>4</v>
      </c>
      <c r="E25" s="1143">
        <v>5</v>
      </c>
      <c r="F25" s="1140"/>
      <c r="G25" s="1140"/>
      <c r="I25" s="1147" t="s">
        <v>952</v>
      </c>
      <c r="J25" s="1148"/>
      <c r="K25" s="1146"/>
      <c r="L25" s="1146"/>
      <c r="M25" s="99"/>
      <c r="N25" s="123"/>
      <c r="O25" s="114"/>
      <c r="P25" s="114"/>
      <c r="Q25" s="114"/>
      <c r="R25" s="114"/>
      <c r="S25" s="114"/>
      <c r="T25" s="114"/>
      <c r="U25" s="120"/>
    </row>
    <row r="26" spans="1:21" ht="30" customHeight="1" thickBot="1" x14ac:dyDescent="0.35">
      <c r="A26" s="92"/>
      <c r="B26" s="1142" t="s">
        <v>1900</v>
      </c>
      <c r="C26" s="1143">
        <v>7</v>
      </c>
      <c r="D26" s="1143">
        <v>7</v>
      </c>
      <c r="E26" s="1143">
        <v>8</v>
      </c>
      <c r="F26" s="1140"/>
      <c r="G26" s="1140"/>
      <c r="H26" s="93"/>
      <c r="I26" s="1149" t="s">
        <v>951</v>
      </c>
      <c r="J26" s="1150"/>
      <c r="K26" s="1151"/>
      <c r="L26" s="1151"/>
      <c r="M26" s="93"/>
      <c r="N26" s="124"/>
      <c r="O26" s="125"/>
      <c r="P26" s="125"/>
      <c r="Q26" s="125"/>
      <c r="R26" s="125"/>
      <c r="S26" s="125"/>
      <c r="T26" s="125"/>
      <c r="U26" s="126"/>
    </row>
    <row r="27" spans="1:21" ht="20.100000000000001" customHeight="1" x14ac:dyDescent="0.3">
      <c r="A27" s="92"/>
      <c r="B27" s="1041" t="s">
        <v>1064</v>
      </c>
      <c r="C27" s="1041"/>
      <c r="D27" s="1041"/>
      <c r="E27" s="1041" t="s">
        <v>1065</v>
      </c>
      <c r="F27" s="1041"/>
      <c r="G27" s="1041"/>
      <c r="H27" s="93"/>
      <c r="I27" s="1152" t="s">
        <v>950</v>
      </c>
      <c r="J27" s="1153"/>
      <c r="K27" s="1154"/>
      <c r="L27" s="1155"/>
      <c r="M27" s="93"/>
      <c r="N27" s="93"/>
      <c r="O27" s="92"/>
    </row>
    <row r="28" spans="1:21" x14ac:dyDescent="0.3">
      <c r="B28" s="1041"/>
      <c r="C28" s="1041"/>
      <c r="D28" s="1041"/>
      <c r="E28" s="1041"/>
      <c r="F28" s="1041"/>
      <c r="G28" s="1041"/>
      <c r="I28" s="1156"/>
      <c r="J28" s="1157"/>
      <c r="K28" s="1157"/>
      <c r="L28" s="1158"/>
      <c r="M28" s="93"/>
      <c r="N28" s="93"/>
      <c r="O28" s="92"/>
    </row>
    <row r="29" spans="1:21" ht="31.5" customHeight="1" x14ac:dyDescent="0.3">
      <c r="B29" s="1032" t="s">
        <v>1509</v>
      </c>
      <c r="C29" s="1032"/>
      <c r="D29" s="1042"/>
      <c r="E29" s="1042"/>
      <c r="F29" s="1042"/>
      <c r="G29" s="93"/>
      <c r="I29" s="1156"/>
      <c r="J29" s="1157"/>
      <c r="K29" s="1157"/>
      <c r="L29" s="1158"/>
      <c r="M29" s="93"/>
      <c r="N29" s="93"/>
      <c r="O29" s="92"/>
    </row>
    <row r="30" spans="1:21" x14ac:dyDescent="0.3">
      <c r="B30" s="1023" t="s">
        <v>3432</v>
      </c>
      <c r="C30" s="1023"/>
      <c r="D30" s="1024"/>
      <c r="E30" s="1024"/>
      <c r="F30" s="1024"/>
      <c r="H30" s="93"/>
      <c r="I30" s="1159"/>
      <c r="J30" s="1160"/>
      <c r="K30" s="1160"/>
      <c r="L30" s="1161"/>
      <c r="M30" s="93"/>
      <c r="N30" s="93"/>
      <c r="O30" s="92"/>
    </row>
    <row r="31" spans="1:21" x14ac:dyDescent="0.3">
      <c r="B31" s="1023"/>
      <c r="C31" s="1023"/>
      <c r="D31" s="1024"/>
      <c r="E31" s="1024"/>
      <c r="F31" s="1024"/>
      <c r="G31" s="93"/>
      <c r="L31" s="93"/>
      <c r="M31" s="93"/>
      <c r="N31" s="93"/>
      <c r="O31" s="92"/>
    </row>
    <row r="32" spans="1:21" x14ac:dyDescent="0.3">
      <c r="L32" s="93"/>
      <c r="M32" s="93"/>
      <c r="N32" s="93"/>
      <c r="O32" s="92"/>
    </row>
    <row r="33" spans="2:15" x14ac:dyDescent="0.3">
      <c r="L33" s="93"/>
      <c r="M33" s="93"/>
      <c r="N33" s="93"/>
      <c r="O33" s="92"/>
    </row>
    <row r="34" spans="2:15" ht="15.75" customHeight="1" x14ac:dyDescent="0.3">
      <c r="B34" s="1018" t="s">
        <v>949</v>
      </c>
      <c r="C34" s="1019"/>
      <c r="D34" s="1019"/>
      <c r="E34" s="86"/>
      <c r="F34" s="86"/>
      <c r="G34" s="86"/>
      <c r="H34" s="86"/>
      <c r="I34" s="86"/>
      <c r="J34" s="86"/>
      <c r="K34" s="86"/>
      <c r="L34" s="87"/>
    </row>
    <row r="35" spans="2:15" ht="17.100000000000001" customHeight="1" x14ac:dyDescent="0.3">
      <c r="B35" s="89"/>
      <c r="C35" s="90"/>
      <c r="D35" s="90"/>
      <c r="E35" s="90"/>
      <c r="F35" s="90"/>
      <c r="G35" s="90"/>
      <c r="H35" s="90"/>
      <c r="I35" s="90"/>
      <c r="J35" s="90"/>
      <c r="K35" s="90"/>
      <c r="L35" s="91"/>
    </row>
    <row r="36" spans="2:15" ht="17.100000000000001" customHeight="1" x14ac:dyDescent="0.3">
      <c r="B36" s="89"/>
      <c r="C36" s="90"/>
      <c r="D36" s="90"/>
      <c r="E36" s="90"/>
      <c r="F36" s="90"/>
      <c r="G36" s="90"/>
      <c r="H36" s="90"/>
      <c r="I36" s="90"/>
      <c r="J36" s="90"/>
      <c r="K36" s="90"/>
      <c r="L36" s="91"/>
    </row>
    <row r="37" spans="2:15" ht="17.100000000000001" customHeight="1" x14ac:dyDescent="0.3">
      <c r="B37" s="89"/>
      <c r="C37" s="90"/>
      <c r="D37" s="90"/>
      <c r="E37" s="90"/>
      <c r="F37" s="90"/>
      <c r="G37" s="90"/>
      <c r="H37" s="90"/>
      <c r="I37" s="90"/>
      <c r="J37" s="90"/>
      <c r="K37" s="90"/>
      <c r="L37" s="91"/>
    </row>
    <row r="38" spans="2:15" ht="17.100000000000001" customHeight="1" x14ac:dyDescent="0.3">
      <c r="B38" s="89"/>
      <c r="C38" s="90"/>
      <c r="D38" s="90"/>
      <c r="E38" s="90"/>
      <c r="F38" s="90"/>
      <c r="G38" s="90"/>
      <c r="H38" s="90"/>
      <c r="I38" s="90"/>
      <c r="J38" s="90"/>
      <c r="K38" s="90"/>
      <c r="L38" s="91"/>
    </row>
    <row r="39" spans="2:15" ht="17.100000000000001" customHeight="1" x14ac:dyDescent="0.3">
      <c r="B39" s="89"/>
      <c r="C39" s="90"/>
      <c r="D39" s="90"/>
      <c r="E39" s="90"/>
      <c r="F39" s="90"/>
      <c r="G39" s="90"/>
      <c r="H39" s="90"/>
      <c r="I39" s="90"/>
      <c r="J39" s="90"/>
      <c r="K39" s="90"/>
      <c r="L39" s="91"/>
    </row>
    <row r="40" spans="2:15" ht="17.100000000000001" customHeight="1" x14ac:dyDescent="0.3">
      <c r="B40" s="89"/>
      <c r="C40" s="90"/>
      <c r="D40" s="90"/>
      <c r="E40" s="90"/>
      <c r="F40" s="90"/>
      <c r="G40" s="90"/>
      <c r="H40" s="90"/>
      <c r="I40" s="90"/>
      <c r="J40" s="90"/>
      <c r="K40" s="90"/>
      <c r="L40" s="91"/>
    </row>
    <row r="41" spans="2:15" ht="17.100000000000001" customHeight="1" x14ac:dyDescent="0.3">
      <c r="B41" s="89"/>
      <c r="C41" s="90"/>
      <c r="D41" s="90"/>
      <c r="E41" s="90"/>
      <c r="F41" s="90"/>
      <c r="G41" s="90"/>
      <c r="H41" s="90"/>
      <c r="I41" s="90"/>
      <c r="J41" s="90"/>
      <c r="K41" s="90"/>
      <c r="L41" s="91"/>
    </row>
    <row r="42" spans="2:15" ht="17.100000000000001" customHeight="1" x14ac:dyDescent="0.3">
      <c r="B42" s="89"/>
      <c r="C42" s="90"/>
      <c r="D42" s="90"/>
      <c r="E42" s="90"/>
      <c r="F42" s="90"/>
      <c r="G42" s="90"/>
      <c r="H42" s="90"/>
      <c r="I42" s="90"/>
      <c r="J42" s="90"/>
      <c r="K42" s="90"/>
      <c r="L42" s="91"/>
    </row>
    <row r="44" spans="2:15" ht="15.6" x14ac:dyDescent="0.3">
      <c r="B44" s="505"/>
      <c r="C44" s="505" t="s">
        <v>948</v>
      </c>
      <c r="D44" s="505"/>
      <c r="E44" s="505"/>
      <c r="F44" s="505"/>
      <c r="G44" s="505"/>
      <c r="H44" s="505"/>
      <c r="I44" s="505" t="s">
        <v>1076</v>
      </c>
      <c r="J44" s="505"/>
      <c r="K44" s="505"/>
      <c r="L44" s="505"/>
    </row>
    <row r="45" spans="2:15" ht="15.6" x14ac:dyDescent="0.3">
      <c r="B45" s="505"/>
      <c r="C45" s="505"/>
      <c r="D45" s="505"/>
      <c r="E45" s="505"/>
      <c r="F45" s="505"/>
      <c r="G45" s="505"/>
      <c r="H45" s="505"/>
      <c r="I45" s="505"/>
      <c r="J45" s="505"/>
      <c r="K45" s="505"/>
      <c r="L45" s="505"/>
    </row>
    <row r="46" spans="2:15" ht="15.6" x14ac:dyDescent="0.3">
      <c r="B46" s="506"/>
      <c r="C46" s="506" t="s">
        <v>947</v>
      </c>
      <c r="D46" s="507"/>
      <c r="E46" s="507"/>
      <c r="F46" s="507"/>
      <c r="G46" s="505"/>
      <c r="H46" s="506"/>
      <c r="I46" s="506" t="s">
        <v>947</v>
      </c>
      <c r="J46" s="507"/>
      <c r="K46" s="507"/>
      <c r="L46" s="505"/>
    </row>
    <row r="47" spans="2:15" ht="15.6" x14ac:dyDescent="0.3">
      <c r="B47" s="506"/>
      <c r="C47" s="506" t="s">
        <v>1135</v>
      </c>
      <c r="D47" s="505"/>
      <c r="E47" s="505"/>
      <c r="F47" s="505"/>
      <c r="G47" s="505"/>
      <c r="H47" s="505"/>
      <c r="I47" s="506" t="s">
        <v>1075</v>
      </c>
      <c r="J47" s="508"/>
      <c r="K47" s="505"/>
      <c r="L47" s="505"/>
    </row>
  </sheetData>
  <mergeCells count="46">
    <mergeCell ref="K24:L24"/>
    <mergeCell ref="K25:L25"/>
    <mergeCell ref="K26:L26"/>
    <mergeCell ref="B34:D34"/>
    <mergeCell ref="I24:J24"/>
    <mergeCell ref="I25:J25"/>
    <mergeCell ref="I26:J26"/>
    <mergeCell ref="I27:J27"/>
    <mergeCell ref="B27:D28"/>
    <mergeCell ref="E27:G28"/>
    <mergeCell ref="B29:C29"/>
    <mergeCell ref="D29:F29"/>
    <mergeCell ref="B30:C31"/>
    <mergeCell ref="D30:F31"/>
    <mergeCell ref="I23:J23"/>
    <mergeCell ref="I19:L19"/>
    <mergeCell ref="C19:G19"/>
    <mergeCell ref="K22:L22"/>
    <mergeCell ref="K23:L23"/>
    <mergeCell ref="B17:G17"/>
    <mergeCell ref="H17:L17"/>
    <mergeCell ref="I15:J15"/>
    <mergeCell ref="K15:L15"/>
    <mergeCell ref="I22:J22"/>
    <mergeCell ref="F15:G15"/>
    <mergeCell ref="B15:C15"/>
    <mergeCell ref="D15:E15"/>
    <mergeCell ref="I18:L18"/>
    <mergeCell ref="C18:G18"/>
    <mergeCell ref="E22:G22"/>
    <mergeCell ref="B7:L8"/>
    <mergeCell ref="O10:T11"/>
    <mergeCell ref="R14:T14"/>
    <mergeCell ref="O14:Q14"/>
    <mergeCell ref="B11:D11"/>
    <mergeCell ref="E11:L11"/>
    <mergeCell ref="B12:C12"/>
    <mergeCell ref="D9:J9"/>
    <mergeCell ref="I12:J12"/>
    <mergeCell ref="D12:G12"/>
    <mergeCell ref="B9:C9"/>
    <mergeCell ref="B14:C14"/>
    <mergeCell ref="D14:E14"/>
    <mergeCell ref="F14:G14"/>
    <mergeCell ref="I14:J14"/>
    <mergeCell ref="K14:L14"/>
  </mergeCells>
  <printOptions horizontalCentered="1" verticalCentered="1"/>
  <pageMargins left="0" right="0" top="0" bottom="0" header="0" footer="0.31496062992125984"/>
  <pageSetup paperSize="9" scale="8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rimirProtcPrub">
                <anchor moveWithCells="1" sizeWithCells="1">
                  <from>
                    <xdr:col>14</xdr:col>
                    <xdr:colOff>304800</xdr:colOff>
                    <xdr:row>16</xdr:row>
                    <xdr:rowOff>60960</xdr:rowOff>
                  </from>
                  <to>
                    <xdr:col>17</xdr:col>
                    <xdr:colOff>0</xdr:colOff>
                    <xdr:row>17</xdr:row>
                    <xdr:rowOff>236220</xdr:rowOff>
                  </to>
                </anchor>
              </controlPr>
            </control>
          </mc:Choice>
        </mc:AlternateContent>
        <mc:AlternateContent xmlns:mc="http://schemas.openxmlformats.org/markup-compatibility/2006">
          <mc:Choice Requires="x14">
            <control shapeId="10242" r:id="rId5" name="Button 2">
              <controlPr defaultSize="0" print="0" autoFill="0" autoPict="0" macro="[0]!LimpiarProtocoloPCampo">
                <anchor moveWithCells="1" sizeWithCells="1">
                  <from>
                    <xdr:col>14</xdr:col>
                    <xdr:colOff>327660</xdr:colOff>
                    <xdr:row>18</xdr:row>
                    <xdr:rowOff>114300</xdr:rowOff>
                  </from>
                  <to>
                    <xdr:col>17</xdr:col>
                    <xdr:colOff>7620</xdr:colOff>
                    <xdr:row>20</xdr:row>
                    <xdr:rowOff>99060</xdr:rowOff>
                  </to>
                </anchor>
              </controlPr>
            </control>
          </mc:Choice>
        </mc:AlternateContent>
        <mc:AlternateContent xmlns:mc="http://schemas.openxmlformats.org/markup-compatibility/2006">
          <mc:Choice Requires="x14">
            <control shapeId="10243" r:id="rId6" name="Button 3">
              <controlPr defaultSize="0" print="0" autoFill="0" autoPict="0" macro="[0]!IrMenuPrincipal">
                <anchor moveWithCells="1" sizeWithCells="1">
                  <from>
                    <xdr:col>14</xdr:col>
                    <xdr:colOff>312420</xdr:colOff>
                    <xdr:row>20</xdr:row>
                    <xdr:rowOff>228600</xdr:rowOff>
                  </from>
                  <to>
                    <xdr:col>17</xdr:col>
                    <xdr:colOff>7620</xdr:colOff>
                    <xdr:row>21</xdr:row>
                    <xdr:rowOff>373380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dimension ref="A3:B16"/>
  <sheetViews>
    <sheetView workbookViewId="0">
      <selection activeCell="D23" sqref="D23"/>
    </sheetView>
  </sheetViews>
  <sheetFormatPr baseColWidth="10" defaultRowHeight="14.4" x14ac:dyDescent="0.3"/>
  <cols>
    <col min="1" max="1" width="15.6640625" customWidth="1"/>
    <col min="2" max="2" width="19.44140625" customWidth="1"/>
  </cols>
  <sheetData>
    <row r="3" spans="1:2" x14ac:dyDescent="0.3">
      <c r="A3" s="62" t="s">
        <v>932</v>
      </c>
      <c r="B3" s="63" t="s">
        <v>924</v>
      </c>
    </row>
    <row r="4" spans="1:2" x14ac:dyDescent="0.3">
      <c r="A4" s="64">
        <v>73848003</v>
      </c>
      <c r="B4" s="65" t="s">
        <v>488</v>
      </c>
    </row>
    <row r="5" spans="1:2" x14ac:dyDescent="0.3">
      <c r="A5" s="64">
        <v>10239493</v>
      </c>
      <c r="B5" s="65" t="s">
        <v>479</v>
      </c>
    </row>
    <row r="6" spans="1:2" x14ac:dyDescent="0.3">
      <c r="A6" s="64">
        <v>46856479</v>
      </c>
      <c r="B6" s="65" t="s">
        <v>157</v>
      </c>
    </row>
    <row r="7" spans="1:2" x14ac:dyDescent="0.3">
      <c r="A7" s="64">
        <v>46516052</v>
      </c>
      <c r="B7" s="65" t="s">
        <v>921</v>
      </c>
    </row>
    <row r="8" spans="1:2" x14ac:dyDescent="0.3">
      <c r="A8" s="64"/>
      <c r="B8" s="65" t="s">
        <v>3723</v>
      </c>
    </row>
    <row r="9" spans="1:2" x14ac:dyDescent="0.3">
      <c r="A9" s="799" t="s">
        <v>3812</v>
      </c>
      <c r="B9" s="65" t="s">
        <v>332</v>
      </c>
    </row>
    <row r="10" spans="1:2" x14ac:dyDescent="0.3">
      <c r="A10" s="66" t="s">
        <v>930</v>
      </c>
      <c r="B10" s="65" t="s">
        <v>146</v>
      </c>
    </row>
    <row r="11" spans="1:2" x14ac:dyDescent="0.3">
      <c r="A11" s="64">
        <v>72386495</v>
      </c>
      <c r="B11" s="65" t="s">
        <v>150</v>
      </c>
    </row>
    <row r="12" spans="1:2" x14ac:dyDescent="0.3">
      <c r="A12" s="64">
        <v>70262161</v>
      </c>
      <c r="B12" s="65" t="s">
        <v>923</v>
      </c>
    </row>
    <row r="13" spans="1:2" x14ac:dyDescent="0.3">
      <c r="A13" s="64" t="s">
        <v>931</v>
      </c>
      <c r="B13" s="65" t="s">
        <v>149</v>
      </c>
    </row>
    <row r="14" spans="1:2" x14ac:dyDescent="0.3">
      <c r="A14" s="64">
        <v>76272731</v>
      </c>
      <c r="B14" s="65" t="s">
        <v>147</v>
      </c>
    </row>
    <row r="15" spans="1:2" x14ac:dyDescent="0.3">
      <c r="A15" s="66">
        <v>76094287</v>
      </c>
      <c r="B15" s="65" t="s">
        <v>3842</v>
      </c>
    </row>
    <row r="16" spans="1:2" x14ac:dyDescent="0.3">
      <c r="A16" s="67">
        <v>72761064</v>
      </c>
      <c r="B16" s="68" t="s">
        <v>677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B1:T2446"/>
  <sheetViews>
    <sheetView zoomScale="90" zoomScaleNormal="90" workbookViewId="0">
      <pane xSplit="2" ySplit="4" topLeftCell="C5" activePane="bottomRight" state="frozen"/>
      <selection pane="topRight" activeCell="C1" sqref="C1"/>
      <selection pane="bottomLeft" activeCell="A6" sqref="A6"/>
      <selection pane="bottomRight" activeCell="G9" sqref="G9"/>
    </sheetView>
  </sheetViews>
  <sheetFormatPr baseColWidth="10" defaultColWidth="11.44140625" defaultRowHeight="15.6" x14ac:dyDescent="0.3"/>
  <cols>
    <col min="1" max="1" width="3.5546875" style="78" customWidth="1"/>
    <col min="2" max="2" width="19" style="78" customWidth="1"/>
    <col min="3" max="3" width="19.88671875" style="78" customWidth="1"/>
    <col min="4" max="4" width="16.33203125" style="78" customWidth="1"/>
    <col min="5" max="5" width="21.109375" style="81" customWidth="1"/>
    <col min="6" max="6" width="20.44140625" style="81" customWidth="1"/>
    <col min="7" max="7" width="19.6640625" style="81" customWidth="1"/>
    <col min="8" max="8" width="18.44140625" style="81" hidden="1" customWidth="1"/>
    <col min="9" max="9" width="15.109375" style="185" customWidth="1"/>
    <col min="10" max="10" width="13.6640625" style="81" hidden="1" customWidth="1"/>
    <col min="11" max="11" width="13.6640625" style="81" customWidth="1"/>
    <col min="12" max="12" width="14.6640625" style="81" customWidth="1"/>
    <col min="13" max="13" width="11.44140625" style="81" hidden="1" customWidth="1"/>
    <col min="14" max="14" width="16.109375" style="185" customWidth="1"/>
    <col min="15" max="15" width="15.44140625" hidden="1" customWidth="1"/>
    <col min="16" max="16" width="15.44140625" style="107" customWidth="1"/>
    <col min="17" max="17" width="14" style="134" customWidth="1"/>
    <col min="18" max="18" width="14.88671875" style="78" customWidth="1"/>
    <col min="19" max="19" width="14" style="229" customWidth="1"/>
    <col min="20" max="20" width="13.88671875" style="134" customWidth="1"/>
    <col min="21" max="16384" width="11.44140625" style="78"/>
  </cols>
  <sheetData>
    <row r="1" spans="2:20" ht="16.2" thickBot="1" x14ac:dyDescent="0.35">
      <c r="D1" s="79"/>
      <c r="E1" s="78"/>
      <c r="H1" s="184"/>
      <c r="I1" s="81"/>
      <c r="L1" s="184"/>
      <c r="N1" s="184"/>
      <c r="O1" s="81"/>
      <c r="P1" s="186"/>
      <c r="Q1" s="81"/>
      <c r="R1" s="79"/>
      <c r="T1" s="78"/>
    </row>
    <row r="2" spans="2:20" ht="16.2" thickBot="1" x14ac:dyDescent="0.35">
      <c r="B2" s="1043" t="s">
        <v>192</v>
      </c>
      <c r="C2" s="1044"/>
      <c r="D2" s="80"/>
      <c r="E2" s="78"/>
      <c r="M2" s="185"/>
      <c r="N2" s="81"/>
      <c r="O2" s="186"/>
      <c r="P2" s="186"/>
      <c r="Q2" s="81"/>
      <c r="R2" s="134"/>
      <c r="T2" s="78"/>
    </row>
    <row r="3" spans="2:20" ht="16.2" thickBot="1" x14ac:dyDescent="0.35">
      <c r="B3" s="197" t="s">
        <v>7</v>
      </c>
      <c r="C3" s="82"/>
      <c r="D3" s="81"/>
      <c r="E3" s="78"/>
      <c r="M3" s="185"/>
      <c r="N3" s="81"/>
      <c r="O3" s="186"/>
      <c r="P3" s="186"/>
      <c r="Q3" s="81"/>
      <c r="R3" s="134"/>
      <c r="T3" s="78"/>
    </row>
    <row r="4" spans="2:20" ht="39.9" customHeight="1" x14ac:dyDescent="0.3">
      <c r="B4" s="83" t="s">
        <v>7</v>
      </c>
      <c r="C4" s="84" t="s">
        <v>9</v>
      </c>
      <c r="D4" s="84" t="s">
        <v>10</v>
      </c>
      <c r="E4" s="84" t="s">
        <v>158</v>
      </c>
      <c r="F4" s="170" t="s">
        <v>1332</v>
      </c>
      <c r="G4" s="737" t="s">
        <v>1331</v>
      </c>
      <c r="H4" s="167" t="s">
        <v>1116</v>
      </c>
      <c r="I4" s="169" t="s">
        <v>928</v>
      </c>
      <c r="J4" s="168" t="s">
        <v>1115</v>
      </c>
      <c r="K4" s="170" t="s">
        <v>926</v>
      </c>
      <c r="L4" s="738" t="s">
        <v>933</v>
      </c>
      <c r="M4" s="182" t="s">
        <v>929</v>
      </c>
      <c r="N4" s="171" t="s">
        <v>944</v>
      </c>
      <c r="O4" s="168" t="s">
        <v>935</v>
      </c>
      <c r="P4" s="198" t="s">
        <v>1396</v>
      </c>
      <c r="Q4" s="183" t="s">
        <v>1117</v>
      </c>
      <c r="R4" s="171" t="s">
        <v>1118</v>
      </c>
      <c r="S4" s="212" t="s">
        <v>1400</v>
      </c>
      <c r="T4" s="78"/>
    </row>
    <row r="5" spans="2:20" ht="15" customHeight="1" x14ac:dyDescent="0.3">
      <c r="B5" s="71">
        <v>3004290366</v>
      </c>
      <c r="C5" s="72" t="str">
        <f>IFERROR(INDEX(BDEGENER[],MATCH(B5,BDEGENER[SERIE],0),26)," ")</f>
        <v>GENERAC</v>
      </c>
      <c r="D5" s="72" t="str">
        <f>IFERROR(INDEX(BDEGENER[],MATCH(B5,BDEGENER[SERIE],0),27)," ")</f>
        <v>PG090</v>
      </c>
      <c r="E5" s="72" t="str">
        <f>IFERROR(INDEX(BDEGENER[],MATCH(B5,BDEGENER[SERIE],0),11)," ")</f>
        <v>SAN FERNANDO</v>
      </c>
      <c r="F5" s="65" t="str">
        <f>IFERROR(INDEX(BDEGENER[],MATCH(B5,BDEGENER[SERIE],0),12)," ")</f>
        <v>PL-804</v>
      </c>
      <c r="G5" s="72" t="s">
        <v>1395</v>
      </c>
      <c r="H5" s="181">
        <f>IFERROR(INDEX(BDEGENER[],MATCH(B5,BDEGENER[SERIE],0),31)," ")</f>
        <v>2629.6</v>
      </c>
      <c r="I5" s="77">
        <f>IFERROR(INDEX(BDEGENER[],MATCH(B5,BDEGENER[SERIE],0),53)," ")</f>
        <v>2629.6</v>
      </c>
      <c r="J5" s="72">
        <f>IFERROR(INDEX(BDEGENER[],MATCH(B5,BDEGENER[SERIE],0),47)," ")</f>
        <v>2</v>
      </c>
      <c r="K5" s="65">
        <f>IFERROR(INDEX(BDEGENER[],MATCH(B5,BDEGENER[SERIE],0),48)," ")</f>
        <v>7</v>
      </c>
      <c r="L5" s="77">
        <v>2535.3000000000002</v>
      </c>
      <c r="M5" s="181">
        <f>EQUIPOS[[#This Row],[HR DE ULTIMO PREVENTIVO]]+300</f>
        <v>2929.6</v>
      </c>
      <c r="N5" s="187" t="str">
        <f>IF(EQUIPOS[[#This Row],[HR ACTUALES]]&gt;=EQUIPOS[[#This Row],[HR DE PROX SERVICIO]],"PROCEDE",IF((EQUIPOS[[#This Row],[HR ACTUALES]]+50)&gt;=EQUIPOS[[#This Row],[HR DE PROX SERVICIO]],"PROXIMO","NO PROCEDE"))</f>
        <v>NO PROCEDE</v>
      </c>
      <c r="O5" s="71">
        <f>COUNTIF(EQUIPOS[SERIE],EQUIPOS[[#This Row],[SERIE]])</f>
        <v>1</v>
      </c>
      <c r="P5" s="187" t="str">
        <f>IFERROR(INDEX(BDEGENER[],MATCH(B5,BDEGENER[SERIE],0),41)," ")</f>
        <v>OPERATIVO</v>
      </c>
      <c r="Q5" s="187" t="str">
        <f>IF(EQUIPOS[[#This Row],[GA1]]=1,"UNICO","DUPLICADO")</f>
        <v>UNICO</v>
      </c>
      <c r="R5" s="187" t="str">
        <f>IF(EQUIPOS[[#This Row],[HR ULTIMO SERVICIO]]="NR","OPTIMO",IF(EQUIPOS[[#This Row],[HR ACTUALES]]="","NO REGISTRA",IF(EQUIPOS[[#This Row],[HR ULTIMO SERVICIO]]&gt;=EQUIPOS[[#This Row],[HR ACTUALES]],"ACTUALIZAR","OPTIMO")))</f>
        <v>ACTUALIZAR</v>
      </c>
      <c r="S5" s="230">
        <f>EQUIPOS[[#This Row],[HR DE PROX SERVICIO]]-EQUIPOS[[#This Row],[HR ACTUALES]]</f>
        <v>394.29999999999973</v>
      </c>
      <c r="T5" s="78"/>
    </row>
    <row r="6" spans="2:20" ht="15" customHeight="1" x14ac:dyDescent="0.3">
      <c r="B6" s="71">
        <v>3004290368</v>
      </c>
      <c r="C6" s="72" t="str">
        <f>IFERROR(INDEX(BDEGENER[],MATCH(B6,BDEGENER[SERIE],0),26)," ")</f>
        <v>GENERAC</v>
      </c>
      <c r="D6" s="72" t="str">
        <f>IFERROR(INDEX(BDEGENER[],MATCH(B6,BDEGENER[SERIE],0),27)," ")</f>
        <v>PG090</v>
      </c>
      <c r="E6" s="72" t="str">
        <f>IFERROR(INDEX(BDEGENER[],MATCH(B6,BDEGENER[SERIE],0),11)," ")</f>
        <v>SAN FERNANDO</v>
      </c>
      <c r="F6" s="65" t="str">
        <f>IFERROR(INDEX(BDEGENER[],MATCH(B6,BDEGENER[SERIE],0),12)," ")</f>
        <v>TALLER EGENER</v>
      </c>
      <c r="G6" s="72" t="s">
        <v>1395</v>
      </c>
      <c r="H6" s="181" t="str">
        <f>IFERROR(INDEX(BDEGENER[],MATCH(B6,BDEGENER[SERIE],0),31)," ")</f>
        <v>NR</v>
      </c>
      <c r="I6" s="77">
        <f>IFERROR(INDEX(BDEGENER[],MATCH(B6,BDEGENER[SERIE],0),53)," ")</f>
        <v>2259.3000000000002</v>
      </c>
      <c r="J6" s="72">
        <f>IFERROR(INDEX(BDEGENER[],MATCH(B6,BDEGENER[SERIE],0),47)," ")</f>
        <v>3</v>
      </c>
      <c r="K6" s="65">
        <f>IFERROR(INDEX(BDEGENER[],MATCH(B6,BDEGENER[SERIE],0),48)," ")</f>
        <v>6</v>
      </c>
      <c r="L6" s="77">
        <v>2546.4</v>
      </c>
      <c r="M6" s="181">
        <f>EQUIPOS[[#This Row],[HR DE ULTIMO PREVENTIVO]]+300</f>
        <v>2559.3000000000002</v>
      </c>
      <c r="N6" s="187" t="str">
        <f>IF(EQUIPOS[[#This Row],[HR ACTUALES]]&gt;=EQUIPOS[[#This Row],[HR DE PROX SERVICIO]],"PROCEDE",IF((EQUIPOS[[#This Row],[HR ACTUALES]]+50)&gt;=EQUIPOS[[#This Row],[HR DE PROX SERVICIO]],"PROXIMO","NO PROCEDE"))</f>
        <v>PROXIMO</v>
      </c>
      <c r="O6" s="71">
        <f>COUNTIF(EQUIPOS[SERIE],EQUIPOS[[#This Row],[SERIE]])</f>
        <v>1</v>
      </c>
      <c r="P6" s="187" t="str">
        <f>IFERROR(INDEX(BDEGENER[],MATCH(B6,BDEGENER[SERIE],0),41)," ")</f>
        <v>OPERATIVO</v>
      </c>
      <c r="Q6" s="187" t="str">
        <f>IF(EQUIPOS[[#This Row],[GA1]]=1,"UNICO","DUPLICADO")</f>
        <v>UNICO</v>
      </c>
      <c r="R6" s="187" t="str">
        <f>IF(EQUIPOS[[#This Row],[HR ULTIMO SERVICIO]]="NR","OPTIMO",IF(EQUIPOS[[#This Row],[HR ACTUALES]]="","NO REGISTRA",IF(EQUIPOS[[#This Row],[HR ULTIMO SERVICIO]]&gt;=EQUIPOS[[#This Row],[HR ACTUALES]],"ACTUALIZAR","OPTIMO")))</f>
        <v>OPTIMO</v>
      </c>
      <c r="S6" s="230">
        <f>EQUIPOS[[#This Row],[HR DE PROX SERVICIO]]-EQUIPOS[[#This Row],[HR ACTUALES]]</f>
        <v>12.900000000000091</v>
      </c>
      <c r="T6" s="78"/>
    </row>
    <row r="7" spans="2:20" ht="15" customHeight="1" x14ac:dyDescent="0.3">
      <c r="B7" s="192">
        <v>3004327721</v>
      </c>
      <c r="C7" s="193" t="str">
        <f>IFERROR(INDEX(BDEGENER[],MATCH(B7,BDEGENER[SERIE],0),26)," ")</f>
        <v>GENERAC</v>
      </c>
      <c r="D7" s="193" t="str">
        <f>IFERROR(INDEX(BDEGENER[],MATCH(B7,BDEGENER[SERIE],0),27)," ")</f>
        <v>PG090</v>
      </c>
      <c r="E7" s="193" t="str">
        <f>IFERROR(INDEX(BDEGENER[],MATCH(B7,BDEGENER[SERIE],0),11)," ")</f>
        <v>SAN FERNANDO</v>
      </c>
      <c r="F7" s="63" t="str">
        <f>IFERROR(INDEX(BDEGENER[],MATCH(B7,BDEGENER[SERIE],0),12)," ")</f>
        <v>PL-502</v>
      </c>
      <c r="G7" s="72" t="s">
        <v>1395</v>
      </c>
      <c r="H7" s="62">
        <f>IFERROR(INDEX(BDEGENER[],MATCH(B7,BDEGENER[SERIE],0),31)," ")</f>
        <v>2223.6</v>
      </c>
      <c r="I7" s="194">
        <f>IFERROR(INDEX(BDEGENER[],MATCH(B7,BDEGENER[SERIE],0),53)," ")</f>
        <v>2098.4</v>
      </c>
      <c r="J7" s="193">
        <f>IFERROR(INDEX(BDEGENER[],MATCH(B7,BDEGENER[SERIE],0),47)," ")</f>
        <v>2</v>
      </c>
      <c r="K7" s="63">
        <f>IFERROR(INDEX(BDEGENER[],MATCH(B7,BDEGENER[SERIE],0),48)," ")</f>
        <v>7</v>
      </c>
      <c r="L7" s="77">
        <v>1555.2</v>
      </c>
      <c r="M7" s="62">
        <f>EQUIPOS[[#This Row],[HR DE ULTIMO PREVENTIVO]]+300</f>
        <v>2398.4</v>
      </c>
      <c r="N7" s="195" t="str">
        <f>IF(EQUIPOS[[#This Row],[HR ACTUALES]]&gt;=EQUIPOS[[#This Row],[HR DE PROX SERVICIO]],"PROCEDE",IF((EQUIPOS[[#This Row],[HR ACTUALES]]+50)&gt;=EQUIPOS[[#This Row],[HR DE PROX SERVICIO]],"PROXIMO","NO PROCEDE"))</f>
        <v>NO PROCEDE</v>
      </c>
      <c r="O7" s="730">
        <f>COUNTIF(EQUIPOS[SERIE],EQUIPOS[[#This Row],[SERIE]])</f>
        <v>1</v>
      </c>
      <c r="P7" s="731" t="str">
        <f>IFERROR(INDEX(BDEGENER[],MATCH(B7,BDEGENER[SERIE],0),41)," ")</f>
        <v>NO OPERATIVO</v>
      </c>
      <c r="Q7" s="732" t="str">
        <f>IF(EQUIPOS[[#This Row],[GA1]]=1,"UNICO","DUPLICADO")</f>
        <v>UNICO</v>
      </c>
      <c r="R7" s="733" t="str">
        <f>IF(EQUIPOS[[#This Row],[HR ULTIMO SERVICIO]]="NR","OPTIMO",IF(EQUIPOS[[#This Row],[HR ACTUALES]]="","NO REGISTRA",IF(EQUIPOS[[#This Row],[HR ULTIMO SERVICIO]]&gt;=EQUIPOS[[#This Row],[HR ACTUALES]],"ACTUALIZAR","OPTIMO")))</f>
        <v>ACTUALIZAR</v>
      </c>
      <c r="S7" s="734">
        <f>EQUIPOS[[#This Row],[HR DE PROX SERVICIO]]-EQUIPOS[[#This Row],[HR ACTUALES]]</f>
        <v>843.2</v>
      </c>
      <c r="T7" s="78"/>
    </row>
    <row r="8" spans="2:20" ht="15" customHeight="1" x14ac:dyDescent="0.3">
      <c r="B8" s="192">
        <v>3004331708</v>
      </c>
      <c r="C8" s="193" t="str">
        <f>IFERROR(INDEX(BDEGENER[],MATCH(B8,BDEGENER[SERIE],0),26)," ")</f>
        <v>GENERAC</v>
      </c>
      <c r="D8" s="193" t="str">
        <f>IFERROR(INDEX(BDEGENER[],MATCH(B8,BDEGENER[SERIE],0),27)," ")</f>
        <v>PG090</v>
      </c>
      <c r="E8" s="193" t="str">
        <f>IFERROR(INDEX(BDEGENER[],MATCH(B8,BDEGENER[SERIE],0),11)," ")</f>
        <v>SAN FERNANDO</v>
      </c>
      <c r="F8" s="63" t="str">
        <f>IFERROR(INDEX(BDEGENER[],MATCH(B8,BDEGENER[SERIE],0),12)," ")</f>
        <v>PL-503</v>
      </c>
      <c r="G8" s="72" t="s">
        <v>1395</v>
      </c>
      <c r="H8" s="62">
        <f>IFERROR(INDEX(BDEGENER[],MATCH(B8,BDEGENER[SERIE],0),31)," ")</f>
        <v>2000.7</v>
      </c>
      <c r="I8" s="194">
        <f>IFERROR(INDEX(BDEGENER[],MATCH(B8,BDEGENER[SERIE],0),53)," ")</f>
        <v>1635.5</v>
      </c>
      <c r="J8" s="193">
        <f>IFERROR(INDEX(BDEGENER[],MATCH(B8,BDEGENER[SERIE],0),47)," ")</f>
        <v>4</v>
      </c>
      <c r="K8" s="63">
        <f>IFERROR(INDEX(BDEGENER[],MATCH(B8,BDEGENER[SERIE],0),48)," ")</f>
        <v>6</v>
      </c>
      <c r="L8" s="77">
        <v>1271.8</v>
      </c>
      <c r="M8" s="62">
        <f>EQUIPOS[[#This Row],[HR DE ULTIMO PREVENTIVO]]+300</f>
        <v>1935.5</v>
      </c>
      <c r="N8" s="195" t="str">
        <f>IF(EQUIPOS[[#This Row],[HR ACTUALES]]&gt;=EQUIPOS[[#This Row],[HR DE PROX SERVICIO]],"PROCEDE",IF((EQUIPOS[[#This Row],[HR ACTUALES]]+50)&gt;=EQUIPOS[[#This Row],[HR DE PROX SERVICIO]],"PROXIMO","NO PROCEDE"))</f>
        <v>NO PROCEDE</v>
      </c>
      <c r="O8" s="196">
        <f>COUNTIF(EQUIPOS[SERIE],EQUIPOS[[#This Row],[SERIE]])</f>
        <v>1</v>
      </c>
      <c r="P8" s="199" t="str">
        <f>IFERROR(INDEX(BDEGENER[],MATCH(B8,BDEGENER[SERIE],0),41)," ")</f>
        <v>NO OPERATIVO</v>
      </c>
      <c r="Q8" s="187" t="str">
        <f>IF(EQUIPOS[[#This Row],[GA1]]=1,"UNICO","DUPLICADO")</f>
        <v>UNICO</v>
      </c>
      <c r="R8" s="187" t="str">
        <f>IF(EQUIPOS[[#This Row],[HR ULTIMO SERVICIO]]="NR","OPTIMO",IF(EQUIPOS[[#This Row],[HR ACTUALES]]="","NO REGISTRA",IF(EQUIPOS[[#This Row],[HR ULTIMO SERVICIO]]&gt;=EQUIPOS[[#This Row],[HR ACTUALES]],"ACTUALIZAR","OPTIMO")))</f>
        <v>ACTUALIZAR</v>
      </c>
      <c r="S8" s="230">
        <f>EQUIPOS[[#This Row],[HR DE PROX SERVICIO]]-EQUIPOS[[#This Row],[HR ACTUALES]]</f>
        <v>663.7</v>
      </c>
      <c r="T8" s="78"/>
    </row>
    <row r="9" spans="2:20" ht="15" customHeight="1" x14ac:dyDescent="0.3">
      <c r="B9" s="192">
        <v>3004336198</v>
      </c>
      <c r="C9" s="193" t="str">
        <f>IFERROR(INDEX(BDEGENER[],MATCH(B9,BDEGENER[SERIE],0),26)," ")</f>
        <v>GENERAC</v>
      </c>
      <c r="D9" s="193" t="str">
        <f>IFERROR(INDEX(BDEGENER[],MATCH(B9,BDEGENER[SERIE],0),27)," ")</f>
        <v>PG090</v>
      </c>
      <c r="E9" s="193" t="str">
        <f>IFERROR(INDEX(BDEGENER[],MATCH(B9,BDEGENER[SERIE],0),11)," ")</f>
        <v>SAN FERNANDO</v>
      </c>
      <c r="F9" s="63" t="str">
        <f>IFERROR(INDEX(BDEGENER[],MATCH(B9,BDEGENER[SERIE],0),12)," ")</f>
        <v>PL-502</v>
      </c>
      <c r="G9" s="72" t="s">
        <v>1395</v>
      </c>
      <c r="H9" s="62">
        <f>IFERROR(INDEX(BDEGENER[],MATCH(B9,BDEGENER[SERIE],0),31)," ")</f>
        <v>2049.3000000000002</v>
      </c>
      <c r="I9" s="194">
        <f>IFERROR(INDEX(BDEGENER[],MATCH(B9,BDEGENER[SERIE],0),53)," ")</f>
        <v>2049.3000000000002</v>
      </c>
      <c r="J9" s="193">
        <f>IFERROR(INDEX(BDEGENER[],MATCH(B9,BDEGENER[SERIE],0),47)," ")</f>
        <v>3</v>
      </c>
      <c r="K9" s="63">
        <f>IFERROR(INDEX(BDEGENER[],MATCH(B9,BDEGENER[SERIE],0),48)," ")</f>
        <v>7</v>
      </c>
      <c r="L9" s="77">
        <v>1663</v>
      </c>
      <c r="M9" s="62">
        <f>EQUIPOS[[#This Row],[HR DE ULTIMO PREVENTIVO]]+300</f>
        <v>2349.3000000000002</v>
      </c>
      <c r="N9" s="195" t="str">
        <f>IF(EQUIPOS[[#This Row],[HR ACTUALES]]&gt;=EQUIPOS[[#This Row],[HR DE PROX SERVICIO]],"PROCEDE",IF((EQUIPOS[[#This Row],[HR ACTUALES]]+50)&gt;=EQUIPOS[[#This Row],[HR DE PROX SERVICIO]],"PROXIMO","NO PROCEDE"))</f>
        <v>NO PROCEDE</v>
      </c>
      <c r="O9" s="71">
        <f>COUNTIF(EQUIPOS[SERIE],EQUIPOS[[#This Row],[SERIE]])</f>
        <v>1</v>
      </c>
      <c r="P9" s="187" t="str">
        <f>IFERROR(INDEX(BDEGENER[],MATCH(B9,BDEGENER[SERIE],0),41)," ")</f>
        <v>OPERATIVO</v>
      </c>
      <c r="Q9" s="187" t="str">
        <f>IF(EQUIPOS[[#This Row],[GA1]]=1,"UNICO","DUPLICADO")</f>
        <v>UNICO</v>
      </c>
      <c r="R9" s="187" t="str">
        <f>IF(EQUIPOS[[#This Row],[HR ULTIMO SERVICIO]]="NR","OPTIMO",IF(EQUIPOS[[#This Row],[HR ACTUALES]]="","NO REGISTRA",IF(EQUIPOS[[#This Row],[HR ULTIMO SERVICIO]]&gt;=EQUIPOS[[#This Row],[HR ACTUALES]],"ACTUALIZAR","OPTIMO")))</f>
        <v>ACTUALIZAR</v>
      </c>
      <c r="S9" s="230">
        <f>EQUIPOS[[#This Row],[HR DE PROX SERVICIO]]-EQUIPOS[[#This Row],[HR ACTUALES]]</f>
        <v>686.30000000000018</v>
      </c>
      <c r="T9" s="78"/>
    </row>
    <row r="10" spans="2:20" ht="15" customHeight="1" x14ac:dyDescent="0.3">
      <c r="B10" s="172">
        <v>3004428523</v>
      </c>
      <c r="C10" s="172" t="str">
        <f>IFERROR(INDEX(BDEGENER[],MATCH(B10,BDEGENER[SERIE],0),26)," ")</f>
        <v>GENERAC</v>
      </c>
      <c r="D10" s="172" t="str">
        <f>IFERROR(INDEX(BDEGENER[],MATCH(B10,BDEGENER[SERIE],0),27)," ")</f>
        <v>PG090</v>
      </c>
      <c r="E10" s="172" t="str">
        <f>IFERROR(INDEX(BDEGENER[],MATCH(B10,BDEGENER[SERIE],0),11)," ")</f>
        <v>SAN FERNANDO</v>
      </c>
      <c r="F10" s="180" t="str">
        <f>IFERROR(INDEX(BDEGENER[],MATCH(B10,BDEGENER[SERIE],0),12)," ")</f>
        <v>PONEDORAS H17</v>
      </c>
      <c r="G10" s="172" t="s">
        <v>1388</v>
      </c>
      <c r="H10" s="179">
        <f>IFERROR(INDEX(BDEGENER[],MATCH(B10,BDEGENER[SERIE],0),31)," ")</f>
        <v>2439.9</v>
      </c>
      <c r="I10" s="705">
        <f>IFERROR(INDEX(BDEGENER[],MATCH(B10,BDEGENER[SERIE],0),53)," ")</f>
        <v>2439.9</v>
      </c>
      <c r="J10" s="172">
        <f>IFERROR(INDEX(BDEGENER[],MATCH(B10,BDEGENER[SERIE],0),47)," ")</f>
        <v>2</v>
      </c>
      <c r="K10" s="180">
        <f>IFERROR(INDEX(BDEGENER[],MATCH(B10,BDEGENER[SERIE],0),48)," ")</f>
        <v>9</v>
      </c>
      <c r="L10" s="173">
        <v>1444</v>
      </c>
      <c r="M10" s="179">
        <f>EQUIPOS[[#This Row],[HR DE ULTIMO PREVENTIVO]]+300</f>
        <v>2739.9</v>
      </c>
      <c r="N10" s="174" t="str">
        <f>IF(EQUIPOS[[#This Row],[HR ACTUALES]]&gt;=EQUIPOS[[#This Row],[HR DE PROX SERVICIO]],"PROCEDE",IF((EQUIPOS[[#This Row],[HR ACTUALES]]+50)&gt;=EQUIPOS[[#This Row],[HR DE PROX SERVICIO]],"PROXIMO","NO PROCEDE"))</f>
        <v>NO PROCEDE</v>
      </c>
      <c r="O10" s="727">
        <f>COUNTIF(EQUIPOS[SERIE],EQUIPOS[[#This Row],[SERIE]])</f>
        <v>1</v>
      </c>
      <c r="P10" s="727" t="str">
        <f>IFERROR(INDEX(BDEGENER[],MATCH(B10,BDEGENER[SERIE],0),41)," ")</f>
        <v>OPERATIVO</v>
      </c>
      <c r="Q10" s="727" t="str">
        <f>IF(EQUIPOS[[#This Row],[GA1]]=1,"UNICO","DUPLICADO")</f>
        <v>UNICO</v>
      </c>
      <c r="R10" s="727" t="str">
        <f>IF(EQUIPOS[[#This Row],[HR ULTIMO SERVICIO]]="NR","OPTIMO",IF(EQUIPOS[[#This Row],[HR ACTUALES]]="","NO REGISTRA",IF(EQUIPOS[[#This Row],[HR ULTIMO SERVICIO]]&gt;=EQUIPOS[[#This Row],[HR ACTUALES]],"ACTUALIZAR","OPTIMO")))</f>
        <v>ACTUALIZAR</v>
      </c>
      <c r="S10" s="728">
        <f>EQUIPOS[[#This Row],[HR DE PROX SERVICIO]]-EQUIPOS[[#This Row],[HR ACTUALES]]</f>
        <v>1295.9000000000001</v>
      </c>
      <c r="T10" s="78"/>
    </row>
    <row r="11" spans="2:20" ht="15" customHeight="1" x14ac:dyDescent="0.3">
      <c r="B11" s="71">
        <v>3004331707</v>
      </c>
      <c r="C11" s="72" t="str">
        <f>IFERROR(INDEX(BDEGENER[],MATCH(B11,BDEGENER[SERIE],0),26)," ")</f>
        <v>GENERAC</v>
      </c>
      <c r="D11" s="72" t="str">
        <f>IFERROR(INDEX(BDEGENER[],MATCH(B11,BDEGENER[SERIE],0),27)," ")</f>
        <v>PG090</v>
      </c>
      <c r="E11" s="72" t="str">
        <f>IFERROR(INDEX(BDEGENER[],MATCH(B11,BDEGENER[SERIE],0),11)," ")</f>
        <v>SAN FERNANDO</v>
      </c>
      <c r="F11" s="65" t="str">
        <f>IFERROR(INDEX(BDEGENER[],MATCH(B11,BDEGENER[SERIE],0),12)," ")</f>
        <v>PL-810</v>
      </c>
      <c r="G11" s="72" t="s">
        <v>188</v>
      </c>
      <c r="H11" s="181">
        <f>IFERROR(INDEX(BDEGENER[],MATCH(B11,BDEGENER[SERIE],0),31)," ")</f>
        <v>938</v>
      </c>
      <c r="I11" s="77">
        <f>IFERROR(INDEX(BDEGENER[],MATCH(B11,BDEGENER[SERIE],0),53)," ")</f>
        <v>938</v>
      </c>
      <c r="J11" s="72">
        <f>IFERROR(INDEX(BDEGENER[],MATCH(B11,BDEGENER[SERIE],0),47)," ")</f>
        <v>1</v>
      </c>
      <c r="K11" s="65">
        <f>IFERROR(INDEX(BDEGENER[],MATCH(B11,BDEGENER[SERIE],0),48)," ")</f>
        <v>3</v>
      </c>
      <c r="L11" s="77">
        <v>927</v>
      </c>
      <c r="M11" s="181">
        <f>EQUIPOS[[#This Row],[HR DE ULTIMO PREVENTIVO]]+300</f>
        <v>1238</v>
      </c>
      <c r="N11" s="187" t="str">
        <f>IF(EQUIPOS[[#This Row],[HR ACTUALES]]&gt;=EQUIPOS[[#This Row],[HR DE PROX SERVICIO]],"PROCEDE",IF((EQUIPOS[[#This Row],[HR ACTUALES]]+50)&gt;=EQUIPOS[[#This Row],[HR DE PROX SERVICIO]],"PROXIMO","NO PROCEDE"))</f>
        <v>NO PROCEDE</v>
      </c>
      <c r="O11" s="71">
        <f>COUNTIF(EQUIPOS[SERIE],EQUIPOS[[#This Row],[SERIE]])</f>
        <v>1</v>
      </c>
      <c r="P11" s="187" t="str">
        <f>IFERROR(INDEX(BDEGENER[],MATCH(B11,BDEGENER[SERIE],0),41)," ")</f>
        <v>OPERATIVO</v>
      </c>
      <c r="Q11" s="187" t="str">
        <f>IF(EQUIPOS[[#This Row],[GA1]]=1,"UNICO","DUPLICADO")</f>
        <v>UNICO</v>
      </c>
      <c r="R11" s="187" t="str">
        <f>IF(EQUIPOS[[#This Row],[HR ULTIMO SERVICIO]]="NR","OPTIMO",IF(EQUIPOS[[#This Row],[HR ACTUALES]]="","NO REGISTRA",IF(EQUIPOS[[#This Row],[HR ULTIMO SERVICIO]]&gt;=EQUIPOS[[#This Row],[HR ACTUALES]],"ACTUALIZAR","OPTIMO")))</f>
        <v>ACTUALIZAR</v>
      </c>
      <c r="S11" s="230">
        <f>EQUIPOS[[#This Row],[HR DE PROX SERVICIO]]-EQUIPOS[[#This Row],[HR ACTUALES]]</f>
        <v>311</v>
      </c>
      <c r="T11" s="78"/>
    </row>
    <row r="12" spans="2:20" ht="15" customHeight="1" x14ac:dyDescent="0.3">
      <c r="B12" s="71">
        <v>3004337388</v>
      </c>
      <c r="C12" s="72" t="str">
        <f>IFERROR(INDEX(BDEGENER[],MATCH(B12,BDEGENER[SERIE],0),26)," ")</f>
        <v>GENERAC</v>
      </c>
      <c r="D12" s="72" t="str">
        <f>IFERROR(INDEX(BDEGENER[],MATCH(B12,BDEGENER[SERIE],0),27)," ")</f>
        <v>PG090</v>
      </c>
      <c r="E12" s="72" t="str">
        <f>IFERROR(INDEX(BDEGENER[],MATCH(B12,BDEGENER[SERIE],0),11)," ")</f>
        <v>SAN FERNANDO</v>
      </c>
      <c r="F12" s="65" t="str">
        <f>IFERROR(INDEX(BDEGENER[],MATCH(B12,BDEGENER[SERIE],0),12)," ")</f>
        <v>PL-810</v>
      </c>
      <c r="G12" s="72" t="s">
        <v>188</v>
      </c>
      <c r="H12" s="181">
        <f>IFERROR(INDEX(BDEGENER[],MATCH(B12,BDEGENER[SERIE],0),31)," ")</f>
        <v>2129.8000000000002</v>
      </c>
      <c r="I12" s="77">
        <f>IFERROR(INDEX(BDEGENER[],MATCH(B12,BDEGENER[SERIE],0),53)," ")</f>
        <v>2129.8000000000002</v>
      </c>
      <c r="J12" s="72">
        <f>IFERROR(INDEX(BDEGENER[],MATCH(B12,BDEGENER[SERIE],0),47)," ")</f>
        <v>4</v>
      </c>
      <c r="K12" s="65">
        <f>IFERROR(INDEX(BDEGENER[],MATCH(B12,BDEGENER[SERIE],0),48)," ")</f>
        <v>7</v>
      </c>
      <c r="L12" s="77">
        <v>2242.1999999999998</v>
      </c>
      <c r="M12" s="181">
        <f>EQUIPOS[[#This Row],[HR DE ULTIMO PREVENTIVO]]+300</f>
        <v>2429.8000000000002</v>
      </c>
      <c r="N12" s="187" t="str">
        <f>IF(EQUIPOS[[#This Row],[HR ACTUALES]]&gt;=EQUIPOS[[#This Row],[HR DE PROX SERVICIO]],"PROCEDE",IF((EQUIPOS[[#This Row],[HR ACTUALES]]+50)&gt;=EQUIPOS[[#This Row],[HR DE PROX SERVICIO]],"PROXIMO","NO PROCEDE"))</f>
        <v>NO PROCEDE</v>
      </c>
      <c r="O12" s="71">
        <f>COUNTIF(EQUIPOS[SERIE],EQUIPOS[[#This Row],[SERIE]])</f>
        <v>1</v>
      </c>
      <c r="P12" s="187" t="str">
        <f>IFERROR(INDEX(BDEGENER[],MATCH(B12,BDEGENER[SERIE],0),41)," ")</f>
        <v>OPERATIVO</v>
      </c>
      <c r="Q12" s="187" t="str">
        <f>IF(EQUIPOS[[#This Row],[GA1]]=1,"UNICO","DUPLICADO")</f>
        <v>UNICO</v>
      </c>
      <c r="R12" s="187" t="str">
        <f>IF(EQUIPOS[[#This Row],[HR ULTIMO SERVICIO]]="NR","OPTIMO",IF(EQUIPOS[[#This Row],[HR ACTUALES]]="","NO REGISTRA",IF(EQUIPOS[[#This Row],[HR ULTIMO SERVICIO]]&gt;=EQUIPOS[[#This Row],[HR ACTUALES]],"ACTUALIZAR","OPTIMO")))</f>
        <v>OPTIMO</v>
      </c>
      <c r="S12" s="230">
        <f>EQUIPOS[[#This Row],[HR DE PROX SERVICIO]]-EQUIPOS[[#This Row],[HR ACTUALES]]</f>
        <v>187.60000000000036</v>
      </c>
      <c r="T12" s="78"/>
    </row>
    <row r="13" spans="2:20" ht="15" customHeight="1" x14ac:dyDescent="0.3">
      <c r="B13" s="71">
        <v>3004290369</v>
      </c>
      <c r="C13" s="72" t="str">
        <f>IFERROR(INDEX(BDEGENER[],MATCH(B13,BDEGENER[SERIE],0),26)," ")</f>
        <v>GENERAC</v>
      </c>
      <c r="D13" s="72" t="str">
        <f>IFERROR(INDEX(BDEGENER[],MATCH(B13,BDEGENER[SERIE],0),27)," ")</f>
        <v>PG090</v>
      </c>
      <c r="E13" s="72" t="str">
        <f>IFERROR(INDEX(BDEGENER[],MATCH(B13,BDEGENER[SERIE],0),11)," ")</f>
        <v>SAN FERNANDO</v>
      </c>
      <c r="F13" s="65" t="str">
        <f>IFERROR(INDEX(BDEGENER[],MATCH(B13,BDEGENER[SERIE],0),12)," ")</f>
        <v>PL-810</v>
      </c>
      <c r="G13" s="72" t="s">
        <v>188</v>
      </c>
      <c r="H13" s="181">
        <f>IFERROR(INDEX(BDEGENER[],MATCH(B13,BDEGENER[SERIE],0),31)," ")</f>
        <v>2294</v>
      </c>
      <c r="I13" s="77">
        <f>IFERROR(INDEX(BDEGENER[],MATCH(B13,BDEGENER[SERIE],0),53)," ")</f>
        <v>2294</v>
      </c>
      <c r="J13" s="72">
        <f>IFERROR(INDEX(BDEGENER[],MATCH(B13,BDEGENER[SERIE],0),47)," ")</f>
        <v>2</v>
      </c>
      <c r="K13" s="65">
        <f>IFERROR(INDEX(BDEGENER[],MATCH(B13,BDEGENER[SERIE],0),48)," ")</f>
        <v>7</v>
      </c>
      <c r="L13" s="77">
        <v>2199.4</v>
      </c>
      <c r="M13" s="181">
        <f>EQUIPOS[[#This Row],[HR DE ULTIMO PREVENTIVO]]+300</f>
        <v>2594</v>
      </c>
      <c r="N13" s="187" t="str">
        <f>IF(EQUIPOS[[#This Row],[HR ACTUALES]]&gt;=EQUIPOS[[#This Row],[HR DE PROX SERVICIO]],"PROCEDE",IF((EQUIPOS[[#This Row],[HR ACTUALES]]+50)&gt;=EQUIPOS[[#This Row],[HR DE PROX SERVICIO]],"PROXIMO","NO PROCEDE"))</f>
        <v>NO PROCEDE</v>
      </c>
      <c r="O13" s="71">
        <f>COUNTIF(EQUIPOS[SERIE],EQUIPOS[[#This Row],[SERIE]])</f>
        <v>1</v>
      </c>
      <c r="P13" s="187" t="str">
        <f>IFERROR(INDEX(BDEGENER[],MATCH(B13,BDEGENER[SERIE],0),41)," ")</f>
        <v>OPERATIVO</v>
      </c>
      <c r="Q13" s="187" t="str">
        <f>IF(EQUIPOS[[#This Row],[GA1]]=1,"UNICO","DUPLICADO")</f>
        <v>UNICO</v>
      </c>
      <c r="R13" s="187" t="str">
        <f>IF(EQUIPOS[[#This Row],[HR ULTIMO SERVICIO]]="NR","OPTIMO",IF(EQUIPOS[[#This Row],[HR ACTUALES]]="","NO REGISTRA",IF(EQUIPOS[[#This Row],[HR ULTIMO SERVICIO]]&gt;=EQUIPOS[[#This Row],[HR ACTUALES]],"ACTUALIZAR","OPTIMO")))</f>
        <v>ACTUALIZAR</v>
      </c>
      <c r="S13" s="230">
        <f>EQUIPOS[[#This Row],[HR DE PROX SERVICIO]]-EQUIPOS[[#This Row],[HR ACTUALES]]</f>
        <v>394.59999999999991</v>
      </c>
      <c r="T13" s="78"/>
    </row>
    <row r="14" spans="2:20" ht="15" customHeight="1" x14ac:dyDescent="0.3">
      <c r="B14" s="71">
        <v>3004381437</v>
      </c>
      <c r="C14" s="72" t="str">
        <f>IFERROR(INDEX(BDEGENER[],MATCH(B14,BDEGENER[SERIE],0),26)," ")</f>
        <v>GENERAC</v>
      </c>
      <c r="D14" s="72" t="str">
        <f>IFERROR(INDEX(BDEGENER[],MATCH(B14,BDEGENER[SERIE],0),27)," ")</f>
        <v>PG090</v>
      </c>
      <c r="E14" s="72" t="str">
        <f>IFERROR(INDEX(BDEGENER[],MATCH(B14,BDEGENER[SERIE],0),11)," ")</f>
        <v>SAN FERNANDO</v>
      </c>
      <c r="F14" s="65" t="str">
        <f>IFERROR(INDEX(BDEGENER[],MATCH(B14,BDEGENER[SERIE],0),12)," ")</f>
        <v>PL-810</v>
      </c>
      <c r="G14" s="72" t="s">
        <v>188</v>
      </c>
      <c r="H14" s="181">
        <f>IFERROR(INDEX(BDEGENER[],MATCH(B14,BDEGENER[SERIE],0),31)," ")</f>
        <v>2359.6</v>
      </c>
      <c r="I14" s="77">
        <f>IFERROR(INDEX(BDEGENER[],MATCH(B14,BDEGENER[SERIE],0),53)," ")</f>
        <v>2359.6</v>
      </c>
      <c r="J14" s="72">
        <f>IFERROR(INDEX(BDEGENER[],MATCH(B14,BDEGENER[SERIE],0),47)," ")</f>
        <v>3</v>
      </c>
      <c r="K14" s="65">
        <f>IFERROR(INDEX(BDEGENER[],MATCH(B14,BDEGENER[SERIE],0),48)," ")</f>
        <v>8</v>
      </c>
      <c r="L14" s="77">
        <v>2286.5</v>
      </c>
      <c r="M14" s="181">
        <f>EQUIPOS[[#This Row],[HR DE ULTIMO PREVENTIVO]]+300</f>
        <v>2659.6</v>
      </c>
      <c r="N14" s="187" t="str">
        <f>IF(EQUIPOS[[#This Row],[HR ACTUALES]]&gt;=EQUIPOS[[#This Row],[HR DE PROX SERVICIO]],"PROCEDE",IF((EQUIPOS[[#This Row],[HR ACTUALES]]+50)&gt;=EQUIPOS[[#This Row],[HR DE PROX SERVICIO]],"PROXIMO","NO PROCEDE"))</f>
        <v>NO PROCEDE</v>
      </c>
      <c r="O14" s="71">
        <f>COUNTIF(EQUIPOS[SERIE],EQUIPOS[[#This Row],[SERIE]])</f>
        <v>1</v>
      </c>
      <c r="P14" s="187" t="str">
        <f>IFERROR(INDEX(BDEGENER[],MATCH(B14,BDEGENER[SERIE],0),41)," ")</f>
        <v>OPERATIVO</v>
      </c>
      <c r="Q14" s="187" t="str">
        <f>IF(EQUIPOS[[#This Row],[GA1]]=1,"UNICO","DUPLICADO")</f>
        <v>UNICO</v>
      </c>
      <c r="R14" s="187" t="str">
        <f>IF(EQUIPOS[[#This Row],[HR ULTIMO SERVICIO]]="NR","OPTIMO",IF(EQUIPOS[[#This Row],[HR ACTUALES]]="","NO REGISTRA",IF(EQUIPOS[[#This Row],[HR ULTIMO SERVICIO]]&gt;=EQUIPOS[[#This Row],[HR ACTUALES]],"ACTUALIZAR","OPTIMO")))</f>
        <v>ACTUALIZAR</v>
      </c>
      <c r="S14" s="230">
        <f>EQUIPOS[[#This Row],[HR DE PROX SERVICIO]]-EQUIPOS[[#This Row],[HR ACTUALES]]</f>
        <v>373.09999999999991</v>
      </c>
      <c r="T14" s="78"/>
    </row>
    <row r="15" spans="2:20" ht="15" customHeight="1" x14ac:dyDescent="0.3">
      <c r="B15" s="71">
        <v>3004416582</v>
      </c>
      <c r="C15" s="72" t="str">
        <f>IFERROR(INDEX(BDEGENER[],MATCH(B15,BDEGENER[SERIE],0),26)," ")</f>
        <v>GENERAC</v>
      </c>
      <c r="D15" s="72" t="str">
        <f>IFERROR(INDEX(BDEGENER[],MATCH(B15,BDEGENER[SERIE],0),27)," ")</f>
        <v>PG090</v>
      </c>
      <c r="E15" s="72" t="str">
        <f>IFERROR(INDEX(BDEGENER[],MATCH(B15,BDEGENER[SERIE],0),11)," ")</f>
        <v>SAN FERNANDO</v>
      </c>
      <c r="F15" s="65" t="str">
        <f>IFERROR(INDEX(BDEGENER[],MATCH(B15,BDEGENER[SERIE],0),12)," ")</f>
        <v>PL-801</v>
      </c>
      <c r="G15" s="172" t="s">
        <v>188</v>
      </c>
      <c r="H15" s="181">
        <f>IFERROR(INDEX(BDEGENER[],MATCH(B15,BDEGENER[SERIE],0),31)," ")</f>
        <v>2342.3000000000002</v>
      </c>
      <c r="I15" s="77">
        <f>IFERROR(INDEX(BDEGENER[],MATCH(B15,BDEGENER[SERIE],0),53)," ")</f>
        <v>2342.3000000000002</v>
      </c>
      <c r="J15" s="72">
        <f>IFERROR(INDEX(BDEGENER[],MATCH(B15,BDEGENER[SERIE],0),47)," ")</f>
        <v>3</v>
      </c>
      <c r="K15" s="65">
        <f>IFERROR(INDEX(BDEGENER[],MATCH(B15,BDEGENER[SERIE],0),48)," ")</f>
        <v>7</v>
      </c>
      <c r="L15" s="77">
        <v>2252.6</v>
      </c>
      <c r="M15" s="181">
        <f>EQUIPOS[[#This Row],[HR DE ULTIMO PREVENTIVO]]+300</f>
        <v>2642.3</v>
      </c>
      <c r="N15" s="187" t="str">
        <f>IF(EQUIPOS[[#This Row],[HR ACTUALES]]&gt;=EQUIPOS[[#This Row],[HR DE PROX SERVICIO]],"PROCEDE",IF((EQUIPOS[[#This Row],[HR ACTUALES]]+50)&gt;=EQUIPOS[[#This Row],[HR DE PROX SERVICIO]],"PROXIMO","NO PROCEDE"))</f>
        <v>NO PROCEDE</v>
      </c>
      <c r="O15" s="71">
        <f>COUNTIF(EQUIPOS[SERIE],EQUIPOS[[#This Row],[SERIE]])</f>
        <v>1</v>
      </c>
      <c r="P15" s="187" t="str">
        <f>IFERROR(INDEX(BDEGENER[],MATCH(B15,BDEGENER[SERIE],0),41)," ")</f>
        <v>OPERATIVO</v>
      </c>
      <c r="Q15" s="187" t="str">
        <f>IF(EQUIPOS[[#This Row],[GA1]]=1,"UNICO","DUPLICADO")</f>
        <v>UNICO</v>
      </c>
      <c r="R15" s="187" t="str">
        <f>IF(EQUIPOS[[#This Row],[HR ULTIMO SERVICIO]]="NR","OPTIMO",IF(EQUIPOS[[#This Row],[HR ACTUALES]]="","NO REGISTRA",IF(EQUIPOS[[#This Row],[HR ULTIMO SERVICIO]]&gt;=EQUIPOS[[#This Row],[HR ACTUALES]],"ACTUALIZAR","OPTIMO")))</f>
        <v>ACTUALIZAR</v>
      </c>
      <c r="S15" s="230">
        <f>EQUIPOS[[#This Row],[HR DE PROX SERVICIO]]-EQUIPOS[[#This Row],[HR ACTUALES]]</f>
        <v>389.70000000000027</v>
      </c>
      <c r="T15" s="78"/>
    </row>
    <row r="16" spans="2:20" ht="15" customHeight="1" x14ac:dyDescent="0.3">
      <c r="B16" s="71">
        <v>3004290364</v>
      </c>
      <c r="C16" s="72" t="str">
        <f>IFERROR(INDEX(BDEGENER[],MATCH(B16,BDEGENER[SERIE],0),26)," ")</f>
        <v>GENERAC</v>
      </c>
      <c r="D16" s="72" t="str">
        <f>IFERROR(INDEX(BDEGENER[],MATCH(B16,BDEGENER[SERIE],0),27)," ")</f>
        <v>PG090</v>
      </c>
      <c r="E16" s="72" t="str">
        <f>IFERROR(INDEX(BDEGENER[],MATCH(B16,BDEGENER[SERIE],0),11)," ")</f>
        <v>SAN FERNANDO</v>
      </c>
      <c r="F16" s="65" t="str">
        <f>IFERROR(INDEX(BDEGENER[],MATCH(B16,BDEGENER[SERIE],0),12)," ")</f>
        <v>PL-807</v>
      </c>
      <c r="G16" s="72" t="s">
        <v>184</v>
      </c>
      <c r="H16" s="181">
        <f>IFERROR(INDEX(BDEGENER[],MATCH(B16,BDEGENER[SERIE],0),31)," ")</f>
        <v>1147.0999999999999</v>
      </c>
      <c r="I16" s="77">
        <f>IFERROR(INDEX(BDEGENER[],MATCH(B16,BDEGENER[SERIE],0),53)," ")</f>
        <v>941.5</v>
      </c>
      <c r="J16" s="72">
        <f>IFERROR(INDEX(BDEGENER[],MATCH(B16,BDEGENER[SERIE],0),47)," ")</f>
        <v>1</v>
      </c>
      <c r="K16" s="65">
        <f>IFERROR(INDEX(BDEGENER[],MATCH(B16,BDEGENER[SERIE],0),48)," ")</f>
        <v>3</v>
      </c>
      <c r="L16" s="77">
        <v>1390.6</v>
      </c>
      <c r="M16" s="181">
        <f>EQUIPOS[[#This Row],[HR DE ULTIMO PREVENTIVO]]+300</f>
        <v>1241.5</v>
      </c>
      <c r="N16" s="187" t="str">
        <f>IF(EQUIPOS[[#This Row],[HR ACTUALES]]&gt;=EQUIPOS[[#This Row],[HR DE PROX SERVICIO]],"PROCEDE",IF((EQUIPOS[[#This Row],[HR ACTUALES]]+50)&gt;=EQUIPOS[[#This Row],[HR DE PROX SERVICIO]],"PROXIMO","NO PROCEDE"))</f>
        <v>PROCEDE</v>
      </c>
      <c r="O16" s="71">
        <f>COUNTIF(EQUIPOS[SERIE],EQUIPOS[[#This Row],[SERIE]])</f>
        <v>1</v>
      </c>
      <c r="P16" s="187" t="str">
        <f>IFERROR(INDEX(BDEGENER[],MATCH(B16,BDEGENER[SERIE],0),41)," ")</f>
        <v>OPERATIVO</v>
      </c>
      <c r="Q16" s="187" t="str">
        <f>IF(EQUIPOS[[#This Row],[GA1]]=1,"UNICO","DUPLICADO")</f>
        <v>UNICO</v>
      </c>
      <c r="R16" s="187" t="str">
        <f>IF(EQUIPOS[[#This Row],[HR ULTIMO SERVICIO]]="NR","OPTIMO",IF(EQUIPOS[[#This Row],[HR ACTUALES]]="","NO REGISTRA",IF(EQUIPOS[[#This Row],[HR ULTIMO SERVICIO]]&gt;=EQUIPOS[[#This Row],[HR ACTUALES]],"ACTUALIZAR","OPTIMO")))</f>
        <v>OPTIMO</v>
      </c>
      <c r="S16" s="230">
        <f>EQUIPOS[[#This Row],[HR DE PROX SERVICIO]]-EQUIPOS[[#This Row],[HR ACTUALES]]</f>
        <v>-149.09999999999991</v>
      </c>
      <c r="T16" s="78"/>
    </row>
    <row r="17" spans="2:20" ht="15" customHeight="1" x14ac:dyDescent="0.3">
      <c r="B17" s="71">
        <v>3004227749</v>
      </c>
      <c r="C17" s="72" t="str">
        <f>IFERROR(INDEX(BDEGENER[],MATCH(B17,BDEGENER[SERIE],0),26)," ")</f>
        <v>GENERAC</v>
      </c>
      <c r="D17" s="72" t="str">
        <f>IFERROR(INDEX(BDEGENER[],MATCH(B17,BDEGENER[SERIE],0),27)," ")</f>
        <v>PG090</v>
      </c>
      <c r="E17" s="72" t="str">
        <f>IFERROR(INDEX(BDEGENER[],MATCH(B17,BDEGENER[SERIE],0),11)," ")</f>
        <v>SAN FERNANDO</v>
      </c>
      <c r="F17" s="65" t="str">
        <f>IFERROR(INDEX(BDEGENER[],MATCH(B17,BDEGENER[SERIE],0),12)," ")</f>
        <v>PL-807</v>
      </c>
      <c r="G17" s="72" t="s">
        <v>184</v>
      </c>
      <c r="H17" s="181">
        <f>IFERROR(INDEX(BDEGENER[],MATCH(B17,BDEGENER[SERIE],0),31)," ")</f>
        <v>2483.6999999999998</v>
      </c>
      <c r="I17" s="77">
        <f>IFERROR(INDEX(BDEGENER[],MATCH(B17,BDEGENER[SERIE],0),53)," ")</f>
        <v>2404.1999999999998</v>
      </c>
      <c r="J17" s="72">
        <f>IFERROR(INDEX(BDEGENER[],MATCH(B17,BDEGENER[SERIE],0),47)," ")</f>
        <v>4</v>
      </c>
      <c r="K17" s="65">
        <f>IFERROR(INDEX(BDEGENER[],MATCH(B17,BDEGENER[SERIE],0),48)," ")</f>
        <v>8</v>
      </c>
      <c r="L17" s="77">
        <v>2822.8</v>
      </c>
      <c r="M17" s="181">
        <f>EQUIPOS[[#This Row],[HR DE ULTIMO PREVENTIVO]]+300</f>
        <v>2704.2</v>
      </c>
      <c r="N17" s="187" t="str">
        <f>IF(EQUIPOS[[#This Row],[HR ACTUALES]]&gt;=EQUIPOS[[#This Row],[HR DE PROX SERVICIO]],"PROCEDE",IF((EQUIPOS[[#This Row],[HR ACTUALES]]+50)&gt;=EQUIPOS[[#This Row],[HR DE PROX SERVICIO]],"PROXIMO","NO PROCEDE"))</f>
        <v>PROCEDE</v>
      </c>
      <c r="O17" s="71">
        <f>COUNTIF(EQUIPOS[SERIE],EQUIPOS[[#This Row],[SERIE]])</f>
        <v>1</v>
      </c>
      <c r="P17" s="187" t="str">
        <f>IFERROR(INDEX(BDEGENER[],MATCH(B17,BDEGENER[SERIE],0),41)," ")</f>
        <v>OPERATIVO</v>
      </c>
      <c r="Q17" s="187" t="str">
        <f>IF(EQUIPOS[[#This Row],[GA1]]=1,"UNICO","DUPLICADO")</f>
        <v>UNICO</v>
      </c>
      <c r="R17" s="187" t="str">
        <f>IF(EQUIPOS[[#This Row],[HR ULTIMO SERVICIO]]="NR","OPTIMO",IF(EQUIPOS[[#This Row],[HR ACTUALES]]="","NO REGISTRA",IF(EQUIPOS[[#This Row],[HR ULTIMO SERVICIO]]&gt;=EQUIPOS[[#This Row],[HR ACTUALES]],"ACTUALIZAR","OPTIMO")))</f>
        <v>OPTIMO</v>
      </c>
      <c r="S17" s="230">
        <f>EQUIPOS[[#This Row],[HR DE PROX SERVICIO]]-EQUIPOS[[#This Row],[HR ACTUALES]]</f>
        <v>-118.60000000000036</v>
      </c>
      <c r="T17" s="78"/>
    </row>
    <row r="18" spans="2:20" ht="15" customHeight="1" x14ac:dyDescent="0.3">
      <c r="B18" s="71">
        <v>3004418791</v>
      </c>
      <c r="C18" s="72" t="str">
        <f>IFERROR(INDEX(BDEGENER[],MATCH(B18,BDEGENER[SERIE],0),26)," ")</f>
        <v>GENERAC</v>
      </c>
      <c r="D18" s="72" t="str">
        <f>IFERROR(INDEX(BDEGENER[],MATCH(B18,BDEGENER[SERIE],0),27)," ")</f>
        <v>PG090</v>
      </c>
      <c r="E18" s="72" t="str">
        <f>IFERROR(INDEX(BDEGENER[],MATCH(B18,BDEGENER[SERIE],0),11)," ")</f>
        <v>SAN FERNANDO</v>
      </c>
      <c r="F18" s="65" t="str">
        <f>IFERROR(INDEX(BDEGENER[],MATCH(B18,BDEGENER[SERIE],0),12)," ")</f>
        <v>PL-807</v>
      </c>
      <c r="G18" s="72" t="s">
        <v>184</v>
      </c>
      <c r="H18" s="181">
        <f>IFERROR(INDEX(BDEGENER[],MATCH(B18,BDEGENER[SERIE],0),31)," ")</f>
        <v>2074.3000000000002</v>
      </c>
      <c r="I18" s="77">
        <f>IFERROR(INDEX(BDEGENER[],MATCH(B18,BDEGENER[SERIE],0),53)," ")</f>
        <v>2074.3000000000002</v>
      </c>
      <c r="J18" s="72">
        <f>IFERROR(INDEX(BDEGENER[],MATCH(B18,BDEGENER[SERIE],0),47)," ")</f>
        <v>7</v>
      </c>
      <c r="K18" s="65">
        <f>IFERROR(INDEX(BDEGENER[],MATCH(B18,BDEGENER[SERIE],0),48)," ")</f>
        <v>7</v>
      </c>
      <c r="L18" s="77">
        <v>2356.1999999999998</v>
      </c>
      <c r="M18" s="181">
        <f>EQUIPOS[[#This Row],[HR DE ULTIMO PREVENTIVO]]+300</f>
        <v>2374.3000000000002</v>
      </c>
      <c r="N18" s="187" t="str">
        <f>IF(EQUIPOS[[#This Row],[HR ACTUALES]]&gt;=EQUIPOS[[#This Row],[HR DE PROX SERVICIO]],"PROCEDE",IF((EQUIPOS[[#This Row],[HR ACTUALES]]+50)&gt;=EQUIPOS[[#This Row],[HR DE PROX SERVICIO]],"PROXIMO","NO PROCEDE"))</f>
        <v>PROXIMO</v>
      </c>
      <c r="O18" s="71">
        <f>COUNTIF(EQUIPOS[SERIE],EQUIPOS[[#This Row],[SERIE]])</f>
        <v>1</v>
      </c>
      <c r="P18" s="187" t="str">
        <f>IFERROR(INDEX(BDEGENER[],MATCH(B18,BDEGENER[SERIE],0),41)," ")</f>
        <v>OPERATIVO</v>
      </c>
      <c r="Q18" s="187" t="str">
        <f>IF(EQUIPOS[[#This Row],[GA1]]=1,"UNICO","DUPLICADO")</f>
        <v>UNICO</v>
      </c>
      <c r="R18" s="187" t="str">
        <f>IF(EQUIPOS[[#This Row],[HR ULTIMO SERVICIO]]="NR","OPTIMO",IF(EQUIPOS[[#This Row],[HR ACTUALES]]="","NO REGISTRA",IF(EQUIPOS[[#This Row],[HR ULTIMO SERVICIO]]&gt;=EQUIPOS[[#This Row],[HR ACTUALES]],"ACTUALIZAR","OPTIMO")))</f>
        <v>OPTIMO</v>
      </c>
      <c r="S18" s="230">
        <f>EQUIPOS[[#This Row],[HR DE PROX SERVICIO]]-EQUIPOS[[#This Row],[HR ACTUALES]]</f>
        <v>18.100000000000364</v>
      </c>
      <c r="T18" s="78"/>
    </row>
    <row r="19" spans="2:20" ht="15" customHeight="1" x14ac:dyDescent="0.3">
      <c r="B19" s="71">
        <v>3004416580</v>
      </c>
      <c r="C19" s="72" t="str">
        <f>IFERROR(INDEX(BDEGENER[],MATCH(B19,BDEGENER[SERIE],0),26)," ")</f>
        <v>GENERAC</v>
      </c>
      <c r="D19" s="72" t="str">
        <f>IFERROR(INDEX(BDEGENER[],MATCH(B19,BDEGENER[SERIE],0),27)," ")</f>
        <v>PG090</v>
      </c>
      <c r="E19" s="72" t="str">
        <f>IFERROR(INDEX(BDEGENER[],MATCH(B19,BDEGENER[SERIE],0),11)," ")</f>
        <v>SAN FERNANDO</v>
      </c>
      <c r="F19" s="65" t="str">
        <f>IFERROR(INDEX(BDEGENER[],MATCH(B19,BDEGENER[SERIE],0),12)," ")</f>
        <v>PL-807</v>
      </c>
      <c r="G19" s="72" t="s">
        <v>184</v>
      </c>
      <c r="H19" s="181">
        <f>IFERROR(INDEX(BDEGENER[],MATCH(B19,BDEGENER[SERIE],0),31)," ")</f>
        <v>3113.9</v>
      </c>
      <c r="I19" s="77">
        <f>IFERROR(INDEX(BDEGENER[],MATCH(B19,BDEGENER[SERIE],0),53)," ")</f>
        <v>3113.9</v>
      </c>
      <c r="J19" s="72">
        <f>IFERROR(INDEX(BDEGENER[],MATCH(B19,BDEGENER[SERIE],0),47)," ")</f>
        <v>2</v>
      </c>
      <c r="K19" s="65">
        <f>IFERROR(INDEX(BDEGENER[],MATCH(B19,BDEGENER[SERIE],0),48)," ")</f>
        <v>8</v>
      </c>
      <c r="L19" s="77">
        <v>3497.6</v>
      </c>
      <c r="M19" s="181">
        <f>EQUIPOS[[#This Row],[HR DE ULTIMO PREVENTIVO]]+300</f>
        <v>3413.9</v>
      </c>
      <c r="N19" s="187" t="str">
        <f>IF(EQUIPOS[[#This Row],[HR ACTUALES]]&gt;=EQUIPOS[[#This Row],[HR DE PROX SERVICIO]],"PROCEDE",IF((EQUIPOS[[#This Row],[HR ACTUALES]]+50)&gt;=EQUIPOS[[#This Row],[HR DE PROX SERVICIO]],"PROXIMO","NO PROCEDE"))</f>
        <v>PROCEDE</v>
      </c>
      <c r="O19" s="71">
        <f>COUNTIF(EQUIPOS[SERIE],EQUIPOS[[#This Row],[SERIE]])</f>
        <v>1</v>
      </c>
      <c r="P19" s="187" t="str">
        <f>IFERROR(INDEX(BDEGENER[],MATCH(B19,BDEGENER[SERIE],0),41)," ")</f>
        <v>OPERATIVO</v>
      </c>
      <c r="Q19" s="187" t="str">
        <f>IF(EQUIPOS[[#This Row],[GA1]]=1,"UNICO","DUPLICADO")</f>
        <v>UNICO</v>
      </c>
      <c r="R19" s="187" t="str">
        <f>IF(EQUIPOS[[#This Row],[HR ULTIMO SERVICIO]]="NR","OPTIMO",IF(EQUIPOS[[#This Row],[HR ACTUALES]]="","NO REGISTRA",IF(EQUIPOS[[#This Row],[HR ULTIMO SERVICIO]]&gt;=EQUIPOS[[#This Row],[HR ACTUALES]],"ACTUALIZAR","OPTIMO")))</f>
        <v>OPTIMO</v>
      </c>
      <c r="S19" s="230">
        <f>EQUIPOS[[#This Row],[HR DE PROX SERVICIO]]-EQUIPOS[[#This Row],[HR ACTUALES]]</f>
        <v>-83.699999999999818</v>
      </c>
      <c r="T19" s="78"/>
    </row>
    <row r="20" spans="2:20" ht="15" customHeight="1" x14ac:dyDescent="0.3">
      <c r="B20" s="71">
        <v>3004402507</v>
      </c>
      <c r="C20" s="72" t="str">
        <f>IFERROR(INDEX(BDEGENER[],MATCH(B20,BDEGENER[SERIE],0),26)," ")</f>
        <v>GENERAC</v>
      </c>
      <c r="D20" s="72" t="str">
        <f>IFERROR(INDEX(BDEGENER[],MATCH(B20,BDEGENER[SERIE],0),27)," ")</f>
        <v>PG090</v>
      </c>
      <c r="E20" s="72" t="str">
        <f>IFERROR(INDEX(BDEGENER[],MATCH(B20,BDEGENER[SERIE],0),11)," ")</f>
        <v>SAN FERNANDO</v>
      </c>
      <c r="F20" s="65" t="str">
        <f>IFERROR(INDEX(BDEGENER[],MATCH(B20,BDEGENER[SERIE],0),12)," ")</f>
        <v>PL-807</v>
      </c>
      <c r="G20" s="72" t="s">
        <v>184</v>
      </c>
      <c r="H20" s="181">
        <f>IFERROR(INDEX(BDEGENER[],MATCH(B20,BDEGENER[SERIE],0),31)," ")</f>
        <v>2134</v>
      </c>
      <c r="I20" s="77">
        <f>IFERROR(INDEX(BDEGENER[],MATCH(B20,BDEGENER[SERIE],0),53)," ")</f>
        <v>2134</v>
      </c>
      <c r="J20" s="72">
        <f>IFERROR(INDEX(BDEGENER[],MATCH(B20,BDEGENER[SERIE],0),47)," ")</f>
        <v>5</v>
      </c>
      <c r="K20" s="65">
        <f>IFERROR(INDEX(BDEGENER[],MATCH(B20,BDEGENER[SERIE],0),48)," ")</f>
        <v>7</v>
      </c>
      <c r="L20" s="77">
        <v>2248.4</v>
      </c>
      <c r="M20" s="181">
        <f>EQUIPOS[[#This Row],[HR DE ULTIMO PREVENTIVO]]+300</f>
        <v>2434</v>
      </c>
      <c r="N20" s="187" t="str">
        <f>IF(EQUIPOS[[#This Row],[HR ACTUALES]]&gt;=EQUIPOS[[#This Row],[HR DE PROX SERVICIO]],"PROCEDE",IF((EQUIPOS[[#This Row],[HR ACTUALES]]+50)&gt;=EQUIPOS[[#This Row],[HR DE PROX SERVICIO]],"PROXIMO","NO PROCEDE"))</f>
        <v>NO PROCEDE</v>
      </c>
      <c r="O20" s="71">
        <f>COUNTIF(EQUIPOS[SERIE],EQUIPOS[[#This Row],[SERIE]])</f>
        <v>1</v>
      </c>
      <c r="P20" s="187" t="str">
        <f>IFERROR(INDEX(BDEGENER[],MATCH(B20,BDEGENER[SERIE],0),41)," ")</f>
        <v>OPERATIVO</v>
      </c>
      <c r="Q20" s="187" t="str">
        <f>IF(EQUIPOS[[#This Row],[GA1]]=1,"UNICO","DUPLICADO")</f>
        <v>UNICO</v>
      </c>
      <c r="R20" s="187" t="str">
        <f>IF(EQUIPOS[[#This Row],[HR ULTIMO SERVICIO]]="NR","OPTIMO",IF(EQUIPOS[[#This Row],[HR ACTUALES]]="","NO REGISTRA",IF(EQUIPOS[[#This Row],[HR ULTIMO SERVICIO]]&gt;=EQUIPOS[[#This Row],[HR ACTUALES]],"ACTUALIZAR","OPTIMO")))</f>
        <v>OPTIMO</v>
      </c>
      <c r="S20" s="230">
        <f>EQUIPOS[[#This Row],[HR DE PROX SERVICIO]]-EQUIPOS[[#This Row],[HR ACTUALES]]</f>
        <v>185.59999999999991</v>
      </c>
      <c r="T20" s="78"/>
    </row>
    <row r="21" spans="2:20" ht="15" customHeight="1" x14ac:dyDescent="0.3">
      <c r="B21" s="71">
        <v>3004402508</v>
      </c>
      <c r="C21" s="72" t="str">
        <f>IFERROR(INDEX(BDEGENER[],MATCH(B21,BDEGENER[SERIE],0),26)," ")</f>
        <v>GENERAC</v>
      </c>
      <c r="D21" s="72" t="str">
        <f>IFERROR(INDEX(BDEGENER[],MATCH(B21,BDEGENER[SERIE],0),27)," ")</f>
        <v>PG090</v>
      </c>
      <c r="E21" s="72" t="str">
        <f>IFERROR(INDEX(BDEGENER[],MATCH(B21,BDEGENER[SERIE],0),11)," ")</f>
        <v>SAN FERNANDO</v>
      </c>
      <c r="F21" s="65" t="str">
        <f>IFERROR(INDEX(BDEGENER[],MATCH(B21,BDEGENER[SERIE],0),12)," ")</f>
        <v>PL-807</v>
      </c>
      <c r="G21" s="72" t="s">
        <v>184</v>
      </c>
      <c r="H21" s="181">
        <f>IFERROR(INDEX(BDEGENER[],MATCH(B21,BDEGENER[SERIE],0),31)," ")</f>
        <v>2186.3000000000002</v>
      </c>
      <c r="I21" s="77">
        <f>IFERROR(INDEX(BDEGENER[],MATCH(B21,BDEGENER[SERIE],0),53)," ")</f>
        <v>2186.3000000000002</v>
      </c>
      <c r="J21" s="72">
        <f>IFERROR(INDEX(BDEGENER[],MATCH(B21,BDEGENER[SERIE],0),47)," ")</f>
        <v>4</v>
      </c>
      <c r="K21" s="65">
        <f>IFERROR(INDEX(BDEGENER[],MATCH(B21,BDEGENER[SERIE],0),48)," ")</f>
        <v>8</v>
      </c>
      <c r="L21" s="77">
        <v>2368</v>
      </c>
      <c r="M21" s="181">
        <f>EQUIPOS[[#This Row],[HR DE ULTIMO PREVENTIVO]]+300</f>
        <v>2486.3000000000002</v>
      </c>
      <c r="N21" s="187" t="str">
        <f>IF(EQUIPOS[[#This Row],[HR ACTUALES]]&gt;=EQUIPOS[[#This Row],[HR DE PROX SERVICIO]],"PROCEDE",IF((EQUIPOS[[#This Row],[HR ACTUALES]]+50)&gt;=EQUIPOS[[#This Row],[HR DE PROX SERVICIO]],"PROXIMO","NO PROCEDE"))</f>
        <v>NO PROCEDE</v>
      </c>
      <c r="O21" s="71">
        <f>COUNTIF(EQUIPOS[SERIE],EQUIPOS[[#This Row],[SERIE]])</f>
        <v>1</v>
      </c>
      <c r="P21" s="187" t="str">
        <f>IFERROR(INDEX(BDEGENER[],MATCH(B21,BDEGENER[SERIE],0),41)," ")</f>
        <v>OPERATIVO</v>
      </c>
      <c r="Q21" s="187" t="str">
        <f>IF(EQUIPOS[[#This Row],[GA1]]=1,"UNICO","DUPLICADO")</f>
        <v>UNICO</v>
      </c>
      <c r="R21" s="187" t="str">
        <f>IF(EQUIPOS[[#This Row],[HR ULTIMO SERVICIO]]="NR","OPTIMO",IF(EQUIPOS[[#This Row],[HR ACTUALES]]="","NO REGISTRA",IF(EQUIPOS[[#This Row],[HR ULTIMO SERVICIO]]&gt;=EQUIPOS[[#This Row],[HR ACTUALES]],"ACTUALIZAR","OPTIMO")))</f>
        <v>OPTIMO</v>
      </c>
      <c r="S21" s="230">
        <f>EQUIPOS[[#This Row],[HR DE PROX SERVICIO]]-EQUIPOS[[#This Row],[HR ACTUALES]]</f>
        <v>118.30000000000018</v>
      </c>
      <c r="T21" s="78"/>
    </row>
    <row r="22" spans="2:20" ht="15" customHeight="1" x14ac:dyDescent="0.3">
      <c r="B22" s="71">
        <v>3004235514</v>
      </c>
      <c r="C22" s="72" t="str">
        <f>IFERROR(INDEX(BDEGENER[],MATCH(B22,BDEGENER[SERIE],0),26)," ")</f>
        <v>GENERAC</v>
      </c>
      <c r="D22" s="72" t="str">
        <f>IFERROR(INDEX(BDEGENER[],MATCH(B22,BDEGENER[SERIE],0),27)," ")</f>
        <v>PG090</v>
      </c>
      <c r="E22" s="72" t="str">
        <f>IFERROR(INDEX(BDEGENER[],MATCH(B22,BDEGENER[SERIE],0),11)," ")</f>
        <v>SAN FERNANDO</v>
      </c>
      <c r="F22" s="65" t="str">
        <f>IFERROR(INDEX(BDEGENER[],MATCH(B22,BDEGENER[SERIE],0),12)," ")</f>
        <v>PL-810</v>
      </c>
      <c r="G22" s="72" t="s">
        <v>182</v>
      </c>
      <c r="H22" s="181">
        <f>IFERROR(INDEX(BDEGENER[],MATCH(B22,BDEGENER[SERIE],0),31)," ")</f>
        <v>2079</v>
      </c>
      <c r="I22" s="77">
        <f>IFERROR(INDEX(BDEGENER[],MATCH(B22,BDEGENER[SERIE],0),53)," ")</f>
        <v>2044.9</v>
      </c>
      <c r="J22" s="72">
        <f>IFERROR(INDEX(BDEGENER[],MATCH(B22,BDEGENER[SERIE],0),47)," ")</f>
        <v>2</v>
      </c>
      <c r="K22" s="65">
        <f>IFERROR(INDEX(BDEGENER[],MATCH(B22,BDEGENER[SERIE],0),48)," ")</f>
        <v>7</v>
      </c>
      <c r="L22" s="77">
        <v>2298.1</v>
      </c>
      <c r="M22" s="181">
        <f>EQUIPOS[[#This Row],[HR DE ULTIMO PREVENTIVO]]+300</f>
        <v>2344.9</v>
      </c>
      <c r="N22" s="187" t="str">
        <f>IF(EQUIPOS[[#This Row],[HR ACTUALES]]&gt;=EQUIPOS[[#This Row],[HR DE PROX SERVICIO]],"PROCEDE",IF((EQUIPOS[[#This Row],[HR ACTUALES]]+50)&gt;=EQUIPOS[[#This Row],[HR DE PROX SERVICIO]],"PROXIMO","NO PROCEDE"))</f>
        <v>PROXIMO</v>
      </c>
      <c r="O22" s="71">
        <f>COUNTIF(EQUIPOS[SERIE],EQUIPOS[[#This Row],[SERIE]])</f>
        <v>1</v>
      </c>
      <c r="P22" s="187" t="str">
        <f>IFERROR(INDEX(BDEGENER[],MATCH(B22,BDEGENER[SERIE],0),41)," ")</f>
        <v>OPERATIVO</v>
      </c>
      <c r="Q22" s="187" t="str">
        <f>IF(EQUIPOS[[#This Row],[GA1]]=1,"UNICO","DUPLICADO")</f>
        <v>UNICO</v>
      </c>
      <c r="R22" s="187" t="str">
        <f>IF(EQUIPOS[[#This Row],[HR ULTIMO SERVICIO]]="NR","OPTIMO",IF(EQUIPOS[[#This Row],[HR ACTUALES]]="","NO REGISTRA",IF(EQUIPOS[[#This Row],[HR ULTIMO SERVICIO]]&gt;=EQUIPOS[[#This Row],[HR ACTUALES]],"ACTUALIZAR","OPTIMO")))</f>
        <v>OPTIMO</v>
      </c>
      <c r="S22" s="230">
        <f>EQUIPOS[[#This Row],[HR DE PROX SERVICIO]]-EQUIPOS[[#This Row],[HR ACTUALES]]</f>
        <v>46.800000000000182</v>
      </c>
      <c r="T22" s="78"/>
    </row>
    <row r="23" spans="2:20" ht="15" customHeight="1" x14ac:dyDescent="0.3">
      <c r="B23" s="172">
        <v>3004381435</v>
      </c>
      <c r="C23" s="172" t="str">
        <f>IFERROR(INDEX(BDEGENER[],MATCH(B23,BDEGENER[SERIE],0),26)," ")</f>
        <v>GENERAC</v>
      </c>
      <c r="D23" s="172" t="str">
        <f>IFERROR(INDEX(BDEGENER[],MATCH(B23,BDEGENER[SERIE],0),27)," ")</f>
        <v>PG090</v>
      </c>
      <c r="E23" s="172" t="str">
        <f>IFERROR(INDEX(BDEGENER[],MATCH(B23,BDEGENER[SERIE],0),11)," ")</f>
        <v>SAN FERNANDO</v>
      </c>
      <c r="F23" s="180" t="str">
        <f>IFERROR(INDEX(BDEGENER[],MATCH(B23,BDEGENER[SERIE],0),12)," ")</f>
        <v>PL-806</v>
      </c>
      <c r="G23" s="172" t="s">
        <v>182</v>
      </c>
      <c r="H23" s="179">
        <f>IFERROR(INDEX(BDEGENER[],MATCH(B23,BDEGENER[SERIE],0),31)," ")</f>
        <v>2141.3000000000002</v>
      </c>
      <c r="I23" s="173">
        <f>IFERROR(INDEX(BDEGENER[],MATCH(B23,BDEGENER[SERIE],0),53)," ")</f>
        <v>2141.3000000000002</v>
      </c>
      <c r="J23" s="172">
        <f>IFERROR(INDEX(BDEGENER[],MATCH(B23,BDEGENER[SERIE],0),47)," ")</f>
        <v>3</v>
      </c>
      <c r="K23" s="180">
        <f>IFERROR(INDEX(BDEGENER[],MATCH(B23,BDEGENER[SERIE],0),48)," ")</f>
        <v>8</v>
      </c>
      <c r="L23" s="173">
        <v>2270.3000000000002</v>
      </c>
      <c r="M23" s="179">
        <f>EQUIPOS[[#This Row],[HR DE ULTIMO PREVENTIVO]]+300</f>
        <v>2441.3000000000002</v>
      </c>
      <c r="N23" s="174" t="str">
        <f>IF(EQUIPOS[[#This Row],[HR ACTUALES]]&gt;=EQUIPOS[[#This Row],[HR DE PROX SERVICIO]],"PROCEDE",IF((EQUIPOS[[#This Row],[HR ACTUALES]]+50)&gt;=EQUIPOS[[#This Row],[HR DE PROX SERVICIO]],"PROXIMO","NO PROCEDE"))</f>
        <v>NO PROCEDE</v>
      </c>
      <c r="O23" s="172">
        <f>COUNTIF(EQUIPOS[SERIE],EQUIPOS[[#This Row],[SERIE]])</f>
        <v>1</v>
      </c>
      <c r="P23" s="174" t="str">
        <f>IFERROR(INDEX(BDEGENER[],MATCH(B23,BDEGENER[SERIE],0),41)," ")</f>
        <v>OPERATIVO</v>
      </c>
      <c r="Q23" s="175" t="str">
        <f>IF(EQUIPOS[[#This Row],[GA1]]=1,"UNICO","DUPLICADO")</f>
        <v>UNICO</v>
      </c>
      <c r="R23" s="175" t="str">
        <f>IF(EQUIPOS[[#This Row],[HR ULTIMO SERVICIO]]="NR","OPTIMO",IF(EQUIPOS[[#This Row],[HR ACTUALES]]="","NO REGISTRA",IF(EQUIPOS[[#This Row],[HR ULTIMO SERVICIO]]&gt;=EQUIPOS[[#This Row],[HR ACTUALES]],"ACTUALIZAR","OPTIMO")))</f>
        <v>OPTIMO</v>
      </c>
      <c r="S23" s="230">
        <f>EQUIPOS[[#This Row],[HR DE PROX SERVICIO]]-EQUIPOS[[#This Row],[HR ACTUALES]]</f>
        <v>171</v>
      </c>
      <c r="T23" s="78"/>
    </row>
    <row r="24" spans="2:20" ht="15" customHeight="1" x14ac:dyDescent="0.3">
      <c r="B24" s="71">
        <v>3004256777</v>
      </c>
      <c r="C24" s="72" t="str">
        <f>IFERROR(INDEX(BDEGENER[],MATCH(B24,BDEGENER[SERIE],0),26)," ")</f>
        <v>GENERAC</v>
      </c>
      <c r="D24" s="72" t="str">
        <f>IFERROR(INDEX(BDEGENER[],MATCH(B24,BDEGENER[SERIE],0),27)," ")</f>
        <v>PG090</v>
      </c>
      <c r="E24" s="72" t="str">
        <f>IFERROR(INDEX(BDEGENER[],MATCH(B24,BDEGENER[SERIE],0),11)," ")</f>
        <v>SAN FERNANDO</v>
      </c>
      <c r="F24" s="65" t="str">
        <f>IFERROR(INDEX(BDEGENER[],MATCH(B24,BDEGENER[SERIE],0),12)," ")</f>
        <v>PL-806</v>
      </c>
      <c r="G24" s="72" t="s">
        <v>182</v>
      </c>
      <c r="H24" s="181">
        <f>IFERROR(INDEX(BDEGENER[],MATCH(B24,BDEGENER[SERIE],0),31)," ")</f>
        <v>2804.7</v>
      </c>
      <c r="I24" s="77">
        <f>IFERROR(INDEX(BDEGENER[],MATCH(B24,BDEGENER[SERIE],0),53)," ")</f>
        <v>2804.7</v>
      </c>
      <c r="J24" s="72">
        <f>IFERROR(INDEX(BDEGENER[],MATCH(B24,BDEGENER[SERIE],0),47)," ")</f>
        <v>6</v>
      </c>
      <c r="K24" s="65">
        <f>IFERROR(INDEX(BDEGENER[],MATCH(B24,BDEGENER[SERIE],0),48)," ")</f>
        <v>9</v>
      </c>
      <c r="L24" s="77">
        <v>2804.7</v>
      </c>
      <c r="M24" s="181">
        <f>EQUIPOS[[#This Row],[HR DE ULTIMO PREVENTIVO]]+300</f>
        <v>3104.7</v>
      </c>
      <c r="N24" s="187" t="str">
        <f>IF(EQUIPOS[[#This Row],[HR ACTUALES]]&gt;=EQUIPOS[[#This Row],[HR DE PROX SERVICIO]],"PROCEDE",IF((EQUIPOS[[#This Row],[HR ACTUALES]]+50)&gt;=EQUIPOS[[#This Row],[HR DE PROX SERVICIO]],"PROXIMO","NO PROCEDE"))</f>
        <v>NO PROCEDE</v>
      </c>
      <c r="O24" s="71">
        <f>COUNTIF(EQUIPOS[SERIE],EQUIPOS[[#This Row],[SERIE]])</f>
        <v>1</v>
      </c>
      <c r="P24" s="187" t="str">
        <f>IFERROR(INDEX(BDEGENER[],MATCH(B24,BDEGENER[SERIE],0),41)," ")</f>
        <v>OPERATIVO</v>
      </c>
      <c r="Q24" s="187" t="str">
        <f>IF(EQUIPOS[[#This Row],[GA1]]=1,"UNICO","DUPLICADO")</f>
        <v>UNICO</v>
      </c>
      <c r="R24" s="187" t="str">
        <f>IF(EQUIPOS[[#This Row],[HR ULTIMO SERVICIO]]="NR","OPTIMO",IF(EQUIPOS[[#This Row],[HR ACTUALES]]="","NO REGISTRA",IF(EQUIPOS[[#This Row],[HR ULTIMO SERVICIO]]&gt;=EQUIPOS[[#This Row],[HR ACTUALES]],"ACTUALIZAR","OPTIMO")))</f>
        <v>ACTUALIZAR</v>
      </c>
      <c r="S24" s="230">
        <f>EQUIPOS[[#This Row],[HR DE PROX SERVICIO]]-EQUIPOS[[#This Row],[HR ACTUALES]]</f>
        <v>300</v>
      </c>
      <c r="T24" s="78"/>
    </row>
    <row r="25" spans="2:20" ht="15" customHeight="1" x14ac:dyDescent="0.3">
      <c r="B25" s="71">
        <v>3004337427</v>
      </c>
      <c r="C25" s="72" t="str">
        <f>IFERROR(INDEX(BDEGENER[],MATCH(B25,BDEGENER[SERIE],0),26)," ")</f>
        <v>GENERAC</v>
      </c>
      <c r="D25" s="72" t="str">
        <f>IFERROR(INDEX(BDEGENER[],MATCH(B25,BDEGENER[SERIE],0),27)," ")</f>
        <v>PG090</v>
      </c>
      <c r="E25" s="72" t="str">
        <f>IFERROR(INDEX(BDEGENER[],MATCH(B25,BDEGENER[SERIE],0),11)," ")</f>
        <v>SAN FERNANDO</v>
      </c>
      <c r="F25" s="65" t="str">
        <f>IFERROR(INDEX(BDEGENER[],MATCH(B25,BDEGENER[SERIE],0),12)," ")</f>
        <v>PL-806</v>
      </c>
      <c r="G25" s="72" t="s">
        <v>182</v>
      </c>
      <c r="H25" s="181">
        <f>IFERROR(INDEX(BDEGENER[],MATCH(B25,BDEGENER[SERIE],0),31)," ")</f>
        <v>1835.7</v>
      </c>
      <c r="I25" s="77">
        <f>IFERROR(INDEX(BDEGENER[],MATCH(B25,BDEGENER[SERIE],0),53)," ")</f>
        <v>1835.7</v>
      </c>
      <c r="J25" s="72">
        <f>IFERROR(INDEX(BDEGENER[],MATCH(B25,BDEGENER[SERIE],0),47)," ")</f>
        <v>2</v>
      </c>
      <c r="K25" s="65">
        <f>IFERROR(INDEX(BDEGENER[],MATCH(B25,BDEGENER[SERIE],0),48)," ")</f>
        <v>6</v>
      </c>
      <c r="L25" s="77">
        <v>2026.5</v>
      </c>
      <c r="M25" s="181">
        <f>EQUIPOS[[#This Row],[HR DE ULTIMO PREVENTIVO]]+300</f>
        <v>2135.6999999999998</v>
      </c>
      <c r="N25" s="187" t="str">
        <f>IF(EQUIPOS[[#This Row],[HR ACTUALES]]&gt;=EQUIPOS[[#This Row],[HR DE PROX SERVICIO]],"PROCEDE",IF((EQUIPOS[[#This Row],[HR ACTUALES]]+50)&gt;=EQUIPOS[[#This Row],[HR DE PROX SERVICIO]],"PROXIMO","NO PROCEDE"))</f>
        <v>NO PROCEDE</v>
      </c>
      <c r="O25" s="71">
        <f>COUNTIF(EQUIPOS[SERIE],EQUIPOS[[#This Row],[SERIE]])</f>
        <v>1</v>
      </c>
      <c r="P25" s="187" t="str">
        <f>IFERROR(INDEX(BDEGENER[],MATCH(B25,BDEGENER[SERIE],0),41)," ")</f>
        <v>OPERATIVO</v>
      </c>
      <c r="Q25" s="187" t="str">
        <f>IF(EQUIPOS[[#This Row],[GA1]]=1,"UNICO","DUPLICADO")</f>
        <v>UNICO</v>
      </c>
      <c r="R25" s="187" t="str">
        <f>IF(EQUIPOS[[#This Row],[HR ULTIMO SERVICIO]]="NR","OPTIMO",IF(EQUIPOS[[#This Row],[HR ACTUALES]]="","NO REGISTRA",IF(EQUIPOS[[#This Row],[HR ULTIMO SERVICIO]]&gt;=EQUIPOS[[#This Row],[HR ACTUALES]],"ACTUALIZAR","OPTIMO")))</f>
        <v>OPTIMO</v>
      </c>
      <c r="S25" s="230">
        <f>EQUIPOS[[#This Row],[HR DE PROX SERVICIO]]-EQUIPOS[[#This Row],[HR ACTUALES]]</f>
        <v>109.19999999999982</v>
      </c>
      <c r="T25" s="78"/>
    </row>
    <row r="26" spans="2:20" ht="15" customHeight="1" x14ac:dyDescent="0.3">
      <c r="B26" s="71">
        <v>3004418790</v>
      </c>
      <c r="C26" s="72" t="str">
        <f>IFERROR(INDEX(BDEGENER[],MATCH(B26,BDEGENER[SERIE],0),26)," ")</f>
        <v>GENERAC</v>
      </c>
      <c r="D26" s="72" t="str">
        <f>IFERROR(INDEX(BDEGENER[],MATCH(B26,BDEGENER[SERIE],0),27)," ")</f>
        <v>PG090</v>
      </c>
      <c r="E26" s="72" t="str">
        <f>IFERROR(INDEX(BDEGENER[],MATCH(B26,BDEGENER[SERIE],0),11)," ")</f>
        <v>SAN FERNANDO</v>
      </c>
      <c r="F26" s="65" t="str">
        <f>IFERROR(INDEX(BDEGENER[],MATCH(B26,BDEGENER[SERIE],0),12)," ")</f>
        <v>PL-807</v>
      </c>
      <c r="G26" s="72" t="s">
        <v>187</v>
      </c>
      <c r="H26" s="181">
        <f>IFERROR(INDEX(BDEGENER[],MATCH(B26,BDEGENER[SERIE],0),31)," ")</f>
        <v>2579.3000000000002</v>
      </c>
      <c r="I26" s="77">
        <f>IFERROR(INDEX(BDEGENER[],MATCH(B26,BDEGENER[SERIE],0),53)," ")</f>
        <v>2579.3000000000002</v>
      </c>
      <c r="J26" s="72">
        <f>IFERROR(INDEX(BDEGENER[],MATCH(B26,BDEGENER[SERIE],0),47)," ")</f>
        <v>2</v>
      </c>
      <c r="K26" s="65">
        <f>IFERROR(INDEX(BDEGENER[],MATCH(B26,BDEGENER[SERIE],0),48)," ")</f>
        <v>8</v>
      </c>
      <c r="L26" s="77">
        <v>2579.3000000000002</v>
      </c>
      <c r="M26" s="181">
        <f>EQUIPOS[[#This Row],[HR DE ULTIMO PREVENTIVO]]+300</f>
        <v>2879.3</v>
      </c>
      <c r="N26" s="187" t="str">
        <f>IF(EQUIPOS[[#This Row],[HR ACTUALES]]&gt;=EQUIPOS[[#This Row],[HR DE PROX SERVICIO]],"PROCEDE",IF((EQUIPOS[[#This Row],[HR ACTUALES]]+50)&gt;=EQUIPOS[[#This Row],[HR DE PROX SERVICIO]],"PROXIMO","NO PROCEDE"))</f>
        <v>NO PROCEDE</v>
      </c>
      <c r="O26" s="71">
        <f>COUNTIF(EQUIPOS[SERIE],EQUIPOS[[#This Row],[SERIE]])</f>
        <v>1</v>
      </c>
      <c r="P26" s="187" t="str">
        <f>IFERROR(INDEX(BDEGENER[],MATCH(B26,BDEGENER[SERIE],0),41)," ")</f>
        <v>OPERATIVO</v>
      </c>
      <c r="Q26" s="187" t="str">
        <f>IF(EQUIPOS[[#This Row],[GA1]]=1,"UNICO","DUPLICADO")</f>
        <v>UNICO</v>
      </c>
      <c r="R26" s="187" t="str">
        <f>IF(EQUIPOS[[#This Row],[HR ULTIMO SERVICIO]]="NR","OPTIMO",IF(EQUIPOS[[#This Row],[HR ACTUALES]]="","NO REGISTRA",IF(EQUIPOS[[#This Row],[HR ULTIMO SERVICIO]]&gt;=EQUIPOS[[#This Row],[HR ACTUALES]],"ACTUALIZAR","OPTIMO")))</f>
        <v>ACTUALIZAR</v>
      </c>
      <c r="S26" s="230">
        <f>EQUIPOS[[#This Row],[HR DE PROX SERVICIO]]-EQUIPOS[[#This Row],[HR ACTUALES]]</f>
        <v>300</v>
      </c>
      <c r="T26" s="78"/>
    </row>
    <row r="27" spans="2:20" ht="15" customHeight="1" x14ac:dyDescent="0.3">
      <c r="B27" s="71">
        <v>3004337429</v>
      </c>
      <c r="C27" s="72" t="str">
        <f>IFERROR(INDEX(BDEGENER[],MATCH(B27,BDEGENER[SERIE],0),26)," ")</f>
        <v>GENERAC</v>
      </c>
      <c r="D27" s="72" t="str">
        <f>IFERROR(INDEX(BDEGENER[],MATCH(B27,BDEGENER[SERIE],0),27)," ")</f>
        <v>PG090</v>
      </c>
      <c r="E27" s="72" t="str">
        <f>IFERROR(INDEX(BDEGENER[],MATCH(B27,BDEGENER[SERIE],0),11)," ")</f>
        <v>SAN FERNANDO</v>
      </c>
      <c r="F27" s="65" t="str">
        <f>IFERROR(INDEX(BDEGENER[],MATCH(B27,BDEGENER[SERIE],0),12)," ")</f>
        <v>PL-805</v>
      </c>
      <c r="G27" s="72" t="s">
        <v>187</v>
      </c>
      <c r="H27" s="181">
        <f>IFERROR(INDEX(BDEGENER[],MATCH(B27,BDEGENER[SERIE],0),31)," ")</f>
        <v>2207.6999999999998</v>
      </c>
      <c r="I27" s="77">
        <f>IFERROR(INDEX(BDEGENER[],MATCH(B27,BDEGENER[SERIE],0),53)," ")</f>
        <v>2207.6999999999998</v>
      </c>
      <c r="J27" s="72">
        <f>IFERROR(INDEX(BDEGENER[],MATCH(B27,BDEGENER[SERIE],0),47)," ")</f>
        <v>1</v>
      </c>
      <c r="K27" s="65">
        <f>IFERROR(INDEX(BDEGENER[],MATCH(B27,BDEGENER[SERIE],0),48)," ")</f>
        <v>7</v>
      </c>
      <c r="L27" s="77">
        <v>2210.1</v>
      </c>
      <c r="M27" s="181">
        <f>EQUIPOS[[#This Row],[HR DE ULTIMO PREVENTIVO]]+300</f>
        <v>2507.6999999999998</v>
      </c>
      <c r="N27" s="187" t="str">
        <f>IF(EQUIPOS[[#This Row],[HR ACTUALES]]&gt;=EQUIPOS[[#This Row],[HR DE PROX SERVICIO]],"PROCEDE",IF((EQUIPOS[[#This Row],[HR ACTUALES]]+50)&gt;=EQUIPOS[[#This Row],[HR DE PROX SERVICIO]],"PROXIMO","NO PROCEDE"))</f>
        <v>NO PROCEDE</v>
      </c>
      <c r="O27" s="71">
        <f>COUNTIF(EQUIPOS[SERIE],EQUIPOS[[#This Row],[SERIE]])</f>
        <v>1</v>
      </c>
      <c r="P27" s="187" t="str">
        <f>IFERROR(INDEX(BDEGENER[],MATCH(B27,BDEGENER[SERIE],0),41)," ")</f>
        <v>OPERATIVO</v>
      </c>
      <c r="Q27" s="187" t="str">
        <f>IF(EQUIPOS[[#This Row],[GA1]]=1,"UNICO","DUPLICADO")</f>
        <v>UNICO</v>
      </c>
      <c r="R27" s="187" t="str">
        <f>IF(EQUIPOS[[#This Row],[HR ULTIMO SERVICIO]]="NR","OPTIMO",IF(EQUIPOS[[#This Row],[HR ACTUALES]]="","NO REGISTRA",IF(EQUIPOS[[#This Row],[HR ULTIMO SERVICIO]]&gt;=EQUIPOS[[#This Row],[HR ACTUALES]],"ACTUALIZAR","OPTIMO")))</f>
        <v>OPTIMO</v>
      </c>
      <c r="S27" s="230">
        <f>EQUIPOS[[#This Row],[HR DE PROX SERVICIO]]-EQUIPOS[[#This Row],[HR ACTUALES]]</f>
        <v>297.59999999999991</v>
      </c>
      <c r="T27" s="78"/>
    </row>
    <row r="28" spans="2:20" x14ac:dyDescent="0.3">
      <c r="B28" s="71">
        <v>3004214491</v>
      </c>
      <c r="C28" s="72" t="str">
        <f>IFERROR(INDEX(BDEGENER[],MATCH(B28,BDEGENER[SERIE],0),26)," ")</f>
        <v>GENERAC</v>
      </c>
      <c r="D28" s="72" t="str">
        <f>IFERROR(INDEX(BDEGENER[],MATCH(B28,BDEGENER[SERIE],0),27)," ")</f>
        <v>PG090</v>
      </c>
      <c r="E28" s="72" t="str">
        <f>IFERROR(INDEX(BDEGENER[],MATCH(B28,BDEGENER[SERIE],0),11)," ")</f>
        <v>SAN FERNANDO</v>
      </c>
      <c r="F28" s="65" t="str">
        <f>IFERROR(INDEX(BDEGENER[],MATCH(B28,BDEGENER[SERIE],0),12)," ")</f>
        <v>PL-805</v>
      </c>
      <c r="G28" s="72" t="s">
        <v>187</v>
      </c>
      <c r="H28" s="181">
        <f>IFERROR(INDEX(BDEGENER[],MATCH(B28,BDEGENER[SERIE],0),31)," ")</f>
        <v>2751</v>
      </c>
      <c r="I28" s="77">
        <f>IFERROR(INDEX(BDEGENER[],MATCH(B28,BDEGENER[SERIE],0),53)," ")</f>
        <v>2751</v>
      </c>
      <c r="J28" s="72">
        <f>IFERROR(INDEX(BDEGENER[],MATCH(B28,BDEGENER[SERIE],0),47)," ")</f>
        <v>6</v>
      </c>
      <c r="K28" s="65">
        <f>IFERROR(INDEX(BDEGENER[],MATCH(B28,BDEGENER[SERIE],0),48)," ")</f>
        <v>9</v>
      </c>
      <c r="L28" s="77">
        <v>2771.9</v>
      </c>
      <c r="M28" s="181">
        <f>EQUIPOS[[#This Row],[HR DE ULTIMO PREVENTIVO]]+300</f>
        <v>3051</v>
      </c>
      <c r="N28" s="187" t="str">
        <f>IF(EQUIPOS[[#This Row],[HR ACTUALES]]&gt;=EQUIPOS[[#This Row],[HR DE PROX SERVICIO]],"PROCEDE",IF((EQUIPOS[[#This Row],[HR ACTUALES]]+50)&gt;=EQUIPOS[[#This Row],[HR DE PROX SERVICIO]],"PROXIMO","NO PROCEDE"))</f>
        <v>NO PROCEDE</v>
      </c>
      <c r="O28" s="71">
        <f>COUNTIF(EQUIPOS[SERIE],EQUIPOS[[#This Row],[SERIE]])</f>
        <v>1</v>
      </c>
      <c r="P28" s="187" t="str">
        <f>IFERROR(INDEX(BDEGENER[],MATCH(B28,BDEGENER[SERIE],0),41)," ")</f>
        <v>OPERATIVO</v>
      </c>
      <c r="Q28" s="187" t="str">
        <f>IF(EQUIPOS[[#This Row],[GA1]]=1,"UNICO","DUPLICADO")</f>
        <v>UNICO</v>
      </c>
      <c r="R28" s="187" t="str">
        <f>IF(EQUIPOS[[#This Row],[HR ULTIMO SERVICIO]]="NR","OPTIMO",IF(EQUIPOS[[#This Row],[HR ACTUALES]]="","NO REGISTRA",IF(EQUIPOS[[#This Row],[HR ULTIMO SERVICIO]]&gt;=EQUIPOS[[#This Row],[HR ACTUALES]],"ACTUALIZAR","OPTIMO")))</f>
        <v>OPTIMO</v>
      </c>
      <c r="S28" s="230">
        <f>EQUIPOS[[#This Row],[HR DE PROX SERVICIO]]-EQUIPOS[[#This Row],[HR ACTUALES]]</f>
        <v>279.09999999999991</v>
      </c>
      <c r="T28" s="78"/>
    </row>
    <row r="29" spans="2:20" x14ac:dyDescent="0.3">
      <c r="B29" s="71">
        <v>3004218547</v>
      </c>
      <c r="C29" s="72" t="str">
        <f>IFERROR(INDEX(BDEGENER[],MATCH(B29,BDEGENER[SERIE],0),26)," ")</f>
        <v>GENERAC</v>
      </c>
      <c r="D29" s="72" t="str">
        <f>IFERROR(INDEX(BDEGENER[],MATCH(B29,BDEGENER[SERIE],0),27)," ")</f>
        <v>PG090</v>
      </c>
      <c r="E29" s="72" t="str">
        <f>IFERROR(INDEX(BDEGENER[],MATCH(B29,BDEGENER[SERIE],0),11)," ")</f>
        <v>SAN FERNANDO</v>
      </c>
      <c r="F29" s="65" t="str">
        <f>IFERROR(INDEX(BDEGENER[],MATCH(B29,BDEGENER[SERIE],0),12)," ")</f>
        <v>PL-805</v>
      </c>
      <c r="G29" s="72" t="s">
        <v>187</v>
      </c>
      <c r="H29" s="181">
        <f>IFERROR(INDEX(BDEGENER[],MATCH(B29,BDEGENER[SERIE],0),31)," ")</f>
        <v>2015.6</v>
      </c>
      <c r="I29" s="77">
        <f>IFERROR(INDEX(BDEGENER[],MATCH(B29,BDEGENER[SERIE],0),53)," ")</f>
        <v>2015.6</v>
      </c>
      <c r="J29" s="72">
        <f>IFERROR(INDEX(BDEGENER[],MATCH(B29,BDEGENER[SERIE],0),47)," ")</f>
        <v>2</v>
      </c>
      <c r="K29" s="65">
        <f>IFERROR(INDEX(BDEGENER[],MATCH(B29,BDEGENER[SERIE],0),48)," ")</f>
        <v>7</v>
      </c>
      <c r="L29" s="77">
        <v>2044.3</v>
      </c>
      <c r="M29" s="181">
        <f>EQUIPOS[[#This Row],[HR DE ULTIMO PREVENTIVO]]+300</f>
        <v>2315.6</v>
      </c>
      <c r="N29" s="187" t="str">
        <f>IF(EQUIPOS[[#This Row],[HR ACTUALES]]&gt;=EQUIPOS[[#This Row],[HR DE PROX SERVICIO]],"PROCEDE",IF((EQUIPOS[[#This Row],[HR ACTUALES]]+50)&gt;=EQUIPOS[[#This Row],[HR DE PROX SERVICIO]],"PROXIMO","NO PROCEDE"))</f>
        <v>NO PROCEDE</v>
      </c>
      <c r="O29" s="71">
        <f>COUNTIF(EQUIPOS[SERIE],EQUIPOS[[#This Row],[SERIE]])</f>
        <v>1</v>
      </c>
      <c r="P29" s="187" t="str">
        <f>IFERROR(INDEX(BDEGENER[],MATCH(B29,BDEGENER[SERIE],0),41)," ")</f>
        <v>OPERATIVO</v>
      </c>
      <c r="Q29" s="187" t="str">
        <f>IF(EQUIPOS[[#This Row],[GA1]]=1,"UNICO","DUPLICADO")</f>
        <v>UNICO</v>
      </c>
      <c r="R29" s="187" t="str">
        <f>IF(EQUIPOS[[#This Row],[HR ULTIMO SERVICIO]]="NR","OPTIMO",IF(EQUIPOS[[#This Row],[HR ACTUALES]]="","NO REGISTRA",IF(EQUIPOS[[#This Row],[HR ULTIMO SERVICIO]]&gt;=EQUIPOS[[#This Row],[HR ACTUALES]],"ACTUALIZAR","OPTIMO")))</f>
        <v>OPTIMO</v>
      </c>
      <c r="S29" s="230">
        <f>EQUIPOS[[#This Row],[HR DE PROX SERVICIO]]-EQUIPOS[[#This Row],[HR ACTUALES]]</f>
        <v>271.29999999999995</v>
      </c>
      <c r="T29" s="78"/>
    </row>
    <row r="30" spans="2:20" x14ac:dyDescent="0.3">
      <c r="B30" s="71">
        <v>3004337428</v>
      </c>
      <c r="C30" s="72" t="str">
        <f>IFERROR(INDEX(BDEGENER[],MATCH(B30,BDEGENER[SERIE],0),26)," ")</f>
        <v>GENERAC</v>
      </c>
      <c r="D30" s="72" t="str">
        <f>IFERROR(INDEX(BDEGENER[],MATCH(B30,BDEGENER[SERIE],0),27)," ")</f>
        <v>PG090</v>
      </c>
      <c r="E30" s="72" t="str">
        <f>IFERROR(INDEX(BDEGENER[],MATCH(B30,BDEGENER[SERIE],0),11)," ")</f>
        <v>SAN FERNANDO</v>
      </c>
      <c r="F30" s="65" t="str">
        <f>IFERROR(INDEX(BDEGENER[],MATCH(B30,BDEGENER[SERIE],0),12)," ")</f>
        <v>PL-805</v>
      </c>
      <c r="G30" s="72" t="s">
        <v>187</v>
      </c>
      <c r="H30" s="181">
        <f>IFERROR(INDEX(BDEGENER[],MATCH(B30,BDEGENER[SERIE],0),31)," ")</f>
        <v>1586.2</v>
      </c>
      <c r="I30" s="77">
        <f>IFERROR(INDEX(BDEGENER[],MATCH(B30,BDEGENER[SERIE],0),53)," ")</f>
        <v>1586.2</v>
      </c>
      <c r="J30" s="72">
        <f>IFERROR(INDEX(BDEGENER[],MATCH(B30,BDEGENER[SERIE],0),47)," ")</f>
        <v>1</v>
      </c>
      <c r="K30" s="65">
        <f>IFERROR(INDEX(BDEGENER[],MATCH(B30,BDEGENER[SERIE],0),48)," ")</f>
        <v>6</v>
      </c>
      <c r="L30" s="77">
        <v>1872.6</v>
      </c>
      <c r="M30" s="181">
        <f>EQUIPOS[[#This Row],[HR DE ULTIMO PREVENTIVO]]+300</f>
        <v>1886.2</v>
      </c>
      <c r="N30" s="187" t="str">
        <f>IF(EQUIPOS[[#This Row],[HR ACTUALES]]&gt;=EQUIPOS[[#This Row],[HR DE PROX SERVICIO]],"PROCEDE",IF((EQUIPOS[[#This Row],[HR ACTUALES]]+50)&gt;=EQUIPOS[[#This Row],[HR DE PROX SERVICIO]],"PROXIMO","NO PROCEDE"))</f>
        <v>PROXIMO</v>
      </c>
      <c r="O30" s="71">
        <f>COUNTIF(EQUIPOS[SERIE],EQUIPOS[[#This Row],[SERIE]])</f>
        <v>1</v>
      </c>
      <c r="P30" s="187" t="str">
        <f>IFERROR(INDEX(BDEGENER[],MATCH(B30,BDEGENER[SERIE],0),41)," ")</f>
        <v>OPERATIVO</v>
      </c>
      <c r="Q30" s="187" t="str">
        <f>IF(EQUIPOS[[#This Row],[GA1]]=1,"UNICO","DUPLICADO")</f>
        <v>UNICO</v>
      </c>
      <c r="R30" s="187" t="str">
        <f>IF(EQUIPOS[[#This Row],[HR ULTIMO SERVICIO]]="NR","OPTIMO",IF(EQUIPOS[[#This Row],[HR ACTUALES]]="","NO REGISTRA",IF(EQUIPOS[[#This Row],[HR ULTIMO SERVICIO]]&gt;=EQUIPOS[[#This Row],[HR ACTUALES]],"ACTUALIZAR","OPTIMO")))</f>
        <v>OPTIMO</v>
      </c>
      <c r="S30" s="230">
        <f>EQUIPOS[[#This Row],[HR DE PROX SERVICIO]]-EQUIPOS[[#This Row],[HR ACTUALES]]</f>
        <v>13.600000000000136</v>
      </c>
      <c r="T30" s="78"/>
    </row>
    <row r="31" spans="2:20" x14ac:dyDescent="0.3">
      <c r="B31" s="71">
        <v>3004381438</v>
      </c>
      <c r="C31" s="72" t="str">
        <f>IFERROR(INDEX(BDEGENER[],MATCH(B31,BDEGENER[SERIE],0),26)," ")</f>
        <v>GENERAC</v>
      </c>
      <c r="D31" s="72" t="str">
        <f>IFERROR(INDEX(BDEGENER[],MATCH(B31,BDEGENER[SERIE],0),27)," ")</f>
        <v>PG090</v>
      </c>
      <c r="E31" s="72" t="str">
        <f>IFERROR(INDEX(BDEGENER[],MATCH(B31,BDEGENER[SERIE],0),11)," ")</f>
        <v>SAN FERNANDO</v>
      </c>
      <c r="F31" s="65" t="str">
        <f>IFERROR(INDEX(BDEGENER[],MATCH(B31,BDEGENER[SERIE],0),12)," ")</f>
        <v>PL-801</v>
      </c>
      <c r="G31" s="172" t="s">
        <v>187</v>
      </c>
      <c r="H31" s="181">
        <f>IFERROR(INDEX(BDEGENER[],MATCH(B31,BDEGENER[SERIE],0),31)," ")</f>
        <v>3227.9</v>
      </c>
      <c r="I31" s="77">
        <f>IFERROR(INDEX(BDEGENER[],MATCH(B31,BDEGENER[SERIE],0),53)," ")</f>
        <v>3227.9</v>
      </c>
      <c r="J31" s="72">
        <f>IFERROR(INDEX(BDEGENER[],MATCH(B31,BDEGENER[SERIE],0),47)," ")</f>
        <v>1</v>
      </c>
      <c r="K31" s="65">
        <f>IFERROR(INDEX(BDEGENER[],MATCH(B31,BDEGENER[SERIE],0),48)," ")</f>
        <v>10</v>
      </c>
      <c r="L31" s="77">
        <v>3376.6</v>
      </c>
      <c r="M31" s="181">
        <f>EQUIPOS[[#This Row],[HR DE ULTIMO PREVENTIVO]]+300</f>
        <v>3527.9</v>
      </c>
      <c r="N31" s="187" t="str">
        <f>IF(EQUIPOS[[#This Row],[HR ACTUALES]]&gt;=EQUIPOS[[#This Row],[HR DE PROX SERVICIO]],"PROCEDE",IF((EQUIPOS[[#This Row],[HR ACTUALES]]+50)&gt;=EQUIPOS[[#This Row],[HR DE PROX SERVICIO]],"PROXIMO","NO PROCEDE"))</f>
        <v>NO PROCEDE</v>
      </c>
      <c r="O31" s="71">
        <f>COUNTIF(EQUIPOS[SERIE],EQUIPOS[[#This Row],[SERIE]])</f>
        <v>1</v>
      </c>
      <c r="P31" s="187" t="str">
        <f>IFERROR(INDEX(BDEGENER[],MATCH(B31,BDEGENER[SERIE],0),41)," ")</f>
        <v>OPERATIVO</v>
      </c>
      <c r="Q31" s="187" t="str">
        <f>IF(EQUIPOS[[#This Row],[GA1]]=1,"UNICO","DUPLICADO")</f>
        <v>UNICO</v>
      </c>
      <c r="R31" s="187" t="str">
        <f>IF(EQUIPOS[[#This Row],[HR ULTIMO SERVICIO]]="NR","OPTIMO",IF(EQUIPOS[[#This Row],[HR ACTUALES]]="","NO REGISTRA",IF(EQUIPOS[[#This Row],[HR ULTIMO SERVICIO]]&gt;=EQUIPOS[[#This Row],[HR ACTUALES]],"ACTUALIZAR","OPTIMO")))</f>
        <v>OPTIMO</v>
      </c>
      <c r="S31" s="230">
        <f>EQUIPOS[[#This Row],[HR DE PROX SERVICIO]]-EQUIPOS[[#This Row],[HR ACTUALES]]</f>
        <v>151.30000000000018</v>
      </c>
      <c r="T31" s="78"/>
    </row>
    <row r="32" spans="2:20" x14ac:dyDescent="0.3">
      <c r="B32" s="71">
        <v>3004290365</v>
      </c>
      <c r="C32" s="72" t="str">
        <f>IFERROR(INDEX(BDEGENER[],MATCH(B32,BDEGENER[SERIE],0),26)," ")</f>
        <v>GENERAC</v>
      </c>
      <c r="D32" s="72" t="str">
        <f>IFERROR(INDEX(BDEGENER[],MATCH(B32,BDEGENER[SERIE],0),27)," ")</f>
        <v>PG090</v>
      </c>
      <c r="E32" s="72" t="str">
        <f>IFERROR(INDEX(BDEGENER[],MATCH(B32,BDEGENER[SERIE],0),11)," ")</f>
        <v>SAN FERNANDO</v>
      </c>
      <c r="F32" s="65" t="str">
        <f>IFERROR(INDEX(BDEGENER[],MATCH(B32,BDEGENER[SERIE],0),12)," ")</f>
        <v>PL-804</v>
      </c>
      <c r="G32" s="72" t="s">
        <v>185</v>
      </c>
      <c r="H32" s="181">
        <f>IFERROR(INDEX(BDEGENER[],MATCH(B32,BDEGENER[SERIE],0),31)," ")</f>
        <v>1931.8</v>
      </c>
      <c r="I32" s="77">
        <f>IFERROR(INDEX(BDEGENER[],MATCH(B32,BDEGENER[SERIE],0),53)," ")</f>
        <v>1700.2</v>
      </c>
      <c r="J32" s="72">
        <f>IFERROR(INDEX(BDEGENER[],MATCH(B32,BDEGENER[SERIE],0),47)," ")</f>
        <v>6</v>
      </c>
      <c r="K32" s="65">
        <f>IFERROR(INDEX(BDEGENER[],MATCH(B32,BDEGENER[SERIE],0),48)," ")</f>
        <v>5</v>
      </c>
      <c r="L32" s="77">
        <v>1908.5</v>
      </c>
      <c r="M32" s="181">
        <f>EQUIPOS[[#This Row],[HR DE ULTIMO PREVENTIVO]]+300</f>
        <v>2000.2</v>
      </c>
      <c r="N32" s="187" t="str">
        <f>IF(EQUIPOS[[#This Row],[HR ACTUALES]]&gt;=EQUIPOS[[#This Row],[HR DE PROX SERVICIO]],"PROCEDE",IF((EQUIPOS[[#This Row],[HR ACTUALES]]+50)&gt;=EQUIPOS[[#This Row],[HR DE PROX SERVICIO]],"PROXIMO","NO PROCEDE"))</f>
        <v>NO PROCEDE</v>
      </c>
      <c r="O32" s="71">
        <f>COUNTIF(EQUIPOS[SERIE],EQUIPOS[[#This Row],[SERIE]])</f>
        <v>1</v>
      </c>
      <c r="P32" s="187" t="str">
        <f>IFERROR(INDEX(BDEGENER[],MATCH(B32,BDEGENER[SERIE],0),41)," ")</f>
        <v>OPERATIVO</v>
      </c>
      <c r="Q32" s="187" t="str">
        <f>IF(EQUIPOS[[#This Row],[GA1]]=1,"UNICO","DUPLICADO")</f>
        <v>UNICO</v>
      </c>
      <c r="R32" s="187" t="str">
        <f>IF(EQUIPOS[[#This Row],[HR ULTIMO SERVICIO]]="NR","OPTIMO",IF(EQUIPOS[[#This Row],[HR ACTUALES]]="","NO REGISTRA",IF(EQUIPOS[[#This Row],[HR ULTIMO SERVICIO]]&gt;=EQUIPOS[[#This Row],[HR ACTUALES]],"ACTUALIZAR","OPTIMO")))</f>
        <v>ACTUALIZAR</v>
      </c>
      <c r="S32" s="230">
        <f>EQUIPOS[[#This Row],[HR DE PROX SERVICIO]]-EQUIPOS[[#This Row],[HR ACTUALES]]</f>
        <v>91.700000000000045</v>
      </c>
      <c r="T32" s="78"/>
    </row>
    <row r="33" spans="2:20" x14ac:dyDescent="0.3">
      <c r="B33" s="71">
        <v>3004336197</v>
      </c>
      <c r="C33" s="72" t="str">
        <f>IFERROR(INDEX(BDEGENER[],MATCH(B33,BDEGENER[SERIE],0),26)," ")</f>
        <v>GENERAC</v>
      </c>
      <c r="D33" s="72" t="str">
        <f>IFERROR(INDEX(BDEGENER[],MATCH(B33,BDEGENER[SERIE],0),27)," ")</f>
        <v>PG090</v>
      </c>
      <c r="E33" s="72" t="str">
        <f>IFERROR(INDEX(BDEGENER[],MATCH(B33,BDEGENER[SERIE],0),11)," ")</f>
        <v>SAN FERNANDO</v>
      </c>
      <c r="F33" s="65" t="str">
        <f>IFERROR(INDEX(BDEGENER[],MATCH(B33,BDEGENER[SERIE],0),12)," ")</f>
        <v>PL-807</v>
      </c>
      <c r="G33" s="72" t="s">
        <v>185</v>
      </c>
      <c r="H33" s="181">
        <f>IFERROR(INDEX(BDEGENER[],MATCH(B33,BDEGENER[SERIE],0),31)," ")</f>
        <v>2922.3</v>
      </c>
      <c r="I33" s="77">
        <f>IFERROR(INDEX(BDEGENER[],MATCH(B33,BDEGENER[SERIE],0),53)," ")</f>
        <v>2922.3</v>
      </c>
      <c r="J33" s="72">
        <f>IFERROR(INDEX(BDEGENER[],MATCH(B33,BDEGENER[SERIE],0),47)," ")</f>
        <v>5</v>
      </c>
      <c r="K33" s="65">
        <f>IFERROR(INDEX(BDEGENER[],MATCH(B33,BDEGENER[SERIE],0),48)," ")</f>
        <v>9</v>
      </c>
      <c r="L33" s="77">
        <v>2887.3</v>
      </c>
      <c r="M33" s="181">
        <f>EQUIPOS[[#This Row],[HR DE ULTIMO PREVENTIVO]]+300</f>
        <v>3222.3</v>
      </c>
      <c r="N33" s="187" t="str">
        <f>IF(EQUIPOS[[#This Row],[HR ACTUALES]]&gt;=EQUIPOS[[#This Row],[HR DE PROX SERVICIO]],"PROCEDE",IF((EQUIPOS[[#This Row],[HR ACTUALES]]+50)&gt;=EQUIPOS[[#This Row],[HR DE PROX SERVICIO]],"PROXIMO","NO PROCEDE"))</f>
        <v>NO PROCEDE</v>
      </c>
      <c r="O33" s="71">
        <f>COUNTIF(EQUIPOS[SERIE],EQUIPOS[[#This Row],[SERIE]])</f>
        <v>1</v>
      </c>
      <c r="P33" s="187" t="str">
        <f>IFERROR(INDEX(BDEGENER[],MATCH(B33,BDEGENER[SERIE],0),41)," ")</f>
        <v>OPERATIVO</v>
      </c>
      <c r="Q33" s="187" t="str">
        <f>IF(EQUIPOS[[#This Row],[GA1]]=1,"UNICO","DUPLICADO")</f>
        <v>UNICO</v>
      </c>
      <c r="R33" s="187" t="str">
        <f>IF(EQUIPOS[[#This Row],[HR ULTIMO SERVICIO]]="NR","OPTIMO",IF(EQUIPOS[[#This Row],[HR ACTUALES]]="","NO REGISTRA",IF(EQUIPOS[[#This Row],[HR ULTIMO SERVICIO]]&gt;=EQUIPOS[[#This Row],[HR ACTUALES]],"ACTUALIZAR","OPTIMO")))</f>
        <v>ACTUALIZAR</v>
      </c>
      <c r="S33" s="230">
        <f>EQUIPOS[[#This Row],[HR DE PROX SERVICIO]]-EQUIPOS[[#This Row],[HR ACTUALES]]</f>
        <v>335</v>
      </c>
      <c r="T33" s="78"/>
    </row>
    <row r="34" spans="2:20" x14ac:dyDescent="0.3">
      <c r="B34" s="71">
        <v>3004344014</v>
      </c>
      <c r="C34" s="72" t="str">
        <f>IFERROR(INDEX(BDEGENER[],MATCH(B34,BDEGENER[SERIE],0),26)," ")</f>
        <v>GENERAC</v>
      </c>
      <c r="D34" s="72" t="str">
        <f>IFERROR(INDEX(BDEGENER[],MATCH(B34,BDEGENER[SERIE],0),27)," ")</f>
        <v>PG090</v>
      </c>
      <c r="E34" s="72" t="str">
        <f>IFERROR(INDEX(BDEGENER[],MATCH(B34,BDEGENER[SERIE],0),11)," ")</f>
        <v>SAN FERNANDO</v>
      </c>
      <c r="F34" s="65" t="str">
        <f>IFERROR(INDEX(BDEGENER[],MATCH(B34,BDEGENER[SERIE],0),12)," ")</f>
        <v>PL-804</v>
      </c>
      <c r="G34" s="72" t="s">
        <v>185</v>
      </c>
      <c r="H34" s="181">
        <f>IFERROR(INDEX(BDEGENER[],MATCH(B34,BDEGENER[SERIE],0),31)," ")</f>
        <v>2070.3000000000002</v>
      </c>
      <c r="I34" s="77">
        <f>IFERROR(INDEX(BDEGENER[],MATCH(B34,BDEGENER[SERIE],0),53)," ")</f>
        <v>2070.3000000000002</v>
      </c>
      <c r="J34" s="72">
        <f>IFERROR(INDEX(BDEGENER[],MATCH(B34,BDEGENER[SERIE],0),47)," ")</f>
        <v>3</v>
      </c>
      <c r="K34" s="65">
        <f>IFERROR(INDEX(BDEGENER[],MATCH(B34,BDEGENER[SERIE],0),48)," ")</f>
        <v>8</v>
      </c>
      <c r="L34" s="77">
        <v>2070.1</v>
      </c>
      <c r="M34" s="181">
        <f>EQUIPOS[[#This Row],[HR DE ULTIMO PREVENTIVO]]+300</f>
        <v>2370.3000000000002</v>
      </c>
      <c r="N34" s="187" t="str">
        <f>IF(EQUIPOS[[#This Row],[HR ACTUALES]]&gt;=EQUIPOS[[#This Row],[HR DE PROX SERVICIO]],"PROCEDE",IF((EQUIPOS[[#This Row],[HR ACTUALES]]+50)&gt;=EQUIPOS[[#This Row],[HR DE PROX SERVICIO]],"PROXIMO","NO PROCEDE"))</f>
        <v>NO PROCEDE</v>
      </c>
      <c r="O34" s="71">
        <f>COUNTIF(EQUIPOS[SERIE],EQUIPOS[[#This Row],[SERIE]])</f>
        <v>1</v>
      </c>
      <c r="P34" s="187" t="str">
        <f>IFERROR(INDEX(BDEGENER[],MATCH(B34,BDEGENER[SERIE],0),41)," ")</f>
        <v>OPERATIVO</v>
      </c>
      <c r="Q34" s="187" t="str">
        <f>IF(EQUIPOS[[#This Row],[GA1]]=1,"UNICO","DUPLICADO")</f>
        <v>UNICO</v>
      </c>
      <c r="R34" s="187" t="str">
        <f>IF(EQUIPOS[[#This Row],[HR ULTIMO SERVICIO]]="NR","OPTIMO",IF(EQUIPOS[[#This Row],[HR ACTUALES]]="","NO REGISTRA",IF(EQUIPOS[[#This Row],[HR ULTIMO SERVICIO]]&gt;=EQUIPOS[[#This Row],[HR ACTUALES]],"ACTUALIZAR","OPTIMO")))</f>
        <v>ACTUALIZAR</v>
      </c>
      <c r="S34" s="230">
        <f>EQUIPOS[[#This Row],[HR DE PROX SERVICIO]]-EQUIPOS[[#This Row],[HR ACTUALES]]</f>
        <v>300.20000000000027</v>
      </c>
      <c r="T34" s="78"/>
    </row>
    <row r="35" spans="2:20" x14ac:dyDescent="0.3">
      <c r="B35" s="71">
        <v>3004402506</v>
      </c>
      <c r="C35" s="72" t="str">
        <f>IFERROR(INDEX(BDEGENER[],MATCH(B35,BDEGENER[SERIE],0),26)," ")</f>
        <v>GENERAC</v>
      </c>
      <c r="D35" s="72" t="str">
        <f>IFERROR(INDEX(BDEGENER[],MATCH(B35,BDEGENER[SERIE],0),27)," ")</f>
        <v>PG090</v>
      </c>
      <c r="E35" s="72" t="str">
        <f>IFERROR(INDEX(BDEGENER[],MATCH(B35,BDEGENER[SERIE],0),11)," ")</f>
        <v>SAN FERNANDO</v>
      </c>
      <c r="F35" s="65" t="str">
        <f>IFERROR(INDEX(BDEGENER[],MATCH(B35,BDEGENER[SERIE],0),12)," ")</f>
        <v>PL-804</v>
      </c>
      <c r="G35" s="72" t="s">
        <v>185</v>
      </c>
      <c r="H35" s="181">
        <f>IFERROR(INDEX(BDEGENER[],MATCH(B35,BDEGENER[SERIE],0),31)," ")</f>
        <v>2907.9</v>
      </c>
      <c r="I35" s="77">
        <f>IFERROR(INDEX(BDEGENER[],MATCH(B35,BDEGENER[SERIE],0),53)," ")</f>
        <v>2907.9</v>
      </c>
      <c r="J35" s="72">
        <f>IFERROR(INDEX(BDEGENER[],MATCH(B35,BDEGENER[SERIE],0),47)," ")</f>
        <v>3</v>
      </c>
      <c r="K35" s="65">
        <f>IFERROR(INDEX(BDEGENER[],MATCH(B35,BDEGENER[SERIE],0),48)," ")</f>
        <v>8</v>
      </c>
      <c r="L35" s="77">
        <v>3071.9</v>
      </c>
      <c r="M35" s="181">
        <f>EQUIPOS[[#This Row],[HR DE ULTIMO PREVENTIVO]]+300</f>
        <v>3207.9</v>
      </c>
      <c r="N35" s="187" t="str">
        <f>IF(EQUIPOS[[#This Row],[HR ACTUALES]]&gt;=EQUIPOS[[#This Row],[HR DE PROX SERVICIO]],"PROCEDE",IF((EQUIPOS[[#This Row],[HR ACTUALES]]+50)&gt;=EQUIPOS[[#This Row],[HR DE PROX SERVICIO]],"PROXIMO","NO PROCEDE"))</f>
        <v>NO PROCEDE</v>
      </c>
      <c r="O35" s="71">
        <f>COUNTIF(EQUIPOS[SERIE],EQUIPOS[[#This Row],[SERIE]])</f>
        <v>1</v>
      </c>
      <c r="P35" s="187" t="str">
        <f>IFERROR(INDEX(BDEGENER[],MATCH(B35,BDEGENER[SERIE],0),41)," ")</f>
        <v>OPERATIVO</v>
      </c>
      <c r="Q35" s="187" t="str">
        <f>IF(EQUIPOS[[#This Row],[GA1]]=1,"UNICO","DUPLICADO")</f>
        <v>UNICO</v>
      </c>
      <c r="R35" s="187" t="str">
        <f>IF(EQUIPOS[[#This Row],[HR ULTIMO SERVICIO]]="NR","OPTIMO",IF(EQUIPOS[[#This Row],[HR ACTUALES]]="","NO REGISTRA",IF(EQUIPOS[[#This Row],[HR ULTIMO SERVICIO]]&gt;=EQUIPOS[[#This Row],[HR ACTUALES]],"ACTUALIZAR","OPTIMO")))</f>
        <v>OPTIMO</v>
      </c>
      <c r="S35" s="230">
        <f>EQUIPOS[[#This Row],[HR DE PROX SERVICIO]]-EQUIPOS[[#This Row],[HR ACTUALES]]</f>
        <v>136</v>
      </c>
      <c r="T35" s="78"/>
    </row>
    <row r="36" spans="2:20" x14ac:dyDescent="0.3">
      <c r="B36" s="71">
        <v>3004344017</v>
      </c>
      <c r="C36" s="72" t="str">
        <f>IFERROR(INDEX(BDEGENER[],MATCH(B36,BDEGENER[SERIE],0),26)," ")</f>
        <v>GENERAC</v>
      </c>
      <c r="D36" s="72" t="str">
        <f>IFERROR(INDEX(BDEGENER[],MATCH(B36,BDEGENER[SERIE],0),27)," ")</f>
        <v>PG090</v>
      </c>
      <c r="E36" s="72" t="str">
        <f>IFERROR(INDEX(BDEGENER[],MATCH(B36,BDEGENER[SERIE],0),11)," ")</f>
        <v>SAN FERNANDO</v>
      </c>
      <c r="F36" s="65" t="str">
        <f>IFERROR(INDEX(BDEGENER[],MATCH(B36,BDEGENER[SERIE],0),12)," ")</f>
        <v>PL-804</v>
      </c>
      <c r="G36" s="72" t="s">
        <v>185</v>
      </c>
      <c r="H36" s="181">
        <f>IFERROR(INDEX(BDEGENER[],MATCH(B36,BDEGENER[SERIE],0),31)," ")</f>
        <v>2140.9</v>
      </c>
      <c r="I36" s="77">
        <f>IFERROR(INDEX(BDEGENER[],MATCH(B36,BDEGENER[SERIE],0),53)," ")</f>
        <v>2140.9</v>
      </c>
      <c r="J36" s="72">
        <f>IFERROR(INDEX(BDEGENER[],MATCH(B36,BDEGENER[SERIE],0),47)," ")</f>
        <v>4</v>
      </c>
      <c r="K36" s="65">
        <f>IFERROR(INDEX(BDEGENER[],MATCH(B36,BDEGENER[SERIE],0),48)," ")</f>
        <v>6</v>
      </c>
      <c r="L36" s="77">
        <v>2275.1999999999998</v>
      </c>
      <c r="M36" s="181">
        <f>EQUIPOS[[#This Row],[HR DE ULTIMO PREVENTIVO]]+300</f>
        <v>2440.9</v>
      </c>
      <c r="N36" s="187" t="str">
        <f>IF(EQUIPOS[[#This Row],[HR ACTUALES]]&gt;=EQUIPOS[[#This Row],[HR DE PROX SERVICIO]],"PROCEDE",IF((EQUIPOS[[#This Row],[HR ACTUALES]]+50)&gt;=EQUIPOS[[#This Row],[HR DE PROX SERVICIO]],"PROXIMO","NO PROCEDE"))</f>
        <v>NO PROCEDE</v>
      </c>
      <c r="O36" s="71">
        <f>COUNTIF(EQUIPOS[SERIE],EQUIPOS[[#This Row],[SERIE]])</f>
        <v>1</v>
      </c>
      <c r="P36" s="187" t="str">
        <f>IFERROR(INDEX(BDEGENER[],MATCH(B36,BDEGENER[SERIE],0),41)," ")</f>
        <v>OPERATIVO</v>
      </c>
      <c r="Q36" s="187" t="str">
        <f>IF(EQUIPOS[[#This Row],[GA1]]=1,"UNICO","DUPLICADO")</f>
        <v>UNICO</v>
      </c>
      <c r="R36" s="187" t="str">
        <f>IF(EQUIPOS[[#This Row],[HR ULTIMO SERVICIO]]="NR","OPTIMO",IF(EQUIPOS[[#This Row],[HR ACTUALES]]="","NO REGISTRA",IF(EQUIPOS[[#This Row],[HR ULTIMO SERVICIO]]&gt;=EQUIPOS[[#This Row],[HR ACTUALES]],"ACTUALIZAR","OPTIMO")))</f>
        <v>OPTIMO</v>
      </c>
      <c r="S36" s="230">
        <f>EQUIPOS[[#This Row],[HR DE PROX SERVICIO]]-EQUIPOS[[#This Row],[HR ACTUALES]]</f>
        <v>165.70000000000027</v>
      </c>
      <c r="T36" s="78"/>
    </row>
    <row r="37" spans="2:20" x14ac:dyDescent="0.3">
      <c r="B37" s="71">
        <v>3004327725</v>
      </c>
      <c r="C37" s="72" t="str">
        <f>IFERROR(INDEX(BDEGENER[],MATCH(B37,BDEGENER[SERIE],0),26)," ")</f>
        <v>GENERAC</v>
      </c>
      <c r="D37" s="72" t="str">
        <f>IFERROR(INDEX(BDEGENER[],MATCH(B37,BDEGENER[SERIE],0),27)," ")</f>
        <v>PG090</v>
      </c>
      <c r="E37" s="72" t="str">
        <f>IFERROR(INDEX(BDEGENER[],MATCH(B37,BDEGENER[SERIE],0),11)," ")</f>
        <v>SAN FERNANDO</v>
      </c>
      <c r="F37" s="65" t="str">
        <f>IFERROR(INDEX(BDEGENER[],MATCH(B37,BDEGENER[SERIE],0),12)," ")</f>
        <v>PL-801</v>
      </c>
      <c r="G37" s="72" t="s">
        <v>190</v>
      </c>
      <c r="H37" s="181">
        <f>IFERROR(INDEX(BDEGENER[],MATCH(B37,BDEGENER[SERIE],0),31)," ")</f>
        <v>1679.8</v>
      </c>
      <c r="I37" s="77">
        <f>IFERROR(INDEX(BDEGENER[],MATCH(B37,BDEGENER[SERIE],0),53)," ")</f>
        <v>1599.8</v>
      </c>
      <c r="J37" s="72">
        <f>IFERROR(INDEX(BDEGENER[],MATCH(B37,BDEGENER[SERIE],0),47)," ")</f>
        <v>2</v>
      </c>
      <c r="K37" s="65">
        <f>IFERROR(INDEX(BDEGENER[],MATCH(B37,BDEGENER[SERIE],0),48)," ")</f>
        <v>6</v>
      </c>
      <c r="L37" s="77">
        <v>1905.1</v>
      </c>
      <c r="M37" s="181">
        <f>EQUIPOS[[#This Row],[HR DE ULTIMO PREVENTIVO]]+300</f>
        <v>1899.8</v>
      </c>
      <c r="N37" s="187" t="str">
        <f>IF(EQUIPOS[[#This Row],[HR ACTUALES]]&gt;=EQUIPOS[[#This Row],[HR DE PROX SERVICIO]],"PROCEDE",IF((EQUIPOS[[#This Row],[HR ACTUALES]]+50)&gt;=EQUIPOS[[#This Row],[HR DE PROX SERVICIO]],"PROXIMO","NO PROCEDE"))</f>
        <v>PROCEDE</v>
      </c>
      <c r="O37" s="71">
        <f>COUNTIF(EQUIPOS[SERIE],EQUIPOS[[#This Row],[SERIE]])</f>
        <v>1</v>
      </c>
      <c r="P37" s="187" t="str">
        <f>IFERROR(INDEX(BDEGENER[],MATCH(B37,BDEGENER[SERIE],0),41)," ")</f>
        <v>OPERATIVO</v>
      </c>
      <c r="Q37" s="187" t="str">
        <f>IF(EQUIPOS[[#This Row],[GA1]]=1,"UNICO","DUPLICADO")</f>
        <v>UNICO</v>
      </c>
      <c r="R37" s="187" t="str">
        <f>IF(EQUIPOS[[#This Row],[HR ULTIMO SERVICIO]]="NR","OPTIMO",IF(EQUIPOS[[#This Row],[HR ACTUALES]]="","NO REGISTRA",IF(EQUIPOS[[#This Row],[HR ULTIMO SERVICIO]]&gt;=EQUIPOS[[#This Row],[HR ACTUALES]],"ACTUALIZAR","OPTIMO")))</f>
        <v>OPTIMO</v>
      </c>
      <c r="S37" s="230">
        <f>EQUIPOS[[#This Row],[HR DE PROX SERVICIO]]-EQUIPOS[[#This Row],[HR ACTUALES]]</f>
        <v>-5.2999999999999545</v>
      </c>
      <c r="T37" s="78"/>
    </row>
    <row r="38" spans="2:20" x14ac:dyDescent="0.3">
      <c r="B38" s="71">
        <v>3004416581</v>
      </c>
      <c r="C38" s="72" t="str">
        <f>IFERROR(INDEX(BDEGENER[],MATCH(B38,BDEGENER[SERIE],0),26)," ")</f>
        <v>GENERAC</v>
      </c>
      <c r="D38" s="72" t="str">
        <f>IFERROR(INDEX(BDEGENER[],MATCH(B38,BDEGENER[SERIE],0),27)," ")</f>
        <v>PG090</v>
      </c>
      <c r="E38" s="72" t="str">
        <f>IFERROR(INDEX(BDEGENER[],MATCH(B38,BDEGENER[SERIE],0),11)," ")</f>
        <v>SAN FERNANDO</v>
      </c>
      <c r="F38" s="65" t="str">
        <f>IFERROR(INDEX(BDEGENER[],MATCH(B38,BDEGENER[SERIE],0),12)," ")</f>
        <v>PL-801</v>
      </c>
      <c r="G38" s="172" t="s">
        <v>190</v>
      </c>
      <c r="H38" s="181">
        <f>IFERROR(INDEX(BDEGENER[],MATCH(B38,BDEGENER[SERIE],0),31)," ")</f>
        <v>1659.1</v>
      </c>
      <c r="I38" s="77">
        <f>IFERROR(INDEX(BDEGENER[],MATCH(B38,BDEGENER[SERIE],0),53)," ")</f>
        <v>1659.1</v>
      </c>
      <c r="J38" s="72">
        <f>IFERROR(INDEX(BDEGENER[],MATCH(B38,BDEGENER[SERIE],0),47)," ")</f>
        <v>2</v>
      </c>
      <c r="K38" s="65">
        <f>IFERROR(INDEX(BDEGENER[],MATCH(B38,BDEGENER[SERIE],0),48)," ")</f>
        <v>6</v>
      </c>
      <c r="L38" s="77">
        <v>1991</v>
      </c>
      <c r="M38" s="181">
        <f>EQUIPOS[[#This Row],[HR DE ULTIMO PREVENTIVO]]+300</f>
        <v>1959.1</v>
      </c>
      <c r="N38" s="187" t="str">
        <f>IF(EQUIPOS[[#This Row],[HR ACTUALES]]&gt;=EQUIPOS[[#This Row],[HR DE PROX SERVICIO]],"PROCEDE",IF((EQUIPOS[[#This Row],[HR ACTUALES]]+50)&gt;=EQUIPOS[[#This Row],[HR DE PROX SERVICIO]],"PROXIMO","NO PROCEDE"))</f>
        <v>PROCEDE</v>
      </c>
      <c r="O38" s="71">
        <f>COUNTIF(EQUIPOS[SERIE],EQUIPOS[[#This Row],[SERIE]])</f>
        <v>1</v>
      </c>
      <c r="P38" s="187" t="str">
        <f>IFERROR(INDEX(BDEGENER[],MATCH(B38,BDEGENER[SERIE],0),41)," ")</f>
        <v>OPERATIVO</v>
      </c>
      <c r="Q38" s="187" t="str">
        <f>IF(EQUIPOS[[#This Row],[GA1]]=1,"UNICO","DUPLICADO")</f>
        <v>UNICO</v>
      </c>
      <c r="R38" s="187" t="str">
        <f>IF(EQUIPOS[[#This Row],[HR ULTIMO SERVICIO]]="NR","OPTIMO",IF(EQUIPOS[[#This Row],[HR ACTUALES]]="","NO REGISTRA",IF(EQUIPOS[[#This Row],[HR ULTIMO SERVICIO]]&gt;=EQUIPOS[[#This Row],[HR ACTUALES]],"ACTUALIZAR","OPTIMO")))</f>
        <v>OPTIMO</v>
      </c>
      <c r="S38" s="230">
        <f>EQUIPOS[[#This Row],[HR DE PROX SERVICIO]]-EQUIPOS[[#This Row],[HR ACTUALES]]</f>
        <v>-31.900000000000091</v>
      </c>
      <c r="T38" s="78"/>
    </row>
    <row r="39" spans="2:20" x14ac:dyDescent="0.3">
      <c r="B39" s="172">
        <v>3004336196</v>
      </c>
      <c r="C39" s="172" t="str">
        <f>IFERROR(INDEX(BDEGENER[],MATCH(B39,BDEGENER[SERIE],0),26)," ")</f>
        <v>GENERAC</v>
      </c>
      <c r="D39" s="172" t="str">
        <f>IFERROR(INDEX(BDEGENER[],MATCH(B39,BDEGENER[SERIE],0),27)," ")</f>
        <v>PG090</v>
      </c>
      <c r="E39" s="172" t="str">
        <f>IFERROR(INDEX(BDEGENER[],MATCH(B39,BDEGENER[SERIE],0),11)," ")</f>
        <v>SAN FERNANDO</v>
      </c>
      <c r="F39" s="180" t="str">
        <f>IFERROR(INDEX(BDEGENER[],MATCH(B39,BDEGENER[SERIE],0),12)," ")</f>
        <v>PL-801</v>
      </c>
      <c r="G39" s="172" t="s">
        <v>190</v>
      </c>
      <c r="H39" s="179">
        <f>IFERROR(INDEX(BDEGENER[],MATCH(B39,BDEGENER[SERIE],0),31)," ")</f>
        <v>3148.2</v>
      </c>
      <c r="I39" s="173">
        <f>IFERROR(INDEX(BDEGENER[],MATCH(B39,BDEGENER[SERIE],0),53)," ")</f>
        <v>3148.2</v>
      </c>
      <c r="J39" s="172">
        <f>IFERROR(INDEX(BDEGENER[],MATCH(B39,BDEGENER[SERIE],0),47)," ")</f>
        <v>3</v>
      </c>
      <c r="K39" s="180">
        <f>IFERROR(INDEX(BDEGENER[],MATCH(B39,BDEGENER[SERIE],0),48)," ")</f>
        <v>9</v>
      </c>
      <c r="L39" s="173">
        <v>3344</v>
      </c>
      <c r="M39" s="179">
        <f>EQUIPOS[[#This Row],[HR DE ULTIMO PREVENTIVO]]+300</f>
        <v>3448.2</v>
      </c>
      <c r="N39" s="174" t="str">
        <f>IF(EQUIPOS[[#This Row],[HR ACTUALES]]&gt;=EQUIPOS[[#This Row],[HR DE PROX SERVICIO]],"PROCEDE",IF((EQUIPOS[[#This Row],[HR ACTUALES]]+50)&gt;=EQUIPOS[[#This Row],[HR DE PROX SERVICIO]],"PROXIMO","NO PROCEDE"))</f>
        <v>NO PROCEDE</v>
      </c>
      <c r="O39" s="172">
        <f>COUNTIF(EQUIPOS[SERIE],EQUIPOS[[#This Row],[SERIE]])</f>
        <v>1</v>
      </c>
      <c r="P39" s="174" t="str">
        <f>IFERROR(INDEX(BDEGENER[],MATCH(B39,BDEGENER[SERIE],0),41)," ")</f>
        <v>OPERATIVO</v>
      </c>
      <c r="Q39" s="175" t="str">
        <f>IF(EQUIPOS[[#This Row],[GA1]]=1,"UNICO","DUPLICADO")</f>
        <v>UNICO</v>
      </c>
      <c r="R39" s="175" t="str">
        <f>IF(EQUIPOS[[#This Row],[HR ULTIMO SERVICIO]]="NR","OPTIMO",IF(EQUIPOS[[#This Row],[HR ACTUALES]]="","NO REGISTRA",IF(EQUIPOS[[#This Row],[HR ULTIMO SERVICIO]]&gt;=EQUIPOS[[#This Row],[HR ACTUALES]],"ACTUALIZAR","OPTIMO")))</f>
        <v>OPTIMO</v>
      </c>
      <c r="S39" s="230">
        <f>EQUIPOS[[#This Row],[HR DE PROX SERVICIO]]-EQUIPOS[[#This Row],[HR ACTUALES]]</f>
        <v>104.19999999999982</v>
      </c>
      <c r="T39" s="78"/>
    </row>
    <row r="40" spans="2:20" x14ac:dyDescent="0.3">
      <c r="B40" s="71">
        <v>3004331709</v>
      </c>
      <c r="C40" s="72" t="str">
        <f>IFERROR(INDEX(BDEGENER[],MATCH(B40,BDEGENER[SERIE],0),26)," ")</f>
        <v>GENERAC</v>
      </c>
      <c r="D40" s="72" t="str">
        <f>IFERROR(INDEX(BDEGENER[],MATCH(B40,BDEGENER[SERIE],0),27)," ")</f>
        <v>PG090</v>
      </c>
      <c r="E40" s="72" t="str">
        <f>IFERROR(INDEX(BDEGENER[],MATCH(B40,BDEGENER[SERIE],0),11)," ")</f>
        <v>SAN FERNANDO</v>
      </c>
      <c r="F40" s="65" t="str">
        <f>IFERROR(INDEX(BDEGENER[],MATCH(B40,BDEGENER[SERIE],0),12)," ")</f>
        <v>PL-503</v>
      </c>
      <c r="G40" s="72" t="s">
        <v>189</v>
      </c>
      <c r="H40" s="181">
        <f>IFERROR(INDEX(BDEGENER[],MATCH(B40,BDEGENER[SERIE],0),31)," ")</f>
        <v>2248.5</v>
      </c>
      <c r="I40" s="77">
        <f>IFERROR(INDEX(BDEGENER[],MATCH(B40,BDEGENER[SERIE],0),53)," ")</f>
        <v>2248.5</v>
      </c>
      <c r="J40" s="72">
        <f>IFERROR(INDEX(BDEGENER[],MATCH(B40,BDEGENER[SERIE],0),47)," ")</f>
        <v>2</v>
      </c>
      <c r="K40" s="65">
        <f>IFERROR(INDEX(BDEGENER[],MATCH(B40,BDEGENER[SERIE],0),48)," ")</f>
        <v>7</v>
      </c>
      <c r="L40" s="77">
        <v>1485.6</v>
      </c>
      <c r="M40" s="181">
        <f>EQUIPOS[[#This Row],[HR DE ULTIMO PREVENTIVO]]+300</f>
        <v>2548.5</v>
      </c>
      <c r="N40" s="187" t="str">
        <f>IF(EQUIPOS[[#This Row],[HR ACTUALES]]&gt;=EQUIPOS[[#This Row],[HR DE PROX SERVICIO]],"PROCEDE",IF((EQUIPOS[[#This Row],[HR ACTUALES]]+50)&gt;=EQUIPOS[[#This Row],[HR DE PROX SERVICIO]],"PROXIMO","NO PROCEDE"))</f>
        <v>NO PROCEDE</v>
      </c>
      <c r="O40" s="71">
        <f>COUNTIF(EQUIPOS[SERIE],EQUIPOS[[#This Row],[SERIE]])</f>
        <v>1</v>
      </c>
      <c r="P40" s="187" t="str">
        <f>IFERROR(INDEX(BDEGENER[],MATCH(B40,BDEGENER[SERIE],0),41)," ")</f>
        <v>OPERATIVO</v>
      </c>
      <c r="Q40" s="187" t="str">
        <f>IF(EQUIPOS[[#This Row],[GA1]]=1,"UNICO","DUPLICADO")</f>
        <v>UNICO</v>
      </c>
      <c r="R40" s="187" t="str">
        <f>IF(EQUIPOS[[#This Row],[HR ULTIMO SERVICIO]]="NR","OPTIMO",IF(EQUIPOS[[#This Row],[HR ACTUALES]]="","NO REGISTRA",IF(EQUIPOS[[#This Row],[HR ULTIMO SERVICIO]]&gt;=EQUIPOS[[#This Row],[HR ACTUALES]],"ACTUALIZAR","OPTIMO")))</f>
        <v>ACTUALIZAR</v>
      </c>
      <c r="S40" s="230">
        <f>EQUIPOS[[#This Row],[HR DE PROX SERVICIO]]-EQUIPOS[[#This Row],[HR ACTUALES]]</f>
        <v>1062.9000000000001</v>
      </c>
      <c r="T40" s="78"/>
    </row>
    <row r="41" spans="2:20" x14ac:dyDescent="0.3">
      <c r="B41" s="71">
        <v>3004331705</v>
      </c>
      <c r="C41" s="72" t="str">
        <f>IFERROR(INDEX(BDEGENER[],MATCH(B41,BDEGENER[SERIE],0),26)," ")</f>
        <v>GENERAC</v>
      </c>
      <c r="D41" s="72" t="str">
        <f>IFERROR(INDEX(BDEGENER[],MATCH(B41,BDEGENER[SERIE],0),27)," ")</f>
        <v>PG090</v>
      </c>
      <c r="E41" s="72" t="str">
        <f>IFERROR(INDEX(BDEGENER[],MATCH(B41,BDEGENER[SERIE],0),11)," ")</f>
        <v>SAN FERNANDO</v>
      </c>
      <c r="F41" s="65" t="str">
        <f>IFERROR(INDEX(BDEGENER[],MATCH(B41,BDEGENER[SERIE],0),12)," ")</f>
        <v>PL-503</v>
      </c>
      <c r="G41" s="72" t="s">
        <v>189</v>
      </c>
      <c r="H41" s="181">
        <f>IFERROR(INDEX(BDEGENER[],MATCH(B41,BDEGENER[SERIE],0),31)," ")</f>
        <v>2381.3000000000002</v>
      </c>
      <c r="I41" s="77">
        <f>IFERROR(INDEX(BDEGENER[],MATCH(B41,BDEGENER[SERIE],0),53)," ")</f>
        <v>2381.3000000000002</v>
      </c>
      <c r="J41" s="72">
        <f>IFERROR(INDEX(BDEGENER[],MATCH(B41,BDEGENER[SERIE],0),47)," ")</f>
        <v>1</v>
      </c>
      <c r="K41" s="65">
        <f>IFERROR(INDEX(BDEGENER[],MATCH(B41,BDEGENER[SERIE],0),48)," ")</f>
        <v>8</v>
      </c>
      <c r="L41" s="77">
        <v>1805</v>
      </c>
      <c r="M41" s="181">
        <f>EQUIPOS[[#This Row],[HR DE ULTIMO PREVENTIVO]]+300</f>
        <v>2681.3</v>
      </c>
      <c r="N41" s="187" t="str">
        <f>IF(EQUIPOS[[#This Row],[HR ACTUALES]]&gt;=EQUIPOS[[#This Row],[HR DE PROX SERVICIO]],"PROCEDE",IF((EQUIPOS[[#This Row],[HR ACTUALES]]+50)&gt;=EQUIPOS[[#This Row],[HR DE PROX SERVICIO]],"PROXIMO","NO PROCEDE"))</f>
        <v>NO PROCEDE</v>
      </c>
      <c r="O41" s="71">
        <f>COUNTIF(EQUIPOS[SERIE],EQUIPOS[[#This Row],[SERIE]])</f>
        <v>1</v>
      </c>
      <c r="P41" s="187" t="str">
        <f>IFERROR(INDEX(BDEGENER[],MATCH(B41,BDEGENER[SERIE],0),41)," ")</f>
        <v>OPERATIVO</v>
      </c>
      <c r="Q41" s="187" t="str">
        <f>IF(EQUIPOS[[#This Row],[GA1]]=1,"UNICO","DUPLICADO")</f>
        <v>UNICO</v>
      </c>
      <c r="R41" s="187" t="str">
        <f>IF(EQUIPOS[[#This Row],[HR ULTIMO SERVICIO]]="NR","OPTIMO",IF(EQUIPOS[[#This Row],[HR ACTUALES]]="","NO REGISTRA",IF(EQUIPOS[[#This Row],[HR ULTIMO SERVICIO]]&gt;=EQUIPOS[[#This Row],[HR ACTUALES]],"ACTUALIZAR","OPTIMO")))</f>
        <v>ACTUALIZAR</v>
      </c>
      <c r="S41" s="230">
        <f>EQUIPOS[[#This Row],[HR DE PROX SERVICIO]]-EQUIPOS[[#This Row],[HR ACTUALES]]</f>
        <v>876.30000000000018</v>
      </c>
      <c r="T41" s="78"/>
    </row>
    <row r="42" spans="2:20" x14ac:dyDescent="0.3">
      <c r="B42" s="71">
        <v>3004327723</v>
      </c>
      <c r="C42" s="72" t="str">
        <f>IFERROR(INDEX(BDEGENER[],MATCH(B42,BDEGENER[SERIE],0),26)," ")</f>
        <v>GENERAC</v>
      </c>
      <c r="D42" s="72" t="str">
        <f>IFERROR(INDEX(BDEGENER[],MATCH(B42,BDEGENER[SERIE],0),27)," ")</f>
        <v>PG090</v>
      </c>
      <c r="E42" s="72" t="str">
        <f>IFERROR(INDEX(BDEGENER[],MATCH(B42,BDEGENER[SERIE],0),11)," ")</f>
        <v>SANTA ELENA</v>
      </c>
      <c r="F42" s="65" t="str">
        <f>IFERROR(INDEX(BDEGENER[],MATCH(B42,BDEGENER[SERIE],0),12)," ")</f>
        <v>DOÑA MARIA 3</v>
      </c>
      <c r="G42" s="72" t="s">
        <v>189</v>
      </c>
      <c r="H42" s="181">
        <f>IFERROR(INDEX(BDEGENER[],MATCH(B42,BDEGENER[SERIE],0),31)," ")</f>
        <v>6883.3</v>
      </c>
      <c r="I42" s="77">
        <f>IFERROR(INDEX(BDEGENER[],MATCH(B42,BDEGENER[SERIE],0),53)," ")</f>
        <v>6883.3</v>
      </c>
      <c r="J42" s="72">
        <f>IFERROR(INDEX(BDEGENER[],MATCH(B42,BDEGENER[SERIE],0),47)," ")</f>
        <v>1</v>
      </c>
      <c r="K42" s="65">
        <f>IFERROR(INDEX(BDEGENER[],MATCH(B42,BDEGENER[SERIE],0),48)," ")</f>
        <v>8</v>
      </c>
      <c r="L42" s="77">
        <v>1451.5</v>
      </c>
      <c r="M42" s="181">
        <f>EQUIPOS[[#This Row],[HR DE ULTIMO PREVENTIVO]]+300</f>
        <v>7183.3</v>
      </c>
      <c r="N42" s="187" t="str">
        <f>IF(EQUIPOS[[#This Row],[HR ACTUALES]]&gt;=EQUIPOS[[#This Row],[HR DE PROX SERVICIO]],"PROCEDE",IF((EQUIPOS[[#This Row],[HR ACTUALES]]+50)&gt;=EQUIPOS[[#This Row],[HR DE PROX SERVICIO]],"PROXIMO","NO PROCEDE"))</f>
        <v>NO PROCEDE</v>
      </c>
      <c r="O42" s="71">
        <f>COUNTIF(EQUIPOS[SERIE],EQUIPOS[[#This Row],[SERIE]])</f>
        <v>1</v>
      </c>
      <c r="P42" s="187" t="str">
        <f>IFERROR(INDEX(BDEGENER[],MATCH(B42,BDEGENER[SERIE],0),41)," ")</f>
        <v>OPERATIVO</v>
      </c>
      <c r="Q42" s="187" t="str">
        <f>IF(EQUIPOS[[#This Row],[GA1]]=1,"UNICO","DUPLICADO")</f>
        <v>UNICO</v>
      </c>
      <c r="R42" s="187" t="str">
        <f>IF(EQUIPOS[[#This Row],[HR ULTIMO SERVICIO]]="NR","OPTIMO",IF(EQUIPOS[[#This Row],[HR ACTUALES]]="","NO REGISTRA",IF(EQUIPOS[[#This Row],[HR ULTIMO SERVICIO]]&gt;=EQUIPOS[[#This Row],[HR ACTUALES]],"ACTUALIZAR","OPTIMO")))</f>
        <v>ACTUALIZAR</v>
      </c>
      <c r="S42" s="230">
        <f>EQUIPOS[[#This Row],[HR DE PROX SERVICIO]]-EQUIPOS[[#This Row],[HR ACTUALES]]</f>
        <v>5731.8</v>
      </c>
      <c r="T42" s="78"/>
    </row>
    <row r="43" spans="2:20" x14ac:dyDescent="0.3">
      <c r="B43" s="71">
        <v>3004337430</v>
      </c>
      <c r="C43" s="72" t="str">
        <f>IFERROR(INDEX(BDEGENER[],MATCH(B43,BDEGENER[SERIE],0),26)," ")</f>
        <v>GENERAC</v>
      </c>
      <c r="D43" s="72" t="str">
        <f>IFERROR(INDEX(BDEGENER[],MATCH(B43,BDEGENER[SERIE],0),27)," ")</f>
        <v>PG090</v>
      </c>
      <c r="E43" s="72" t="str">
        <f>IFERROR(INDEX(BDEGENER[],MATCH(B43,BDEGENER[SERIE],0),11)," ")</f>
        <v>SAN FERNANDO</v>
      </c>
      <c r="F43" s="65" t="str">
        <f>IFERROR(INDEX(BDEGENER[],MATCH(B43,BDEGENER[SERIE],0),12)," ")</f>
        <v>PL-502</v>
      </c>
      <c r="G43" s="72" t="s">
        <v>186</v>
      </c>
      <c r="H43" s="181">
        <f>IFERROR(INDEX(BDEGENER[],MATCH(B43,BDEGENER[SERIE],0),31)," ")</f>
        <v>671.4</v>
      </c>
      <c r="I43" s="77">
        <f>IFERROR(INDEX(BDEGENER[],MATCH(B43,BDEGENER[SERIE],0),53)," ")</f>
        <v>596.6</v>
      </c>
      <c r="J43" s="72">
        <f>IFERROR(INDEX(BDEGENER[],MATCH(B43,BDEGENER[SERIE],0),47)," ")</f>
        <v>3</v>
      </c>
      <c r="K43" s="65">
        <f>IFERROR(INDEX(BDEGENER[],MATCH(B43,BDEGENER[SERIE],0),48)," ")</f>
        <v>3</v>
      </c>
      <c r="L43" s="77">
        <v>572.29999999999995</v>
      </c>
      <c r="M43" s="181">
        <f>EQUIPOS[[#This Row],[HR DE ULTIMO PREVENTIVO]]+300</f>
        <v>896.6</v>
      </c>
      <c r="N43" s="187" t="str">
        <f>IF(EQUIPOS[[#This Row],[HR ACTUALES]]&gt;=EQUIPOS[[#This Row],[HR DE PROX SERVICIO]],"PROCEDE",IF((EQUIPOS[[#This Row],[HR ACTUALES]]+50)&gt;=EQUIPOS[[#This Row],[HR DE PROX SERVICIO]],"PROXIMO","NO PROCEDE"))</f>
        <v>NO PROCEDE</v>
      </c>
      <c r="O43" s="71">
        <f>COUNTIF(EQUIPOS[SERIE],EQUIPOS[[#This Row],[SERIE]])</f>
        <v>1</v>
      </c>
      <c r="P43" s="187" t="str">
        <f>IFERROR(INDEX(BDEGENER[],MATCH(B43,BDEGENER[SERIE],0),41)," ")</f>
        <v>OPERATIVO</v>
      </c>
      <c r="Q43" s="187" t="str">
        <f>IF(EQUIPOS[[#This Row],[GA1]]=1,"UNICO","DUPLICADO")</f>
        <v>UNICO</v>
      </c>
      <c r="R43" s="187" t="str">
        <f>IF(EQUIPOS[[#This Row],[HR ULTIMO SERVICIO]]="NR","OPTIMO",IF(EQUIPOS[[#This Row],[HR ACTUALES]]="","NO REGISTRA",IF(EQUIPOS[[#This Row],[HR ULTIMO SERVICIO]]&gt;=EQUIPOS[[#This Row],[HR ACTUALES]],"ACTUALIZAR","OPTIMO")))</f>
        <v>ACTUALIZAR</v>
      </c>
      <c r="S43" s="230">
        <f>EQUIPOS[[#This Row],[HR DE PROX SERVICIO]]-EQUIPOS[[#This Row],[HR ACTUALES]]</f>
        <v>324.30000000000007</v>
      </c>
      <c r="T43" s="78"/>
    </row>
    <row r="44" spans="2:20" x14ac:dyDescent="0.3">
      <c r="B44" s="71">
        <v>3004327722</v>
      </c>
      <c r="C44" s="72" t="str">
        <f>IFERROR(INDEX(BDEGENER[],MATCH(B44,BDEGENER[SERIE],0),26)," ")</f>
        <v>GENERAC</v>
      </c>
      <c r="D44" s="72" t="str">
        <f>IFERROR(INDEX(BDEGENER[],MATCH(B44,BDEGENER[SERIE],0),27)," ")</f>
        <v>PG090</v>
      </c>
      <c r="E44" s="72" t="str">
        <f>IFERROR(INDEX(BDEGENER[],MATCH(B44,BDEGENER[SERIE],0),11)," ")</f>
        <v>SAN FERNANDO</v>
      </c>
      <c r="F44" s="65" t="str">
        <f>IFERROR(INDEX(BDEGENER[],MATCH(B44,BDEGENER[SERIE],0),12)," ")</f>
        <v>PL-502</v>
      </c>
      <c r="G44" s="72" t="s">
        <v>186</v>
      </c>
      <c r="H44" s="181">
        <f>IFERROR(INDEX(BDEGENER[],MATCH(B44,BDEGENER[SERIE],0),31)," ")</f>
        <v>2102.5</v>
      </c>
      <c r="I44" s="77">
        <f>IFERROR(INDEX(BDEGENER[],MATCH(B44,BDEGENER[SERIE],0),53)," ")</f>
        <v>2102.5</v>
      </c>
      <c r="J44" s="72">
        <f>IFERROR(INDEX(BDEGENER[],MATCH(B44,BDEGENER[SERIE],0),47)," ")</f>
        <v>1</v>
      </c>
      <c r="K44" s="65">
        <f>IFERROR(INDEX(BDEGENER[],MATCH(B44,BDEGENER[SERIE],0),48)," ")</f>
        <v>8</v>
      </c>
      <c r="L44" s="77">
        <v>2056.6</v>
      </c>
      <c r="M44" s="181">
        <f>EQUIPOS[[#This Row],[HR DE ULTIMO PREVENTIVO]]+300</f>
        <v>2402.5</v>
      </c>
      <c r="N44" s="187" t="str">
        <f>IF(EQUIPOS[[#This Row],[HR ACTUALES]]&gt;=EQUIPOS[[#This Row],[HR DE PROX SERVICIO]],"PROCEDE",IF((EQUIPOS[[#This Row],[HR ACTUALES]]+50)&gt;=EQUIPOS[[#This Row],[HR DE PROX SERVICIO]],"PROXIMO","NO PROCEDE"))</f>
        <v>NO PROCEDE</v>
      </c>
      <c r="O44" s="71">
        <f>COUNTIF(EQUIPOS[SERIE],EQUIPOS[[#This Row],[SERIE]])</f>
        <v>1</v>
      </c>
      <c r="P44" s="187" t="str">
        <f>IFERROR(INDEX(BDEGENER[],MATCH(B44,BDEGENER[SERIE],0),41)," ")</f>
        <v>OPERATIVO</v>
      </c>
      <c r="Q44" s="187" t="str">
        <f>IF(EQUIPOS[[#This Row],[GA1]]=1,"UNICO","DUPLICADO")</f>
        <v>UNICO</v>
      </c>
      <c r="R44" s="187" t="str">
        <f>IF(EQUIPOS[[#This Row],[HR ULTIMO SERVICIO]]="NR","OPTIMO",IF(EQUIPOS[[#This Row],[HR ACTUALES]]="","NO REGISTRA",IF(EQUIPOS[[#This Row],[HR ULTIMO SERVICIO]]&gt;=EQUIPOS[[#This Row],[HR ACTUALES]],"ACTUALIZAR","OPTIMO")))</f>
        <v>ACTUALIZAR</v>
      </c>
      <c r="S44" s="230">
        <f>EQUIPOS[[#This Row],[HR DE PROX SERVICIO]]-EQUIPOS[[#This Row],[HR ACTUALES]]</f>
        <v>345.90000000000009</v>
      </c>
      <c r="T44" s="78"/>
    </row>
    <row r="45" spans="2:20" x14ac:dyDescent="0.3">
      <c r="B45" s="71">
        <v>3004327724</v>
      </c>
      <c r="C45" s="72" t="str">
        <f>IFERROR(INDEX(BDEGENER[],MATCH(B45,BDEGENER[SERIE],0),26)," ")</f>
        <v>GENERAC</v>
      </c>
      <c r="D45" s="72" t="str">
        <f>IFERROR(INDEX(BDEGENER[],MATCH(B45,BDEGENER[SERIE],0),27)," ")</f>
        <v>PG090</v>
      </c>
      <c r="E45" s="72" t="str">
        <f>IFERROR(INDEX(BDEGENER[],MATCH(B45,BDEGENER[SERIE],0),11)," ")</f>
        <v>SAN FERNANDO</v>
      </c>
      <c r="F45" s="65" t="str">
        <f>IFERROR(INDEX(BDEGENER[],MATCH(B45,BDEGENER[SERIE],0),12)," ")</f>
        <v>PL-502</v>
      </c>
      <c r="G45" s="72" t="s">
        <v>186</v>
      </c>
      <c r="H45" s="181">
        <f>IFERROR(INDEX(BDEGENER[],MATCH(B45,BDEGENER[SERIE],0),31)," ")</f>
        <v>2277.6999999999998</v>
      </c>
      <c r="I45" s="77">
        <f>IFERROR(INDEX(BDEGENER[],MATCH(B45,BDEGENER[SERIE],0),53)," ")</f>
        <v>2271.8000000000002</v>
      </c>
      <c r="J45" s="72">
        <f>IFERROR(INDEX(BDEGENER[],MATCH(B45,BDEGENER[SERIE],0),47)," ")</f>
        <v>7</v>
      </c>
      <c r="K45" s="65">
        <f>IFERROR(INDEX(BDEGENER[],MATCH(B45,BDEGENER[SERIE],0),48)," ")</f>
        <v>8</v>
      </c>
      <c r="L45" s="77">
        <v>2254.1</v>
      </c>
      <c r="M45" s="181">
        <f>EQUIPOS[[#This Row],[HR DE ULTIMO PREVENTIVO]]+300</f>
        <v>2571.8000000000002</v>
      </c>
      <c r="N45" s="187" t="str">
        <f>IF(EQUIPOS[[#This Row],[HR ACTUALES]]&gt;=EQUIPOS[[#This Row],[HR DE PROX SERVICIO]],"PROCEDE",IF((EQUIPOS[[#This Row],[HR ACTUALES]]+50)&gt;=EQUIPOS[[#This Row],[HR DE PROX SERVICIO]],"PROXIMO","NO PROCEDE"))</f>
        <v>NO PROCEDE</v>
      </c>
      <c r="O45" s="71">
        <f>COUNTIF(EQUIPOS[SERIE],EQUIPOS[[#This Row],[SERIE]])</f>
        <v>1</v>
      </c>
      <c r="P45" s="187" t="str">
        <f>IFERROR(INDEX(BDEGENER[],MATCH(B45,BDEGENER[SERIE],0),41)," ")</f>
        <v>OPERATIVO</v>
      </c>
      <c r="Q45" s="187" t="str">
        <f>IF(EQUIPOS[[#This Row],[GA1]]=1,"UNICO","DUPLICADO")</f>
        <v>UNICO</v>
      </c>
      <c r="R45" s="187" t="str">
        <f>IF(EQUIPOS[[#This Row],[HR ULTIMO SERVICIO]]="NR","OPTIMO",IF(EQUIPOS[[#This Row],[HR ACTUALES]]="","NO REGISTRA",IF(EQUIPOS[[#This Row],[HR ULTIMO SERVICIO]]&gt;=EQUIPOS[[#This Row],[HR ACTUALES]],"ACTUALIZAR","OPTIMO")))</f>
        <v>ACTUALIZAR</v>
      </c>
      <c r="S45" s="230">
        <f>EQUIPOS[[#This Row],[HR DE PROX SERVICIO]]-EQUIPOS[[#This Row],[HR ACTUALES]]</f>
        <v>317.70000000000027</v>
      </c>
      <c r="T45" s="78"/>
    </row>
    <row r="46" spans="2:20" x14ac:dyDescent="0.3">
      <c r="B46" s="172">
        <v>3005167425</v>
      </c>
      <c r="C46" s="172" t="str">
        <f>IFERROR(INDEX(BDEGENER[],MATCH(B46,BDEGENER[SERIE],0),26)," ")</f>
        <v>GENERAC</v>
      </c>
      <c r="D46" s="172" t="str">
        <f>IFERROR(INDEX(BDEGENER[],MATCH(B46,BDEGENER[SERIE],0),27)," ")</f>
        <v>SG070</v>
      </c>
      <c r="E46" s="172" t="str">
        <f>IFERROR(INDEX(BDEGENER[],MATCH(B46,BDEGENER[SERIE],0),11)," ")</f>
        <v>SAN FERNANDO</v>
      </c>
      <c r="F46" s="180" t="str">
        <f>IFERROR(INDEX(BDEGENER[],MATCH(B46,BDEGENER[SERIE],0),12)," ")</f>
        <v>P267-02</v>
      </c>
      <c r="G46" s="172" t="s">
        <v>2179</v>
      </c>
      <c r="H46" s="729">
        <f>IFERROR(INDEX(BDEGENER[],MATCH(B46,BDEGENER[SERIE],0),31)," ")</f>
        <v>1939.8</v>
      </c>
      <c r="I46" s="173">
        <f>IFERROR(INDEX(BDEGENER[],MATCH(B46,BDEGENER[SERIE],0),53)," ")</f>
        <v>1939.8</v>
      </c>
      <c r="J46" s="726">
        <f>IFERROR(INDEX(BDEGENER[],MATCH(B46,BDEGENER[SERIE],0),47)," ")</f>
        <v>0</v>
      </c>
      <c r="K46" s="180">
        <f>IFERROR(INDEX(BDEGENER[],MATCH(B46,BDEGENER[SERIE],0),48)," ")</f>
        <v>6</v>
      </c>
      <c r="L46" s="173">
        <v>1882.6</v>
      </c>
      <c r="M46" s="729">
        <f>EQUIPOS[[#This Row],[HR DE ULTIMO PREVENTIVO]]+300</f>
        <v>2239.8000000000002</v>
      </c>
      <c r="N46" s="174" t="str">
        <f>IF(EQUIPOS[[#This Row],[HR ACTUALES]]&gt;=EQUIPOS[[#This Row],[HR DE PROX SERVICIO]],"PROCEDE",IF((EQUIPOS[[#This Row],[HR ACTUALES]]+50)&gt;=EQUIPOS[[#This Row],[HR DE PROX SERVICIO]],"PROXIMO","NO PROCEDE"))</f>
        <v>NO PROCEDE</v>
      </c>
      <c r="O46" s="726">
        <f>COUNTIF(EQUIPOS[SERIE],EQUIPOS[[#This Row],[SERIE]])</f>
        <v>1</v>
      </c>
      <c r="P46" s="727" t="str">
        <f>IFERROR(INDEX(BDEGENER[],MATCH(B46,BDEGENER[SERIE],0),41)," ")</f>
        <v>OPERATIVO</v>
      </c>
      <c r="Q46" s="727" t="str">
        <f>IF(EQUIPOS[[#This Row],[GA1]]=1,"UNICO","DUPLICADO")</f>
        <v>UNICO</v>
      </c>
      <c r="R46" s="727" t="str">
        <f>IF(EQUIPOS[[#This Row],[HR ULTIMO SERVICIO]]="NR","OPTIMO",IF(EQUIPOS[[#This Row],[HR ACTUALES]]="","NO REGISTRA",IF(EQUIPOS[[#This Row],[HR ULTIMO SERVICIO]]&gt;=EQUIPOS[[#This Row],[HR ACTUALES]],"ACTUALIZAR","OPTIMO")))</f>
        <v>ACTUALIZAR</v>
      </c>
      <c r="S46" s="728">
        <f>EQUIPOS[[#This Row],[HR DE PROX SERVICIO]]-EQUIPOS[[#This Row],[HR ACTUALES]]</f>
        <v>357.20000000000027</v>
      </c>
      <c r="T46" s="78"/>
    </row>
    <row r="47" spans="2:20" x14ac:dyDescent="0.3">
      <c r="B47" s="172">
        <v>3005167422</v>
      </c>
      <c r="C47" s="172" t="str">
        <f>IFERROR(INDEX(BDEGENER[],MATCH(B47,BDEGENER[SERIE],0),26)," ")</f>
        <v>GENERAC</v>
      </c>
      <c r="D47" s="172" t="str">
        <f>IFERROR(INDEX(BDEGENER[],MATCH(B47,BDEGENER[SERIE],0),27)," ")</f>
        <v>SG070</v>
      </c>
      <c r="E47" s="172" t="str">
        <f>IFERROR(INDEX(BDEGENER[],MATCH(B47,BDEGENER[SERIE],0),11)," ")</f>
        <v>SAN FERNANDO</v>
      </c>
      <c r="F47" s="180" t="str">
        <f>IFERROR(INDEX(BDEGENER[],MATCH(B47,BDEGENER[SERIE],0),12)," ")</f>
        <v>P267-01</v>
      </c>
      <c r="G47" s="172" t="s">
        <v>2169</v>
      </c>
      <c r="H47" s="729">
        <f>IFERROR(INDEX(BDEGENER[],MATCH(B47,BDEGENER[SERIE],0),31)," ")</f>
        <v>1906.8</v>
      </c>
      <c r="I47" s="173">
        <f>IFERROR(INDEX(BDEGENER[],MATCH(B47,BDEGENER[SERIE],0),53)," ")</f>
        <v>1906.8</v>
      </c>
      <c r="J47" s="726">
        <f>IFERROR(INDEX(BDEGENER[],MATCH(B47,BDEGENER[SERIE],0),47)," ")</f>
        <v>0</v>
      </c>
      <c r="K47" s="180">
        <f>IFERROR(INDEX(BDEGENER[],MATCH(B47,BDEGENER[SERIE],0),48)," ")</f>
        <v>6</v>
      </c>
      <c r="L47" s="173">
        <v>1859.4</v>
      </c>
      <c r="M47" s="729">
        <f>EQUIPOS[[#This Row],[HR DE ULTIMO PREVENTIVO]]+300</f>
        <v>2206.8000000000002</v>
      </c>
      <c r="N47" s="174" t="str">
        <f>IF(EQUIPOS[[#This Row],[HR ACTUALES]]&gt;=EQUIPOS[[#This Row],[HR DE PROX SERVICIO]],"PROCEDE",IF((EQUIPOS[[#This Row],[HR ACTUALES]]+50)&gt;=EQUIPOS[[#This Row],[HR DE PROX SERVICIO]],"PROXIMO","NO PROCEDE"))</f>
        <v>NO PROCEDE</v>
      </c>
      <c r="O47" s="726">
        <f>COUNTIF(EQUIPOS[SERIE],EQUIPOS[[#This Row],[SERIE]])</f>
        <v>1</v>
      </c>
      <c r="P47" s="727" t="str">
        <f>IFERROR(INDEX(BDEGENER[],MATCH(B47,BDEGENER[SERIE],0),41)," ")</f>
        <v>OPERATIVO</v>
      </c>
      <c r="Q47" s="727" t="str">
        <f>IF(EQUIPOS[[#This Row],[GA1]]=1,"UNICO","DUPLICADO")</f>
        <v>UNICO</v>
      </c>
      <c r="R47" s="727" t="str">
        <f>IF(EQUIPOS[[#This Row],[HR ULTIMO SERVICIO]]="NR","OPTIMO",IF(EQUIPOS[[#This Row],[HR ACTUALES]]="","NO REGISTRA",IF(EQUIPOS[[#This Row],[HR ULTIMO SERVICIO]]&gt;=EQUIPOS[[#This Row],[HR ACTUALES]],"ACTUALIZAR","OPTIMO")))</f>
        <v>ACTUALIZAR</v>
      </c>
      <c r="S47" s="728">
        <f>EQUIPOS[[#This Row],[HR DE PROX SERVICIO]]-EQUIPOS[[#This Row],[HR ACTUALES]]</f>
        <v>347.40000000000009</v>
      </c>
      <c r="T47" s="78"/>
    </row>
    <row r="48" spans="2:20" x14ac:dyDescent="0.3">
      <c r="H48" s="81" t="s">
        <v>192</v>
      </c>
      <c r="O48" s="78"/>
      <c r="P48" s="134"/>
      <c r="T48" s="78"/>
    </row>
    <row r="49" spans="15:20" x14ac:dyDescent="0.3">
      <c r="O49" s="78"/>
      <c r="P49" s="134"/>
      <c r="T49" s="78"/>
    </row>
    <row r="50" spans="15:20" x14ac:dyDescent="0.3">
      <c r="O50" s="78"/>
      <c r="P50" s="134"/>
      <c r="T50" s="78"/>
    </row>
    <row r="51" spans="15:20" x14ac:dyDescent="0.3">
      <c r="O51" s="78"/>
      <c r="P51" s="134"/>
      <c r="T51" s="78"/>
    </row>
    <row r="52" spans="15:20" x14ac:dyDescent="0.3">
      <c r="O52" s="78"/>
      <c r="P52" s="134"/>
    </row>
    <row r="53" spans="15:20" x14ac:dyDescent="0.3">
      <c r="O53" s="78"/>
      <c r="P53" s="134"/>
    </row>
    <row r="54" spans="15:20" x14ac:dyDescent="0.3">
      <c r="O54" s="78"/>
      <c r="P54" s="134"/>
    </row>
    <row r="55" spans="15:20" x14ac:dyDescent="0.3">
      <c r="O55" s="78"/>
      <c r="P55" s="134"/>
    </row>
    <row r="56" spans="15:20" x14ac:dyDescent="0.3">
      <c r="O56" s="78"/>
      <c r="P56" s="134"/>
    </row>
    <row r="57" spans="15:20" x14ac:dyDescent="0.3">
      <c r="O57" s="78"/>
      <c r="P57" s="134"/>
    </row>
    <row r="58" spans="15:20" x14ac:dyDescent="0.3">
      <c r="O58" s="78"/>
      <c r="P58" s="134"/>
    </row>
    <row r="59" spans="15:20" x14ac:dyDescent="0.3">
      <c r="O59" s="78"/>
      <c r="P59" s="134"/>
    </row>
    <row r="60" spans="15:20" x14ac:dyDescent="0.3">
      <c r="O60" s="78"/>
      <c r="P60" s="134"/>
    </row>
    <row r="61" spans="15:20" x14ac:dyDescent="0.3">
      <c r="O61" s="78"/>
      <c r="P61" s="134"/>
    </row>
    <row r="62" spans="15:20" x14ac:dyDescent="0.3">
      <c r="O62" s="78"/>
      <c r="P62" s="134"/>
    </row>
    <row r="63" spans="15:20" x14ac:dyDescent="0.3">
      <c r="O63" s="78"/>
      <c r="P63" s="134"/>
    </row>
    <row r="64" spans="15:20" x14ac:dyDescent="0.3">
      <c r="O64" s="78"/>
      <c r="P64" s="134"/>
    </row>
    <row r="65" spans="15:16" x14ac:dyDescent="0.3">
      <c r="O65" s="78"/>
      <c r="P65" s="134"/>
    </row>
    <row r="66" spans="15:16" x14ac:dyDescent="0.3">
      <c r="O66" s="78"/>
      <c r="P66" s="134"/>
    </row>
    <row r="67" spans="15:16" x14ac:dyDescent="0.3">
      <c r="O67" s="78"/>
      <c r="P67" s="134"/>
    </row>
    <row r="68" spans="15:16" x14ac:dyDescent="0.3">
      <c r="O68" s="78"/>
      <c r="P68" s="134"/>
    </row>
    <row r="69" spans="15:16" x14ac:dyDescent="0.3">
      <c r="O69" s="78"/>
      <c r="P69" s="134"/>
    </row>
    <row r="70" spans="15:16" x14ac:dyDescent="0.3">
      <c r="O70" s="78"/>
      <c r="P70" s="134"/>
    </row>
    <row r="71" spans="15:16" x14ac:dyDescent="0.3">
      <c r="O71" s="78"/>
      <c r="P71" s="134"/>
    </row>
    <row r="72" spans="15:16" x14ac:dyDescent="0.3">
      <c r="O72" s="78"/>
      <c r="P72" s="134"/>
    </row>
    <row r="73" spans="15:16" x14ac:dyDescent="0.3">
      <c r="O73" s="78"/>
      <c r="P73" s="134"/>
    </row>
    <row r="74" spans="15:16" x14ac:dyDescent="0.3">
      <c r="O74" s="78"/>
      <c r="P74" s="134"/>
    </row>
    <row r="75" spans="15:16" x14ac:dyDescent="0.3">
      <c r="O75" s="78"/>
      <c r="P75" s="134"/>
    </row>
    <row r="76" spans="15:16" x14ac:dyDescent="0.3">
      <c r="O76" s="78"/>
      <c r="P76" s="134"/>
    </row>
    <row r="77" spans="15:16" x14ac:dyDescent="0.3">
      <c r="O77" s="78"/>
      <c r="P77" s="134"/>
    </row>
    <row r="78" spans="15:16" x14ac:dyDescent="0.3">
      <c r="O78" s="78"/>
      <c r="P78" s="134"/>
    </row>
    <row r="79" spans="15:16" x14ac:dyDescent="0.3">
      <c r="O79" s="78"/>
      <c r="P79" s="134"/>
    </row>
    <row r="80" spans="15:16" x14ac:dyDescent="0.3">
      <c r="O80" s="78"/>
      <c r="P80" s="134"/>
    </row>
    <row r="81" spans="15:16" x14ac:dyDescent="0.3">
      <c r="O81" s="78"/>
      <c r="P81" s="134"/>
    </row>
    <row r="82" spans="15:16" x14ac:dyDescent="0.3">
      <c r="O82" s="78"/>
      <c r="P82" s="134"/>
    </row>
    <row r="83" spans="15:16" x14ac:dyDescent="0.3">
      <c r="O83" s="78"/>
      <c r="P83" s="134"/>
    </row>
    <row r="84" spans="15:16" x14ac:dyDescent="0.3">
      <c r="O84" s="78"/>
      <c r="P84" s="134"/>
    </row>
    <row r="85" spans="15:16" x14ac:dyDescent="0.3">
      <c r="O85" s="78"/>
      <c r="P85" s="134"/>
    </row>
    <row r="86" spans="15:16" x14ac:dyDescent="0.3">
      <c r="O86" s="78"/>
      <c r="P86" s="134"/>
    </row>
    <row r="87" spans="15:16" x14ac:dyDescent="0.3">
      <c r="O87" s="78"/>
      <c r="P87" s="134"/>
    </row>
    <row r="88" spans="15:16" x14ac:dyDescent="0.3">
      <c r="O88" s="78"/>
      <c r="P88" s="134"/>
    </row>
    <row r="89" spans="15:16" x14ac:dyDescent="0.3">
      <c r="O89" s="78"/>
      <c r="P89" s="134"/>
    </row>
    <row r="90" spans="15:16" x14ac:dyDescent="0.3">
      <c r="O90" s="78"/>
      <c r="P90" s="134"/>
    </row>
    <row r="91" spans="15:16" x14ac:dyDescent="0.3">
      <c r="O91" s="78"/>
      <c r="P91" s="134"/>
    </row>
    <row r="92" spans="15:16" x14ac:dyDescent="0.3">
      <c r="O92" s="78"/>
      <c r="P92" s="134"/>
    </row>
    <row r="93" spans="15:16" x14ac:dyDescent="0.3">
      <c r="O93" s="78"/>
      <c r="P93" s="134"/>
    </row>
    <row r="94" spans="15:16" x14ac:dyDescent="0.3">
      <c r="O94" s="78"/>
      <c r="P94" s="134"/>
    </row>
    <row r="95" spans="15:16" x14ac:dyDescent="0.3">
      <c r="O95" s="78"/>
      <c r="P95" s="134"/>
    </row>
    <row r="96" spans="15:16" x14ac:dyDescent="0.3">
      <c r="O96" s="78"/>
      <c r="P96" s="134"/>
    </row>
    <row r="97" spans="15:16" x14ac:dyDescent="0.3">
      <c r="O97" s="78"/>
      <c r="P97" s="134"/>
    </row>
    <row r="98" spans="15:16" x14ac:dyDescent="0.3">
      <c r="O98" s="78"/>
      <c r="P98" s="134"/>
    </row>
    <row r="99" spans="15:16" x14ac:dyDescent="0.3">
      <c r="O99" s="78"/>
      <c r="P99" s="134"/>
    </row>
    <row r="100" spans="15:16" x14ac:dyDescent="0.3">
      <c r="O100" s="78"/>
      <c r="P100" s="134"/>
    </row>
    <row r="101" spans="15:16" x14ac:dyDescent="0.3">
      <c r="O101" s="78"/>
      <c r="P101" s="134"/>
    </row>
    <row r="102" spans="15:16" x14ac:dyDescent="0.3">
      <c r="O102" s="78"/>
      <c r="P102" s="134"/>
    </row>
    <row r="103" spans="15:16" x14ac:dyDescent="0.3">
      <c r="O103" s="78"/>
      <c r="P103" s="134"/>
    </row>
    <row r="104" spans="15:16" x14ac:dyDescent="0.3">
      <c r="O104" s="78"/>
      <c r="P104" s="134"/>
    </row>
    <row r="105" spans="15:16" x14ac:dyDescent="0.3">
      <c r="O105" s="78"/>
      <c r="P105" s="134"/>
    </row>
    <row r="106" spans="15:16" x14ac:dyDescent="0.3">
      <c r="O106" s="78"/>
      <c r="P106" s="134"/>
    </row>
    <row r="107" spans="15:16" x14ac:dyDescent="0.3">
      <c r="O107" s="78"/>
      <c r="P107" s="134"/>
    </row>
    <row r="108" spans="15:16" x14ac:dyDescent="0.3">
      <c r="O108" s="78"/>
      <c r="P108" s="134"/>
    </row>
    <row r="109" spans="15:16" x14ac:dyDescent="0.3">
      <c r="O109" s="78"/>
      <c r="P109" s="134"/>
    </row>
    <row r="110" spans="15:16" x14ac:dyDescent="0.3">
      <c r="O110" s="78"/>
      <c r="P110" s="134"/>
    </row>
    <row r="111" spans="15:16" x14ac:dyDescent="0.3">
      <c r="O111" s="78"/>
      <c r="P111" s="134"/>
    </row>
    <row r="112" spans="15:16" x14ac:dyDescent="0.3">
      <c r="O112" s="78"/>
      <c r="P112" s="134"/>
    </row>
    <row r="113" spans="15:16" x14ac:dyDescent="0.3">
      <c r="O113" s="78"/>
      <c r="P113" s="134"/>
    </row>
    <row r="114" spans="15:16" x14ac:dyDescent="0.3">
      <c r="O114" s="78"/>
      <c r="P114" s="134"/>
    </row>
    <row r="115" spans="15:16" x14ac:dyDescent="0.3">
      <c r="O115" s="78"/>
      <c r="P115" s="134"/>
    </row>
    <row r="116" spans="15:16" x14ac:dyDescent="0.3">
      <c r="O116" s="78"/>
      <c r="P116" s="134"/>
    </row>
    <row r="117" spans="15:16" x14ac:dyDescent="0.3">
      <c r="O117" s="78"/>
      <c r="P117" s="134"/>
    </row>
    <row r="118" spans="15:16" x14ac:dyDescent="0.3">
      <c r="O118" s="78"/>
      <c r="P118" s="134"/>
    </row>
    <row r="119" spans="15:16" x14ac:dyDescent="0.3">
      <c r="O119" s="78"/>
      <c r="P119" s="134"/>
    </row>
    <row r="120" spans="15:16" x14ac:dyDescent="0.3">
      <c r="O120" s="78"/>
      <c r="P120" s="134"/>
    </row>
    <row r="121" spans="15:16" x14ac:dyDescent="0.3">
      <c r="O121" s="78"/>
      <c r="P121" s="134"/>
    </row>
    <row r="122" spans="15:16" x14ac:dyDescent="0.3">
      <c r="O122" s="78"/>
      <c r="P122" s="134"/>
    </row>
    <row r="123" spans="15:16" x14ac:dyDescent="0.3">
      <c r="O123" s="78"/>
      <c r="P123" s="134"/>
    </row>
    <row r="124" spans="15:16" x14ac:dyDescent="0.3">
      <c r="O124" s="78"/>
      <c r="P124" s="134"/>
    </row>
    <row r="125" spans="15:16" x14ac:dyDescent="0.3">
      <c r="O125" s="78"/>
      <c r="P125" s="134"/>
    </row>
    <row r="126" spans="15:16" x14ac:dyDescent="0.3">
      <c r="O126" s="78"/>
      <c r="P126" s="134"/>
    </row>
    <row r="127" spans="15:16" x14ac:dyDescent="0.3">
      <c r="O127" s="78"/>
      <c r="P127" s="134"/>
    </row>
    <row r="128" spans="15:16" x14ac:dyDescent="0.3">
      <c r="O128" s="78"/>
      <c r="P128" s="134"/>
    </row>
    <row r="129" spans="15:16" x14ac:dyDescent="0.3">
      <c r="O129" s="78"/>
      <c r="P129" s="134"/>
    </row>
    <row r="130" spans="15:16" x14ac:dyDescent="0.3">
      <c r="O130" s="78"/>
      <c r="P130" s="134"/>
    </row>
    <row r="131" spans="15:16" x14ac:dyDescent="0.3">
      <c r="O131" s="78"/>
      <c r="P131" s="134"/>
    </row>
    <row r="132" spans="15:16" x14ac:dyDescent="0.3">
      <c r="O132" s="78"/>
      <c r="P132" s="134"/>
    </row>
    <row r="133" spans="15:16" x14ac:dyDescent="0.3">
      <c r="O133" s="78"/>
      <c r="P133" s="134"/>
    </row>
    <row r="134" spans="15:16" x14ac:dyDescent="0.3">
      <c r="O134" s="78"/>
      <c r="P134" s="134"/>
    </row>
    <row r="135" spans="15:16" x14ac:dyDescent="0.3">
      <c r="O135" s="78"/>
      <c r="P135" s="134"/>
    </row>
    <row r="136" spans="15:16" x14ac:dyDescent="0.3">
      <c r="O136" s="78"/>
      <c r="P136" s="134"/>
    </row>
    <row r="137" spans="15:16" x14ac:dyDescent="0.3">
      <c r="O137" s="78"/>
      <c r="P137" s="134"/>
    </row>
    <row r="138" spans="15:16" x14ac:dyDescent="0.3">
      <c r="O138" s="78"/>
      <c r="P138" s="134"/>
    </row>
    <row r="139" spans="15:16" x14ac:dyDescent="0.3">
      <c r="O139" s="78"/>
      <c r="P139" s="134"/>
    </row>
    <row r="140" spans="15:16" x14ac:dyDescent="0.3">
      <c r="O140" s="78"/>
      <c r="P140" s="134"/>
    </row>
    <row r="141" spans="15:16" x14ac:dyDescent="0.3">
      <c r="O141" s="78"/>
      <c r="P141" s="134"/>
    </row>
    <row r="142" spans="15:16" x14ac:dyDescent="0.3">
      <c r="O142" s="78"/>
      <c r="P142" s="134"/>
    </row>
    <row r="143" spans="15:16" x14ac:dyDescent="0.3">
      <c r="O143" s="78"/>
      <c r="P143" s="134"/>
    </row>
    <row r="144" spans="15:16" x14ac:dyDescent="0.3">
      <c r="O144" s="78"/>
      <c r="P144" s="134"/>
    </row>
    <row r="145" spans="15:16" x14ac:dyDescent="0.3">
      <c r="O145" s="78"/>
      <c r="P145" s="134"/>
    </row>
    <row r="146" spans="15:16" x14ac:dyDescent="0.3">
      <c r="O146" s="78"/>
      <c r="P146" s="134"/>
    </row>
    <row r="147" spans="15:16" x14ac:dyDescent="0.3">
      <c r="O147" s="78"/>
      <c r="P147" s="134"/>
    </row>
    <row r="148" spans="15:16" x14ac:dyDescent="0.3">
      <c r="O148" s="78"/>
      <c r="P148" s="134"/>
    </row>
    <row r="149" spans="15:16" x14ac:dyDescent="0.3">
      <c r="O149" s="78"/>
      <c r="P149" s="134"/>
    </row>
    <row r="150" spans="15:16" x14ac:dyDescent="0.3">
      <c r="O150" s="78"/>
      <c r="P150" s="134"/>
    </row>
    <row r="151" spans="15:16" x14ac:dyDescent="0.3">
      <c r="O151" s="78"/>
      <c r="P151" s="134"/>
    </row>
    <row r="152" spans="15:16" x14ac:dyDescent="0.3">
      <c r="O152" s="78"/>
      <c r="P152" s="134"/>
    </row>
    <row r="153" spans="15:16" x14ac:dyDescent="0.3">
      <c r="O153" s="78"/>
      <c r="P153" s="134"/>
    </row>
    <row r="154" spans="15:16" x14ac:dyDescent="0.3">
      <c r="O154" s="78"/>
      <c r="P154" s="134"/>
    </row>
    <row r="155" spans="15:16" x14ac:dyDescent="0.3">
      <c r="O155" s="78"/>
      <c r="P155" s="134"/>
    </row>
    <row r="156" spans="15:16" x14ac:dyDescent="0.3">
      <c r="O156" s="78"/>
      <c r="P156" s="134"/>
    </row>
    <row r="157" spans="15:16" x14ac:dyDescent="0.3">
      <c r="O157" s="78"/>
      <c r="P157" s="134"/>
    </row>
    <row r="158" spans="15:16" x14ac:dyDescent="0.3">
      <c r="O158" s="78"/>
      <c r="P158" s="134"/>
    </row>
    <row r="159" spans="15:16" x14ac:dyDescent="0.3">
      <c r="O159" s="78"/>
      <c r="P159" s="134"/>
    </row>
    <row r="160" spans="15:16" x14ac:dyDescent="0.3">
      <c r="O160" s="78"/>
      <c r="P160" s="134"/>
    </row>
    <row r="161" spans="15:16" x14ac:dyDescent="0.3">
      <c r="O161" s="78"/>
      <c r="P161" s="134"/>
    </row>
    <row r="162" spans="15:16" x14ac:dyDescent="0.3">
      <c r="O162" s="78"/>
      <c r="P162" s="134"/>
    </row>
    <row r="163" spans="15:16" x14ac:dyDescent="0.3">
      <c r="O163" s="78"/>
      <c r="P163" s="134"/>
    </row>
    <row r="164" spans="15:16" x14ac:dyDescent="0.3">
      <c r="O164" s="78"/>
      <c r="P164" s="134"/>
    </row>
    <row r="165" spans="15:16" x14ac:dyDescent="0.3">
      <c r="O165" s="78"/>
      <c r="P165" s="134"/>
    </row>
    <row r="166" spans="15:16" x14ac:dyDescent="0.3">
      <c r="O166" s="78"/>
      <c r="P166" s="134"/>
    </row>
    <row r="167" spans="15:16" x14ac:dyDescent="0.3">
      <c r="O167" s="78"/>
      <c r="P167" s="134"/>
    </row>
    <row r="168" spans="15:16" x14ac:dyDescent="0.3">
      <c r="O168" s="78"/>
      <c r="P168" s="134"/>
    </row>
    <row r="169" spans="15:16" x14ac:dyDescent="0.3">
      <c r="O169" s="78"/>
      <c r="P169" s="134"/>
    </row>
    <row r="170" spans="15:16" x14ac:dyDescent="0.3">
      <c r="O170" s="78"/>
      <c r="P170" s="134"/>
    </row>
    <row r="171" spans="15:16" x14ac:dyDescent="0.3">
      <c r="O171" s="78"/>
      <c r="P171" s="134"/>
    </row>
    <row r="172" spans="15:16" x14ac:dyDescent="0.3">
      <c r="O172" s="78"/>
      <c r="P172" s="134"/>
    </row>
    <row r="173" spans="15:16" x14ac:dyDescent="0.3">
      <c r="O173" s="78"/>
      <c r="P173" s="134"/>
    </row>
    <row r="174" spans="15:16" x14ac:dyDescent="0.3">
      <c r="O174" s="78"/>
      <c r="P174" s="134"/>
    </row>
    <row r="175" spans="15:16" x14ac:dyDescent="0.3">
      <c r="O175" s="78"/>
      <c r="P175" s="134"/>
    </row>
    <row r="176" spans="15:16" x14ac:dyDescent="0.3">
      <c r="O176" s="78"/>
      <c r="P176" s="134"/>
    </row>
    <row r="177" spans="15:16" x14ac:dyDescent="0.3">
      <c r="O177" s="78"/>
      <c r="P177" s="134"/>
    </row>
    <row r="178" spans="15:16" x14ac:dyDescent="0.3">
      <c r="O178" s="78"/>
      <c r="P178" s="134"/>
    </row>
    <row r="179" spans="15:16" x14ac:dyDescent="0.3">
      <c r="O179" s="78"/>
      <c r="P179" s="134"/>
    </row>
    <row r="180" spans="15:16" x14ac:dyDescent="0.3">
      <c r="O180" s="78"/>
      <c r="P180" s="134"/>
    </row>
    <row r="181" spans="15:16" x14ac:dyDescent="0.3">
      <c r="O181" s="78"/>
      <c r="P181" s="134"/>
    </row>
    <row r="182" spans="15:16" x14ac:dyDescent="0.3">
      <c r="O182" s="78"/>
      <c r="P182" s="134"/>
    </row>
    <row r="183" spans="15:16" x14ac:dyDescent="0.3">
      <c r="O183" s="78"/>
      <c r="P183" s="134"/>
    </row>
    <row r="184" spans="15:16" x14ac:dyDescent="0.3">
      <c r="O184" s="78"/>
      <c r="P184" s="134"/>
    </row>
    <row r="185" spans="15:16" x14ac:dyDescent="0.3">
      <c r="O185" s="78"/>
      <c r="P185" s="134"/>
    </row>
    <row r="186" spans="15:16" x14ac:dyDescent="0.3">
      <c r="O186" s="78"/>
      <c r="P186" s="134"/>
    </row>
    <row r="187" spans="15:16" x14ac:dyDescent="0.3">
      <c r="O187" s="78"/>
      <c r="P187" s="134"/>
    </row>
    <row r="188" spans="15:16" x14ac:dyDescent="0.3">
      <c r="O188" s="78"/>
      <c r="P188" s="134"/>
    </row>
    <row r="189" spans="15:16" x14ac:dyDescent="0.3">
      <c r="O189" s="78"/>
      <c r="P189" s="134"/>
    </row>
    <row r="190" spans="15:16" x14ac:dyDescent="0.3">
      <c r="O190" s="78"/>
      <c r="P190" s="134"/>
    </row>
    <row r="191" spans="15:16" x14ac:dyDescent="0.3">
      <c r="O191" s="78"/>
      <c r="P191" s="134"/>
    </row>
    <row r="192" spans="15:16" x14ac:dyDescent="0.3">
      <c r="O192" s="78"/>
      <c r="P192" s="134"/>
    </row>
    <row r="193" spans="15:16" x14ac:dyDescent="0.3">
      <c r="O193" s="78"/>
      <c r="P193" s="134"/>
    </row>
    <row r="194" spans="15:16" x14ac:dyDescent="0.3">
      <c r="O194" s="78"/>
      <c r="P194" s="134"/>
    </row>
    <row r="195" spans="15:16" x14ac:dyDescent="0.3">
      <c r="O195" s="78"/>
      <c r="P195" s="134"/>
    </row>
    <row r="196" spans="15:16" x14ac:dyDescent="0.3">
      <c r="O196" s="78"/>
      <c r="P196" s="134"/>
    </row>
    <row r="197" spans="15:16" x14ac:dyDescent="0.3">
      <c r="O197" s="78"/>
      <c r="P197" s="134"/>
    </row>
    <row r="198" spans="15:16" x14ac:dyDescent="0.3">
      <c r="O198" s="78"/>
      <c r="P198" s="134"/>
    </row>
    <row r="199" spans="15:16" x14ac:dyDescent="0.3">
      <c r="O199" s="78"/>
      <c r="P199" s="134"/>
    </row>
    <row r="200" spans="15:16" x14ac:dyDescent="0.3">
      <c r="O200" s="78"/>
      <c r="P200" s="134"/>
    </row>
    <row r="201" spans="15:16" x14ac:dyDescent="0.3">
      <c r="O201" s="78"/>
      <c r="P201" s="134"/>
    </row>
    <row r="202" spans="15:16" x14ac:dyDescent="0.3">
      <c r="O202" s="78"/>
      <c r="P202" s="134"/>
    </row>
    <row r="203" spans="15:16" x14ac:dyDescent="0.3">
      <c r="O203" s="78"/>
      <c r="P203" s="134"/>
    </row>
    <row r="204" spans="15:16" x14ac:dyDescent="0.3">
      <c r="O204" s="78"/>
      <c r="P204" s="134"/>
    </row>
    <row r="205" spans="15:16" x14ac:dyDescent="0.3">
      <c r="O205" s="78"/>
      <c r="P205" s="134"/>
    </row>
    <row r="206" spans="15:16" x14ac:dyDescent="0.3">
      <c r="O206" s="78"/>
      <c r="P206" s="134"/>
    </row>
    <row r="207" spans="15:16" x14ac:dyDescent="0.3">
      <c r="O207" s="78"/>
      <c r="P207" s="134"/>
    </row>
    <row r="208" spans="15:16" x14ac:dyDescent="0.3">
      <c r="O208" s="78"/>
      <c r="P208" s="134"/>
    </row>
    <row r="209" spans="15:16" x14ac:dyDescent="0.3">
      <c r="O209" s="78"/>
      <c r="P209" s="134"/>
    </row>
    <row r="210" spans="15:16" x14ac:dyDescent="0.3">
      <c r="O210" s="78"/>
      <c r="P210" s="134"/>
    </row>
    <row r="211" spans="15:16" x14ac:dyDescent="0.3">
      <c r="O211" s="78"/>
      <c r="P211" s="134"/>
    </row>
    <row r="212" spans="15:16" x14ac:dyDescent="0.3">
      <c r="O212" s="78"/>
      <c r="P212" s="134"/>
    </row>
    <row r="213" spans="15:16" x14ac:dyDescent="0.3">
      <c r="O213" s="78"/>
      <c r="P213" s="134"/>
    </row>
    <row r="214" spans="15:16" x14ac:dyDescent="0.3">
      <c r="O214" s="78"/>
      <c r="P214" s="134"/>
    </row>
    <row r="215" spans="15:16" x14ac:dyDescent="0.3">
      <c r="O215" s="78"/>
      <c r="P215" s="134"/>
    </row>
    <row r="216" spans="15:16" x14ac:dyDescent="0.3">
      <c r="O216" s="78"/>
      <c r="P216" s="134"/>
    </row>
    <row r="217" spans="15:16" x14ac:dyDescent="0.3">
      <c r="O217" s="78"/>
      <c r="P217" s="134"/>
    </row>
    <row r="218" spans="15:16" x14ac:dyDescent="0.3">
      <c r="O218" s="78"/>
      <c r="P218" s="134"/>
    </row>
    <row r="219" spans="15:16" x14ac:dyDescent="0.3">
      <c r="O219" s="78"/>
      <c r="P219" s="134"/>
    </row>
    <row r="220" spans="15:16" x14ac:dyDescent="0.3">
      <c r="O220" s="78"/>
      <c r="P220" s="134"/>
    </row>
    <row r="221" spans="15:16" x14ac:dyDescent="0.3">
      <c r="O221" s="78"/>
      <c r="P221" s="134"/>
    </row>
    <row r="222" spans="15:16" x14ac:dyDescent="0.3">
      <c r="O222" s="78"/>
      <c r="P222" s="134"/>
    </row>
    <row r="223" spans="15:16" x14ac:dyDescent="0.3">
      <c r="O223" s="78"/>
      <c r="P223" s="134"/>
    </row>
    <row r="224" spans="15:16" x14ac:dyDescent="0.3">
      <c r="O224" s="78"/>
      <c r="P224" s="134"/>
    </row>
    <row r="225" spans="15:16" x14ac:dyDescent="0.3">
      <c r="O225" s="78"/>
      <c r="P225" s="134"/>
    </row>
    <row r="226" spans="15:16" x14ac:dyDescent="0.3">
      <c r="O226" s="78"/>
      <c r="P226" s="134"/>
    </row>
    <row r="227" spans="15:16" x14ac:dyDescent="0.3">
      <c r="O227" s="78"/>
      <c r="P227" s="134"/>
    </row>
    <row r="228" spans="15:16" x14ac:dyDescent="0.3">
      <c r="O228" s="78"/>
      <c r="P228" s="134"/>
    </row>
    <row r="229" spans="15:16" x14ac:dyDescent="0.3">
      <c r="O229" s="78"/>
      <c r="P229" s="134"/>
    </row>
    <row r="230" spans="15:16" x14ac:dyDescent="0.3">
      <c r="O230" s="78"/>
      <c r="P230" s="134"/>
    </row>
    <row r="231" spans="15:16" x14ac:dyDescent="0.3">
      <c r="O231" s="78"/>
      <c r="P231" s="134"/>
    </row>
    <row r="232" spans="15:16" x14ac:dyDescent="0.3">
      <c r="O232" s="78"/>
      <c r="P232" s="134"/>
    </row>
    <row r="233" spans="15:16" x14ac:dyDescent="0.3">
      <c r="O233" s="78"/>
      <c r="P233" s="134"/>
    </row>
    <row r="234" spans="15:16" x14ac:dyDescent="0.3">
      <c r="O234" s="78"/>
      <c r="P234" s="134"/>
    </row>
    <row r="235" spans="15:16" x14ac:dyDescent="0.3">
      <c r="O235" s="78"/>
      <c r="P235" s="134"/>
    </row>
    <row r="236" spans="15:16" x14ac:dyDescent="0.3">
      <c r="O236" s="78"/>
      <c r="P236" s="134"/>
    </row>
    <row r="237" spans="15:16" x14ac:dyDescent="0.3">
      <c r="O237" s="78"/>
      <c r="P237" s="134"/>
    </row>
    <row r="238" spans="15:16" x14ac:dyDescent="0.3">
      <c r="O238" s="78"/>
      <c r="P238" s="134"/>
    </row>
    <row r="239" spans="15:16" x14ac:dyDescent="0.3">
      <c r="O239" s="78"/>
      <c r="P239" s="134"/>
    </row>
    <row r="240" spans="15:16" x14ac:dyDescent="0.3">
      <c r="O240" s="78"/>
      <c r="P240" s="134"/>
    </row>
    <row r="241" spans="15:16" x14ac:dyDescent="0.3">
      <c r="O241" s="78"/>
      <c r="P241" s="134"/>
    </row>
    <row r="242" spans="15:16" x14ac:dyDescent="0.3">
      <c r="O242" s="78"/>
      <c r="P242" s="134"/>
    </row>
    <row r="243" spans="15:16" x14ac:dyDescent="0.3">
      <c r="O243" s="78"/>
      <c r="P243" s="134"/>
    </row>
    <row r="244" spans="15:16" x14ac:dyDescent="0.3">
      <c r="O244" s="78"/>
      <c r="P244" s="134"/>
    </row>
    <row r="245" spans="15:16" x14ac:dyDescent="0.3">
      <c r="O245" s="78"/>
      <c r="P245" s="134"/>
    </row>
    <row r="246" spans="15:16" x14ac:dyDescent="0.3">
      <c r="O246" s="78"/>
      <c r="P246" s="134"/>
    </row>
    <row r="247" spans="15:16" x14ac:dyDescent="0.3">
      <c r="O247" s="78"/>
      <c r="P247" s="134"/>
    </row>
    <row r="248" spans="15:16" x14ac:dyDescent="0.3">
      <c r="O248" s="78"/>
      <c r="P248" s="134"/>
    </row>
    <row r="249" spans="15:16" x14ac:dyDescent="0.3">
      <c r="O249" s="78"/>
      <c r="P249" s="134"/>
    </row>
    <row r="250" spans="15:16" x14ac:dyDescent="0.3">
      <c r="O250" s="78"/>
      <c r="P250" s="134"/>
    </row>
    <row r="251" spans="15:16" x14ac:dyDescent="0.3">
      <c r="O251" s="78"/>
      <c r="P251" s="134"/>
    </row>
    <row r="252" spans="15:16" x14ac:dyDescent="0.3">
      <c r="O252" s="78"/>
      <c r="P252" s="134"/>
    </row>
    <row r="253" spans="15:16" x14ac:dyDescent="0.3">
      <c r="O253" s="78"/>
      <c r="P253" s="134"/>
    </row>
    <row r="254" spans="15:16" x14ac:dyDescent="0.3">
      <c r="O254" s="78"/>
      <c r="P254" s="134"/>
    </row>
    <row r="255" spans="15:16" x14ac:dyDescent="0.3">
      <c r="O255" s="78"/>
      <c r="P255" s="134"/>
    </row>
    <row r="256" spans="15:16" x14ac:dyDescent="0.3">
      <c r="O256" s="78"/>
      <c r="P256" s="134"/>
    </row>
    <row r="257" spans="15:16" x14ac:dyDescent="0.3">
      <c r="O257" s="78"/>
      <c r="P257" s="134"/>
    </row>
    <row r="258" spans="15:16" x14ac:dyDescent="0.3">
      <c r="O258" s="78"/>
      <c r="P258" s="134"/>
    </row>
    <row r="259" spans="15:16" x14ac:dyDescent="0.3">
      <c r="O259" s="78"/>
      <c r="P259" s="134"/>
    </row>
    <row r="260" spans="15:16" x14ac:dyDescent="0.3">
      <c r="O260" s="78"/>
      <c r="P260" s="134"/>
    </row>
    <row r="261" spans="15:16" x14ac:dyDescent="0.3">
      <c r="O261" s="78"/>
      <c r="P261" s="134"/>
    </row>
    <row r="262" spans="15:16" x14ac:dyDescent="0.3">
      <c r="O262" s="78"/>
      <c r="P262" s="134"/>
    </row>
    <row r="263" spans="15:16" x14ac:dyDescent="0.3">
      <c r="O263" s="78"/>
      <c r="P263" s="134"/>
    </row>
    <row r="264" spans="15:16" x14ac:dyDescent="0.3">
      <c r="O264" s="78"/>
      <c r="P264" s="134"/>
    </row>
    <row r="265" spans="15:16" x14ac:dyDescent="0.3">
      <c r="O265" s="78"/>
      <c r="P265" s="134"/>
    </row>
    <row r="266" spans="15:16" x14ac:dyDescent="0.3">
      <c r="O266" s="78"/>
      <c r="P266" s="134"/>
    </row>
    <row r="267" spans="15:16" x14ac:dyDescent="0.3">
      <c r="O267" s="78"/>
      <c r="P267" s="134"/>
    </row>
    <row r="268" spans="15:16" x14ac:dyDescent="0.3">
      <c r="O268" s="78"/>
      <c r="P268" s="134"/>
    </row>
    <row r="269" spans="15:16" x14ac:dyDescent="0.3">
      <c r="O269" s="78"/>
      <c r="P269" s="134"/>
    </row>
    <row r="270" spans="15:16" x14ac:dyDescent="0.3">
      <c r="O270" s="78"/>
      <c r="P270" s="134"/>
    </row>
    <row r="271" spans="15:16" x14ac:dyDescent="0.3">
      <c r="O271" s="78"/>
      <c r="P271" s="134"/>
    </row>
    <row r="272" spans="15:16" x14ac:dyDescent="0.3">
      <c r="O272" s="78"/>
      <c r="P272" s="134"/>
    </row>
    <row r="273" spans="15:16" x14ac:dyDescent="0.3">
      <c r="O273" s="78"/>
      <c r="P273" s="134"/>
    </row>
    <row r="274" spans="15:16" x14ac:dyDescent="0.3">
      <c r="O274" s="78"/>
      <c r="P274" s="134"/>
    </row>
    <row r="275" spans="15:16" x14ac:dyDescent="0.3">
      <c r="O275" s="78"/>
      <c r="P275" s="134"/>
    </row>
    <row r="276" spans="15:16" x14ac:dyDescent="0.3">
      <c r="O276" s="78"/>
      <c r="P276" s="134"/>
    </row>
    <row r="277" spans="15:16" x14ac:dyDescent="0.3">
      <c r="O277" s="78"/>
      <c r="P277" s="134"/>
    </row>
    <row r="278" spans="15:16" x14ac:dyDescent="0.3">
      <c r="O278" s="78"/>
      <c r="P278" s="134"/>
    </row>
    <row r="279" spans="15:16" x14ac:dyDescent="0.3">
      <c r="O279" s="78"/>
      <c r="P279" s="134"/>
    </row>
    <row r="280" spans="15:16" x14ac:dyDescent="0.3">
      <c r="O280" s="78"/>
      <c r="P280" s="134"/>
    </row>
    <row r="281" spans="15:16" x14ac:dyDescent="0.3">
      <c r="O281" s="78"/>
      <c r="P281" s="134"/>
    </row>
    <row r="282" spans="15:16" x14ac:dyDescent="0.3">
      <c r="O282" s="78"/>
      <c r="P282" s="134"/>
    </row>
    <row r="283" spans="15:16" x14ac:dyDescent="0.3">
      <c r="O283" s="78"/>
      <c r="P283" s="134"/>
    </row>
    <row r="284" spans="15:16" x14ac:dyDescent="0.3">
      <c r="O284" s="78"/>
      <c r="P284" s="134"/>
    </row>
    <row r="285" spans="15:16" x14ac:dyDescent="0.3">
      <c r="O285" s="78"/>
      <c r="P285" s="134"/>
    </row>
    <row r="286" spans="15:16" x14ac:dyDescent="0.3">
      <c r="O286" s="78"/>
      <c r="P286" s="134"/>
    </row>
    <row r="287" spans="15:16" x14ac:dyDescent="0.3">
      <c r="O287" s="78"/>
      <c r="P287" s="134"/>
    </row>
    <row r="288" spans="15:16" x14ac:dyDescent="0.3">
      <c r="O288" s="78"/>
      <c r="P288" s="134"/>
    </row>
    <row r="289" spans="15:16" x14ac:dyDescent="0.3">
      <c r="O289" s="78"/>
      <c r="P289" s="134"/>
    </row>
    <row r="290" spans="15:16" x14ac:dyDescent="0.3">
      <c r="O290" s="78"/>
      <c r="P290" s="134"/>
    </row>
    <row r="291" spans="15:16" x14ac:dyDescent="0.3">
      <c r="O291" s="78"/>
      <c r="P291" s="134"/>
    </row>
    <row r="292" spans="15:16" x14ac:dyDescent="0.3">
      <c r="O292" s="78"/>
      <c r="P292" s="134"/>
    </row>
    <row r="293" spans="15:16" x14ac:dyDescent="0.3">
      <c r="O293" s="78"/>
      <c r="P293" s="134"/>
    </row>
    <row r="294" spans="15:16" x14ac:dyDescent="0.3">
      <c r="O294" s="78"/>
      <c r="P294" s="134"/>
    </row>
    <row r="295" spans="15:16" x14ac:dyDescent="0.3">
      <c r="O295" s="78"/>
      <c r="P295" s="134"/>
    </row>
    <row r="296" spans="15:16" x14ac:dyDescent="0.3">
      <c r="O296" s="78"/>
      <c r="P296" s="134"/>
    </row>
    <row r="297" spans="15:16" x14ac:dyDescent="0.3">
      <c r="O297" s="78"/>
      <c r="P297" s="134"/>
    </row>
    <row r="298" spans="15:16" x14ac:dyDescent="0.3">
      <c r="O298" s="78"/>
      <c r="P298" s="134"/>
    </row>
    <row r="299" spans="15:16" x14ac:dyDescent="0.3">
      <c r="O299" s="78"/>
      <c r="P299" s="134"/>
    </row>
    <row r="300" spans="15:16" x14ac:dyDescent="0.3">
      <c r="O300" s="78"/>
      <c r="P300" s="134"/>
    </row>
    <row r="301" spans="15:16" x14ac:dyDescent="0.3">
      <c r="O301" s="78"/>
      <c r="P301" s="134"/>
    </row>
    <row r="302" spans="15:16" x14ac:dyDescent="0.3">
      <c r="O302" s="78"/>
      <c r="P302" s="134"/>
    </row>
    <row r="303" spans="15:16" x14ac:dyDescent="0.3">
      <c r="O303" s="78"/>
      <c r="P303" s="134"/>
    </row>
    <row r="304" spans="15:16" x14ac:dyDescent="0.3">
      <c r="O304" s="78"/>
      <c r="P304" s="134"/>
    </row>
    <row r="305" spans="15:16" x14ac:dyDescent="0.3">
      <c r="O305" s="78"/>
      <c r="P305" s="134"/>
    </row>
    <row r="306" spans="15:16" x14ac:dyDescent="0.3">
      <c r="O306" s="78"/>
      <c r="P306" s="134"/>
    </row>
    <row r="307" spans="15:16" x14ac:dyDescent="0.3">
      <c r="O307" s="78"/>
      <c r="P307" s="134"/>
    </row>
    <row r="308" spans="15:16" x14ac:dyDescent="0.3">
      <c r="O308" s="78"/>
      <c r="P308" s="134"/>
    </row>
    <row r="309" spans="15:16" x14ac:dyDescent="0.3">
      <c r="O309" s="78"/>
      <c r="P309" s="134"/>
    </row>
    <row r="310" spans="15:16" x14ac:dyDescent="0.3">
      <c r="O310" s="78"/>
      <c r="P310" s="134"/>
    </row>
    <row r="311" spans="15:16" x14ac:dyDescent="0.3">
      <c r="O311" s="78"/>
      <c r="P311" s="134"/>
    </row>
    <row r="312" spans="15:16" x14ac:dyDescent="0.3">
      <c r="O312" s="78"/>
      <c r="P312" s="134"/>
    </row>
    <row r="313" spans="15:16" x14ac:dyDescent="0.3">
      <c r="O313" s="78"/>
      <c r="P313" s="134"/>
    </row>
    <row r="314" spans="15:16" x14ac:dyDescent="0.3">
      <c r="O314" s="78"/>
      <c r="P314" s="134"/>
    </row>
    <row r="315" spans="15:16" x14ac:dyDescent="0.3">
      <c r="O315" s="78"/>
      <c r="P315" s="134"/>
    </row>
    <row r="316" spans="15:16" x14ac:dyDescent="0.3">
      <c r="O316" s="78"/>
      <c r="P316" s="134"/>
    </row>
    <row r="317" spans="15:16" x14ac:dyDescent="0.3">
      <c r="O317" s="78"/>
      <c r="P317" s="134"/>
    </row>
    <row r="318" spans="15:16" x14ac:dyDescent="0.3">
      <c r="O318" s="78"/>
      <c r="P318" s="134"/>
    </row>
    <row r="319" spans="15:16" x14ac:dyDescent="0.3">
      <c r="O319" s="78"/>
      <c r="P319" s="134"/>
    </row>
    <row r="320" spans="15:16" x14ac:dyDescent="0.3">
      <c r="O320" s="78"/>
      <c r="P320" s="134"/>
    </row>
    <row r="321" spans="15:16" x14ac:dyDescent="0.3">
      <c r="O321" s="78"/>
      <c r="P321" s="134"/>
    </row>
    <row r="322" spans="15:16" x14ac:dyDescent="0.3">
      <c r="O322" s="78"/>
      <c r="P322" s="134"/>
    </row>
    <row r="323" spans="15:16" x14ac:dyDescent="0.3">
      <c r="O323" s="78"/>
      <c r="P323" s="134"/>
    </row>
    <row r="324" spans="15:16" x14ac:dyDescent="0.3">
      <c r="O324" s="78"/>
      <c r="P324" s="134"/>
    </row>
    <row r="325" spans="15:16" x14ac:dyDescent="0.3">
      <c r="O325" s="78"/>
      <c r="P325" s="134"/>
    </row>
    <row r="326" spans="15:16" x14ac:dyDescent="0.3">
      <c r="O326" s="78"/>
      <c r="P326" s="134"/>
    </row>
    <row r="327" spans="15:16" x14ac:dyDescent="0.3">
      <c r="O327" s="78"/>
      <c r="P327" s="134"/>
    </row>
    <row r="328" spans="15:16" x14ac:dyDescent="0.3">
      <c r="O328" s="78"/>
      <c r="P328" s="134"/>
    </row>
    <row r="329" spans="15:16" x14ac:dyDescent="0.3">
      <c r="O329" s="78"/>
      <c r="P329" s="134"/>
    </row>
    <row r="330" spans="15:16" x14ac:dyDescent="0.3">
      <c r="O330" s="78"/>
      <c r="P330" s="134"/>
    </row>
    <row r="331" spans="15:16" x14ac:dyDescent="0.3">
      <c r="O331" s="78"/>
      <c r="P331" s="134"/>
    </row>
    <row r="332" spans="15:16" x14ac:dyDescent="0.3">
      <c r="O332" s="78"/>
      <c r="P332" s="134"/>
    </row>
    <row r="333" spans="15:16" x14ac:dyDescent="0.3">
      <c r="O333" s="78"/>
      <c r="P333" s="134"/>
    </row>
    <row r="334" spans="15:16" x14ac:dyDescent="0.3">
      <c r="O334" s="78"/>
      <c r="P334" s="134"/>
    </row>
    <row r="335" spans="15:16" x14ac:dyDescent="0.3">
      <c r="O335" s="78"/>
      <c r="P335" s="134"/>
    </row>
    <row r="336" spans="15:16" x14ac:dyDescent="0.3">
      <c r="O336" s="78"/>
      <c r="P336" s="134"/>
    </row>
    <row r="337" spans="15:16" x14ac:dyDescent="0.3">
      <c r="O337" s="78"/>
      <c r="P337" s="134"/>
    </row>
    <row r="338" spans="15:16" x14ac:dyDescent="0.3">
      <c r="O338" s="78"/>
      <c r="P338" s="134"/>
    </row>
    <row r="339" spans="15:16" x14ac:dyDescent="0.3">
      <c r="O339" s="78"/>
      <c r="P339" s="134"/>
    </row>
    <row r="340" spans="15:16" x14ac:dyDescent="0.3">
      <c r="O340" s="78"/>
      <c r="P340" s="134"/>
    </row>
    <row r="341" spans="15:16" x14ac:dyDescent="0.3">
      <c r="O341" s="78"/>
      <c r="P341" s="134"/>
    </row>
    <row r="342" spans="15:16" x14ac:dyDescent="0.3">
      <c r="O342" s="78"/>
      <c r="P342" s="134"/>
    </row>
    <row r="343" spans="15:16" x14ac:dyDescent="0.3">
      <c r="O343" s="78"/>
      <c r="P343" s="134"/>
    </row>
    <row r="344" spans="15:16" x14ac:dyDescent="0.3">
      <c r="O344" s="78"/>
      <c r="P344" s="134"/>
    </row>
    <row r="345" spans="15:16" x14ac:dyDescent="0.3">
      <c r="O345" s="78"/>
      <c r="P345" s="134"/>
    </row>
    <row r="346" spans="15:16" x14ac:dyDescent="0.3">
      <c r="O346" s="78"/>
      <c r="P346" s="134"/>
    </row>
    <row r="347" spans="15:16" x14ac:dyDescent="0.3">
      <c r="O347" s="78"/>
      <c r="P347" s="134"/>
    </row>
    <row r="348" spans="15:16" x14ac:dyDescent="0.3">
      <c r="O348" s="78"/>
      <c r="P348" s="134"/>
    </row>
    <row r="349" spans="15:16" x14ac:dyDescent="0.3">
      <c r="O349" s="78"/>
      <c r="P349" s="134"/>
    </row>
    <row r="350" spans="15:16" x14ac:dyDescent="0.3">
      <c r="O350" s="78"/>
      <c r="P350" s="134"/>
    </row>
    <row r="351" spans="15:16" x14ac:dyDescent="0.3">
      <c r="O351" s="78"/>
      <c r="P351" s="134"/>
    </row>
    <row r="352" spans="15:16" x14ac:dyDescent="0.3">
      <c r="O352" s="78"/>
      <c r="P352" s="134"/>
    </row>
    <row r="353" spans="15:16" x14ac:dyDescent="0.3">
      <c r="O353" s="78"/>
      <c r="P353" s="134"/>
    </row>
    <row r="354" spans="15:16" x14ac:dyDescent="0.3">
      <c r="O354" s="78"/>
      <c r="P354" s="134"/>
    </row>
    <row r="355" spans="15:16" x14ac:dyDescent="0.3">
      <c r="O355" s="78"/>
      <c r="P355" s="134"/>
    </row>
    <row r="356" spans="15:16" x14ac:dyDescent="0.3">
      <c r="O356" s="78"/>
      <c r="P356" s="134"/>
    </row>
    <row r="357" spans="15:16" x14ac:dyDescent="0.3">
      <c r="O357" s="78"/>
      <c r="P357" s="134"/>
    </row>
    <row r="358" spans="15:16" x14ac:dyDescent="0.3">
      <c r="O358" s="78"/>
      <c r="P358" s="134"/>
    </row>
    <row r="359" spans="15:16" x14ac:dyDescent="0.3">
      <c r="O359" s="78"/>
      <c r="P359" s="134"/>
    </row>
    <row r="360" spans="15:16" x14ac:dyDescent="0.3">
      <c r="O360" s="78"/>
      <c r="P360" s="134"/>
    </row>
    <row r="361" spans="15:16" x14ac:dyDescent="0.3">
      <c r="O361" s="78"/>
      <c r="P361" s="134"/>
    </row>
    <row r="362" spans="15:16" x14ac:dyDescent="0.3">
      <c r="O362" s="78"/>
      <c r="P362" s="134"/>
    </row>
    <row r="363" spans="15:16" x14ac:dyDescent="0.3">
      <c r="O363" s="78"/>
      <c r="P363" s="134"/>
    </row>
    <row r="364" spans="15:16" x14ac:dyDescent="0.3">
      <c r="O364" s="78"/>
      <c r="P364" s="134"/>
    </row>
    <row r="365" spans="15:16" x14ac:dyDescent="0.3">
      <c r="O365" s="78"/>
      <c r="P365" s="134"/>
    </row>
    <row r="366" spans="15:16" x14ac:dyDescent="0.3">
      <c r="O366" s="78"/>
      <c r="P366" s="134"/>
    </row>
    <row r="367" spans="15:16" x14ac:dyDescent="0.3">
      <c r="O367" s="78"/>
      <c r="P367" s="134"/>
    </row>
    <row r="368" spans="15:16" x14ac:dyDescent="0.3">
      <c r="O368" s="78"/>
      <c r="P368" s="134"/>
    </row>
    <row r="369" spans="15:16" x14ac:dyDescent="0.3">
      <c r="O369" s="78"/>
      <c r="P369" s="134"/>
    </row>
    <row r="370" spans="15:16" x14ac:dyDescent="0.3">
      <c r="O370" s="78"/>
      <c r="P370" s="134"/>
    </row>
    <row r="371" spans="15:16" x14ac:dyDescent="0.3">
      <c r="O371" s="78"/>
      <c r="P371" s="134"/>
    </row>
    <row r="372" spans="15:16" x14ac:dyDescent="0.3">
      <c r="O372" s="78"/>
      <c r="P372" s="134"/>
    </row>
    <row r="373" spans="15:16" x14ac:dyDescent="0.3">
      <c r="O373" s="78"/>
      <c r="P373" s="134"/>
    </row>
    <row r="374" spans="15:16" x14ac:dyDescent="0.3">
      <c r="O374" s="78"/>
      <c r="P374" s="134"/>
    </row>
    <row r="375" spans="15:16" x14ac:dyDescent="0.3">
      <c r="O375" s="78"/>
      <c r="P375" s="134"/>
    </row>
    <row r="376" spans="15:16" x14ac:dyDescent="0.3">
      <c r="O376" s="78"/>
      <c r="P376" s="134"/>
    </row>
    <row r="377" spans="15:16" x14ac:dyDescent="0.3">
      <c r="O377" s="78"/>
      <c r="P377" s="134"/>
    </row>
    <row r="378" spans="15:16" x14ac:dyDescent="0.3">
      <c r="O378" s="78"/>
      <c r="P378" s="134"/>
    </row>
    <row r="379" spans="15:16" x14ac:dyDescent="0.3">
      <c r="O379" s="78"/>
      <c r="P379" s="134"/>
    </row>
    <row r="380" spans="15:16" x14ac:dyDescent="0.3">
      <c r="O380" s="78"/>
      <c r="P380" s="134"/>
    </row>
    <row r="381" spans="15:16" x14ac:dyDescent="0.3">
      <c r="O381" s="78"/>
      <c r="P381" s="134"/>
    </row>
    <row r="382" spans="15:16" x14ac:dyDescent="0.3">
      <c r="O382" s="78"/>
      <c r="P382" s="134"/>
    </row>
    <row r="383" spans="15:16" x14ac:dyDescent="0.3">
      <c r="O383" s="78"/>
      <c r="P383" s="134"/>
    </row>
    <row r="384" spans="15:16" x14ac:dyDescent="0.3">
      <c r="O384" s="78"/>
      <c r="P384" s="134"/>
    </row>
    <row r="385" spans="15:16" x14ac:dyDescent="0.3">
      <c r="O385" s="78"/>
      <c r="P385" s="134"/>
    </row>
    <row r="386" spans="15:16" x14ac:dyDescent="0.3">
      <c r="O386" s="78"/>
      <c r="P386" s="134"/>
    </row>
    <row r="387" spans="15:16" x14ac:dyDescent="0.3">
      <c r="O387" s="78"/>
      <c r="P387" s="134"/>
    </row>
    <row r="388" spans="15:16" x14ac:dyDescent="0.3">
      <c r="O388" s="78"/>
      <c r="P388" s="134"/>
    </row>
    <row r="389" spans="15:16" x14ac:dyDescent="0.3">
      <c r="O389" s="78"/>
      <c r="P389" s="134"/>
    </row>
    <row r="390" spans="15:16" x14ac:dyDescent="0.3">
      <c r="O390" s="78"/>
      <c r="P390" s="134"/>
    </row>
    <row r="391" spans="15:16" x14ac:dyDescent="0.3">
      <c r="O391" s="78"/>
      <c r="P391" s="134"/>
    </row>
    <row r="392" spans="15:16" x14ac:dyDescent="0.3">
      <c r="O392" s="78"/>
      <c r="P392" s="134"/>
    </row>
    <row r="393" spans="15:16" x14ac:dyDescent="0.3">
      <c r="O393" s="78"/>
      <c r="P393" s="134"/>
    </row>
    <row r="394" spans="15:16" x14ac:dyDescent="0.3">
      <c r="O394" s="78"/>
      <c r="P394" s="134"/>
    </row>
    <row r="395" spans="15:16" x14ac:dyDescent="0.3">
      <c r="O395" s="78"/>
      <c r="P395" s="134"/>
    </row>
    <row r="396" spans="15:16" x14ac:dyDescent="0.3">
      <c r="O396" s="78"/>
      <c r="P396" s="134"/>
    </row>
    <row r="397" spans="15:16" x14ac:dyDescent="0.3">
      <c r="O397" s="78"/>
      <c r="P397" s="134"/>
    </row>
    <row r="398" spans="15:16" x14ac:dyDescent="0.3">
      <c r="O398" s="78"/>
      <c r="P398" s="134"/>
    </row>
    <row r="399" spans="15:16" x14ac:dyDescent="0.3">
      <c r="O399" s="78"/>
      <c r="P399" s="134"/>
    </row>
    <row r="400" spans="15:16" x14ac:dyDescent="0.3">
      <c r="O400" s="78"/>
      <c r="P400" s="134"/>
    </row>
    <row r="401" spans="15:16" x14ac:dyDescent="0.3">
      <c r="O401" s="78"/>
      <c r="P401" s="134"/>
    </row>
    <row r="402" spans="15:16" x14ac:dyDescent="0.3">
      <c r="O402" s="78"/>
      <c r="P402" s="134"/>
    </row>
    <row r="403" spans="15:16" x14ac:dyDescent="0.3">
      <c r="O403" s="78"/>
      <c r="P403" s="134"/>
    </row>
    <row r="404" spans="15:16" x14ac:dyDescent="0.3">
      <c r="O404" s="78"/>
      <c r="P404" s="134"/>
    </row>
    <row r="405" spans="15:16" x14ac:dyDescent="0.3">
      <c r="O405" s="78"/>
      <c r="P405" s="134"/>
    </row>
    <row r="406" spans="15:16" x14ac:dyDescent="0.3">
      <c r="O406" s="78"/>
      <c r="P406" s="134"/>
    </row>
    <row r="407" spans="15:16" x14ac:dyDescent="0.3">
      <c r="O407" s="78"/>
      <c r="P407" s="134"/>
    </row>
    <row r="408" spans="15:16" x14ac:dyDescent="0.3">
      <c r="O408" s="78"/>
      <c r="P408" s="134"/>
    </row>
    <row r="409" spans="15:16" x14ac:dyDescent="0.3">
      <c r="O409" s="78"/>
      <c r="P409" s="134"/>
    </row>
    <row r="410" spans="15:16" x14ac:dyDescent="0.3">
      <c r="O410" s="78"/>
      <c r="P410" s="134"/>
    </row>
    <row r="411" spans="15:16" x14ac:dyDescent="0.3">
      <c r="O411" s="78"/>
      <c r="P411" s="134"/>
    </row>
    <row r="412" spans="15:16" x14ac:dyDescent="0.3">
      <c r="O412" s="78"/>
      <c r="P412" s="134"/>
    </row>
    <row r="413" spans="15:16" x14ac:dyDescent="0.3">
      <c r="O413" s="78"/>
      <c r="P413" s="134"/>
    </row>
    <row r="414" spans="15:16" x14ac:dyDescent="0.3">
      <c r="O414" s="78"/>
      <c r="P414" s="134"/>
    </row>
    <row r="415" spans="15:16" x14ac:dyDescent="0.3">
      <c r="O415" s="78"/>
      <c r="P415" s="134"/>
    </row>
    <row r="416" spans="15:16" x14ac:dyDescent="0.3">
      <c r="O416" s="78"/>
      <c r="P416" s="134"/>
    </row>
    <row r="417" spans="15:16" x14ac:dyDescent="0.3">
      <c r="O417" s="78"/>
      <c r="P417" s="134"/>
    </row>
    <row r="418" spans="15:16" x14ac:dyDescent="0.3">
      <c r="O418" s="78"/>
      <c r="P418" s="134"/>
    </row>
    <row r="419" spans="15:16" x14ac:dyDescent="0.3">
      <c r="O419" s="78"/>
      <c r="P419" s="134"/>
    </row>
    <row r="420" spans="15:16" x14ac:dyDescent="0.3">
      <c r="O420" s="78"/>
      <c r="P420" s="134"/>
    </row>
    <row r="421" spans="15:16" x14ac:dyDescent="0.3">
      <c r="O421" s="78"/>
      <c r="P421" s="134"/>
    </row>
    <row r="422" spans="15:16" x14ac:dyDescent="0.3">
      <c r="O422" s="78"/>
      <c r="P422" s="134"/>
    </row>
    <row r="423" spans="15:16" x14ac:dyDescent="0.3">
      <c r="O423" s="78"/>
      <c r="P423" s="134"/>
    </row>
    <row r="424" spans="15:16" x14ac:dyDescent="0.3">
      <c r="O424" s="78"/>
      <c r="P424" s="134"/>
    </row>
    <row r="425" spans="15:16" x14ac:dyDescent="0.3">
      <c r="O425" s="78"/>
      <c r="P425" s="134"/>
    </row>
    <row r="426" spans="15:16" x14ac:dyDescent="0.3">
      <c r="O426" s="78"/>
      <c r="P426" s="134"/>
    </row>
    <row r="427" spans="15:16" x14ac:dyDescent="0.3">
      <c r="O427" s="78"/>
      <c r="P427" s="134"/>
    </row>
    <row r="428" spans="15:16" x14ac:dyDescent="0.3">
      <c r="O428" s="78"/>
      <c r="P428" s="134"/>
    </row>
    <row r="429" spans="15:16" x14ac:dyDescent="0.3">
      <c r="O429" s="78"/>
      <c r="P429" s="134"/>
    </row>
    <row r="430" spans="15:16" x14ac:dyDescent="0.3">
      <c r="O430" s="78"/>
      <c r="P430" s="134"/>
    </row>
    <row r="431" spans="15:16" x14ac:dyDescent="0.3">
      <c r="O431" s="78"/>
      <c r="P431" s="134"/>
    </row>
    <row r="432" spans="15:16" x14ac:dyDescent="0.3">
      <c r="O432" s="78"/>
      <c r="P432" s="134"/>
    </row>
    <row r="433" spans="15:16" x14ac:dyDescent="0.3">
      <c r="O433" s="78"/>
      <c r="P433" s="134"/>
    </row>
    <row r="434" spans="15:16" x14ac:dyDescent="0.3">
      <c r="O434" s="78"/>
      <c r="P434" s="134"/>
    </row>
    <row r="435" spans="15:16" x14ac:dyDescent="0.3">
      <c r="O435" s="78"/>
      <c r="P435" s="134"/>
    </row>
    <row r="436" spans="15:16" x14ac:dyDescent="0.3">
      <c r="O436" s="78"/>
      <c r="P436" s="134"/>
    </row>
    <row r="437" spans="15:16" x14ac:dyDescent="0.3">
      <c r="O437" s="78"/>
      <c r="P437" s="134"/>
    </row>
    <row r="438" spans="15:16" x14ac:dyDescent="0.3">
      <c r="O438" s="78"/>
      <c r="P438" s="134"/>
    </row>
    <row r="439" spans="15:16" x14ac:dyDescent="0.3">
      <c r="O439" s="78"/>
      <c r="P439" s="134"/>
    </row>
    <row r="440" spans="15:16" x14ac:dyDescent="0.3">
      <c r="O440" s="78"/>
      <c r="P440" s="134"/>
    </row>
    <row r="441" spans="15:16" x14ac:dyDescent="0.3">
      <c r="O441" s="78"/>
      <c r="P441" s="134"/>
    </row>
    <row r="442" spans="15:16" x14ac:dyDescent="0.3">
      <c r="O442" s="78"/>
      <c r="P442" s="134"/>
    </row>
    <row r="443" spans="15:16" x14ac:dyDescent="0.3">
      <c r="O443" s="78"/>
      <c r="P443" s="134"/>
    </row>
    <row r="444" spans="15:16" x14ac:dyDescent="0.3">
      <c r="O444" s="78"/>
      <c r="P444" s="134"/>
    </row>
    <row r="445" spans="15:16" x14ac:dyDescent="0.3">
      <c r="O445" s="78"/>
      <c r="P445" s="134"/>
    </row>
    <row r="446" spans="15:16" x14ac:dyDescent="0.3">
      <c r="O446" s="78"/>
      <c r="P446" s="134"/>
    </row>
    <row r="447" spans="15:16" x14ac:dyDescent="0.3">
      <c r="O447" s="78"/>
      <c r="P447" s="134"/>
    </row>
    <row r="448" spans="15:16" x14ac:dyDescent="0.3">
      <c r="O448" s="78"/>
      <c r="P448" s="134"/>
    </row>
    <row r="449" spans="15:16" x14ac:dyDescent="0.3">
      <c r="O449" s="78"/>
      <c r="P449" s="134"/>
    </row>
    <row r="450" spans="15:16" x14ac:dyDescent="0.3">
      <c r="O450" s="78"/>
      <c r="P450" s="134"/>
    </row>
    <row r="451" spans="15:16" x14ac:dyDescent="0.3">
      <c r="O451" s="78"/>
      <c r="P451" s="134"/>
    </row>
    <row r="452" spans="15:16" x14ac:dyDescent="0.3">
      <c r="O452" s="78"/>
      <c r="P452" s="134"/>
    </row>
    <row r="453" spans="15:16" x14ac:dyDescent="0.3">
      <c r="O453" s="78"/>
      <c r="P453" s="134"/>
    </row>
    <row r="454" spans="15:16" x14ac:dyDescent="0.3">
      <c r="O454" s="78"/>
      <c r="P454" s="134"/>
    </row>
    <row r="455" spans="15:16" x14ac:dyDescent="0.3">
      <c r="O455" s="78"/>
      <c r="P455" s="134"/>
    </row>
    <row r="456" spans="15:16" x14ac:dyDescent="0.3">
      <c r="O456" s="78"/>
      <c r="P456" s="134"/>
    </row>
    <row r="457" spans="15:16" x14ac:dyDescent="0.3">
      <c r="O457" s="78"/>
      <c r="P457" s="134"/>
    </row>
    <row r="458" spans="15:16" x14ac:dyDescent="0.3">
      <c r="O458" s="78"/>
      <c r="P458" s="134"/>
    </row>
    <row r="459" spans="15:16" x14ac:dyDescent="0.3">
      <c r="O459" s="78"/>
      <c r="P459" s="134"/>
    </row>
    <row r="460" spans="15:16" x14ac:dyDescent="0.3">
      <c r="O460" s="78"/>
      <c r="P460" s="134"/>
    </row>
    <row r="461" spans="15:16" x14ac:dyDescent="0.3">
      <c r="O461" s="78"/>
      <c r="P461" s="134"/>
    </row>
    <row r="462" spans="15:16" x14ac:dyDescent="0.3">
      <c r="O462" s="78"/>
      <c r="P462" s="134"/>
    </row>
    <row r="463" spans="15:16" x14ac:dyDescent="0.3">
      <c r="O463" s="78"/>
      <c r="P463" s="134"/>
    </row>
    <row r="464" spans="15:16" x14ac:dyDescent="0.3">
      <c r="O464" s="78"/>
      <c r="P464" s="134"/>
    </row>
    <row r="465" spans="15:16" x14ac:dyDescent="0.3">
      <c r="O465" s="78"/>
      <c r="P465" s="134"/>
    </row>
    <row r="466" spans="15:16" x14ac:dyDescent="0.3">
      <c r="O466" s="78"/>
      <c r="P466" s="134"/>
    </row>
    <row r="467" spans="15:16" x14ac:dyDescent="0.3">
      <c r="O467" s="78"/>
      <c r="P467" s="134"/>
    </row>
    <row r="468" spans="15:16" x14ac:dyDescent="0.3">
      <c r="O468" s="78"/>
      <c r="P468" s="134"/>
    </row>
    <row r="469" spans="15:16" x14ac:dyDescent="0.3">
      <c r="O469" s="78"/>
      <c r="P469" s="134"/>
    </row>
    <row r="470" spans="15:16" x14ac:dyDescent="0.3">
      <c r="O470" s="78"/>
      <c r="P470" s="134"/>
    </row>
    <row r="471" spans="15:16" x14ac:dyDescent="0.3">
      <c r="O471" s="78"/>
      <c r="P471" s="134"/>
    </row>
    <row r="472" spans="15:16" x14ac:dyDescent="0.3">
      <c r="O472" s="78"/>
      <c r="P472" s="134"/>
    </row>
    <row r="473" spans="15:16" x14ac:dyDescent="0.3">
      <c r="O473" s="78"/>
      <c r="P473" s="134"/>
    </row>
    <row r="474" spans="15:16" x14ac:dyDescent="0.3">
      <c r="O474" s="78"/>
      <c r="P474" s="134"/>
    </row>
    <row r="475" spans="15:16" x14ac:dyDescent="0.3">
      <c r="O475" s="78"/>
      <c r="P475" s="134"/>
    </row>
    <row r="476" spans="15:16" x14ac:dyDescent="0.3">
      <c r="O476" s="78"/>
      <c r="P476" s="134"/>
    </row>
    <row r="477" spans="15:16" x14ac:dyDescent="0.3">
      <c r="O477" s="78"/>
      <c r="P477" s="134"/>
    </row>
    <row r="478" spans="15:16" x14ac:dyDescent="0.3">
      <c r="O478" s="78"/>
      <c r="P478" s="134"/>
    </row>
    <row r="479" spans="15:16" x14ac:dyDescent="0.3">
      <c r="O479" s="78"/>
      <c r="P479" s="134"/>
    </row>
    <row r="480" spans="15:16" x14ac:dyDescent="0.3">
      <c r="O480" s="78"/>
      <c r="P480" s="134"/>
    </row>
    <row r="481" spans="15:16" x14ac:dyDescent="0.3">
      <c r="O481" s="78"/>
      <c r="P481" s="134"/>
    </row>
    <row r="482" spans="15:16" x14ac:dyDescent="0.3">
      <c r="O482" s="78"/>
      <c r="P482" s="134"/>
    </row>
    <row r="483" spans="15:16" x14ac:dyDescent="0.3">
      <c r="O483" s="78"/>
      <c r="P483" s="134"/>
    </row>
    <row r="484" spans="15:16" x14ac:dyDescent="0.3">
      <c r="O484" s="78"/>
      <c r="P484" s="134"/>
    </row>
    <row r="485" spans="15:16" x14ac:dyDescent="0.3">
      <c r="O485" s="78"/>
      <c r="P485" s="134"/>
    </row>
    <row r="486" spans="15:16" x14ac:dyDescent="0.3">
      <c r="O486" s="78"/>
      <c r="P486" s="134"/>
    </row>
    <row r="487" spans="15:16" x14ac:dyDescent="0.3">
      <c r="O487" s="78"/>
      <c r="P487" s="134"/>
    </row>
    <row r="488" spans="15:16" x14ac:dyDescent="0.3">
      <c r="O488" s="78"/>
      <c r="P488" s="134"/>
    </row>
    <row r="489" spans="15:16" x14ac:dyDescent="0.3">
      <c r="O489" s="78"/>
      <c r="P489" s="134"/>
    </row>
    <row r="490" spans="15:16" x14ac:dyDescent="0.3">
      <c r="O490" s="78"/>
      <c r="P490" s="134"/>
    </row>
    <row r="491" spans="15:16" x14ac:dyDescent="0.3">
      <c r="O491" s="78"/>
      <c r="P491" s="134"/>
    </row>
    <row r="492" spans="15:16" x14ac:dyDescent="0.3">
      <c r="O492" s="78"/>
      <c r="P492" s="134"/>
    </row>
    <row r="493" spans="15:16" x14ac:dyDescent="0.3">
      <c r="O493" s="78"/>
      <c r="P493" s="134"/>
    </row>
    <row r="494" spans="15:16" x14ac:dyDescent="0.3">
      <c r="O494" s="78"/>
      <c r="P494" s="134"/>
    </row>
    <row r="495" spans="15:16" x14ac:dyDescent="0.3">
      <c r="O495" s="78"/>
      <c r="P495" s="134"/>
    </row>
    <row r="496" spans="15:16" x14ac:dyDescent="0.3">
      <c r="O496" s="78"/>
      <c r="P496" s="134"/>
    </row>
    <row r="497" spans="15:16" x14ac:dyDescent="0.3">
      <c r="O497" s="78"/>
      <c r="P497" s="134"/>
    </row>
    <row r="498" spans="15:16" x14ac:dyDescent="0.3">
      <c r="O498" s="78"/>
      <c r="P498" s="134"/>
    </row>
    <row r="499" spans="15:16" x14ac:dyDescent="0.3">
      <c r="O499" s="78"/>
      <c r="P499" s="134"/>
    </row>
    <row r="500" spans="15:16" x14ac:dyDescent="0.3">
      <c r="O500" s="78"/>
      <c r="P500" s="134"/>
    </row>
    <row r="501" spans="15:16" x14ac:dyDescent="0.3">
      <c r="O501" s="78"/>
      <c r="P501" s="134"/>
    </row>
    <row r="502" spans="15:16" x14ac:dyDescent="0.3">
      <c r="O502" s="78"/>
      <c r="P502" s="134"/>
    </row>
    <row r="503" spans="15:16" x14ac:dyDescent="0.3">
      <c r="O503" s="78"/>
      <c r="P503" s="134"/>
    </row>
    <row r="504" spans="15:16" x14ac:dyDescent="0.3">
      <c r="O504" s="78"/>
      <c r="P504" s="134"/>
    </row>
    <row r="505" spans="15:16" x14ac:dyDescent="0.3">
      <c r="O505" s="78"/>
      <c r="P505" s="134"/>
    </row>
    <row r="506" spans="15:16" x14ac:dyDescent="0.3">
      <c r="O506" s="78"/>
      <c r="P506" s="134"/>
    </row>
    <row r="507" spans="15:16" x14ac:dyDescent="0.3">
      <c r="O507" s="78"/>
      <c r="P507" s="134"/>
    </row>
    <row r="508" spans="15:16" x14ac:dyDescent="0.3">
      <c r="O508" s="78"/>
      <c r="P508" s="134"/>
    </row>
    <row r="509" spans="15:16" x14ac:dyDescent="0.3">
      <c r="O509" s="78"/>
      <c r="P509" s="134"/>
    </row>
    <row r="510" spans="15:16" x14ac:dyDescent="0.3">
      <c r="O510" s="78"/>
      <c r="P510" s="134"/>
    </row>
    <row r="511" spans="15:16" x14ac:dyDescent="0.3">
      <c r="O511" s="78"/>
      <c r="P511" s="134"/>
    </row>
    <row r="512" spans="15:16" x14ac:dyDescent="0.3">
      <c r="O512" s="78"/>
      <c r="P512" s="134"/>
    </row>
    <row r="513" spans="15:16" x14ac:dyDescent="0.3">
      <c r="O513" s="78"/>
      <c r="P513" s="134"/>
    </row>
    <row r="514" spans="15:16" x14ac:dyDescent="0.3">
      <c r="O514" s="78"/>
      <c r="P514" s="134"/>
    </row>
    <row r="515" spans="15:16" x14ac:dyDescent="0.3">
      <c r="O515" s="78"/>
      <c r="P515" s="134"/>
    </row>
    <row r="516" spans="15:16" x14ac:dyDescent="0.3">
      <c r="O516" s="78"/>
      <c r="P516" s="134"/>
    </row>
    <row r="517" spans="15:16" x14ac:dyDescent="0.3">
      <c r="O517" s="78"/>
      <c r="P517" s="134"/>
    </row>
    <row r="518" spans="15:16" x14ac:dyDescent="0.3">
      <c r="O518" s="78"/>
      <c r="P518" s="134"/>
    </row>
    <row r="519" spans="15:16" x14ac:dyDescent="0.3">
      <c r="O519" s="78"/>
      <c r="P519" s="134"/>
    </row>
    <row r="520" spans="15:16" x14ac:dyDescent="0.3">
      <c r="O520" s="78"/>
      <c r="P520" s="134"/>
    </row>
    <row r="521" spans="15:16" x14ac:dyDescent="0.3">
      <c r="O521" s="78"/>
      <c r="P521" s="134"/>
    </row>
    <row r="522" spans="15:16" x14ac:dyDescent="0.3">
      <c r="O522" s="78"/>
      <c r="P522" s="134"/>
    </row>
    <row r="523" spans="15:16" x14ac:dyDescent="0.3">
      <c r="O523" s="78"/>
      <c r="P523" s="134"/>
    </row>
    <row r="524" spans="15:16" x14ac:dyDescent="0.3">
      <c r="O524" s="78"/>
      <c r="P524" s="134"/>
    </row>
    <row r="525" spans="15:16" x14ac:dyDescent="0.3">
      <c r="O525" s="78"/>
      <c r="P525" s="134"/>
    </row>
    <row r="526" spans="15:16" x14ac:dyDescent="0.3">
      <c r="O526" s="78"/>
      <c r="P526" s="134"/>
    </row>
    <row r="527" spans="15:16" x14ac:dyDescent="0.3">
      <c r="O527" s="78"/>
      <c r="P527" s="134"/>
    </row>
    <row r="528" spans="15:16" x14ac:dyDescent="0.3">
      <c r="O528" s="78"/>
      <c r="P528" s="134"/>
    </row>
    <row r="529" spans="15:16" x14ac:dyDescent="0.3">
      <c r="O529" s="78"/>
      <c r="P529" s="134"/>
    </row>
    <row r="530" spans="15:16" x14ac:dyDescent="0.3">
      <c r="O530" s="78"/>
      <c r="P530" s="134"/>
    </row>
    <row r="531" spans="15:16" x14ac:dyDescent="0.3">
      <c r="O531" s="78"/>
      <c r="P531" s="134"/>
    </row>
    <row r="532" spans="15:16" x14ac:dyDescent="0.3">
      <c r="O532" s="78"/>
      <c r="P532" s="134"/>
    </row>
    <row r="533" spans="15:16" x14ac:dyDescent="0.3">
      <c r="O533" s="78"/>
      <c r="P533" s="134"/>
    </row>
    <row r="534" spans="15:16" x14ac:dyDescent="0.3">
      <c r="O534" s="78"/>
      <c r="P534" s="134"/>
    </row>
    <row r="535" spans="15:16" x14ac:dyDescent="0.3">
      <c r="O535" s="78"/>
      <c r="P535" s="134"/>
    </row>
    <row r="536" spans="15:16" x14ac:dyDescent="0.3">
      <c r="O536" s="78"/>
      <c r="P536" s="134"/>
    </row>
    <row r="537" spans="15:16" x14ac:dyDescent="0.3">
      <c r="O537" s="78"/>
      <c r="P537" s="134"/>
    </row>
    <row r="538" spans="15:16" x14ac:dyDescent="0.3">
      <c r="O538" s="78"/>
      <c r="P538" s="134"/>
    </row>
    <row r="539" spans="15:16" x14ac:dyDescent="0.3">
      <c r="O539" s="78"/>
      <c r="P539" s="134"/>
    </row>
    <row r="540" spans="15:16" x14ac:dyDescent="0.3">
      <c r="O540" s="78"/>
      <c r="P540" s="134"/>
    </row>
    <row r="541" spans="15:16" x14ac:dyDescent="0.3">
      <c r="O541" s="78"/>
      <c r="P541" s="134"/>
    </row>
    <row r="542" spans="15:16" x14ac:dyDescent="0.3">
      <c r="O542" s="78"/>
      <c r="P542" s="134"/>
    </row>
    <row r="543" spans="15:16" x14ac:dyDescent="0.3">
      <c r="O543" s="78"/>
      <c r="P543" s="134"/>
    </row>
    <row r="544" spans="15:16" x14ac:dyDescent="0.3">
      <c r="O544" s="78"/>
      <c r="P544" s="134"/>
    </row>
    <row r="545" spans="15:16" x14ac:dyDescent="0.3">
      <c r="O545" s="78"/>
      <c r="P545" s="134"/>
    </row>
    <row r="546" spans="15:16" x14ac:dyDescent="0.3">
      <c r="O546" s="78"/>
      <c r="P546" s="134"/>
    </row>
    <row r="547" spans="15:16" x14ac:dyDescent="0.3">
      <c r="O547" s="78"/>
      <c r="P547" s="134"/>
    </row>
    <row r="548" spans="15:16" x14ac:dyDescent="0.3">
      <c r="O548" s="78"/>
      <c r="P548" s="134"/>
    </row>
    <row r="549" spans="15:16" x14ac:dyDescent="0.3">
      <c r="O549" s="78"/>
      <c r="P549" s="134"/>
    </row>
    <row r="550" spans="15:16" x14ac:dyDescent="0.3">
      <c r="O550" s="78"/>
      <c r="P550" s="134"/>
    </row>
    <row r="551" spans="15:16" x14ac:dyDescent="0.3">
      <c r="O551" s="78"/>
      <c r="P551" s="134"/>
    </row>
    <row r="552" spans="15:16" x14ac:dyDescent="0.3">
      <c r="O552" s="78"/>
      <c r="P552" s="134"/>
    </row>
    <row r="553" spans="15:16" x14ac:dyDescent="0.3">
      <c r="O553" s="78"/>
      <c r="P553" s="134"/>
    </row>
    <row r="554" spans="15:16" x14ac:dyDescent="0.3">
      <c r="O554" s="78"/>
      <c r="P554" s="134"/>
    </row>
    <row r="555" spans="15:16" x14ac:dyDescent="0.3">
      <c r="O555" s="78"/>
      <c r="P555" s="134"/>
    </row>
    <row r="556" spans="15:16" x14ac:dyDescent="0.3">
      <c r="O556" s="78"/>
      <c r="P556" s="134"/>
    </row>
    <row r="557" spans="15:16" x14ac:dyDescent="0.3">
      <c r="O557" s="78"/>
      <c r="P557" s="134"/>
    </row>
    <row r="558" spans="15:16" x14ac:dyDescent="0.3">
      <c r="O558" s="78"/>
      <c r="P558" s="134"/>
    </row>
    <row r="559" spans="15:16" x14ac:dyDescent="0.3">
      <c r="O559" s="78"/>
      <c r="P559" s="134"/>
    </row>
    <row r="560" spans="15:16" x14ac:dyDescent="0.3">
      <c r="O560" s="78"/>
      <c r="P560" s="134"/>
    </row>
    <row r="561" spans="15:16" x14ac:dyDescent="0.3">
      <c r="O561" s="78"/>
      <c r="P561" s="134"/>
    </row>
    <row r="562" spans="15:16" x14ac:dyDescent="0.3">
      <c r="O562" s="78"/>
      <c r="P562" s="134"/>
    </row>
    <row r="563" spans="15:16" x14ac:dyDescent="0.3">
      <c r="O563" s="78"/>
      <c r="P563" s="134"/>
    </row>
    <row r="564" spans="15:16" x14ac:dyDescent="0.3">
      <c r="O564" s="78"/>
      <c r="P564" s="134"/>
    </row>
    <row r="565" spans="15:16" x14ac:dyDescent="0.3">
      <c r="O565" s="78"/>
      <c r="P565" s="134"/>
    </row>
    <row r="566" spans="15:16" x14ac:dyDescent="0.3">
      <c r="O566" s="78"/>
      <c r="P566" s="134"/>
    </row>
    <row r="567" spans="15:16" x14ac:dyDescent="0.3">
      <c r="O567" s="78"/>
      <c r="P567" s="134"/>
    </row>
    <row r="568" spans="15:16" x14ac:dyDescent="0.3">
      <c r="O568" s="78"/>
      <c r="P568" s="134"/>
    </row>
    <row r="569" spans="15:16" x14ac:dyDescent="0.3">
      <c r="O569" s="78"/>
      <c r="P569" s="134"/>
    </row>
    <row r="570" spans="15:16" x14ac:dyDescent="0.3">
      <c r="O570" s="78"/>
      <c r="P570" s="134"/>
    </row>
    <row r="571" spans="15:16" x14ac:dyDescent="0.3">
      <c r="O571" s="78"/>
      <c r="P571" s="134"/>
    </row>
    <row r="572" spans="15:16" x14ac:dyDescent="0.3">
      <c r="O572" s="78"/>
      <c r="P572" s="134"/>
    </row>
    <row r="573" spans="15:16" x14ac:dyDescent="0.3">
      <c r="O573" s="78"/>
      <c r="P573" s="134"/>
    </row>
    <row r="574" spans="15:16" x14ac:dyDescent="0.3">
      <c r="O574" s="78"/>
      <c r="P574" s="134"/>
    </row>
    <row r="575" spans="15:16" x14ac:dyDescent="0.3">
      <c r="O575" s="78"/>
      <c r="P575" s="134"/>
    </row>
    <row r="576" spans="15:16" x14ac:dyDescent="0.3">
      <c r="O576" s="78"/>
      <c r="P576" s="134"/>
    </row>
    <row r="577" spans="15:16" x14ac:dyDescent="0.3">
      <c r="O577" s="78"/>
      <c r="P577" s="134"/>
    </row>
    <row r="578" spans="15:16" x14ac:dyDescent="0.3">
      <c r="O578" s="78"/>
      <c r="P578" s="134"/>
    </row>
    <row r="579" spans="15:16" x14ac:dyDescent="0.3">
      <c r="O579" s="78"/>
      <c r="P579" s="134"/>
    </row>
    <row r="580" spans="15:16" x14ac:dyDescent="0.3">
      <c r="O580" s="78"/>
      <c r="P580" s="134"/>
    </row>
    <row r="581" spans="15:16" x14ac:dyDescent="0.3">
      <c r="O581" s="78"/>
      <c r="P581" s="134"/>
    </row>
    <row r="582" spans="15:16" x14ac:dyDescent="0.3">
      <c r="O582" s="78"/>
      <c r="P582" s="134"/>
    </row>
    <row r="583" spans="15:16" x14ac:dyDescent="0.3">
      <c r="O583" s="78"/>
      <c r="P583" s="134"/>
    </row>
    <row r="584" spans="15:16" x14ac:dyDescent="0.3">
      <c r="O584" s="78"/>
      <c r="P584" s="134"/>
    </row>
    <row r="585" spans="15:16" x14ac:dyDescent="0.3">
      <c r="O585" s="78"/>
      <c r="P585" s="134"/>
    </row>
    <row r="586" spans="15:16" x14ac:dyDescent="0.3">
      <c r="O586" s="78"/>
      <c r="P586" s="134"/>
    </row>
    <row r="587" spans="15:16" x14ac:dyDescent="0.3">
      <c r="O587" s="78"/>
      <c r="P587" s="134"/>
    </row>
    <row r="588" spans="15:16" x14ac:dyDescent="0.3">
      <c r="O588" s="78"/>
      <c r="P588" s="134"/>
    </row>
    <row r="589" spans="15:16" x14ac:dyDescent="0.3">
      <c r="O589" s="78"/>
      <c r="P589" s="134"/>
    </row>
    <row r="590" spans="15:16" x14ac:dyDescent="0.3">
      <c r="O590" s="78"/>
      <c r="P590" s="134"/>
    </row>
    <row r="591" spans="15:16" x14ac:dyDescent="0.3">
      <c r="O591" s="78"/>
      <c r="P591" s="134"/>
    </row>
    <row r="592" spans="15:16" x14ac:dyDescent="0.3">
      <c r="O592" s="78"/>
      <c r="P592" s="134"/>
    </row>
    <row r="593" spans="15:16" x14ac:dyDescent="0.3">
      <c r="O593" s="78"/>
      <c r="P593" s="134"/>
    </row>
    <row r="594" spans="15:16" x14ac:dyDescent="0.3">
      <c r="O594" s="78"/>
      <c r="P594" s="134"/>
    </row>
    <row r="595" spans="15:16" x14ac:dyDescent="0.3">
      <c r="O595" s="78"/>
      <c r="P595" s="134"/>
    </row>
    <row r="596" spans="15:16" x14ac:dyDescent="0.3">
      <c r="O596" s="78"/>
      <c r="P596" s="134"/>
    </row>
    <row r="597" spans="15:16" x14ac:dyDescent="0.3">
      <c r="O597" s="78"/>
      <c r="P597" s="134"/>
    </row>
    <row r="598" spans="15:16" x14ac:dyDescent="0.3">
      <c r="O598" s="78"/>
      <c r="P598" s="134"/>
    </row>
    <row r="599" spans="15:16" x14ac:dyDescent="0.3">
      <c r="O599" s="78"/>
      <c r="P599" s="134"/>
    </row>
    <row r="600" spans="15:16" x14ac:dyDescent="0.3">
      <c r="O600" s="78"/>
      <c r="P600" s="134"/>
    </row>
    <row r="601" spans="15:16" x14ac:dyDescent="0.3">
      <c r="O601" s="78"/>
      <c r="P601" s="134"/>
    </row>
    <row r="602" spans="15:16" x14ac:dyDescent="0.3">
      <c r="O602" s="78"/>
      <c r="P602" s="134"/>
    </row>
    <row r="603" spans="15:16" x14ac:dyDescent="0.3">
      <c r="O603" s="78"/>
      <c r="P603" s="134"/>
    </row>
    <row r="604" spans="15:16" x14ac:dyDescent="0.3">
      <c r="O604" s="78"/>
      <c r="P604" s="134"/>
    </row>
    <row r="605" spans="15:16" x14ac:dyDescent="0.3">
      <c r="O605" s="78"/>
      <c r="P605" s="134"/>
    </row>
    <row r="606" spans="15:16" x14ac:dyDescent="0.3">
      <c r="O606" s="78"/>
      <c r="P606" s="134"/>
    </row>
    <row r="607" spans="15:16" x14ac:dyDescent="0.3">
      <c r="O607" s="78"/>
      <c r="P607" s="134"/>
    </row>
    <row r="608" spans="15:16" x14ac:dyDescent="0.3">
      <c r="O608" s="78"/>
      <c r="P608" s="134"/>
    </row>
    <row r="609" spans="15:16" x14ac:dyDescent="0.3">
      <c r="O609" s="78"/>
      <c r="P609" s="134"/>
    </row>
    <row r="610" spans="15:16" x14ac:dyDescent="0.3">
      <c r="O610" s="78"/>
      <c r="P610" s="134"/>
    </row>
    <row r="611" spans="15:16" x14ac:dyDescent="0.3">
      <c r="O611" s="78"/>
      <c r="P611" s="134"/>
    </row>
    <row r="612" spans="15:16" x14ac:dyDescent="0.3">
      <c r="O612" s="78"/>
      <c r="P612" s="134"/>
    </row>
    <row r="613" spans="15:16" x14ac:dyDescent="0.3">
      <c r="O613" s="78"/>
      <c r="P613" s="134"/>
    </row>
    <row r="614" spans="15:16" x14ac:dyDescent="0.3">
      <c r="O614" s="78"/>
      <c r="P614" s="134"/>
    </row>
    <row r="615" spans="15:16" x14ac:dyDescent="0.3">
      <c r="O615" s="78"/>
      <c r="P615" s="134"/>
    </row>
    <row r="616" spans="15:16" x14ac:dyDescent="0.3">
      <c r="O616" s="78"/>
      <c r="P616" s="134"/>
    </row>
    <row r="617" spans="15:16" x14ac:dyDescent="0.3">
      <c r="O617" s="78"/>
      <c r="P617" s="134"/>
    </row>
    <row r="618" spans="15:16" x14ac:dyDescent="0.3">
      <c r="O618" s="78"/>
      <c r="P618" s="134"/>
    </row>
    <row r="619" spans="15:16" x14ac:dyDescent="0.3">
      <c r="O619" s="78"/>
      <c r="P619" s="134"/>
    </row>
    <row r="620" spans="15:16" x14ac:dyDescent="0.3">
      <c r="O620" s="78"/>
      <c r="P620" s="134"/>
    </row>
    <row r="621" spans="15:16" x14ac:dyDescent="0.3">
      <c r="O621" s="78"/>
      <c r="P621" s="134"/>
    </row>
    <row r="622" spans="15:16" x14ac:dyDescent="0.3">
      <c r="O622" s="78"/>
      <c r="P622" s="134"/>
    </row>
    <row r="623" spans="15:16" x14ac:dyDescent="0.3">
      <c r="O623" s="78"/>
      <c r="P623" s="134"/>
    </row>
    <row r="624" spans="15:16" x14ac:dyDescent="0.3">
      <c r="O624" s="78"/>
      <c r="P624" s="134"/>
    </row>
    <row r="625" spans="15:16" x14ac:dyDescent="0.3">
      <c r="O625" s="78"/>
      <c r="P625" s="134"/>
    </row>
    <row r="626" spans="15:16" x14ac:dyDescent="0.3">
      <c r="O626" s="78"/>
      <c r="P626" s="134"/>
    </row>
    <row r="627" spans="15:16" x14ac:dyDescent="0.3">
      <c r="O627" s="78"/>
      <c r="P627" s="134"/>
    </row>
    <row r="628" spans="15:16" x14ac:dyDescent="0.3">
      <c r="O628" s="78"/>
      <c r="P628" s="134"/>
    </row>
    <row r="629" spans="15:16" x14ac:dyDescent="0.3">
      <c r="O629" s="78"/>
      <c r="P629" s="134"/>
    </row>
    <row r="630" spans="15:16" x14ac:dyDescent="0.3">
      <c r="O630" s="78"/>
      <c r="P630" s="134"/>
    </row>
    <row r="631" spans="15:16" x14ac:dyDescent="0.3">
      <c r="O631" s="78"/>
      <c r="P631" s="134"/>
    </row>
    <row r="632" spans="15:16" x14ac:dyDescent="0.3">
      <c r="O632" s="78"/>
      <c r="P632" s="134"/>
    </row>
    <row r="633" spans="15:16" x14ac:dyDescent="0.3">
      <c r="O633" s="78"/>
      <c r="P633" s="134"/>
    </row>
    <row r="634" spans="15:16" x14ac:dyDescent="0.3">
      <c r="O634" s="78"/>
      <c r="P634" s="134"/>
    </row>
    <row r="635" spans="15:16" x14ac:dyDescent="0.3">
      <c r="O635" s="78"/>
      <c r="P635" s="134"/>
    </row>
    <row r="636" spans="15:16" x14ac:dyDescent="0.3">
      <c r="O636" s="78"/>
      <c r="P636" s="134"/>
    </row>
    <row r="637" spans="15:16" x14ac:dyDescent="0.3">
      <c r="O637" s="78"/>
      <c r="P637" s="134"/>
    </row>
    <row r="638" spans="15:16" x14ac:dyDescent="0.3">
      <c r="O638" s="78"/>
      <c r="P638" s="134"/>
    </row>
    <row r="639" spans="15:16" x14ac:dyDescent="0.3">
      <c r="O639" s="78"/>
      <c r="P639" s="134"/>
    </row>
    <row r="640" spans="15:16" x14ac:dyDescent="0.3">
      <c r="O640" s="78"/>
      <c r="P640" s="134"/>
    </row>
    <row r="641" spans="15:16" x14ac:dyDescent="0.3">
      <c r="O641" s="78"/>
      <c r="P641" s="134"/>
    </row>
    <row r="642" spans="15:16" x14ac:dyDescent="0.3">
      <c r="O642" s="78"/>
      <c r="P642" s="134"/>
    </row>
    <row r="643" spans="15:16" x14ac:dyDescent="0.3">
      <c r="O643" s="78"/>
      <c r="P643" s="134"/>
    </row>
    <row r="644" spans="15:16" x14ac:dyDescent="0.3">
      <c r="O644" s="78"/>
      <c r="P644" s="134"/>
    </row>
    <row r="645" spans="15:16" x14ac:dyDescent="0.3">
      <c r="O645" s="78"/>
      <c r="P645" s="134"/>
    </row>
    <row r="646" spans="15:16" x14ac:dyDescent="0.3">
      <c r="O646" s="78"/>
      <c r="P646" s="134"/>
    </row>
    <row r="647" spans="15:16" x14ac:dyDescent="0.3">
      <c r="O647" s="78"/>
      <c r="P647" s="134"/>
    </row>
    <row r="648" spans="15:16" x14ac:dyDescent="0.3">
      <c r="O648" s="78"/>
      <c r="P648" s="134"/>
    </row>
    <row r="649" spans="15:16" x14ac:dyDescent="0.3">
      <c r="O649" s="78"/>
      <c r="P649" s="134"/>
    </row>
    <row r="650" spans="15:16" x14ac:dyDescent="0.3">
      <c r="O650" s="78"/>
      <c r="P650" s="134"/>
    </row>
    <row r="651" spans="15:16" x14ac:dyDescent="0.3">
      <c r="O651" s="78"/>
      <c r="P651" s="134"/>
    </row>
    <row r="652" spans="15:16" x14ac:dyDescent="0.3">
      <c r="O652" s="78"/>
      <c r="P652" s="134"/>
    </row>
    <row r="653" spans="15:16" x14ac:dyDescent="0.3">
      <c r="O653" s="78"/>
      <c r="P653" s="134"/>
    </row>
    <row r="654" spans="15:16" x14ac:dyDescent="0.3">
      <c r="O654" s="78"/>
      <c r="P654" s="134"/>
    </row>
    <row r="655" spans="15:16" x14ac:dyDescent="0.3">
      <c r="O655" s="78"/>
      <c r="P655" s="134"/>
    </row>
    <row r="656" spans="15:16" x14ac:dyDescent="0.3">
      <c r="O656" s="78"/>
      <c r="P656" s="134"/>
    </row>
    <row r="657" spans="15:16" x14ac:dyDescent="0.3">
      <c r="O657" s="78"/>
      <c r="P657" s="134"/>
    </row>
    <row r="658" spans="15:16" x14ac:dyDescent="0.3">
      <c r="O658" s="78"/>
      <c r="P658" s="134"/>
    </row>
    <row r="659" spans="15:16" x14ac:dyDescent="0.3">
      <c r="O659" s="78"/>
      <c r="P659" s="134"/>
    </row>
    <row r="660" spans="15:16" x14ac:dyDescent="0.3">
      <c r="O660" s="78"/>
      <c r="P660" s="134"/>
    </row>
    <row r="661" spans="15:16" x14ac:dyDescent="0.3">
      <c r="O661" s="78"/>
      <c r="P661" s="134"/>
    </row>
    <row r="662" spans="15:16" x14ac:dyDescent="0.3">
      <c r="O662" s="78"/>
      <c r="P662" s="134"/>
    </row>
    <row r="663" spans="15:16" x14ac:dyDescent="0.3">
      <c r="O663" s="78"/>
      <c r="P663" s="134"/>
    </row>
    <row r="664" spans="15:16" x14ac:dyDescent="0.3">
      <c r="O664" s="78"/>
      <c r="P664" s="134"/>
    </row>
    <row r="665" spans="15:16" x14ac:dyDescent="0.3">
      <c r="O665" s="78"/>
      <c r="P665" s="134"/>
    </row>
    <row r="666" spans="15:16" x14ac:dyDescent="0.3">
      <c r="O666" s="78"/>
      <c r="P666" s="134"/>
    </row>
    <row r="667" spans="15:16" x14ac:dyDescent="0.3">
      <c r="O667" s="78"/>
      <c r="P667" s="134"/>
    </row>
    <row r="668" spans="15:16" x14ac:dyDescent="0.3">
      <c r="O668" s="78"/>
      <c r="P668" s="134"/>
    </row>
    <row r="669" spans="15:16" x14ac:dyDescent="0.3">
      <c r="O669" s="78"/>
      <c r="P669" s="134"/>
    </row>
    <row r="670" spans="15:16" x14ac:dyDescent="0.3">
      <c r="O670" s="78"/>
      <c r="P670" s="134"/>
    </row>
    <row r="671" spans="15:16" x14ac:dyDescent="0.3">
      <c r="O671" s="78"/>
      <c r="P671" s="134"/>
    </row>
    <row r="672" spans="15:16" x14ac:dyDescent="0.3">
      <c r="O672" s="78"/>
      <c r="P672" s="134"/>
    </row>
    <row r="673" spans="15:16" x14ac:dyDescent="0.3">
      <c r="O673" s="78"/>
      <c r="P673" s="134"/>
    </row>
    <row r="674" spans="15:16" x14ac:dyDescent="0.3">
      <c r="O674" s="78"/>
      <c r="P674" s="134"/>
    </row>
    <row r="675" spans="15:16" x14ac:dyDescent="0.3">
      <c r="O675" s="78"/>
      <c r="P675" s="134"/>
    </row>
    <row r="676" spans="15:16" x14ac:dyDescent="0.3">
      <c r="O676" s="78"/>
      <c r="P676" s="134"/>
    </row>
    <row r="677" spans="15:16" x14ac:dyDescent="0.3">
      <c r="O677" s="78"/>
      <c r="P677" s="134"/>
    </row>
    <row r="678" spans="15:16" x14ac:dyDescent="0.3">
      <c r="O678" s="78"/>
      <c r="P678" s="134"/>
    </row>
    <row r="679" spans="15:16" x14ac:dyDescent="0.3">
      <c r="O679" s="78"/>
      <c r="P679" s="134"/>
    </row>
    <row r="680" spans="15:16" x14ac:dyDescent="0.3">
      <c r="O680" s="78"/>
      <c r="P680" s="134"/>
    </row>
    <row r="681" spans="15:16" x14ac:dyDescent="0.3">
      <c r="O681" s="78"/>
      <c r="P681" s="134"/>
    </row>
    <row r="682" spans="15:16" x14ac:dyDescent="0.3">
      <c r="O682" s="78"/>
      <c r="P682" s="134"/>
    </row>
    <row r="683" spans="15:16" x14ac:dyDescent="0.3">
      <c r="O683" s="78"/>
      <c r="P683" s="134"/>
    </row>
    <row r="684" spans="15:16" x14ac:dyDescent="0.3">
      <c r="O684" s="78"/>
      <c r="P684" s="134"/>
    </row>
    <row r="685" spans="15:16" x14ac:dyDescent="0.3">
      <c r="O685" s="78"/>
      <c r="P685" s="134"/>
    </row>
    <row r="686" spans="15:16" x14ac:dyDescent="0.3">
      <c r="O686" s="78"/>
      <c r="P686" s="134"/>
    </row>
    <row r="687" spans="15:16" x14ac:dyDescent="0.3">
      <c r="O687" s="78"/>
      <c r="P687" s="134"/>
    </row>
    <row r="688" spans="15:16" x14ac:dyDescent="0.3">
      <c r="O688" s="78"/>
      <c r="P688" s="134"/>
    </row>
    <row r="689" spans="15:16" x14ac:dyDescent="0.3">
      <c r="O689" s="78"/>
      <c r="P689" s="134"/>
    </row>
    <row r="690" spans="15:16" x14ac:dyDescent="0.3">
      <c r="O690" s="78"/>
      <c r="P690" s="134"/>
    </row>
    <row r="691" spans="15:16" x14ac:dyDescent="0.3">
      <c r="O691" s="78"/>
      <c r="P691" s="134"/>
    </row>
    <row r="692" spans="15:16" x14ac:dyDescent="0.3">
      <c r="O692" s="78"/>
      <c r="P692" s="134"/>
    </row>
    <row r="693" spans="15:16" x14ac:dyDescent="0.3">
      <c r="O693" s="78"/>
      <c r="P693" s="134"/>
    </row>
    <row r="694" spans="15:16" x14ac:dyDescent="0.3">
      <c r="O694" s="78"/>
      <c r="P694" s="134"/>
    </row>
    <row r="695" spans="15:16" x14ac:dyDescent="0.3">
      <c r="O695" s="78"/>
      <c r="P695" s="134"/>
    </row>
    <row r="696" spans="15:16" x14ac:dyDescent="0.3">
      <c r="O696" s="78"/>
      <c r="P696" s="134"/>
    </row>
    <row r="697" spans="15:16" x14ac:dyDescent="0.3">
      <c r="O697" s="78"/>
      <c r="P697" s="134"/>
    </row>
    <row r="698" spans="15:16" x14ac:dyDescent="0.3">
      <c r="O698" s="78"/>
      <c r="P698" s="134"/>
    </row>
    <row r="699" spans="15:16" x14ac:dyDescent="0.3">
      <c r="O699" s="78"/>
      <c r="P699" s="134"/>
    </row>
    <row r="700" spans="15:16" x14ac:dyDescent="0.3">
      <c r="O700" s="78"/>
      <c r="P700" s="134"/>
    </row>
    <row r="701" spans="15:16" x14ac:dyDescent="0.3">
      <c r="O701" s="78"/>
      <c r="P701" s="134"/>
    </row>
    <row r="702" spans="15:16" x14ac:dyDescent="0.3">
      <c r="O702" s="78"/>
      <c r="P702" s="134"/>
    </row>
    <row r="703" spans="15:16" x14ac:dyDescent="0.3">
      <c r="O703" s="78"/>
      <c r="P703" s="134"/>
    </row>
    <row r="704" spans="15:16" x14ac:dyDescent="0.3">
      <c r="O704" s="78"/>
      <c r="P704" s="134"/>
    </row>
    <row r="705" spans="15:16" x14ac:dyDescent="0.3">
      <c r="O705" s="78"/>
      <c r="P705" s="134"/>
    </row>
    <row r="706" spans="15:16" x14ac:dyDescent="0.3">
      <c r="O706" s="78"/>
      <c r="P706" s="134"/>
    </row>
    <row r="707" spans="15:16" x14ac:dyDescent="0.3">
      <c r="O707" s="78"/>
      <c r="P707" s="134"/>
    </row>
    <row r="708" spans="15:16" x14ac:dyDescent="0.3">
      <c r="O708" s="78"/>
      <c r="P708" s="134"/>
    </row>
    <row r="709" spans="15:16" x14ac:dyDescent="0.3">
      <c r="O709" s="78"/>
      <c r="P709" s="134"/>
    </row>
    <row r="710" spans="15:16" x14ac:dyDescent="0.3">
      <c r="O710" s="78"/>
      <c r="P710" s="134"/>
    </row>
    <row r="711" spans="15:16" x14ac:dyDescent="0.3">
      <c r="O711" s="78"/>
      <c r="P711" s="134"/>
    </row>
    <row r="712" spans="15:16" x14ac:dyDescent="0.3">
      <c r="O712" s="78"/>
      <c r="P712" s="134"/>
    </row>
    <row r="713" spans="15:16" x14ac:dyDescent="0.3">
      <c r="O713" s="78"/>
      <c r="P713" s="134"/>
    </row>
    <row r="714" spans="15:16" x14ac:dyDescent="0.3">
      <c r="O714" s="78"/>
      <c r="P714" s="134"/>
    </row>
    <row r="715" spans="15:16" x14ac:dyDescent="0.3">
      <c r="O715" s="78"/>
      <c r="P715" s="134"/>
    </row>
    <row r="716" spans="15:16" x14ac:dyDescent="0.3">
      <c r="O716" s="78"/>
      <c r="P716" s="134"/>
    </row>
    <row r="717" spans="15:16" x14ac:dyDescent="0.3">
      <c r="O717" s="78"/>
      <c r="P717" s="134"/>
    </row>
    <row r="718" spans="15:16" x14ac:dyDescent="0.3">
      <c r="O718" s="78"/>
      <c r="P718" s="134"/>
    </row>
    <row r="719" spans="15:16" x14ac:dyDescent="0.3">
      <c r="O719" s="78"/>
      <c r="P719" s="134"/>
    </row>
    <row r="720" spans="15:16" x14ac:dyDescent="0.3">
      <c r="O720" s="78"/>
      <c r="P720" s="134"/>
    </row>
    <row r="721" spans="15:16" x14ac:dyDescent="0.3">
      <c r="O721" s="78"/>
      <c r="P721" s="134"/>
    </row>
    <row r="722" spans="15:16" x14ac:dyDescent="0.3">
      <c r="O722" s="78"/>
      <c r="P722" s="134"/>
    </row>
    <row r="723" spans="15:16" x14ac:dyDescent="0.3">
      <c r="O723" s="78"/>
      <c r="P723" s="134"/>
    </row>
    <row r="724" spans="15:16" x14ac:dyDescent="0.3">
      <c r="O724" s="78"/>
      <c r="P724" s="134"/>
    </row>
    <row r="725" spans="15:16" x14ac:dyDescent="0.3">
      <c r="O725" s="78"/>
      <c r="P725" s="134"/>
    </row>
    <row r="726" spans="15:16" x14ac:dyDescent="0.3">
      <c r="O726" s="78"/>
      <c r="P726" s="134"/>
    </row>
    <row r="727" spans="15:16" x14ac:dyDescent="0.3">
      <c r="O727" s="78"/>
      <c r="P727" s="134"/>
    </row>
    <row r="728" spans="15:16" x14ac:dyDescent="0.3">
      <c r="O728" s="78"/>
      <c r="P728" s="134"/>
    </row>
    <row r="729" spans="15:16" x14ac:dyDescent="0.3">
      <c r="O729" s="78"/>
      <c r="P729" s="134"/>
    </row>
    <row r="730" spans="15:16" x14ac:dyDescent="0.3">
      <c r="O730" s="78"/>
      <c r="P730" s="134"/>
    </row>
    <row r="731" spans="15:16" x14ac:dyDescent="0.3">
      <c r="O731" s="78"/>
      <c r="P731" s="134"/>
    </row>
    <row r="732" spans="15:16" x14ac:dyDescent="0.3">
      <c r="O732" s="78"/>
      <c r="P732" s="134"/>
    </row>
    <row r="733" spans="15:16" x14ac:dyDescent="0.3">
      <c r="O733" s="78"/>
      <c r="P733" s="134"/>
    </row>
    <row r="734" spans="15:16" x14ac:dyDescent="0.3">
      <c r="O734" s="78"/>
      <c r="P734" s="134"/>
    </row>
    <row r="735" spans="15:16" x14ac:dyDescent="0.3">
      <c r="O735" s="78"/>
      <c r="P735" s="134"/>
    </row>
    <row r="736" spans="15:16" x14ac:dyDescent="0.3">
      <c r="O736" s="78"/>
      <c r="P736" s="134"/>
    </row>
    <row r="737" spans="15:16" x14ac:dyDescent="0.3">
      <c r="O737" s="78"/>
      <c r="P737" s="134"/>
    </row>
    <row r="738" spans="15:16" x14ac:dyDescent="0.3">
      <c r="O738" s="78"/>
      <c r="P738" s="134"/>
    </row>
    <row r="739" spans="15:16" x14ac:dyDescent="0.3">
      <c r="O739" s="78"/>
      <c r="P739" s="134"/>
    </row>
    <row r="740" spans="15:16" x14ac:dyDescent="0.3">
      <c r="O740" s="78"/>
      <c r="P740" s="134"/>
    </row>
    <row r="741" spans="15:16" x14ac:dyDescent="0.3">
      <c r="O741" s="78"/>
      <c r="P741" s="134"/>
    </row>
    <row r="742" spans="15:16" x14ac:dyDescent="0.3">
      <c r="O742" s="78"/>
      <c r="P742" s="134"/>
    </row>
    <row r="743" spans="15:16" x14ac:dyDescent="0.3">
      <c r="O743" s="78"/>
      <c r="P743" s="134"/>
    </row>
    <row r="744" spans="15:16" x14ac:dyDescent="0.3">
      <c r="O744" s="78"/>
      <c r="P744" s="134"/>
    </row>
    <row r="745" spans="15:16" x14ac:dyDescent="0.3">
      <c r="O745" s="78"/>
      <c r="P745" s="134"/>
    </row>
    <row r="746" spans="15:16" x14ac:dyDescent="0.3">
      <c r="O746" s="78"/>
      <c r="P746" s="134"/>
    </row>
    <row r="747" spans="15:16" x14ac:dyDescent="0.3">
      <c r="O747" s="78"/>
      <c r="P747" s="134"/>
    </row>
    <row r="748" spans="15:16" x14ac:dyDescent="0.3">
      <c r="O748" s="78"/>
      <c r="P748" s="134"/>
    </row>
    <row r="749" spans="15:16" x14ac:dyDescent="0.3">
      <c r="O749" s="78"/>
      <c r="P749" s="134"/>
    </row>
    <row r="750" spans="15:16" x14ac:dyDescent="0.3">
      <c r="O750" s="78"/>
      <c r="P750" s="134"/>
    </row>
    <row r="751" spans="15:16" x14ac:dyDescent="0.3">
      <c r="O751" s="78"/>
      <c r="P751" s="134"/>
    </row>
    <row r="752" spans="15:16" x14ac:dyDescent="0.3">
      <c r="O752" s="78"/>
      <c r="P752" s="134"/>
    </row>
    <row r="753" spans="15:16" x14ac:dyDescent="0.3">
      <c r="O753" s="78"/>
      <c r="P753" s="134"/>
    </row>
    <row r="754" spans="15:16" x14ac:dyDescent="0.3">
      <c r="O754" s="78"/>
      <c r="P754" s="134"/>
    </row>
    <row r="755" spans="15:16" x14ac:dyDescent="0.3">
      <c r="O755" s="78"/>
      <c r="P755" s="134"/>
    </row>
    <row r="756" spans="15:16" x14ac:dyDescent="0.3">
      <c r="O756" s="78"/>
      <c r="P756" s="134"/>
    </row>
    <row r="757" spans="15:16" x14ac:dyDescent="0.3">
      <c r="O757" s="78"/>
      <c r="P757" s="134"/>
    </row>
    <row r="758" spans="15:16" x14ac:dyDescent="0.3">
      <c r="O758" s="78"/>
      <c r="P758" s="134"/>
    </row>
    <row r="759" spans="15:16" x14ac:dyDescent="0.3">
      <c r="O759" s="78"/>
      <c r="P759" s="134"/>
    </row>
    <row r="760" spans="15:16" x14ac:dyDescent="0.3">
      <c r="O760" s="78"/>
      <c r="P760" s="134"/>
    </row>
    <row r="761" spans="15:16" x14ac:dyDescent="0.3">
      <c r="O761" s="78"/>
      <c r="P761" s="134"/>
    </row>
    <row r="762" spans="15:16" x14ac:dyDescent="0.3">
      <c r="O762" s="78"/>
      <c r="P762" s="134"/>
    </row>
    <row r="763" spans="15:16" x14ac:dyDescent="0.3">
      <c r="O763" s="78"/>
      <c r="P763" s="134"/>
    </row>
    <row r="764" spans="15:16" x14ac:dyDescent="0.3">
      <c r="O764" s="78"/>
      <c r="P764" s="134"/>
    </row>
    <row r="765" spans="15:16" x14ac:dyDescent="0.3">
      <c r="O765" s="78"/>
      <c r="P765" s="134"/>
    </row>
    <row r="766" spans="15:16" x14ac:dyDescent="0.3">
      <c r="O766" s="78"/>
      <c r="P766" s="134"/>
    </row>
    <row r="767" spans="15:16" x14ac:dyDescent="0.3">
      <c r="O767" s="78"/>
      <c r="P767" s="134"/>
    </row>
    <row r="768" spans="15:16" x14ac:dyDescent="0.3">
      <c r="O768" s="78"/>
      <c r="P768" s="134"/>
    </row>
    <row r="769" spans="15:16" x14ac:dyDescent="0.3">
      <c r="O769" s="78"/>
      <c r="P769" s="134"/>
    </row>
    <row r="770" spans="15:16" x14ac:dyDescent="0.3">
      <c r="O770" s="78"/>
      <c r="P770" s="134"/>
    </row>
    <row r="771" spans="15:16" x14ac:dyDescent="0.3">
      <c r="O771" s="78"/>
      <c r="P771" s="134"/>
    </row>
    <row r="772" spans="15:16" x14ac:dyDescent="0.3">
      <c r="O772" s="78"/>
      <c r="P772" s="134"/>
    </row>
    <row r="773" spans="15:16" x14ac:dyDescent="0.3">
      <c r="O773" s="78"/>
      <c r="P773" s="134"/>
    </row>
    <row r="774" spans="15:16" x14ac:dyDescent="0.3">
      <c r="O774" s="78"/>
      <c r="P774" s="134"/>
    </row>
    <row r="775" spans="15:16" x14ac:dyDescent="0.3">
      <c r="O775" s="78"/>
      <c r="P775" s="134"/>
    </row>
    <row r="776" spans="15:16" x14ac:dyDescent="0.3">
      <c r="O776" s="78"/>
      <c r="P776" s="134"/>
    </row>
    <row r="777" spans="15:16" x14ac:dyDescent="0.3">
      <c r="O777" s="78"/>
      <c r="P777" s="134"/>
    </row>
    <row r="778" spans="15:16" x14ac:dyDescent="0.3">
      <c r="O778" s="78"/>
      <c r="P778" s="134"/>
    </row>
    <row r="779" spans="15:16" x14ac:dyDescent="0.3">
      <c r="O779" s="78"/>
      <c r="P779" s="134"/>
    </row>
    <row r="780" spans="15:16" x14ac:dyDescent="0.3">
      <c r="O780" s="78"/>
      <c r="P780" s="134"/>
    </row>
    <row r="781" spans="15:16" x14ac:dyDescent="0.3">
      <c r="O781" s="78"/>
      <c r="P781" s="134"/>
    </row>
    <row r="782" spans="15:16" x14ac:dyDescent="0.3">
      <c r="O782" s="78"/>
      <c r="P782" s="134"/>
    </row>
    <row r="783" spans="15:16" x14ac:dyDescent="0.3">
      <c r="O783" s="78"/>
      <c r="P783" s="134"/>
    </row>
    <row r="784" spans="15:16" x14ac:dyDescent="0.3">
      <c r="O784" s="78"/>
      <c r="P784" s="134"/>
    </row>
    <row r="785" spans="15:16" x14ac:dyDescent="0.3">
      <c r="O785" s="78"/>
      <c r="P785" s="134"/>
    </row>
    <row r="786" spans="15:16" x14ac:dyDescent="0.3">
      <c r="O786" s="78"/>
      <c r="P786" s="134"/>
    </row>
    <row r="787" spans="15:16" x14ac:dyDescent="0.3">
      <c r="O787" s="78"/>
      <c r="P787" s="134"/>
    </row>
    <row r="788" spans="15:16" x14ac:dyDescent="0.3">
      <c r="O788" s="78"/>
      <c r="P788" s="134"/>
    </row>
    <row r="789" spans="15:16" x14ac:dyDescent="0.3">
      <c r="O789" s="78"/>
      <c r="P789" s="134"/>
    </row>
    <row r="790" spans="15:16" x14ac:dyDescent="0.3">
      <c r="O790" s="78"/>
      <c r="P790" s="134"/>
    </row>
    <row r="791" spans="15:16" x14ac:dyDescent="0.3">
      <c r="O791" s="78"/>
      <c r="P791" s="134"/>
    </row>
    <row r="792" spans="15:16" x14ac:dyDescent="0.3">
      <c r="O792" s="78"/>
      <c r="P792" s="134"/>
    </row>
    <row r="793" spans="15:16" x14ac:dyDescent="0.3">
      <c r="O793" s="78"/>
      <c r="P793" s="134"/>
    </row>
    <row r="794" spans="15:16" x14ac:dyDescent="0.3">
      <c r="O794" s="78"/>
      <c r="P794" s="134"/>
    </row>
    <row r="795" spans="15:16" x14ac:dyDescent="0.3">
      <c r="O795" s="78"/>
      <c r="P795" s="134"/>
    </row>
    <row r="796" spans="15:16" x14ac:dyDescent="0.3">
      <c r="O796" s="78"/>
      <c r="P796" s="134"/>
    </row>
    <row r="797" spans="15:16" x14ac:dyDescent="0.3">
      <c r="O797" s="78"/>
      <c r="P797" s="134"/>
    </row>
    <row r="798" spans="15:16" x14ac:dyDescent="0.3">
      <c r="O798" s="78"/>
      <c r="P798" s="134"/>
    </row>
    <row r="799" spans="15:16" x14ac:dyDescent="0.3">
      <c r="O799" s="78"/>
      <c r="P799" s="134"/>
    </row>
    <row r="800" spans="15:16" x14ac:dyDescent="0.3">
      <c r="O800" s="78"/>
      <c r="P800" s="134"/>
    </row>
    <row r="801" spans="15:16" x14ac:dyDescent="0.3">
      <c r="O801" s="78"/>
      <c r="P801" s="134"/>
    </row>
    <row r="802" spans="15:16" x14ac:dyDescent="0.3">
      <c r="O802" s="78"/>
      <c r="P802" s="134"/>
    </row>
    <row r="803" spans="15:16" x14ac:dyDescent="0.3">
      <c r="O803" s="78"/>
      <c r="P803" s="134"/>
    </row>
    <row r="804" spans="15:16" x14ac:dyDescent="0.3">
      <c r="O804" s="78"/>
      <c r="P804" s="134"/>
    </row>
    <row r="805" spans="15:16" x14ac:dyDescent="0.3">
      <c r="O805" s="78"/>
      <c r="P805" s="134"/>
    </row>
    <row r="806" spans="15:16" x14ac:dyDescent="0.3">
      <c r="O806" s="78"/>
      <c r="P806" s="134"/>
    </row>
    <row r="807" spans="15:16" x14ac:dyDescent="0.3">
      <c r="O807" s="78"/>
      <c r="P807" s="134"/>
    </row>
    <row r="808" spans="15:16" x14ac:dyDescent="0.3">
      <c r="O808" s="78"/>
      <c r="P808" s="134"/>
    </row>
    <row r="809" spans="15:16" x14ac:dyDescent="0.3">
      <c r="O809" s="78"/>
      <c r="P809" s="134"/>
    </row>
    <row r="810" spans="15:16" x14ac:dyDescent="0.3">
      <c r="O810" s="78"/>
      <c r="P810" s="134"/>
    </row>
    <row r="811" spans="15:16" x14ac:dyDescent="0.3">
      <c r="O811" s="78"/>
      <c r="P811" s="134"/>
    </row>
    <row r="812" spans="15:16" x14ac:dyDescent="0.3">
      <c r="O812" s="78"/>
      <c r="P812" s="134"/>
    </row>
    <row r="813" spans="15:16" x14ac:dyDescent="0.3">
      <c r="O813" s="78"/>
      <c r="P813" s="134"/>
    </row>
    <row r="814" spans="15:16" x14ac:dyDescent="0.3">
      <c r="O814" s="78"/>
      <c r="P814" s="134"/>
    </row>
    <row r="815" spans="15:16" x14ac:dyDescent="0.3">
      <c r="O815" s="78"/>
      <c r="P815" s="134"/>
    </row>
    <row r="816" spans="15:16" x14ac:dyDescent="0.3">
      <c r="O816" s="78"/>
      <c r="P816" s="134"/>
    </row>
    <row r="817" spans="15:16" x14ac:dyDescent="0.3">
      <c r="O817" s="78"/>
      <c r="P817" s="134"/>
    </row>
    <row r="818" spans="15:16" x14ac:dyDescent="0.3">
      <c r="O818" s="78"/>
      <c r="P818" s="134"/>
    </row>
    <row r="819" spans="15:16" x14ac:dyDescent="0.3">
      <c r="O819" s="78"/>
      <c r="P819" s="134"/>
    </row>
    <row r="820" spans="15:16" x14ac:dyDescent="0.3">
      <c r="O820" s="78"/>
      <c r="P820" s="134"/>
    </row>
    <row r="821" spans="15:16" x14ac:dyDescent="0.3">
      <c r="O821" s="78"/>
      <c r="P821" s="134"/>
    </row>
    <row r="822" spans="15:16" x14ac:dyDescent="0.3">
      <c r="O822" s="78"/>
      <c r="P822" s="134"/>
    </row>
    <row r="823" spans="15:16" x14ac:dyDescent="0.3">
      <c r="O823" s="78"/>
      <c r="P823" s="134"/>
    </row>
    <row r="824" spans="15:16" x14ac:dyDescent="0.3">
      <c r="O824" s="78"/>
      <c r="P824" s="134"/>
    </row>
    <row r="825" spans="15:16" x14ac:dyDescent="0.3">
      <c r="O825" s="78"/>
      <c r="P825" s="134"/>
    </row>
    <row r="826" spans="15:16" x14ac:dyDescent="0.3">
      <c r="O826" s="78"/>
      <c r="P826" s="134"/>
    </row>
    <row r="827" spans="15:16" x14ac:dyDescent="0.3">
      <c r="O827" s="78"/>
      <c r="P827" s="134"/>
    </row>
    <row r="828" spans="15:16" x14ac:dyDescent="0.3">
      <c r="O828" s="78"/>
      <c r="P828" s="134"/>
    </row>
    <row r="829" spans="15:16" x14ac:dyDescent="0.3">
      <c r="O829" s="78"/>
      <c r="P829" s="134"/>
    </row>
    <row r="830" spans="15:16" x14ac:dyDescent="0.3">
      <c r="O830" s="78"/>
      <c r="P830" s="134"/>
    </row>
    <row r="831" spans="15:16" x14ac:dyDescent="0.3">
      <c r="O831" s="78"/>
      <c r="P831" s="134"/>
    </row>
    <row r="832" spans="15:16" x14ac:dyDescent="0.3">
      <c r="O832" s="78"/>
      <c r="P832" s="134"/>
    </row>
    <row r="833" spans="15:16" x14ac:dyDescent="0.3">
      <c r="O833" s="78"/>
      <c r="P833" s="134"/>
    </row>
    <row r="834" spans="15:16" x14ac:dyDescent="0.3">
      <c r="O834" s="78"/>
      <c r="P834" s="134"/>
    </row>
    <row r="835" spans="15:16" x14ac:dyDescent="0.3">
      <c r="O835" s="78"/>
      <c r="P835" s="134"/>
    </row>
    <row r="836" spans="15:16" x14ac:dyDescent="0.3">
      <c r="O836" s="78"/>
      <c r="P836" s="134"/>
    </row>
    <row r="837" spans="15:16" x14ac:dyDescent="0.3">
      <c r="O837" s="78"/>
      <c r="P837" s="134"/>
    </row>
    <row r="838" spans="15:16" x14ac:dyDescent="0.3">
      <c r="O838" s="78"/>
      <c r="P838" s="134"/>
    </row>
    <row r="839" spans="15:16" x14ac:dyDescent="0.3">
      <c r="O839" s="78"/>
      <c r="P839" s="134"/>
    </row>
    <row r="840" spans="15:16" x14ac:dyDescent="0.3">
      <c r="O840" s="78"/>
      <c r="P840" s="134"/>
    </row>
    <row r="841" spans="15:16" x14ac:dyDescent="0.3">
      <c r="O841" s="78"/>
      <c r="P841" s="134"/>
    </row>
    <row r="842" spans="15:16" x14ac:dyDescent="0.3">
      <c r="O842" s="78"/>
      <c r="P842" s="134"/>
    </row>
    <row r="843" spans="15:16" x14ac:dyDescent="0.3">
      <c r="O843" s="78"/>
      <c r="P843" s="134"/>
    </row>
    <row r="844" spans="15:16" x14ac:dyDescent="0.3">
      <c r="O844" s="78"/>
      <c r="P844" s="134"/>
    </row>
    <row r="845" spans="15:16" x14ac:dyDescent="0.3">
      <c r="O845" s="78"/>
      <c r="P845" s="134"/>
    </row>
    <row r="846" spans="15:16" x14ac:dyDescent="0.3">
      <c r="O846" s="78"/>
      <c r="P846" s="134"/>
    </row>
    <row r="847" spans="15:16" x14ac:dyDescent="0.3">
      <c r="O847" s="78"/>
      <c r="P847" s="134"/>
    </row>
    <row r="848" spans="15:16" x14ac:dyDescent="0.3">
      <c r="O848" s="78"/>
      <c r="P848" s="134"/>
    </row>
    <row r="849" spans="15:16" x14ac:dyDescent="0.3">
      <c r="O849" s="78"/>
      <c r="P849" s="134"/>
    </row>
    <row r="850" spans="15:16" x14ac:dyDescent="0.3">
      <c r="O850" s="78"/>
      <c r="P850" s="134"/>
    </row>
    <row r="851" spans="15:16" x14ac:dyDescent="0.3">
      <c r="O851" s="78"/>
      <c r="P851" s="134"/>
    </row>
    <row r="852" spans="15:16" x14ac:dyDescent="0.3">
      <c r="O852" s="78"/>
      <c r="P852" s="134"/>
    </row>
    <row r="853" spans="15:16" x14ac:dyDescent="0.3">
      <c r="O853" s="78"/>
      <c r="P853" s="134"/>
    </row>
    <row r="854" spans="15:16" x14ac:dyDescent="0.3">
      <c r="O854" s="78"/>
      <c r="P854" s="134"/>
    </row>
    <row r="855" spans="15:16" x14ac:dyDescent="0.3">
      <c r="O855" s="78"/>
      <c r="P855" s="134"/>
    </row>
    <row r="856" spans="15:16" x14ac:dyDescent="0.3">
      <c r="O856" s="78"/>
      <c r="P856" s="134"/>
    </row>
    <row r="857" spans="15:16" x14ac:dyDescent="0.3">
      <c r="O857" s="78"/>
      <c r="P857" s="134"/>
    </row>
    <row r="858" spans="15:16" x14ac:dyDescent="0.3">
      <c r="O858" s="78"/>
      <c r="P858" s="134"/>
    </row>
    <row r="859" spans="15:16" x14ac:dyDescent="0.3">
      <c r="O859" s="78"/>
      <c r="P859" s="134"/>
    </row>
    <row r="860" spans="15:16" x14ac:dyDescent="0.3">
      <c r="O860" s="78"/>
      <c r="P860" s="134"/>
    </row>
    <row r="861" spans="15:16" x14ac:dyDescent="0.3">
      <c r="O861" s="78"/>
      <c r="P861" s="134"/>
    </row>
    <row r="862" spans="15:16" x14ac:dyDescent="0.3">
      <c r="O862" s="78"/>
      <c r="P862" s="134"/>
    </row>
    <row r="863" spans="15:16" x14ac:dyDescent="0.3">
      <c r="O863" s="78"/>
      <c r="P863" s="134"/>
    </row>
    <row r="864" spans="15:16" x14ac:dyDescent="0.3">
      <c r="O864" s="78"/>
      <c r="P864" s="134"/>
    </row>
    <row r="865" spans="15:16" x14ac:dyDescent="0.3">
      <c r="O865" s="78"/>
      <c r="P865" s="134"/>
    </row>
    <row r="866" spans="15:16" x14ac:dyDescent="0.3">
      <c r="O866" s="78"/>
      <c r="P866" s="134"/>
    </row>
    <row r="867" spans="15:16" x14ac:dyDescent="0.3">
      <c r="O867" s="78"/>
      <c r="P867" s="134"/>
    </row>
    <row r="868" spans="15:16" x14ac:dyDescent="0.3">
      <c r="O868" s="78"/>
      <c r="P868" s="134"/>
    </row>
    <row r="869" spans="15:16" x14ac:dyDescent="0.3">
      <c r="O869" s="78"/>
      <c r="P869" s="134"/>
    </row>
    <row r="870" spans="15:16" x14ac:dyDescent="0.3">
      <c r="O870" s="78"/>
      <c r="P870" s="134"/>
    </row>
    <row r="871" spans="15:16" x14ac:dyDescent="0.3">
      <c r="O871" s="78"/>
      <c r="P871" s="134"/>
    </row>
    <row r="872" spans="15:16" x14ac:dyDescent="0.3">
      <c r="O872" s="78"/>
      <c r="P872" s="134"/>
    </row>
    <row r="873" spans="15:16" x14ac:dyDescent="0.3">
      <c r="O873" s="78"/>
      <c r="P873" s="134"/>
    </row>
    <row r="874" spans="15:16" x14ac:dyDescent="0.3">
      <c r="O874" s="78"/>
      <c r="P874" s="134"/>
    </row>
    <row r="875" spans="15:16" x14ac:dyDescent="0.3">
      <c r="O875" s="78"/>
      <c r="P875" s="134"/>
    </row>
    <row r="876" spans="15:16" x14ac:dyDescent="0.3">
      <c r="O876" s="78"/>
      <c r="P876" s="134"/>
    </row>
    <row r="877" spans="15:16" x14ac:dyDescent="0.3">
      <c r="O877" s="78"/>
      <c r="P877" s="134"/>
    </row>
    <row r="878" spans="15:16" x14ac:dyDescent="0.3">
      <c r="O878" s="78"/>
      <c r="P878" s="134"/>
    </row>
    <row r="879" spans="15:16" x14ac:dyDescent="0.3">
      <c r="O879" s="78"/>
      <c r="P879" s="134"/>
    </row>
    <row r="880" spans="15:16" x14ac:dyDescent="0.3">
      <c r="O880" s="78"/>
      <c r="P880" s="134"/>
    </row>
    <row r="881" spans="15:16" x14ac:dyDescent="0.3">
      <c r="O881" s="78"/>
      <c r="P881" s="134"/>
    </row>
    <row r="882" spans="15:16" x14ac:dyDescent="0.3">
      <c r="O882" s="78"/>
      <c r="P882" s="134"/>
    </row>
    <row r="883" spans="15:16" x14ac:dyDescent="0.3">
      <c r="O883" s="78"/>
      <c r="P883" s="134"/>
    </row>
    <row r="884" spans="15:16" x14ac:dyDescent="0.3">
      <c r="O884" s="78"/>
      <c r="P884" s="134"/>
    </row>
    <row r="885" spans="15:16" x14ac:dyDescent="0.3">
      <c r="O885" s="78"/>
      <c r="P885" s="134"/>
    </row>
    <row r="886" spans="15:16" x14ac:dyDescent="0.3">
      <c r="O886" s="78"/>
      <c r="P886" s="134"/>
    </row>
    <row r="887" spans="15:16" x14ac:dyDescent="0.3">
      <c r="O887" s="78"/>
      <c r="P887" s="134"/>
    </row>
    <row r="888" spans="15:16" x14ac:dyDescent="0.3">
      <c r="O888" s="78"/>
      <c r="P888" s="134"/>
    </row>
    <row r="889" spans="15:16" x14ac:dyDescent="0.3">
      <c r="O889" s="78"/>
      <c r="P889" s="134"/>
    </row>
    <row r="890" spans="15:16" x14ac:dyDescent="0.3">
      <c r="O890" s="78"/>
      <c r="P890" s="134"/>
    </row>
    <row r="891" spans="15:16" x14ac:dyDescent="0.3">
      <c r="O891" s="78"/>
      <c r="P891" s="134"/>
    </row>
    <row r="892" spans="15:16" x14ac:dyDescent="0.3">
      <c r="O892" s="78"/>
      <c r="P892" s="134"/>
    </row>
    <row r="893" spans="15:16" x14ac:dyDescent="0.3">
      <c r="O893" s="78"/>
      <c r="P893" s="134"/>
    </row>
    <row r="894" spans="15:16" x14ac:dyDescent="0.3">
      <c r="O894" s="78"/>
      <c r="P894" s="134"/>
    </row>
    <row r="895" spans="15:16" x14ac:dyDescent="0.3">
      <c r="O895" s="78"/>
      <c r="P895" s="134"/>
    </row>
    <row r="896" spans="15:16" x14ac:dyDescent="0.3">
      <c r="O896" s="78"/>
      <c r="P896" s="134"/>
    </row>
    <row r="897" spans="15:16" x14ac:dyDescent="0.3">
      <c r="O897" s="78"/>
      <c r="P897" s="134"/>
    </row>
    <row r="898" spans="15:16" x14ac:dyDescent="0.3">
      <c r="O898" s="78"/>
      <c r="P898" s="134"/>
    </row>
    <row r="899" spans="15:16" x14ac:dyDescent="0.3">
      <c r="O899" s="78"/>
      <c r="P899" s="134"/>
    </row>
    <row r="900" spans="15:16" x14ac:dyDescent="0.3">
      <c r="O900" s="78"/>
      <c r="P900" s="134"/>
    </row>
    <row r="901" spans="15:16" x14ac:dyDescent="0.3">
      <c r="O901" s="78"/>
      <c r="P901" s="134"/>
    </row>
    <row r="902" spans="15:16" x14ac:dyDescent="0.3">
      <c r="O902" s="78"/>
      <c r="P902" s="134"/>
    </row>
    <row r="903" spans="15:16" x14ac:dyDescent="0.3">
      <c r="O903" s="78"/>
      <c r="P903" s="134"/>
    </row>
    <row r="904" spans="15:16" x14ac:dyDescent="0.3">
      <c r="O904" s="78"/>
      <c r="P904" s="134"/>
    </row>
    <row r="905" spans="15:16" x14ac:dyDescent="0.3">
      <c r="O905" s="78"/>
      <c r="P905" s="134"/>
    </row>
    <row r="906" spans="15:16" x14ac:dyDescent="0.3">
      <c r="O906" s="78"/>
      <c r="P906" s="134"/>
    </row>
    <row r="907" spans="15:16" x14ac:dyDescent="0.3">
      <c r="O907" s="78"/>
      <c r="P907" s="134"/>
    </row>
    <row r="908" spans="15:16" x14ac:dyDescent="0.3">
      <c r="O908" s="78"/>
      <c r="P908" s="134"/>
    </row>
    <row r="909" spans="15:16" x14ac:dyDescent="0.3">
      <c r="O909" s="78"/>
      <c r="P909" s="134"/>
    </row>
    <row r="910" spans="15:16" x14ac:dyDescent="0.3">
      <c r="O910" s="78"/>
      <c r="P910" s="134"/>
    </row>
    <row r="911" spans="15:16" x14ac:dyDescent="0.3">
      <c r="O911" s="78"/>
      <c r="P911" s="134"/>
    </row>
    <row r="912" spans="15:16" x14ac:dyDescent="0.3">
      <c r="O912" s="78"/>
      <c r="P912" s="134"/>
    </row>
    <row r="913" spans="15:16" x14ac:dyDescent="0.3">
      <c r="O913" s="78"/>
      <c r="P913" s="134"/>
    </row>
    <row r="914" spans="15:16" x14ac:dyDescent="0.3">
      <c r="O914" s="78"/>
      <c r="P914" s="134"/>
    </row>
    <row r="915" spans="15:16" x14ac:dyDescent="0.3">
      <c r="O915" s="78"/>
      <c r="P915" s="134"/>
    </row>
    <row r="916" spans="15:16" x14ac:dyDescent="0.3">
      <c r="O916" s="78"/>
      <c r="P916" s="134"/>
    </row>
    <row r="917" spans="15:16" x14ac:dyDescent="0.3">
      <c r="O917" s="78"/>
      <c r="P917" s="134"/>
    </row>
    <row r="918" spans="15:16" x14ac:dyDescent="0.3">
      <c r="O918" s="78"/>
      <c r="P918" s="134"/>
    </row>
    <row r="919" spans="15:16" x14ac:dyDescent="0.3">
      <c r="O919" s="78"/>
      <c r="P919" s="134"/>
    </row>
    <row r="920" spans="15:16" x14ac:dyDescent="0.3">
      <c r="O920" s="78"/>
      <c r="P920" s="134"/>
    </row>
    <row r="921" spans="15:16" x14ac:dyDescent="0.3">
      <c r="O921" s="78"/>
      <c r="P921" s="134"/>
    </row>
    <row r="922" spans="15:16" x14ac:dyDescent="0.3">
      <c r="O922" s="78"/>
      <c r="P922" s="134"/>
    </row>
    <row r="923" spans="15:16" x14ac:dyDescent="0.3">
      <c r="O923" s="78"/>
      <c r="P923" s="134"/>
    </row>
    <row r="924" spans="15:16" x14ac:dyDescent="0.3">
      <c r="O924" s="78"/>
      <c r="P924" s="134"/>
    </row>
    <row r="925" spans="15:16" x14ac:dyDescent="0.3">
      <c r="O925" s="78"/>
      <c r="P925" s="134"/>
    </row>
    <row r="926" spans="15:16" x14ac:dyDescent="0.3">
      <c r="O926" s="78"/>
      <c r="P926" s="134"/>
    </row>
    <row r="927" spans="15:16" x14ac:dyDescent="0.3">
      <c r="O927" s="78"/>
      <c r="P927" s="134"/>
    </row>
    <row r="928" spans="15:16" x14ac:dyDescent="0.3">
      <c r="O928" s="78"/>
      <c r="P928" s="134"/>
    </row>
    <row r="929" spans="15:16" x14ac:dyDescent="0.3">
      <c r="O929" s="78"/>
      <c r="P929" s="134"/>
    </row>
    <row r="930" spans="15:16" x14ac:dyDescent="0.3">
      <c r="O930" s="78"/>
      <c r="P930" s="134"/>
    </row>
    <row r="931" spans="15:16" x14ac:dyDescent="0.3">
      <c r="O931" s="78"/>
      <c r="P931" s="134"/>
    </row>
    <row r="932" spans="15:16" x14ac:dyDescent="0.3">
      <c r="O932" s="78"/>
      <c r="P932" s="134"/>
    </row>
    <row r="933" spans="15:16" x14ac:dyDescent="0.3">
      <c r="O933" s="78"/>
      <c r="P933" s="134"/>
    </row>
    <row r="934" spans="15:16" x14ac:dyDescent="0.3">
      <c r="O934" s="78"/>
      <c r="P934" s="134"/>
    </row>
    <row r="935" spans="15:16" x14ac:dyDescent="0.3">
      <c r="O935" s="78"/>
      <c r="P935" s="134"/>
    </row>
    <row r="936" spans="15:16" x14ac:dyDescent="0.3">
      <c r="O936" s="78"/>
      <c r="P936" s="134"/>
    </row>
    <row r="937" spans="15:16" x14ac:dyDescent="0.3">
      <c r="O937" s="78"/>
      <c r="P937" s="134"/>
    </row>
    <row r="938" spans="15:16" x14ac:dyDescent="0.3">
      <c r="O938" s="78"/>
      <c r="P938" s="134"/>
    </row>
    <row r="939" spans="15:16" x14ac:dyDescent="0.3">
      <c r="O939" s="78"/>
      <c r="P939" s="134"/>
    </row>
    <row r="940" spans="15:16" x14ac:dyDescent="0.3">
      <c r="O940" s="78"/>
      <c r="P940" s="134"/>
    </row>
    <row r="941" spans="15:16" x14ac:dyDescent="0.3">
      <c r="O941" s="78"/>
      <c r="P941" s="134"/>
    </row>
    <row r="942" spans="15:16" x14ac:dyDescent="0.3">
      <c r="O942" s="78"/>
      <c r="P942" s="134"/>
    </row>
    <row r="943" spans="15:16" x14ac:dyDescent="0.3">
      <c r="O943" s="78"/>
      <c r="P943" s="134"/>
    </row>
    <row r="944" spans="15:16" x14ac:dyDescent="0.3">
      <c r="O944" s="78"/>
      <c r="P944" s="134"/>
    </row>
    <row r="945" spans="15:16" x14ac:dyDescent="0.3">
      <c r="O945" s="78"/>
      <c r="P945" s="134"/>
    </row>
    <row r="946" spans="15:16" x14ac:dyDescent="0.3">
      <c r="O946" s="78"/>
      <c r="P946" s="134"/>
    </row>
    <row r="947" spans="15:16" x14ac:dyDescent="0.3">
      <c r="O947" s="78"/>
      <c r="P947" s="134"/>
    </row>
    <row r="948" spans="15:16" x14ac:dyDescent="0.3">
      <c r="O948" s="78"/>
      <c r="P948" s="134"/>
    </row>
    <row r="949" spans="15:16" x14ac:dyDescent="0.3">
      <c r="O949" s="78"/>
      <c r="P949" s="134"/>
    </row>
    <row r="950" spans="15:16" x14ac:dyDescent="0.3">
      <c r="O950" s="78"/>
      <c r="P950" s="134"/>
    </row>
    <row r="951" spans="15:16" x14ac:dyDescent="0.3">
      <c r="O951" s="78"/>
      <c r="P951" s="134"/>
    </row>
    <row r="952" spans="15:16" x14ac:dyDescent="0.3">
      <c r="O952" s="78"/>
      <c r="P952" s="134"/>
    </row>
    <row r="953" spans="15:16" x14ac:dyDescent="0.3">
      <c r="O953" s="78"/>
      <c r="P953" s="134"/>
    </row>
    <row r="954" spans="15:16" x14ac:dyDescent="0.3">
      <c r="O954" s="78"/>
      <c r="P954" s="134"/>
    </row>
    <row r="955" spans="15:16" x14ac:dyDescent="0.3">
      <c r="O955" s="78"/>
      <c r="P955" s="134"/>
    </row>
    <row r="956" spans="15:16" x14ac:dyDescent="0.3">
      <c r="O956" s="78"/>
      <c r="P956" s="134"/>
    </row>
    <row r="957" spans="15:16" x14ac:dyDescent="0.3">
      <c r="O957" s="78"/>
      <c r="P957" s="134"/>
    </row>
    <row r="958" spans="15:16" x14ac:dyDescent="0.3">
      <c r="O958" s="78"/>
      <c r="P958" s="134"/>
    </row>
    <row r="959" spans="15:16" x14ac:dyDescent="0.3">
      <c r="O959" s="78"/>
      <c r="P959" s="134"/>
    </row>
    <row r="960" spans="15:16" x14ac:dyDescent="0.3">
      <c r="O960" s="78"/>
      <c r="P960" s="134"/>
    </row>
    <row r="961" spans="15:16" x14ac:dyDescent="0.3">
      <c r="O961" s="78"/>
      <c r="P961" s="134"/>
    </row>
    <row r="962" spans="15:16" x14ac:dyDescent="0.3">
      <c r="O962" s="78"/>
      <c r="P962" s="134"/>
    </row>
    <row r="963" spans="15:16" x14ac:dyDescent="0.3">
      <c r="O963" s="78"/>
      <c r="P963" s="134"/>
    </row>
    <row r="964" spans="15:16" x14ac:dyDescent="0.3">
      <c r="O964" s="78"/>
      <c r="P964" s="134"/>
    </row>
    <row r="965" spans="15:16" x14ac:dyDescent="0.3">
      <c r="O965" s="78"/>
      <c r="P965" s="134"/>
    </row>
    <row r="966" spans="15:16" x14ac:dyDescent="0.3">
      <c r="O966" s="78"/>
      <c r="P966" s="134"/>
    </row>
    <row r="967" spans="15:16" x14ac:dyDescent="0.3">
      <c r="O967" s="78"/>
      <c r="P967" s="134"/>
    </row>
    <row r="968" spans="15:16" x14ac:dyDescent="0.3">
      <c r="O968" s="78"/>
      <c r="P968" s="134"/>
    </row>
    <row r="969" spans="15:16" x14ac:dyDescent="0.3">
      <c r="O969" s="78"/>
      <c r="P969" s="134"/>
    </row>
    <row r="970" spans="15:16" x14ac:dyDescent="0.3">
      <c r="O970" s="78"/>
      <c r="P970" s="134"/>
    </row>
    <row r="971" spans="15:16" x14ac:dyDescent="0.3">
      <c r="O971" s="78"/>
      <c r="P971" s="134"/>
    </row>
    <row r="972" spans="15:16" x14ac:dyDescent="0.3">
      <c r="O972" s="78"/>
      <c r="P972" s="134"/>
    </row>
    <row r="973" spans="15:16" x14ac:dyDescent="0.3">
      <c r="O973" s="78"/>
      <c r="P973" s="134"/>
    </row>
    <row r="974" spans="15:16" x14ac:dyDescent="0.3">
      <c r="O974" s="78"/>
      <c r="P974" s="134"/>
    </row>
    <row r="975" spans="15:16" x14ac:dyDescent="0.3">
      <c r="O975" s="78"/>
      <c r="P975" s="134"/>
    </row>
    <row r="976" spans="15:16" x14ac:dyDescent="0.3">
      <c r="O976" s="78"/>
      <c r="P976" s="134"/>
    </row>
    <row r="977" spans="15:16" x14ac:dyDescent="0.3">
      <c r="O977" s="78"/>
      <c r="P977" s="134"/>
    </row>
    <row r="978" spans="15:16" x14ac:dyDescent="0.3">
      <c r="O978" s="78"/>
      <c r="P978" s="134"/>
    </row>
    <row r="979" spans="15:16" x14ac:dyDescent="0.3">
      <c r="O979" s="78"/>
      <c r="P979" s="134"/>
    </row>
    <row r="980" spans="15:16" x14ac:dyDescent="0.3">
      <c r="O980" s="78"/>
      <c r="P980" s="134"/>
    </row>
    <row r="981" spans="15:16" x14ac:dyDescent="0.3">
      <c r="O981" s="78"/>
      <c r="P981" s="134"/>
    </row>
    <row r="982" spans="15:16" x14ac:dyDescent="0.3">
      <c r="O982" s="78"/>
      <c r="P982" s="134"/>
    </row>
    <row r="983" spans="15:16" x14ac:dyDescent="0.3">
      <c r="O983" s="78"/>
      <c r="P983" s="134"/>
    </row>
    <row r="984" spans="15:16" x14ac:dyDescent="0.3">
      <c r="O984" s="78"/>
      <c r="P984" s="134"/>
    </row>
    <row r="985" spans="15:16" x14ac:dyDescent="0.3">
      <c r="O985" s="78"/>
      <c r="P985" s="134"/>
    </row>
    <row r="986" spans="15:16" x14ac:dyDescent="0.3">
      <c r="O986" s="78"/>
      <c r="P986" s="134"/>
    </row>
    <row r="987" spans="15:16" x14ac:dyDescent="0.3">
      <c r="O987" s="78"/>
      <c r="P987" s="134"/>
    </row>
    <row r="988" spans="15:16" x14ac:dyDescent="0.3">
      <c r="O988" s="78"/>
      <c r="P988" s="134"/>
    </row>
    <row r="989" spans="15:16" x14ac:dyDescent="0.3">
      <c r="O989" s="78"/>
      <c r="P989" s="134"/>
    </row>
    <row r="990" spans="15:16" x14ac:dyDescent="0.3">
      <c r="O990" s="78"/>
      <c r="P990" s="134"/>
    </row>
    <row r="991" spans="15:16" x14ac:dyDescent="0.3">
      <c r="O991" s="78"/>
      <c r="P991" s="134"/>
    </row>
    <row r="992" spans="15:16" x14ac:dyDescent="0.3">
      <c r="O992" s="78"/>
      <c r="P992" s="134"/>
    </row>
    <row r="993" spans="15:16" x14ac:dyDescent="0.3">
      <c r="O993" s="78"/>
      <c r="P993" s="134"/>
    </row>
    <row r="994" spans="15:16" x14ac:dyDescent="0.3">
      <c r="O994" s="78"/>
      <c r="P994" s="134"/>
    </row>
    <row r="995" spans="15:16" x14ac:dyDescent="0.3">
      <c r="O995" s="78"/>
      <c r="P995" s="134"/>
    </row>
    <row r="996" spans="15:16" x14ac:dyDescent="0.3">
      <c r="O996" s="78"/>
      <c r="P996" s="134"/>
    </row>
    <row r="997" spans="15:16" x14ac:dyDescent="0.3">
      <c r="O997" s="78"/>
      <c r="P997" s="134"/>
    </row>
    <row r="998" spans="15:16" x14ac:dyDescent="0.3">
      <c r="O998" s="78"/>
      <c r="P998" s="134"/>
    </row>
    <row r="999" spans="15:16" x14ac:dyDescent="0.3">
      <c r="O999" s="78"/>
      <c r="P999" s="134"/>
    </row>
    <row r="1000" spans="15:16" x14ac:dyDescent="0.3">
      <c r="O1000" s="78"/>
      <c r="P1000" s="134"/>
    </row>
    <row r="1001" spans="15:16" x14ac:dyDescent="0.3">
      <c r="O1001" s="78"/>
      <c r="P1001" s="134"/>
    </row>
    <row r="1002" spans="15:16" x14ac:dyDescent="0.3">
      <c r="O1002" s="78"/>
      <c r="P1002" s="134"/>
    </row>
    <row r="1003" spans="15:16" x14ac:dyDescent="0.3">
      <c r="O1003" s="78"/>
      <c r="P1003" s="134"/>
    </row>
    <row r="1004" spans="15:16" x14ac:dyDescent="0.3">
      <c r="O1004" s="78"/>
      <c r="P1004" s="134"/>
    </row>
    <row r="1005" spans="15:16" x14ac:dyDescent="0.3">
      <c r="O1005" s="78"/>
      <c r="P1005" s="134"/>
    </row>
    <row r="1006" spans="15:16" x14ac:dyDescent="0.3">
      <c r="O1006" s="78"/>
      <c r="P1006" s="134"/>
    </row>
    <row r="1007" spans="15:16" x14ac:dyDescent="0.3">
      <c r="O1007" s="78"/>
      <c r="P1007" s="134"/>
    </row>
    <row r="1008" spans="15:16" x14ac:dyDescent="0.3">
      <c r="O1008" s="78"/>
      <c r="P1008" s="134"/>
    </row>
    <row r="1009" spans="15:16" x14ac:dyDescent="0.3">
      <c r="O1009" s="78"/>
      <c r="P1009" s="134"/>
    </row>
    <row r="1010" spans="15:16" x14ac:dyDescent="0.3">
      <c r="O1010" s="78"/>
      <c r="P1010" s="134"/>
    </row>
    <row r="1011" spans="15:16" x14ac:dyDescent="0.3">
      <c r="O1011" s="78"/>
      <c r="P1011" s="134"/>
    </row>
    <row r="1012" spans="15:16" x14ac:dyDescent="0.3">
      <c r="O1012" s="78"/>
      <c r="P1012" s="134"/>
    </row>
    <row r="1013" spans="15:16" x14ac:dyDescent="0.3">
      <c r="O1013" s="78"/>
      <c r="P1013" s="134"/>
    </row>
    <row r="1014" spans="15:16" x14ac:dyDescent="0.3">
      <c r="O1014" s="78"/>
      <c r="P1014" s="134"/>
    </row>
    <row r="1015" spans="15:16" x14ac:dyDescent="0.3">
      <c r="O1015" s="78"/>
      <c r="P1015" s="134"/>
    </row>
    <row r="1016" spans="15:16" x14ac:dyDescent="0.3">
      <c r="O1016" s="78"/>
      <c r="P1016" s="134"/>
    </row>
    <row r="1017" spans="15:16" x14ac:dyDescent="0.3">
      <c r="O1017" s="78"/>
      <c r="P1017" s="134"/>
    </row>
    <row r="1018" spans="15:16" x14ac:dyDescent="0.3">
      <c r="O1018" s="78"/>
      <c r="P1018" s="134"/>
    </row>
    <row r="1019" spans="15:16" x14ac:dyDescent="0.3">
      <c r="O1019" s="78"/>
      <c r="P1019" s="134"/>
    </row>
    <row r="1020" spans="15:16" x14ac:dyDescent="0.3">
      <c r="O1020" s="78"/>
      <c r="P1020" s="134"/>
    </row>
    <row r="1021" spans="15:16" x14ac:dyDescent="0.3">
      <c r="O1021" s="78"/>
      <c r="P1021" s="134"/>
    </row>
    <row r="1022" spans="15:16" x14ac:dyDescent="0.3">
      <c r="O1022" s="78"/>
      <c r="P1022" s="134"/>
    </row>
    <row r="1023" spans="15:16" x14ac:dyDescent="0.3">
      <c r="O1023" s="78"/>
      <c r="P1023" s="134"/>
    </row>
    <row r="1024" spans="15:16" x14ac:dyDescent="0.3">
      <c r="O1024" s="78"/>
      <c r="P1024" s="134"/>
    </row>
    <row r="1025" spans="15:16" x14ac:dyDescent="0.3">
      <c r="O1025" s="78"/>
      <c r="P1025" s="134"/>
    </row>
    <row r="1026" spans="15:16" x14ac:dyDescent="0.3">
      <c r="O1026" s="78"/>
      <c r="P1026" s="134"/>
    </row>
    <row r="1027" spans="15:16" x14ac:dyDescent="0.3">
      <c r="O1027" s="78"/>
      <c r="P1027" s="134"/>
    </row>
    <row r="1028" spans="15:16" x14ac:dyDescent="0.3">
      <c r="O1028" s="78"/>
      <c r="P1028" s="134"/>
    </row>
    <row r="1029" spans="15:16" x14ac:dyDescent="0.3">
      <c r="O1029" s="78"/>
      <c r="P1029" s="134"/>
    </row>
    <row r="1030" spans="15:16" x14ac:dyDescent="0.3">
      <c r="O1030" s="78"/>
      <c r="P1030" s="134"/>
    </row>
    <row r="1031" spans="15:16" x14ac:dyDescent="0.3">
      <c r="O1031" s="78"/>
      <c r="P1031" s="134"/>
    </row>
    <row r="1032" spans="15:16" x14ac:dyDescent="0.3">
      <c r="O1032" s="78"/>
      <c r="P1032" s="134"/>
    </row>
    <row r="1033" spans="15:16" x14ac:dyDescent="0.3">
      <c r="O1033" s="78"/>
      <c r="P1033" s="134"/>
    </row>
    <row r="1034" spans="15:16" x14ac:dyDescent="0.3">
      <c r="O1034" s="78"/>
      <c r="P1034" s="134"/>
    </row>
    <row r="1035" spans="15:16" x14ac:dyDescent="0.3">
      <c r="O1035" s="78"/>
      <c r="P1035" s="134"/>
    </row>
    <row r="1036" spans="15:16" x14ac:dyDescent="0.3">
      <c r="O1036" s="78"/>
      <c r="P1036" s="134"/>
    </row>
    <row r="1037" spans="15:16" x14ac:dyDescent="0.3">
      <c r="O1037" s="78"/>
      <c r="P1037" s="134"/>
    </row>
    <row r="1038" spans="15:16" x14ac:dyDescent="0.3">
      <c r="O1038" s="78"/>
      <c r="P1038" s="134"/>
    </row>
    <row r="1039" spans="15:16" x14ac:dyDescent="0.3">
      <c r="O1039" s="78"/>
      <c r="P1039" s="134"/>
    </row>
    <row r="1040" spans="15:16" x14ac:dyDescent="0.3">
      <c r="O1040" s="78"/>
      <c r="P1040" s="134"/>
    </row>
    <row r="1041" spans="15:16" x14ac:dyDescent="0.3">
      <c r="O1041" s="78"/>
      <c r="P1041" s="134"/>
    </row>
    <row r="1042" spans="15:16" x14ac:dyDescent="0.3">
      <c r="O1042" s="78"/>
      <c r="P1042" s="134"/>
    </row>
    <row r="1043" spans="15:16" x14ac:dyDescent="0.3">
      <c r="O1043" s="78"/>
      <c r="P1043" s="134"/>
    </row>
    <row r="1044" spans="15:16" x14ac:dyDescent="0.3">
      <c r="O1044" s="78"/>
      <c r="P1044" s="134"/>
    </row>
    <row r="1045" spans="15:16" x14ac:dyDescent="0.3">
      <c r="O1045" s="78"/>
      <c r="P1045" s="134"/>
    </row>
    <row r="1046" spans="15:16" x14ac:dyDescent="0.3">
      <c r="O1046" s="78"/>
      <c r="P1046" s="134"/>
    </row>
    <row r="1047" spans="15:16" x14ac:dyDescent="0.3">
      <c r="O1047" s="78"/>
      <c r="P1047" s="134"/>
    </row>
    <row r="1048" spans="15:16" x14ac:dyDescent="0.3">
      <c r="O1048" s="78"/>
      <c r="P1048" s="134"/>
    </row>
    <row r="1049" spans="15:16" x14ac:dyDescent="0.3">
      <c r="O1049" s="78"/>
      <c r="P1049" s="134"/>
    </row>
    <row r="1050" spans="15:16" x14ac:dyDescent="0.3">
      <c r="O1050" s="78"/>
      <c r="P1050" s="134"/>
    </row>
    <row r="1051" spans="15:16" x14ac:dyDescent="0.3">
      <c r="O1051" s="78"/>
      <c r="P1051" s="134"/>
    </row>
    <row r="1052" spans="15:16" x14ac:dyDescent="0.3">
      <c r="O1052" s="78"/>
      <c r="P1052" s="134"/>
    </row>
    <row r="1053" spans="15:16" x14ac:dyDescent="0.3">
      <c r="O1053" s="78"/>
      <c r="P1053" s="134"/>
    </row>
    <row r="1054" spans="15:16" x14ac:dyDescent="0.3">
      <c r="O1054" s="78"/>
      <c r="P1054" s="134"/>
    </row>
    <row r="1055" spans="15:16" x14ac:dyDescent="0.3">
      <c r="O1055" s="78"/>
      <c r="P1055" s="134"/>
    </row>
    <row r="1056" spans="15:16" x14ac:dyDescent="0.3">
      <c r="O1056" s="78"/>
      <c r="P1056" s="134"/>
    </row>
    <row r="1057" spans="15:16" x14ac:dyDescent="0.3">
      <c r="O1057" s="78"/>
      <c r="P1057" s="134"/>
    </row>
    <row r="1058" spans="15:16" x14ac:dyDescent="0.3">
      <c r="O1058" s="78"/>
      <c r="P1058" s="134"/>
    </row>
    <row r="1059" spans="15:16" x14ac:dyDescent="0.3">
      <c r="O1059" s="78"/>
      <c r="P1059" s="134"/>
    </row>
    <row r="1060" spans="15:16" x14ac:dyDescent="0.3">
      <c r="O1060" s="78"/>
      <c r="P1060" s="134"/>
    </row>
    <row r="1061" spans="15:16" x14ac:dyDescent="0.3">
      <c r="O1061" s="78"/>
      <c r="P1061" s="134"/>
    </row>
    <row r="1062" spans="15:16" x14ac:dyDescent="0.3">
      <c r="O1062" s="78"/>
      <c r="P1062" s="134"/>
    </row>
    <row r="1063" spans="15:16" x14ac:dyDescent="0.3">
      <c r="O1063" s="78"/>
      <c r="P1063" s="134"/>
    </row>
    <row r="1064" spans="15:16" x14ac:dyDescent="0.3">
      <c r="O1064" s="78"/>
      <c r="P1064" s="134"/>
    </row>
    <row r="1065" spans="15:16" x14ac:dyDescent="0.3">
      <c r="O1065" s="78"/>
      <c r="P1065" s="134"/>
    </row>
    <row r="1066" spans="15:16" x14ac:dyDescent="0.3">
      <c r="O1066" s="78"/>
      <c r="P1066" s="134"/>
    </row>
    <row r="1067" spans="15:16" x14ac:dyDescent="0.3">
      <c r="O1067" s="78"/>
      <c r="P1067" s="134"/>
    </row>
    <row r="1068" spans="15:16" x14ac:dyDescent="0.3">
      <c r="O1068" s="78"/>
      <c r="P1068" s="134"/>
    </row>
    <row r="1069" spans="15:16" x14ac:dyDescent="0.3">
      <c r="O1069" s="78"/>
      <c r="P1069" s="134"/>
    </row>
    <row r="1070" spans="15:16" x14ac:dyDescent="0.3">
      <c r="O1070" s="78"/>
      <c r="P1070" s="134"/>
    </row>
    <row r="1071" spans="15:16" x14ac:dyDescent="0.3">
      <c r="O1071" s="78"/>
      <c r="P1071" s="134"/>
    </row>
    <row r="1072" spans="15:16" x14ac:dyDescent="0.3">
      <c r="O1072" s="78"/>
      <c r="P1072" s="134"/>
    </row>
    <row r="1073" spans="15:16" x14ac:dyDescent="0.3">
      <c r="O1073" s="78"/>
      <c r="P1073" s="134"/>
    </row>
    <row r="1074" spans="15:16" x14ac:dyDescent="0.3">
      <c r="O1074" s="78"/>
      <c r="P1074" s="134"/>
    </row>
    <row r="1075" spans="15:16" x14ac:dyDescent="0.3">
      <c r="O1075" s="78"/>
      <c r="P1075" s="134"/>
    </row>
    <row r="1076" spans="15:16" x14ac:dyDescent="0.3">
      <c r="O1076" s="78"/>
      <c r="P1076" s="134"/>
    </row>
    <row r="1077" spans="15:16" x14ac:dyDescent="0.3">
      <c r="O1077" s="78"/>
      <c r="P1077" s="134"/>
    </row>
    <row r="1078" spans="15:16" x14ac:dyDescent="0.3">
      <c r="O1078" s="78"/>
      <c r="P1078" s="134"/>
    </row>
    <row r="1079" spans="15:16" x14ac:dyDescent="0.3">
      <c r="O1079" s="78"/>
      <c r="P1079" s="134"/>
    </row>
    <row r="1080" spans="15:16" x14ac:dyDescent="0.3">
      <c r="O1080" s="78"/>
      <c r="P1080" s="134"/>
    </row>
    <row r="1081" spans="15:16" x14ac:dyDescent="0.3">
      <c r="O1081" s="78"/>
      <c r="P1081" s="134"/>
    </row>
    <row r="1082" spans="15:16" x14ac:dyDescent="0.3">
      <c r="O1082" s="78"/>
      <c r="P1082" s="134"/>
    </row>
    <row r="1083" spans="15:16" x14ac:dyDescent="0.3">
      <c r="O1083" s="78"/>
      <c r="P1083" s="134"/>
    </row>
    <row r="1084" spans="15:16" x14ac:dyDescent="0.3">
      <c r="O1084" s="78"/>
      <c r="P1084" s="134"/>
    </row>
    <row r="1085" spans="15:16" x14ac:dyDescent="0.3">
      <c r="O1085" s="78"/>
      <c r="P1085" s="134"/>
    </row>
    <row r="1086" spans="15:16" x14ac:dyDescent="0.3">
      <c r="O1086" s="78"/>
      <c r="P1086" s="134"/>
    </row>
    <row r="1087" spans="15:16" x14ac:dyDescent="0.3">
      <c r="O1087" s="78"/>
      <c r="P1087" s="134"/>
    </row>
    <row r="1088" spans="15:16" x14ac:dyDescent="0.3">
      <c r="O1088" s="78"/>
      <c r="P1088" s="134"/>
    </row>
    <row r="1089" spans="15:16" x14ac:dyDescent="0.3">
      <c r="O1089" s="78"/>
      <c r="P1089" s="134"/>
    </row>
    <row r="1090" spans="15:16" x14ac:dyDescent="0.3">
      <c r="O1090" s="78"/>
      <c r="P1090" s="134"/>
    </row>
    <row r="1091" spans="15:16" x14ac:dyDescent="0.3">
      <c r="O1091" s="78"/>
      <c r="P1091" s="134"/>
    </row>
    <row r="1092" spans="15:16" x14ac:dyDescent="0.3">
      <c r="O1092" s="78"/>
      <c r="P1092" s="134"/>
    </row>
    <row r="1093" spans="15:16" x14ac:dyDescent="0.3">
      <c r="O1093" s="78"/>
      <c r="P1093" s="134"/>
    </row>
    <row r="1094" spans="15:16" x14ac:dyDescent="0.3">
      <c r="O1094" s="78"/>
      <c r="P1094" s="134"/>
    </row>
    <row r="1095" spans="15:16" x14ac:dyDescent="0.3">
      <c r="O1095" s="78"/>
      <c r="P1095" s="134"/>
    </row>
    <row r="1096" spans="15:16" x14ac:dyDescent="0.3">
      <c r="O1096" s="78"/>
      <c r="P1096" s="134"/>
    </row>
    <row r="1097" spans="15:16" x14ac:dyDescent="0.3">
      <c r="O1097" s="78"/>
      <c r="P1097" s="134"/>
    </row>
    <row r="1098" spans="15:16" x14ac:dyDescent="0.3">
      <c r="O1098" s="78"/>
      <c r="P1098" s="134"/>
    </row>
    <row r="1099" spans="15:16" x14ac:dyDescent="0.3">
      <c r="O1099" s="78"/>
      <c r="P1099" s="134"/>
    </row>
    <row r="1100" spans="15:16" x14ac:dyDescent="0.3">
      <c r="O1100" s="78"/>
      <c r="P1100" s="134"/>
    </row>
    <row r="1101" spans="15:16" x14ac:dyDescent="0.3">
      <c r="O1101" s="78"/>
      <c r="P1101" s="134"/>
    </row>
    <row r="1102" spans="15:16" x14ac:dyDescent="0.3">
      <c r="O1102" s="78"/>
      <c r="P1102" s="134"/>
    </row>
    <row r="1103" spans="15:16" x14ac:dyDescent="0.3">
      <c r="O1103" s="78"/>
      <c r="P1103" s="134"/>
    </row>
    <row r="1104" spans="15:16" x14ac:dyDescent="0.3">
      <c r="O1104" s="78"/>
      <c r="P1104" s="134"/>
    </row>
    <row r="1105" spans="15:16" x14ac:dyDescent="0.3">
      <c r="O1105" s="78"/>
      <c r="P1105" s="134"/>
    </row>
    <row r="1106" spans="15:16" x14ac:dyDescent="0.3">
      <c r="O1106" s="78"/>
      <c r="P1106" s="134"/>
    </row>
    <row r="1107" spans="15:16" x14ac:dyDescent="0.3">
      <c r="O1107" s="78"/>
      <c r="P1107" s="134"/>
    </row>
    <row r="1108" spans="15:16" x14ac:dyDescent="0.3">
      <c r="O1108" s="78"/>
      <c r="P1108" s="134"/>
    </row>
    <row r="1109" spans="15:16" x14ac:dyDescent="0.3">
      <c r="O1109" s="78"/>
      <c r="P1109" s="134"/>
    </row>
    <row r="1110" spans="15:16" x14ac:dyDescent="0.3">
      <c r="O1110" s="78"/>
      <c r="P1110" s="134"/>
    </row>
    <row r="1111" spans="15:16" x14ac:dyDescent="0.3">
      <c r="O1111" s="78"/>
      <c r="P1111" s="134"/>
    </row>
    <row r="1112" spans="15:16" x14ac:dyDescent="0.3">
      <c r="O1112" s="78"/>
      <c r="P1112" s="134"/>
    </row>
    <row r="1113" spans="15:16" x14ac:dyDescent="0.3">
      <c r="O1113" s="78"/>
      <c r="P1113" s="134"/>
    </row>
    <row r="1114" spans="15:16" x14ac:dyDescent="0.3">
      <c r="O1114" s="78"/>
      <c r="P1114" s="134"/>
    </row>
    <row r="1115" spans="15:16" x14ac:dyDescent="0.3">
      <c r="O1115" s="78"/>
      <c r="P1115" s="134"/>
    </row>
    <row r="1116" spans="15:16" x14ac:dyDescent="0.3">
      <c r="O1116" s="78"/>
      <c r="P1116" s="134"/>
    </row>
    <row r="1117" spans="15:16" x14ac:dyDescent="0.3">
      <c r="O1117" s="78"/>
      <c r="P1117" s="134"/>
    </row>
    <row r="1118" spans="15:16" x14ac:dyDescent="0.3">
      <c r="O1118" s="78"/>
      <c r="P1118" s="134"/>
    </row>
    <row r="1119" spans="15:16" x14ac:dyDescent="0.3">
      <c r="O1119" s="78"/>
      <c r="P1119" s="134"/>
    </row>
    <row r="1120" spans="15:16" x14ac:dyDescent="0.3">
      <c r="O1120" s="78"/>
      <c r="P1120" s="134"/>
    </row>
    <row r="1121" spans="15:16" x14ac:dyDescent="0.3">
      <c r="O1121" s="78"/>
      <c r="P1121" s="134"/>
    </row>
    <row r="1122" spans="15:16" x14ac:dyDescent="0.3">
      <c r="O1122" s="78"/>
      <c r="P1122" s="134"/>
    </row>
    <row r="1123" spans="15:16" x14ac:dyDescent="0.3">
      <c r="O1123" s="78"/>
      <c r="P1123" s="134"/>
    </row>
    <row r="1124" spans="15:16" x14ac:dyDescent="0.3">
      <c r="O1124" s="78"/>
      <c r="P1124" s="134"/>
    </row>
    <row r="1125" spans="15:16" x14ac:dyDescent="0.3">
      <c r="O1125" s="78"/>
      <c r="P1125" s="134"/>
    </row>
    <row r="1126" spans="15:16" x14ac:dyDescent="0.3">
      <c r="O1126" s="78"/>
      <c r="P1126" s="134"/>
    </row>
    <row r="1127" spans="15:16" x14ac:dyDescent="0.3">
      <c r="O1127" s="78"/>
      <c r="P1127" s="134"/>
    </row>
    <row r="1128" spans="15:16" x14ac:dyDescent="0.3">
      <c r="O1128" s="78"/>
      <c r="P1128" s="134"/>
    </row>
    <row r="1129" spans="15:16" x14ac:dyDescent="0.3">
      <c r="O1129" s="78"/>
      <c r="P1129" s="134"/>
    </row>
    <row r="1130" spans="15:16" x14ac:dyDescent="0.3">
      <c r="O1130" s="78"/>
      <c r="P1130" s="134"/>
    </row>
    <row r="1131" spans="15:16" x14ac:dyDescent="0.3">
      <c r="O1131" s="78"/>
      <c r="P1131" s="134"/>
    </row>
    <row r="1132" spans="15:16" x14ac:dyDescent="0.3">
      <c r="O1132" s="78"/>
      <c r="P1132" s="134"/>
    </row>
    <row r="1133" spans="15:16" x14ac:dyDescent="0.3">
      <c r="O1133" s="78"/>
      <c r="P1133" s="134"/>
    </row>
    <row r="1134" spans="15:16" x14ac:dyDescent="0.3">
      <c r="O1134" s="78"/>
      <c r="P1134" s="134"/>
    </row>
    <row r="1135" spans="15:16" x14ac:dyDescent="0.3">
      <c r="O1135" s="78"/>
      <c r="P1135" s="134"/>
    </row>
    <row r="1136" spans="15:16" x14ac:dyDescent="0.3">
      <c r="O1136" s="78"/>
      <c r="P1136" s="134"/>
    </row>
    <row r="1137" spans="15:16" x14ac:dyDescent="0.3">
      <c r="O1137" s="78"/>
      <c r="P1137" s="134"/>
    </row>
    <row r="1138" spans="15:16" x14ac:dyDescent="0.3">
      <c r="O1138" s="78"/>
      <c r="P1138" s="134"/>
    </row>
    <row r="1139" spans="15:16" x14ac:dyDescent="0.3">
      <c r="O1139" s="78"/>
      <c r="P1139" s="134"/>
    </row>
    <row r="1140" spans="15:16" x14ac:dyDescent="0.3">
      <c r="O1140" s="78"/>
      <c r="P1140" s="134"/>
    </row>
    <row r="1141" spans="15:16" x14ac:dyDescent="0.3">
      <c r="O1141" s="78"/>
      <c r="P1141" s="134"/>
    </row>
    <row r="1142" spans="15:16" x14ac:dyDescent="0.3">
      <c r="O1142" s="78"/>
      <c r="P1142" s="134"/>
    </row>
    <row r="1143" spans="15:16" x14ac:dyDescent="0.3">
      <c r="O1143" s="78"/>
      <c r="P1143" s="134"/>
    </row>
    <row r="1144" spans="15:16" x14ac:dyDescent="0.3">
      <c r="O1144" s="78"/>
      <c r="P1144" s="134"/>
    </row>
    <row r="1145" spans="15:16" x14ac:dyDescent="0.3">
      <c r="O1145" s="78"/>
      <c r="P1145" s="134"/>
    </row>
    <row r="1146" spans="15:16" x14ac:dyDescent="0.3">
      <c r="O1146" s="78"/>
      <c r="P1146" s="134"/>
    </row>
    <row r="1147" spans="15:16" x14ac:dyDescent="0.3">
      <c r="O1147" s="78"/>
      <c r="P1147" s="134"/>
    </row>
    <row r="1148" spans="15:16" x14ac:dyDescent="0.3">
      <c r="O1148" s="78"/>
      <c r="P1148" s="134"/>
    </row>
    <row r="1149" spans="15:16" x14ac:dyDescent="0.3">
      <c r="O1149" s="78"/>
      <c r="P1149" s="134"/>
    </row>
    <row r="1150" spans="15:16" x14ac:dyDescent="0.3">
      <c r="O1150" s="78"/>
      <c r="P1150" s="134"/>
    </row>
    <row r="1151" spans="15:16" x14ac:dyDescent="0.3">
      <c r="O1151" s="78"/>
      <c r="P1151" s="134"/>
    </row>
    <row r="1152" spans="15:16" x14ac:dyDescent="0.3">
      <c r="O1152" s="78"/>
      <c r="P1152" s="134"/>
    </row>
    <row r="1153" spans="15:16" x14ac:dyDescent="0.3">
      <c r="O1153" s="78"/>
      <c r="P1153" s="134"/>
    </row>
    <row r="1154" spans="15:16" x14ac:dyDescent="0.3">
      <c r="O1154" s="78"/>
      <c r="P1154" s="134"/>
    </row>
    <row r="1155" spans="15:16" x14ac:dyDescent="0.3">
      <c r="O1155" s="78"/>
      <c r="P1155" s="134"/>
    </row>
    <row r="1156" spans="15:16" x14ac:dyDescent="0.3">
      <c r="O1156" s="78"/>
      <c r="P1156" s="134"/>
    </row>
    <row r="1157" spans="15:16" x14ac:dyDescent="0.3">
      <c r="O1157" s="78"/>
      <c r="P1157" s="134"/>
    </row>
    <row r="1158" spans="15:16" x14ac:dyDescent="0.3">
      <c r="O1158" s="78"/>
      <c r="P1158" s="134"/>
    </row>
    <row r="1159" spans="15:16" x14ac:dyDescent="0.3">
      <c r="O1159" s="78"/>
      <c r="P1159" s="134"/>
    </row>
    <row r="1160" spans="15:16" x14ac:dyDescent="0.3">
      <c r="O1160" s="78"/>
      <c r="P1160" s="134"/>
    </row>
    <row r="1161" spans="15:16" x14ac:dyDescent="0.3">
      <c r="O1161" s="78"/>
      <c r="P1161" s="134"/>
    </row>
    <row r="1162" spans="15:16" x14ac:dyDescent="0.3">
      <c r="O1162" s="78"/>
      <c r="P1162" s="134"/>
    </row>
    <row r="1163" spans="15:16" x14ac:dyDescent="0.3">
      <c r="O1163" s="78"/>
      <c r="P1163" s="134"/>
    </row>
    <row r="1164" spans="15:16" x14ac:dyDescent="0.3">
      <c r="O1164" s="78"/>
      <c r="P1164" s="134"/>
    </row>
    <row r="1165" spans="15:16" x14ac:dyDescent="0.3">
      <c r="O1165" s="78"/>
      <c r="P1165" s="134"/>
    </row>
    <row r="1166" spans="15:16" x14ac:dyDescent="0.3">
      <c r="O1166" s="78"/>
      <c r="P1166" s="134"/>
    </row>
    <row r="1167" spans="15:16" x14ac:dyDescent="0.3">
      <c r="O1167" s="78"/>
      <c r="P1167" s="134"/>
    </row>
    <row r="1168" spans="15:16" x14ac:dyDescent="0.3">
      <c r="O1168" s="78"/>
      <c r="P1168" s="134"/>
    </row>
    <row r="1169" spans="15:16" x14ac:dyDescent="0.3">
      <c r="O1169" s="78"/>
      <c r="P1169" s="134"/>
    </row>
    <row r="1170" spans="15:16" x14ac:dyDescent="0.3">
      <c r="O1170" s="78"/>
      <c r="P1170" s="134"/>
    </row>
    <row r="1171" spans="15:16" x14ac:dyDescent="0.3">
      <c r="O1171" s="78"/>
      <c r="P1171" s="134"/>
    </row>
    <row r="1172" spans="15:16" x14ac:dyDescent="0.3">
      <c r="O1172" s="78"/>
      <c r="P1172" s="134"/>
    </row>
    <row r="1173" spans="15:16" x14ac:dyDescent="0.3">
      <c r="O1173" s="78"/>
      <c r="P1173" s="134"/>
    </row>
    <row r="1174" spans="15:16" x14ac:dyDescent="0.3">
      <c r="O1174" s="78"/>
      <c r="P1174" s="134"/>
    </row>
    <row r="1175" spans="15:16" x14ac:dyDescent="0.3">
      <c r="O1175" s="78"/>
      <c r="P1175" s="134"/>
    </row>
    <row r="1176" spans="15:16" x14ac:dyDescent="0.3">
      <c r="O1176" s="78"/>
      <c r="P1176" s="134"/>
    </row>
    <row r="1177" spans="15:16" x14ac:dyDescent="0.3">
      <c r="O1177" s="78"/>
      <c r="P1177" s="134"/>
    </row>
    <row r="1178" spans="15:16" x14ac:dyDescent="0.3">
      <c r="O1178" s="78"/>
      <c r="P1178" s="134"/>
    </row>
    <row r="1179" spans="15:16" x14ac:dyDescent="0.3">
      <c r="O1179" s="78"/>
      <c r="P1179" s="134"/>
    </row>
    <row r="1180" spans="15:16" x14ac:dyDescent="0.3">
      <c r="O1180" s="78"/>
      <c r="P1180" s="134"/>
    </row>
    <row r="1181" spans="15:16" x14ac:dyDescent="0.3">
      <c r="O1181" s="78"/>
      <c r="P1181" s="134"/>
    </row>
    <row r="1182" spans="15:16" x14ac:dyDescent="0.3">
      <c r="O1182" s="78"/>
      <c r="P1182" s="134"/>
    </row>
    <row r="1183" spans="15:16" x14ac:dyDescent="0.3">
      <c r="O1183" s="78"/>
      <c r="P1183" s="134"/>
    </row>
    <row r="1184" spans="15:16" x14ac:dyDescent="0.3">
      <c r="O1184" s="78"/>
      <c r="P1184" s="134"/>
    </row>
    <row r="1185" spans="15:16" x14ac:dyDescent="0.3">
      <c r="O1185" s="78"/>
      <c r="P1185" s="134"/>
    </row>
    <row r="1186" spans="15:16" x14ac:dyDescent="0.3">
      <c r="O1186" s="78"/>
      <c r="P1186" s="134"/>
    </row>
    <row r="1187" spans="15:16" x14ac:dyDescent="0.3">
      <c r="O1187" s="78"/>
      <c r="P1187" s="134"/>
    </row>
    <row r="1188" spans="15:16" x14ac:dyDescent="0.3">
      <c r="O1188" s="78"/>
      <c r="P1188" s="134"/>
    </row>
    <row r="1189" spans="15:16" x14ac:dyDescent="0.3">
      <c r="O1189" s="78"/>
      <c r="P1189" s="134"/>
    </row>
    <row r="1190" spans="15:16" x14ac:dyDescent="0.3">
      <c r="O1190" s="78"/>
      <c r="P1190" s="134"/>
    </row>
    <row r="1191" spans="15:16" x14ac:dyDescent="0.3">
      <c r="O1191" s="78"/>
      <c r="P1191" s="134"/>
    </row>
    <row r="1192" spans="15:16" x14ac:dyDescent="0.3">
      <c r="O1192" s="78"/>
      <c r="P1192" s="134"/>
    </row>
    <row r="1193" spans="15:16" x14ac:dyDescent="0.3">
      <c r="O1193" s="78"/>
      <c r="P1193" s="134"/>
    </row>
    <row r="1194" spans="15:16" x14ac:dyDescent="0.3">
      <c r="O1194" s="78"/>
      <c r="P1194" s="134"/>
    </row>
    <row r="1195" spans="15:16" x14ac:dyDescent="0.3">
      <c r="O1195" s="78"/>
      <c r="P1195" s="134"/>
    </row>
    <row r="1196" spans="15:16" x14ac:dyDescent="0.3">
      <c r="O1196" s="78"/>
      <c r="P1196" s="134"/>
    </row>
    <row r="1197" spans="15:16" x14ac:dyDescent="0.3">
      <c r="O1197" s="78"/>
      <c r="P1197" s="134"/>
    </row>
    <row r="1198" spans="15:16" x14ac:dyDescent="0.3">
      <c r="O1198" s="78"/>
      <c r="P1198" s="134"/>
    </row>
    <row r="1199" spans="15:16" x14ac:dyDescent="0.3">
      <c r="O1199" s="78"/>
      <c r="P1199" s="134"/>
    </row>
    <row r="1200" spans="15:16" x14ac:dyDescent="0.3">
      <c r="O1200" s="78"/>
      <c r="P1200" s="134"/>
    </row>
    <row r="1201" spans="15:16" x14ac:dyDescent="0.3">
      <c r="O1201" s="78"/>
      <c r="P1201" s="134"/>
    </row>
    <row r="1202" spans="15:16" x14ac:dyDescent="0.3">
      <c r="O1202" s="78"/>
      <c r="P1202" s="134"/>
    </row>
    <row r="1203" spans="15:16" x14ac:dyDescent="0.3">
      <c r="O1203" s="78"/>
      <c r="P1203" s="134"/>
    </row>
    <row r="1204" spans="15:16" x14ac:dyDescent="0.3">
      <c r="O1204" s="78"/>
      <c r="P1204" s="134"/>
    </row>
    <row r="1205" spans="15:16" x14ac:dyDescent="0.3">
      <c r="O1205" s="78"/>
      <c r="P1205" s="134"/>
    </row>
    <row r="1206" spans="15:16" x14ac:dyDescent="0.3">
      <c r="O1206" s="78"/>
      <c r="P1206" s="134"/>
    </row>
    <row r="1207" spans="15:16" x14ac:dyDescent="0.3">
      <c r="O1207" s="78"/>
      <c r="P1207" s="134"/>
    </row>
    <row r="1208" spans="15:16" x14ac:dyDescent="0.3">
      <c r="O1208" s="78"/>
      <c r="P1208" s="134"/>
    </row>
    <row r="1209" spans="15:16" x14ac:dyDescent="0.3">
      <c r="O1209" s="78"/>
      <c r="P1209" s="134"/>
    </row>
    <row r="1210" spans="15:16" x14ac:dyDescent="0.3">
      <c r="O1210" s="78"/>
      <c r="P1210" s="134"/>
    </row>
    <row r="1211" spans="15:16" x14ac:dyDescent="0.3">
      <c r="O1211" s="78"/>
      <c r="P1211" s="134"/>
    </row>
    <row r="1212" spans="15:16" x14ac:dyDescent="0.3">
      <c r="O1212" s="78"/>
      <c r="P1212" s="134"/>
    </row>
    <row r="1213" spans="15:16" x14ac:dyDescent="0.3">
      <c r="O1213" s="78"/>
      <c r="P1213" s="134"/>
    </row>
    <row r="1214" spans="15:16" x14ac:dyDescent="0.3">
      <c r="O1214" s="78"/>
      <c r="P1214" s="134"/>
    </row>
    <row r="1215" spans="15:16" x14ac:dyDescent="0.3">
      <c r="O1215" s="78"/>
      <c r="P1215" s="134"/>
    </row>
    <row r="1216" spans="15:16" x14ac:dyDescent="0.3">
      <c r="O1216" s="78"/>
      <c r="P1216" s="134"/>
    </row>
    <row r="1217" spans="15:16" x14ac:dyDescent="0.3">
      <c r="O1217" s="78"/>
      <c r="P1217" s="134"/>
    </row>
    <row r="1218" spans="15:16" x14ac:dyDescent="0.3">
      <c r="O1218" s="78"/>
      <c r="P1218" s="134"/>
    </row>
    <row r="1219" spans="15:16" x14ac:dyDescent="0.3">
      <c r="O1219" s="78"/>
      <c r="P1219" s="134"/>
    </row>
    <row r="1220" spans="15:16" x14ac:dyDescent="0.3">
      <c r="O1220" s="78"/>
      <c r="P1220" s="134"/>
    </row>
    <row r="1221" spans="15:16" x14ac:dyDescent="0.3">
      <c r="O1221" s="78"/>
      <c r="P1221" s="134"/>
    </row>
    <row r="1222" spans="15:16" x14ac:dyDescent="0.3">
      <c r="O1222" s="78"/>
      <c r="P1222" s="134"/>
    </row>
    <row r="1223" spans="15:16" x14ac:dyDescent="0.3">
      <c r="O1223" s="78"/>
      <c r="P1223" s="134"/>
    </row>
    <row r="1224" spans="15:16" x14ac:dyDescent="0.3">
      <c r="O1224" s="78"/>
      <c r="P1224" s="134"/>
    </row>
    <row r="1225" spans="15:16" x14ac:dyDescent="0.3">
      <c r="O1225" s="78"/>
      <c r="P1225" s="134"/>
    </row>
    <row r="1226" spans="15:16" x14ac:dyDescent="0.3">
      <c r="O1226" s="78"/>
      <c r="P1226" s="134"/>
    </row>
    <row r="1227" spans="15:16" x14ac:dyDescent="0.3">
      <c r="O1227" s="78"/>
      <c r="P1227" s="134"/>
    </row>
    <row r="1228" spans="15:16" x14ac:dyDescent="0.3">
      <c r="O1228" s="78"/>
      <c r="P1228" s="134"/>
    </row>
    <row r="1229" spans="15:16" x14ac:dyDescent="0.3">
      <c r="O1229" s="78"/>
      <c r="P1229" s="134"/>
    </row>
    <row r="1230" spans="15:16" x14ac:dyDescent="0.3">
      <c r="O1230" s="78"/>
      <c r="P1230" s="134"/>
    </row>
    <row r="1231" spans="15:16" x14ac:dyDescent="0.3">
      <c r="O1231" s="78"/>
      <c r="P1231" s="134"/>
    </row>
    <row r="1232" spans="15:16" x14ac:dyDescent="0.3">
      <c r="O1232" s="78"/>
      <c r="P1232" s="134"/>
    </row>
    <row r="1233" spans="15:16" x14ac:dyDescent="0.3">
      <c r="O1233" s="78"/>
      <c r="P1233" s="134"/>
    </row>
    <row r="1234" spans="15:16" x14ac:dyDescent="0.3">
      <c r="O1234" s="78"/>
      <c r="P1234" s="134"/>
    </row>
    <row r="1235" spans="15:16" x14ac:dyDescent="0.3">
      <c r="O1235" s="78"/>
      <c r="P1235" s="134"/>
    </row>
    <row r="1236" spans="15:16" x14ac:dyDescent="0.3">
      <c r="O1236" s="78"/>
      <c r="P1236" s="134"/>
    </row>
    <row r="1237" spans="15:16" x14ac:dyDescent="0.3">
      <c r="O1237" s="78"/>
      <c r="P1237" s="134"/>
    </row>
    <row r="1238" spans="15:16" x14ac:dyDescent="0.3">
      <c r="O1238" s="78"/>
      <c r="P1238" s="134"/>
    </row>
    <row r="1239" spans="15:16" x14ac:dyDescent="0.3">
      <c r="O1239" s="78"/>
      <c r="P1239" s="134"/>
    </row>
    <row r="1240" spans="15:16" x14ac:dyDescent="0.3">
      <c r="O1240" s="78"/>
      <c r="P1240" s="134"/>
    </row>
    <row r="1241" spans="15:16" x14ac:dyDescent="0.3">
      <c r="O1241" s="78"/>
      <c r="P1241" s="134"/>
    </row>
    <row r="1242" spans="15:16" x14ac:dyDescent="0.3">
      <c r="O1242" s="78"/>
      <c r="P1242" s="134"/>
    </row>
    <row r="1243" spans="15:16" x14ac:dyDescent="0.3">
      <c r="O1243" s="78"/>
      <c r="P1243" s="134"/>
    </row>
    <row r="1244" spans="15:16" x14ac:dyDescent="0.3">
      <c r="O1244" s="78"/>
      <c r="P1244" s="134"/>
    </row>
    <row r="1245" spans="15:16" x14ac:dyDescent="0.3">
      <c r="O1245" s="78"/>
      <c r="P1245" s="134"/>
    </row>
    <row r="1246" spans="15:16" x14ac:dyDescent="0.3">
      <c r="O1246" s="78"/>
      <c r="P1246" s="134"/>
    </row>
    <row r="1247" spans="15:16" x14ac:dyDescent="0.3">
      <c r="O1247" s="78"/>
      <c r="P1247" s="134"/>
    </row>
    <row r="1248" spans="15:16" x14ac:dyDescent="0.3">
      <c r="O1248" s="78"/>
      <c r="P1248" s="134"/>
    </row>
    <row r="1249" spans="15:16" x14ac:dyDescent="0.3">
      <c r="O1249" s="78"/>
      <c r="P1249" s="134"/>
    </row>
    <row r="1250" spans="15:16" x14ac:dyDescent="0.3">
      <c r="O1250" s="78"/>
      <c r="P1250" s="134"/>
    </row>
    <row r="1251" spans="15:16" x14ac:dyDescent="0.3">
      <c r="O1251" s="78"/>
      <c r="P1251" s="134"/>
    </row>
    <row r="1252" spans="15:16" x14ac:dyDescent="0.3">
      <c r="O1252" s="78"/>
      <c r="P1252" s="134"/>
    </row>
    <row r="1253" spans="15:16" x14ac:dyDescent="0.3">
      <c r="O1253" s="78"/>
      <c r="P1253" s="134"/>
    </row>
    <row r="1254" spans="15:16" x14ac:dyDescent="0.3">
      <c r="O1254" s="78"/>
      <c r="P1254" s="134"/>
    </row>
    <row r="1255" spans="15:16" x14ac:dyDescent="0.3">
      <c r="O1255" s="78"/>
      <c r="P1255" s="134"/>
    </row>
    <row r="1256" spans="15:16" x14ac:dyDescent="0.3">
      <c r="O1256" s="78"/>
      <c r="P1256" s="134"/>
    </row>
    <row r="1257" spans="15:16" x14ac:dyDescent="0.3">
      <c r="O1257" s="78"/>
      <c r="P1257" s="134"/>
    </row>
    <row r="1258" spans="15:16" x14ac:dyDescent="0.3">
      <c r="O1258" s="78"/>
      <c r="P1258" s="134"/>
    </row>
    <row r="1259" spans="15:16" x14ac:dyDescent="0.3">
      <c r="O1259" s="78"/>
      <c r="P1259" s="134"/>
    </row>
    <row r="1260" spans="15:16" x14ac:dyDescent="0.3">
      <c r="O1260" s="78"/>
      <c r="P1260" s="134"/>
    </row>
    <row r="1261" spans="15:16" x14ac:dyDescent="0.3">
      <c r="O1261" s="78"/>
      <c r="P1261" s="134"/>
    </row>
    <row r="1262" spans="15:16" x14ac:dyDescent="0.3">
      <c r="O1262" s="78"/>
      <c r="P1262" s="134"/>
    </row>
    <row r="1263" spans="15:16" x14ac:dyDescent="0.3">
      <c r="O1263" s="78"/>
      <c r="P1263" s="134"/>
    </row>
    <row r="1264" spans="15:16" x14ac:dyDescent="0.3">
      <c r="O1264" s="78"/>
      <c r="P1264" s="134"/>
    </row>
    <row r="1265" spans="15:16" x14ac:dyDescent="0.3">
      <c r="O1265" s="78"/>
      <c r="P1265" s="134"/>
    </row>
    <row r="1266" spans="15:16" x14ac:dyDescent="0.3">
      <c r="O1266" s="78"/>
      <c r="P1266" s="134"/>
    </row>
    <row r="1267" spans="15:16" x14ac:dyDescent="0.3">
      <c r="O1267" s="78"/>
      <c r="P1267" s="134"/>
    </row>
    <row r="1268" spans="15:16" x14ac:dyDescent="0.3">
      <c r="O1268" s="78"/>
      <c r="P1268" s="134"/>
    </row>
    <row r="1269" spans="15:16" x14ac:dyDescent="0.3">
      <c r="O1269" s="78"/>
      <c r="P1269" s="134"/>
    </row>
    <row r="1270" spans="15:16" x14ac:dyDescent="0.3">
      <c r="O1270" s="78"/>
      <c r="P1270" s="134"/>
    </row>
    <row r="1271" spans="15:16" x14ac:dyDescent="0.3">
      <c r="O1271" s="78"/>
      <c r="P1271" s="134"/>
    </row>
    <row r="1272" spans="15:16" x14ac:dyDescent="0.3">
      <c r="O1272" s="78"/>
      <c r="P1272" s="134"/>
    </row>
    <row r="1273" spans="15:16" x14ac:dyDescent="0.3">
      <c r="O1273" s="78"/>
      <c r="P1273" s="134"/>
    </row>
    <row r="1274" spans="15:16" x14ac:dyDescent="0.3">
      <c r="O1274" s="78"/>
      <c r="P1274" s="134"/>
    </row>
    <row r="1275" spans="15:16" x14ac:dyDescent="0.3">
      <c r="O1275" s="78"/>
      <c r="P1275" s="134"/>
    </row>
    <row r="1276" spans="15:16" x14ac:dyDescent="0.3">
      <c r="O1276" s="78"/>
      <c r="P1276" s="134"/>
    </row>
    <row r="1277" spans="15:16" x14ac:dyDescent="0.3">
      <c r="O1277" s="78"/>
      <c r="P1277" s="134"/>
    </row>
    <row r="1278" spans="15:16" x14ac:dyDescent="0.3">
      <c r="O1278" s="78"/>
      <c r="P1278" s="134"/>
    </row>
    <row r="1279" spans="15:16" x14ac:dyDescent="0.3">
      <c r="O1279" s="78"/>
      <c r="P1279" s="134"/>
    </row>
    <row r="1280" spans="15:16" x14ac:dyDescent="0.3">
      <c r="O1280" s="78"/>
      <c r="P1280" s="134"/>
    </row>
    <row r="1281" spans="15:16" x14ac:dyDescent="0.3">
      <c r="O1281" s="78"/>
      <c r="P1281" s="134"/>
    </row>
    <row r="1282" spans="15:16" x14ac:dyDescent="0.3">
      <c r="O1282" s="78"/>
      <c r="P1282" s="134"/>
    </row>
    <row r="1283" spans="15:16" x14ac:dyDescent="0.3">
      <c r="O1283" s="78"/>
      <c r="P1283" s="134"/>
    </row>
    <row r="1284" spans="15:16" x14ac:dyDescent="0.3">
      <c r="O1284" s="78"/>
      <c r="P1284" s="134"/>
    </row>
    <row r="1285" spans="15:16" x14ac:dyDescent="0.3">
      <c r="O1285" s="78"/>
      <c r="P1285" s="134"/>
    </row>
    <row r="1286" spans="15:16" x14ac:dyDescent="0.3">
      <c r="O1286" s="78"/>
      <c r="P1286" s="134"/>
    </row>
    <row r="1287" spans="15:16" x14ac:dyDescent="0.3">
      <c r="O1287" s="78"/>
      <c r="P1287" s="134"/>
    </row>
    <row r="1288" spans="15:16" x14ac:dyDescent="0.3">
      <c r="O1288" s="78"/>
      <c r="P1288" s="134"/>
    </row>
    <row r="1289" spans="15:16" x14ac:dyDescent="0.3">
      <c r="O1289" s="78"/>
      <c r="P1289" s="134"/>
    </row>
    <row r="1290" spans="15:16" x14ac:dyDescent="0.3">
      <c r="O1290" s="78"/>
      <c r="P1290" s="134"/>
    </row>
    <row r="1291" spans="15:16" x14ac:dyDescent="0.3">
      <c r="O1291" s="78"/>
      <c r="P1291" s="134"/>
    </row>
    <row r="1292" spans="15:16" x14ac:dyDescent="0.3">
      <c r="O1292" s="78"/>
      <c r="P1292" s="134"/>
    </row>
    <row r="1293" spans="15:16" x14ac:dyDescent="0.3">
      <c r="O1293" s="78"/>
      <c r="P1293" s="134"/>
    </row>
    <row r="1294" spans="15:16" x14ac:dyDescent="0.3">
      <c r="O1294" s="78"/>
      <c r="P1294" s="134"/>
    </row>
    <row r="1295" spans="15:16" x14ac:dyDescent="0.3">
      <c r="O1295" s="78"/>
      <c r="P1295" s="134"/>
    </row>
    <row r="1296" spans="15:16" x14ac:dyDescent="0.3">
      <c r="O1296" s="78"/>
      <c r="P1296" s="134"/>
    </row>
    <row r="1297" spans="15:16" x14ac:dyDescent="0.3">
      <c r="O1297" s="78"/>
      <c r="P1297" s="134"/>
    </row>
    <row r="1298" spans="15:16" x14ac:dyDescent="0.3">
      <c r="O1298" s="78"/>
      <c r="P1298" s="134"/>
    </row>
    <row r="1299" spans="15:16" x14ac:dyDescent="0.3">
      <c r="O1299" s="78"/>
      <c r="P1299" s="134"/>
    </row>
    <row r="1300" spans="15:16" x14ac:dyDescent="0.3">
      <c r="O1300" s="78"/>
      <c r="P1300" s="134"/>
    </row>
    <row r="1301" spans="15:16" x14ac:dyDescent="0.3">
      <c r="O1301" s="78"/>
      <c r="P1301" s="134"/>
    </row>
    <row r="1302" spans="15:16" x14ac:dyDescent="0.3">
      <c r="O1302" s="78"/>
      <c r="P1302" s="134"/>
    </row>
    <row r="1303" spans="15:16" x14ac:dyDescent="0.3">
      <c r="O1303" s="78"/>
      <c r="P1303" s="134"/>
    </row>
    <row r="1304" spans="15:16" x14ac:dyDescent="0.3">
      <c r="O1304" s="78"/>
      <c r="P1304" s="134"/>
    </row>
    <row r="1305" spans="15:16" x14ac:dyDescent="0.3">
      <c r="O1305" s="78"/>
      <c r="P1305" s="134"/>
    </row>
    <row r="1306" spans="15:16" x14ac:dyDescent="0.3">
      <c r="O1306" s="78"/>
      <c r="P1306" s="134"/>
    </row>
    <row r="1307" spans="15:16" x14ac:dyDescent="0.3">
      <c r="O1307" s="78"/>
      <c r="P1307" s="134"/>
    </row>
    <row r="1308" spans="15:16" x14ac:dyDescent="0.3">
      <c r="O1308" s="78"/>
      <c r="P1308" s="134"/>
    </row>
    <row r="1309" spans="15:16" x14ac:dyDescent="0.3">
      <c r="O1309" s="78"/>
      <c r="P1309" s="134"/>
    </row>
    <row r="1310" spans="15:16" x14ac:dyDescent="0.3">
      <c r="O1310" s="78"/>
      <c r="P1310" s="134"/>
    </row>
    <row r="1311" spans="15:16" x14ac:dyDescent="0.3">
      <c r="O1311" s="78"/>
      <c r="P1311" s="134"/>
    </row>
    <row r="1312" spans="15:16" x14ac:dyDescent="0.3">
      <c r="O1312" s="78"/>
      <c r="P1312" s="134"/>
    </row>
    <row r="1313" spans="15:16" x14ac:dyDescent="0.3">
      <c r="O1313" s="78"/>
      <c r="P1313" s="134"/>
    </row>
    <row r="1314" spans="15:16" x14ac:dyDescent="0.3">
      <c r="O1314" s="78"/>
      <c r="P1314" s="134"/>
    </row>
    <row r="1315" spans="15:16" x14ac:dyDescent="0.3">
      <c r="O1315" s="78"/>
      <c r="P1315" s="134"/>
    </row>
    <row r="1316" spans="15:16" x14ac:dyDescent="0.3">
      <c r="O1316" s="78"/>
      <c r="P1316" s="134"/>
    </row>
    <row r="1317" spans="15:16" x14ac:dyDescent="0.3">
      <c r="O1317" s="78"/>
      <c r="P1317" s="134"/>
    </row>
    <row r="1318" spans="15:16" x14ac:dyDescent="0.3">
      <c r="O1318" s="78"/>
      <c r="P1318" s="134"/>
    </row>
    <row r="1319" spans="15:16" x14ac:dyDescent="0.3">
      <c r="O1319" s="78"/>
      <c r="P1319" s="134"/>
    </row>
    <row r="1320" spans="15:16" x14ac:dyDescent="0.3">
      <c r="O1320" s="78"/>
      <c r="P1320" s="134"/>
    </row>
    <row r="1321" spans="15:16" x14ac:dyDescent="0.3">
      <c r="O1321" s="78"/>
      <c r="P1321" s="134"/>
    </row>
    <row r="1322" spans="15:16" x14ac:dyDescent="0.3">
      <c r="O1322" s="78"/>
      <c r="P1322" s="134"/>
    </row>
    <row r="1323" spans="15:16" x14ac:dyDescent="0.3">
      <c r="O1323" s="78"/>
      <c r="P1323" s="134"/>
    </row>
    <row r="1324" spans="15:16" x14ac:dyDescent="0.3">
      <c r="O1324" s="78"/>
      <c r="P1324" s="134"/>
    </row>
    <row r="1325" spans="15:16" x14ac:dyDescent="0.3">
      <c r="O1325" s="78"/>
      <c r="P1325" s="134"/>
    </row>
    <row r="1326" spans="15:16" x14ac:dyDescent="0.3">
      <c r="O1326" s="78"/>
      <c r="P1326" s="134"/>
    </row>
    <row r="1327" spans="15:16" x14ac:dyDescent="0.3">
      <c r="O1327" s="78"/>
      <c r="P1327" s="134"/>
    </row>
    <row r="1328" spans="15:16" x14ac:dyDescent="0.3">
      <c r="O1328" s="78"/>
      <c r="P1328" s="134"/>
    </row>
    <row r="1329" spans="15:16" x14ac:dyDescent="0.3">
      <c r="O1329" s="78"/>
      <c r="P1329" s="134"/>
    </row>
    <row r="1330" spans="15:16" x14ac:dyDescent="0.3">
      <c r="O1330" s="78"/>
      <c r="P1330" s="134"/>
    </row>
    <row r="1331" spans="15:16" x14ac:dyDescent="0.3">
      <c r="O1331" s="78"/>
      <c r="P1331" s="134"/>
    </row>
    <row r="1332" spans="15:16" x14ac:dyDescent="0.3">
      <c r="O1332" s="78"/>
      <c r="P1332" s="134"/>
    </row>
    <row r="1333" spans="15:16" x14ac:dyDescent="0.3">
      <c r="O1333" s="78"/>
      <c r="P1333" s="134"/>
    </row>
    <row r="1334" spans="15:16" x14ac:dyDescent="0.3">
      <c r="O1334" s="78"/>
      <c r="P1334" s="134"/>
    </row>
    <row r="1335" spans="15:16" x14ac:dyDescent="0.3">
      <c r="O1335" s="78"/>
      <c r="P1335" s="134"/>
    </row>
    <row r="1336" spans="15:16" x14ac:dyDescent="0.3">
      <c r="O1336" s="78"/>
      <c r="P1336" s="134"/>
    </row>
    <row r="1337" spans="15:16" x14ac:dyDescent="0.3">
      <c r="O1337" s="78"/>
      <c r="P1337" s="134"/>
    </row>
    <row r="1338" spans="15:16" x14ac:dyDescent="0.3">
      <c r="O1338" s="78"/>
      <c r="P1338" s="134"/>
    </row>
    <row r="1339" spans="15:16" x14ac:dyDescent="0.3">
      <c r="O1339" s="78"/>
      <c r="P1339" s="134"/>
    </row>
    <row r="1340" spans="15:16" x14ac:dyDescent="0.3">
      <c r="O1340" s="78"/>
      <c r="P1340" s="134"/>
    </row>
    <row r="1341" spans="15:16" x14ac:dyDescent="0.3">
      <c r="O1341" s="78"/>
      <c r="P1341" s="134"/>
    </row>
    <row r="1342" spans="15:16" x14ac:dyDescent="0.3">
      <c r="O1342" s="78"/>
      <c r="P1342" s="134"/>
    </row>
    <row r="1343" spans="15:16" x14ac:dyDescent="0.3">
      <c r="O1343" s="78"/>
      <c r="P1343" s="134"/>
    </row>
    <row r="1344" spans="15:16" x14ac:dyDescent="0.3">
      <c r="O1344" s="78"/>
      <c r="P1344" s="134"/>
    </row>
    <row r="1345" spans="15:16" x14ac:dyDescent="0.3">
      <c r="O1345" s="78"/>
      <c r="P1345" s="134"/>
    </row>
    <row r="1346" spans="15:16" x14ac:dyDescent="0.3">
      <c r="O1346" s="78"/>
      <c r="P1346" s="134"/>
    </row>
    <row r="1347" spans="15:16" x14ac:dyDescent="0.3">
      <c r="O1347" s="78"/>
      <c r="P1347" s="134"/>
    </row>
    <row r="1348" spans="15:16" x14ac:dyDescent="0.3">
      <c r="O1348" s="78"/>
      <c r="P1348" s="134"/>
    </row>
    <row r="1349" spans="15:16" x14ac:dyDescent="0.3">
      <c r="O1349" s="78"/>
      <c r="P1349" s="134"/>
    </row>
    <row r="1350" spans="15:16" x14ac:dyDescent="0.3">
      <c r="O1350" s="78"/>
      <c r="P1350" s="134"/>
    </row>
    <row r="1351" spans="15:16" x14ac:dyDescent="0.3">
      <c r="O1351" s="78"/>
      <c r="P1351" s="134"/>
    </row>
    <row r="1352" spans="15:16" x14ac:dyDescent="0.3">
      <c r="O1352" s="78"/>
      <c r="P1352" s="134"/>
    </row>
    <row r="1353" spans="15:16" x14ac:dyDescent="0.3">
      <c r="O1353" s="78"/>
      <c r="P1353" s="134"/>
    </row>
    <row r="1354" spans="15:16" x14ac:dyDescent="0.3">
      <c r="O1354" s="78"/>
      <c r="P1354" s="134"/>
    </row>
    <row r="1355" spans="15:16" x14ac:dyDescent="0.3">
      <c r="O1355" s="78"/>
      <c r="P1355" s="134"/>
    </row>
    <row r="1356" spans="15:16" x14ac:dyDescent="0.3">
      <c r="O1356" s="78"/>
      <c r="P1356" s="134"/>
    </row>
    <row r="1357" spans="15:16" x14ac:dyDescent="0.3">
      <c r="O1357" s="78"/>
      <c r="P1357" s="134"/>
    </row>
    <row r="1358" spans="15:16" x14ac:dyDescent="0.3">
      <c r="O1358" s="78"/>
      <c r="P1358" s="134"/>
    </row>
    <row r="1359" spans="15:16" x14ac:dyDescent="0.3">
      <c r="O1359" s="78"/>
      <c r="P1359" s="134"/>
    </row>
    <row r="1360" spans="15:16" x14ac:dyDescent="0.3">
      <c r="O1360" s="78"/>
      <c r="P1360" s="134"/>
    </row>
    <row r="1361" spans="15:16" x14ac:dyDescent="0.3">
      <c r="O1361" s="78"/>
      <c r="P1361" s="134"/>
    </row>
    <row r="1362" spans="15:16" x14ac:dyDescent="0.3">
      <c r="O1362" s="78"/>
      <c r="P1362" s="134"/>
    </row>
    <row r="1363" spans="15:16" x14ac:dyDescent="0.3">
      <c r="O1363" s="78"/>
      <c r="P1363" s="134"/>
    </row>
    <row r="1364" spans="15:16" x14ac:dyDescent="0.3">
      <c r="O1364" s="78"/>
      <c r="P1364" s="134"/>
    </row>
    <row r="1365" spans="15:16" x14ac:dyDescent="0.3">
      <c r="O1365" s="78"/>
      <c r="P1365" s="134"/>
    </row>
    <row r="1366" spans="15:16" x14ac:dyDescent="0.3">
      <c r="O1366" s="78"/>
      <c r="P1366" s="134"/>
    </row>
    <row r="1367" spans="15:16" x14ac:dyDescent="0.3">
      <c r="O1367" s="78"/>
      <c r="P1367" s="134"/>
    </row>
    <row r="1368" spans="15:16" x14ac:dyDescent="0.3">
      <c r="O1368" s="78"/>
      <c r="P1368" s="134"/>
    </row>
    <row r="1369" spans="15:16" x14ac:dyDescent="0.3">
      <c r="O1369" s="78"/>
      <c r="P1369" s="134"/>
    </row>
    <row r="1370" spans="15:16" x14ac:dyDescent="0.3">
      <c r="O1370" s="78"/>
      <c r="P1370" s="134"/>
    </row>
    <row r="1371" spans="15:16" x14ac:dyDescent="0.3">
      <c r="O1371" s="78"/>
      <c r="P1371" s="134"/>
    </row>
    <row r="1372" spans="15:16" x14ac:dyDescent="0.3">
      <c r="O1372" s="78"/>
      <c r="P1372" s="134"/>
    </row>
    <row r="1373" spans="15:16" x14ac:dyDescent="0.3">
      <c r="O1373" s="78"/>
      <c r="P1373" s="134"/>
    </row>
    <row r="1374" spans="15:16" x14ac:dyDescent="0.3">
      <c r="O1374" s="78"/>
      <c r="P1374" s="134"/>
    </row>
    <row r="1375" spans="15:16" x14ac:dyDescent="0.3">
      <c r="O1375" s="78"/>
      <c r="P1375" s="134"/>
    </row>
    <row r="1376" spans="15:16" x14ac:dyDescent="0.3">
      <c r="O1376" s="78"/>
      <c r="P1376" s="134"/>
    </row>
    <row r="1377" spans="15:16" x14ac:dyDescent="0.3">
      <c r="O1377" s="78"/>
      <c r="P1377" s="134"/>
    </row>
    <row r="1378" spans="15:16" x14ac:dyDescent="0.3">
      <c r="O1378" s="78"/>
      <c r="P1378" s="134"/>
    </row>
    <row r="1379" spans="15:16" x14ac:dyDescent="0.3">
      <c r="O1379" s="78"/>
      <c r="P1379" s="134"/>
    </row>
    <row r="1380" spans="15:16" x14ac:dyDescent="0.3">
      <c r="O1380" s="78"/>
      <c r="P1380" s="134"/>
    </row>
    <row r="1381" spans="15:16" x14ac:dyDescent="0.3">
      <c r="O1381" s="78"/>
      <c r="P1381" s="134"/>
    </row>
    <row r="1382" spans="15:16" x14ac:dyDescent="0.3">
      <c r="O1382" s="78"/>
      <c r="P1382" s="134"/>
    </row>
    <row r="1383" spans="15:16" x14ac:dyDescent="0.3">
      <c r="O1383" s="78"/>
      <c r="P1383" s="134"/>
    </row>
    <row r="1384" spans="15:16" x14ac:dyDescent="0.3">
      <c r="O1384" s="78"/>
      <c r="P1384" s="134"/>
    </row>
    <row r="1385" spans="15:16" x14ac:dyDescent="0.3">
      <c r="O1385" s="78"/>
      <c r="P1385" s="134"/>
    </row>
    <row r="1386" spans="15:16" x14ac:dyDescent="0.3">
      <c r="O1386" s="78"/>
      <c r="P1386" s="134"/>
    </row>
    <row r="1387" spans="15:16" x14ac:dyDescent="0.3">
      <c r="O1387" s="78"/>
      <c r="P1387" s="134"/>
    </row>
    <row r="1388" spans="15:16" x14ac:dyDescent="0.3">
      <c r="O1388" s="78"/>
      <c r="P1388" s="134"/>
    </row>
    <row r="1389" spans="15:16" x14ac:dyDescent="0.3">
      <c r="O1389" s="78"/>
      <c r="P1389" s="134"/>
    </row>
    <row r="1390" spans="15:16" x14ac:dyDescent="0.3">
      <c r="O1390" s="78"/>
      <c r="P1390" s="134"/>
    </row>
    <row r="1391" spans="15:16" x14ac:dyDescent="0.3">
      <c r="O1391" s="78"/>
      <c r="P1391" s="134"/>
    </row>
    <row r="1392" spans="15:16" x14ac:dyDescent="0.3">
      <c r="O1392" s="78"/>
      <c r="P1392" s="134"/>
    </row>
    <row r="1393" spans="15:16" x14ac:dyDescent="0.3">
      <c r="O1393" s="78"/>
      <c r="P1393" s="134"/>
    </row>
    <row r="1394" spans="15:16" x14ac:dyDescent="0.3">
      <c r="O1394" s="78"/>
      <c r="P1394" s="134"/>
    </row>
    <row r="1395" spans="15:16" x14ac:dyDescent="0.3">
      <c r="O1395" s="78"/>
      <c r="P1395" s="134"/>
    </row>
    <row r="1396" spans="15:16" x14ac:dyDescent="0.3">
      <c r="O1396" s="78"/>
      <c r="P1396" s="134"/>
    </row>
    <row r="1397" spans="15:16" x14ac:dyDescent="0.3">
      <c r="O1397" s="78"/>
      <c r="P1397" s="134"/>
    </row>
    <row r="1398" spans="15:16" x14ac:dyDescent="0.3">
      <c r="O1398" s="78"/>
      <c r="P1398" s="134"/>
    </row>
    <row r="1399" spans="15:16" x14ac:dyDescent="0.3">
      <c r="O1399" s="78"/>
      <c r="P1399" s="134"/>
    </row>
    <row r="1400" spans="15:16" x14ac:dyDescent="0.3">
      <c r="O1400" s="78"/>
      <c r="P1400" s="134"/>
    </row>
    <row r="1401" spans="15:16" x14ac:dyDescent="0.3">
      <c r="O1401" s="78"/>
      <c r="P1401" s="134"/>
    </row>
    <row r="1402" spans="15:16" x14ac:dyDescent="0.3">
      <c r="O1402" s="78"/>
      <c r="P1402" s="134"/>
    </row>
    <row r="1403" spans="15:16" x14ac:dyDescent="0.3">
      <c r="O1403" s="78"/>
      <c r="P1403" s="134"/>
    </row>
    <row r="1404" spans="15:16" x14ac:dyDescent="0.3">
      <c r="O1404" s="78"/>
      <c r="P1404" s="134"/>
    </row>
    <row r="1405" spans="15:16" x14ac:dyDescent="0.3">
      <c r="O1405" s="78"/>
      <c r="P1405" s="134"/>
    </row>
    <row r="1406" spans="15:16" x14ac:dyDescent="0.3">
      <c r="O1406" s="78"/>
      <c r="P1406" s="134"/>
    </row>
    <row r="1407" spans="15:16" x14ac:dyDescent="0.3">
      <c r="O1407" s="78"/>
      <c r="P1407" s="134"/>
    </row>
    <row r="1408" spans="15:16" x14ac:dyDescent="0.3">
      <c r="O1408" s="78"/>
      <c r="P1408" s="134"/>
    </row>
    <row r="1409" spans="15:16" x14ac:dyDescent="0.3">
      <c r="O1409" s="78"/>
      <c r="P1409" s="134"/>
    </row>
    <row r="1410" spans="15:16" x14ac:dyDescent="0.3">
      <c r="O1410" s="78"/>
      <c r="P1410" s="134"/>
    </row>
    <row r="1411" spans="15:16" x14ac:dyDescent="0.3">
      <c r="O1411" s="78"/>
      <c r="P1411" s="134"/>
    </row>
    <row r="1412" spans="15:16" x14ac:dyDescent="0.3">
      <c r="O1412" s="78"/>
      <c r="P1412" s="134"/>
    </row>
    <row r="1413" spans="15:16" x14ac:dyDescent="0.3">
      <c r="O1413" s="78"/>
      <c r="P1413" s="134"/>
    </row>
    <row r="1414" spans="15:16" x14ac:dyDescent="0.3">
      <c r="O1414" s="78"/>
      <c r="P1414" s="134"/>
    </row>
    <row r="1415" spans="15:16" x14ac:dyDescent="0.3">
      <c r="O1415" s="78"/>
      <c r="P1415" s="134"/>
    </row>
    <row r="1416" spans="15:16" x14ac:dyDescent="0.3">
      <c r="O1416" s="78"/>
      <c r="P1416" s="134"/>
    </row>
    <row r="1417" spans="15:16" x14ac:dyDescent="0.3">
      <c r="O1417" s="78"/>
      <c r="P1417" s="134"/>
    </row>
    <row r="1418" spans="15:16" x14ac:dyDescent="0.3">
      <c r="O1418" s="78"/>
      <c r="P1418" s="134"/>
    </row>
    <row r="1419" spans="15:16" x14ac:dyDescent="0.3">
      <c r="O1419" s="78"/>
      <c r="P1419" s="134"/>
    </row>
    <row r="1420" spans="15:16" x14ac:dyDescent="0.3">
      <c r="O1420" s="78"/>
      <c r="P1420" s="134"/>
    </row>
    <row r="1421" spans="15:16" x14ac:dyDescent="0.3">
      <c r="O1421" s="78"/>
      <c r="P1421" s="134"/>
    </row>
    <row r="1422" spans="15:16" x14ac:dyDescent="0.3">
      <c r="O1422" s="78"/>
      <c r="P1422" s="134"/>
    </row>
    <row r="1423" spans="15:16" x14ac:dyDescent="0.3">
      <c r="O1423" s="78"/>
      <c r="P1423" s="134"/>
    </row>
    <row r="1424" spans="15:16" x14ac:dyDescent="0.3">
      <c r="O1424" s="78"/>
      <c r="P1424" s="134"/>
    </row>
    <row r="1425" spans="15:16" x14ac:dyDescent="0.3">
      <c r="O1425" s="78"/>
      <c r="P1425" s="134"/>
    </row>
    <row r="1426" spans="15:16" x14ac:dyDescent="0.3">
      <c r="O1426" s="78"/>
      <c r="P1426" s="134"/>
    </row>
    <row r="1427" spans="15:16" x14ac:dyDescent="0.3">
      <c r="O1427" s="78"/>
      <c r="P1427" s="134"/>
    </row>
    <row r="1428" spans="15:16" x14ac:dyDescent="0.3">
      <c r="O1428" s="78"/>
      <c r="P1428" s="134"/>
    </row>
    <row r="1429" spans="15:16" x14ac:dyDescent="0.3">
      <c r="O1429" s="78"/>
      <c r="P1429" s="134"/>
    </row>
    <row r="1430" spans="15:16" x14ac:dyDescent="0.3">
      <c r="O1430" s="78"/>
      <c r="P1430" s="134"/>
    </row>
    <row r="1431" spans="15:16" x14ac:dyDescent="0.3">
      <c r="O1431" s="78"/>
      <c r="P1431" s="134"/>
    </row>
    <row r="1432" spans="15:16" x14ac:dyDescent="0.3">
      <c r="O1432" s="78"/>
      <c r="P1432" s="134"/>
    </row>
    <row r="1433" spans="15:16" x14ac:dyDescent="0.3">
      <c r="O1433" s="78"/>
      <c r="P1433" s="134"/>
    </row>
    <row r="1434" spans="15:16" x14ac:dyDescent="0.3">
      <c r="O1434" s="78"/>
      <c r="P1434" s="134"/>
    </row>
    <row r="1435" spans="15:16" x14ac:dyDescent="0.3">
      <c r="O1435" s="78"/>
      <c r="P1435" s="134"/>
    </row>
    <row r="1436" spans="15:16" x14ac:dyDescent="0.3">
      <c r="O1436" s="78"/>
      <c r="P1436" s="134"/>
    </row>
    <row r="1437" spans="15:16" x14ac:dyDescent="0.3">
      <c r="O1437" s="78"/>
      <c r="P1437" s="134"/>
    </row>
    <row r="1438" spans="15:16" x14ac:dyDescent="0.3">
      <c r="O1438" s="78"/>
      <c r="P1438" s="134"/>
    </row>
    <row r="1439" spans="15:16" x14ac:dyDescent="0.3">
      <c r="O1439" s="78"/>
      <c r="P1439" s="134"/>
    </row>
    <row r="1440" spans="15:16" x14ac:dyDescent="0.3">
      <c r="O1440" s="78"/>
      <c r="P1440" s="134"/>
    </row>
    <row r="1441" spans="15:16" x14ac:dyDescent="0.3">
      <c r="O1441" s="78"/>
      <c r="P1441" s="134"/>
    </row>
    <row r="1442" spans="15:16" x14ac:dyDescent="0.3">
      <c r="O1442" s="78"/>
      <c r="P1442" s="134"/>
    </row>
    <row r="1443" spans="15:16" x14ac:dyDescent="0.3">
      <c r="O1443" s="78"/>
      <c r="P1443" s="134"/>
    </row>
    <row r="1444" spans="15:16" x14ac:dyDescent="0.3">
      <c r="O1444" s="78"/>
      <c r="P1444" s="134"/>
    </row>
    <row r="1445" spans="15:16" x14ac:dyDescent="0.3">
      <c r="O1445" s="78"/>
      <c r="P1445" s="134"/>
    </row>
    <row r="1446" spans="15:16" x14ac:dyDescent="0.3">
      <c r="O1446" s="78"/>
      <c r="P1446" s="134"/>
    </row>
    <row r="1447" spans="15:16" x14ac:dyDescent="0.3">
      <c r="O1447" s="78"/>
      <c r="P1447" s="134"/>
    </row>
    <row r="1448" spans="15:16" x14ac:dyDescent="0.3">
      <c r="O1448" s="78"/>
      <c r="P1448" s="134"/>
    </row>
    <row r="1449" spans="15:16" x14ac:dyDescent="0.3">
      <c r="O1449" s="78"/>
      <c r="P1449" s="134"/>
    </row>
    <row r="1450" spans="15:16" x14ac:dyDescent="0.3">
      <c r="O1450" s="78"/>
      <c r="P1450" s="134"/>
    </row>
    <row r="1451" spans="15:16" x14ac:dyDescent="0.3">
      <c r="O1451" s="78"/>
      <c r="P1451" s="134"/>
    </row>
    <row r="1452" spans="15:16" x14ac:dyDescent="0.3">
      <c r="O1452" s="78"/>
      <c r="P1452" s="134"/>
    </row>
    <row r="1453" spans="15:16" x14ac:dyDescent="0.3">
      <c r="O1453" s="78"/>
      <c r="P1453" s="134"/>
    </row>
    <row r="1454" spans="15:16" x14ac:dyDescent="0.3">
      <c r="O1454" s="78"/>
      <c r="P1454" s="134"/>
    </row>
    <row r="1455" spans="15:16" x14ac:dyDescent="0.3">
      <c r="O1455" s="78"/>
      <c r="P1455" s="134"/>
    </row>
    <row r="1456" spans="15:16" x14ac:dyDescent="0.3">
      <c r="O1456" s="78"/>
      <c r="P1456" s="134"/>
    </row>
    <row r="1457" spans="15:16" x14ac:dyDescent="0.3">
      <c r="O1457" s="78"/>
      <c r="P1457" s="134"/>
    </row>
    <row r="1458" spans="15:16" x14ac:dyDescent="0.3">
      <c r="O1458" s="78"/>
      <c r="P1458" s="134"/>
    </row>
    <row r="1459" spans="15:16" x14ac:dyDescent="0.3">
      <c r="O1459" s="78"/>
      <c r="P1459" s="134"/>
    </row>
    <row r="1460" spans="15:16" x14ac:dyDescent="0.3">
      <c r="O1460" s="78"/>
      <c r="P1460" s="134"/>
    </row>
    <row r="1461" spans="15:16" x14ac:dyDescent="0.3">
      <c r="O1461" s="78"/>
      <c r="P1461" s="134"/>
    </row>
    <row r="1462" spans="15:16" x14ac:dyDescent="0.3">
      <c r="O1462" s="78"/>
      <c r="P1462" s="134"/>
    </row>
    <row r="1463" spans="15:16" x14ac:dyDescent="0.3">
      <c r="O1463" s="78"/>
      <c r="P1463" s="134"/>
    </row>
    <row r="1464" spans="15:16" x14ac:dyDescent="0.3">
      <c r="O1464" s="78"/>
      <c r="P1464" s="134"/>
    </row>
    <row r="1465" spans="15:16" x14ac:dyDescent="0.3">
      <c r="O1465" s="78"/>
      <c r="P1465" s="134"/>
    </row>
    <row r="1466" spans="15:16" x14ac:dyDescent="0.3">
      <c r="O1466" s="78"/>
      <c r="P1466" s="134"/>
    </row>
    <row r="1467" spans="15:16" x14ac:dyDescent="0.3">
      <c r="O1467" s="78"/>
      <c r="P1467" s="134"/>
    </row>
    <row r="1468" spans="15:16" x14ac:dyDescent="0.3">
      <c r="O1468" s="78"/>
      <c r="P1468" s="134"/>
    </row>
    <row r="1469" spans="15:16" x14ac:dyDescent="0.3">
      <c r="O1469" s="78"/>
      <c r="P1469" s="134"/>
    </row>
    <row r="1470" spans="15:16" x14ac:dyDescent="0.3">
      <c r="O1470" s="78"/>
      <c r="P1470" s="134"/>
    </row>
    <row r="1471" spans="15:16" x14ac:dyDescent="0.3">
      <c r="O1471" s="78"/>
      <c r="P1471" s="134"/>
    </row>
    <row r="1472" spans="15:16" x14ac:dyDescent="0.3">
      <c r="O1472" s="78"/>
      <c r="P1472" s="134"/>
    </row>
    <row r="1473" spans="15:16" x14ac:dyDescent="0.3">
      <c r="O1473" s="78"/>
      <c r="P1473" s="134"/>
    </row>
    <row r="1474" spans="15:16" x14ac:dyDescent="0.3">
      <c r="O1474" s="78"/>
      <c r="P1474" s="134"/>
    </row>
    <row r="1475" spans="15:16" x14ac:dyDescent="0.3">
      <c r="O1475" s="78"/>
      <c r="P1475" s="134"/>
    </row>
    <row r="1476" spans="15:16" x14ac:dyDescent="0.3">
      <c r="O1476" s="78"/>
      <c r="P1476" s="134"/>
    </row>
    <row r="1477" spans="15:16" x14ac:dyDescent="0.3">
      <c r="O1477" s="78"/>
      <c r="P1477" s="134"/>
    </row>
    <row r="1478" spans="15:16" x14ac:dyDescent="0.3">
      <c r="O1478" s="78"/>
      <c r="P1478" s="134"/>
    </row>
    <row r="1479" spans="15:16" x14ac:dyDescent="0.3">
      <c r="O1479" s="78"/>
      <c r="P1479" s="134"/>
    </row>
    <row r="1480" spans="15:16" x14ac:dyDescent="0.3">
      <c r="O1480" s="78"/>
      <c r="P1480" s="134"/>
    </row>
    <row r="1481" spans="15:16" x14ac:dyDescent="0.3">
      <c r="O1481" s="78"/>
      <c r="P1481" s="134"/>
    </row>
    <row r="1482" spans="15:16" x14ac:dyDescent="0.3">
      <c r="O1482" s="78"/>
      <c r="P1482" s="134"/>
    </row>
    <row r="1483" spans="15:16" x14ac:dyDescent="0.3">
      <c r="O1483" s="78"/>
      <c r="P1483" s="134"/>
    </row>
    <row r="1484" spans="15:16" x14ac:dyDescent="0.3">
      <c r="O1484" s="78"/>
      <c r="P1484" s="134"/>
    </row>
    <row r="1485" spans="15:16" x14ac:dyDescent="0.3">
      <c r="O1485" s="78"/>
      <c r="P1485" s="134"/>
    </row>
    <row r="1486" spans="15:16" x14ac:dyDescent="0.3">
      <c r="O1486" s="78"/>
      <c r="P1486" s="134"/>
    </row>
    <row r="1487" spans="15:16" x14ac:dyDescent="0.3">
      <c r="O1487" s="78"/>
      <c r="P1487" s="134"/>
    </row>
    <row r="1488" spans="15:16" x14ac:dyDescent="0.3">
      <c r="O1488" s="78"/>
      <c r="P1488" s="134"/>
    </row>
    <row r="1489" spans="15:16" x14ac:dyDescent="0.3">
      <c r="O1489" s="78"/>
      <c r="P1489" s="134"/>
    </row>
    <row r="1490" spans="15:16" x14ac:dyDescent="0.3">
      <c r="O1490" s="78"/>
      <c r="P1490" s="134"/>
    </row>
    <row r="1491" spans="15:16" x14ac:dyDescent="0.3">
      <c r="O1491" s="78"/>
      <c r="P1491" s="134"/>
    </row>
    <row r="1492" spans="15:16" x14ac:dyDescent="0.3">
      <c r="O1492" s="78"/>
      <c r="P1492" s="134"/>
    </row>
    <row r="1493" spans="15:16" x14ac:dyDescent="0.3">
      <c r="O1493" s="78"/>
      <c r="P1493" s="134"/>
    </row>
    <row r="1494" spans="15:16" x14ac:dyDescent="0.3">
      <c r="O1494" s="78"/>
      <c r="P1494" s="134"/>
    </row>
    <row r="1495" spans="15:16" x14ac:dyDescent="0.3">
      <c r="O1495" s="78"/>
      <c r="P1495" s="134"/>
    </row>
    <row r="1496" spans="15:16" x14ac:dyDescent="0.3">
      <c r="O1496" s="78"/>
      <c r="P1496" s="134"/>
    </row>
    <row r="1497" spans="15:16" x14ac:dyDescent="0.3">
      <c r="O1497" s="78"/>
      <c r="P1497" s="134"/>
    </row>
    <row r="1498" spans="15:16" x14ac:dyDescent="0.3">
      <c r="O1498" s="78"/>
      <c r="P1498" s="134"/>
    </row>
    <row r="1499" spans="15:16" x14ac:dyDescent="0.3">
      <c r="O1499" s="78"/>
      <c r="P1499" s="134"/>
    </row>
    <row r="1500" spans="15:16" x14ac:dyDescent="0.3">
      <c r="O1500" s="78"/>
      <c r="P1500" s="134"/>
    </row>
    <row r="1501" spans="15:16" x14ac:dyDescent="0.3">
      <c r="O1501" s="78"/>
      <c r="P1501" s="134"/>
    </row>
    <row r="1502" spans="15:16" x14ac:dyDescent="0.3">
      <c r="O1502" s="78"/>
      <c r="P1502" s="134"/>
    </row>
    <row r="1503" spans="15:16" x14ac:dyDescent="0.3">
      <c r="O1503" s="78"/>
      <c r="P1503" s="134"/>
    </row>
    <row r="1504" spans="15:16" x14ac:dyDescent="0.3">
      <c r="O1504" s="78"/>
      <c r="P1504" s="134"/>
    </row>
    <row r="1505" spans="15:16" x14ac:dyDescent="0.3">
      <c r="O1505" s="78"/>
      <c r="P1505" s="134"/>
    </row>
    <row r="1506" spans="15:16" x14ac:dyDescent="0.3">
      <c r="O1506" s="78"/>
      <c r="P1506" s="134"/>
    </row>
    <row r="1507" spans="15:16" x14ac:dyDescent="0.3">
      <c r="O1507" s="78"/>
      <c r="P1507" s="134"/>
    </row>
    <row r="1508" spans="15:16" x14ac:dyDescent="0.3">
      <c r="O1508" s="78"/>
      <c r="P1508" s="134"/>
    </row>
    <row r="1509" spans="15:16" x14ac:dyDescent="0.3">
      <c r="O1509" s="78"/>
      <c r="P1509" s="134"/>
    </row>
    <row r="1510" spans="15:16" x14ac:dyDescent="0.3">
      <c r="O1510" s="78"/>
      <c r="P1510" s="134"/>
    </row>
    <row r="1511" spans="15:16" x14ac:dyDescent="0.3">
      <c r="O1511" s="78"/>
      <c r="P1511" s="134"/>
    </row>
    <row r="1512" spans="15:16" x14ac:dyDescent="0.3">
      <c r="O1512" s="78"/>
      <c r="P1512" s="134"/>
    </row>
    <row r="1513" spans="15:16" x14ac:dyDescent="0.3">
      <c r="O1513" s="78"/>
      <c r="P1513" s="134"/>
    </row>
    <row r="1514" spans="15:16" x14ac:dyDescent="0.3">
      <c r="O1514" s="78"/>
      <c r="P1514" s="134"/>
    </row>
    <row r="1515" spans="15:16" x14ac:dyDescent="0.3">
      <c r="O1515" s="78"/>
      <c r="P1515" s="134"/>
    </row>
    <row r="1516" spans="15:16" x14ac:dyDescent="0.3">
      <c r="O1516" s="78"/>
      <c r="P1516" s="134"/>
    </row>
    <row r="1517" spans="15:16" x14ac:dyDescent="0.3">
      <c r="O1517" s="78"/>
      <c r="P1517" s="134"/>
    </row>
    <row r="1518" spans="15:16" x14ac:dyDescent="0.3">
      <c r="O1518" s="78"/>
      <c r="P1518" s="134"/>
    </row>
    <row r="1519" spans="15:16" x14ac:dyDescent="0.3">
      <c r="O1519" s="78"/>
      <c r="P1519" s="134"/>
    </row>
    <row r="1520" spans="15:16" x14ac:dyDescent="0.3">
      <c r="O1520" s="78"/>
      <c r="P1520" s="134"/>
    </row>
    <row r="1521" spans="15:16" x14ac:dyDescent="0.3">
      <c r="O1521" s="78"/>
      <c r="P1521" s="134"/>
    </row>
    <row r="1522" spans="15:16" x14ac:dyDescent="0.3">
      <c r="O1522" s="78"/>
      <c r="P1522" s="134"/>
    </row>
    <row r="1523" spans="15:16" x14ac:dyDescent="0.3">
      <c r="O1523" s="78"/>
      <c r="P1523" s="134"/>
    </row>
    <row r="1524" spans="15:16" x14ac:dyDescent="0.3">
      <c r="O1524" s="78"/>
      <c r="P1524" s="134"/>
    </row>
    <row r="1525" spans="15:16" x14ac:dyDescent="0.3">
      <c r="O1525" s="78"/>
      <c r="P1525" s="134"/>
    </row>
    <row r="1526" spans="15:16" x14ac:dyDescent="0.3">
      <c r="O1526" s="78"/>
      <c r="P1526" s="134"/>
    </row>
    <row r="1527" spans="15:16" x14ac:dyDescent="0.3">
      <c r="O1527" s="78"/>
      <c r="P1527" s="134"/>
    </row>
    <row r="1528" spans="15:16" x14ac:dyDescent="0.3">
      <c r="O1528" s="78"/>
      <c r="P1528" s="134"/>
    </row>
    <row r="1529" spans="15:16" x14ac:dyDescent="0.3">
      <c r="O1529" s="78"/>
      <c r="P1529" s="134"/>
    </row>
    <row r="1530" spans="15:16" x14ac:dyDescent="0.3">
      <c r="O1530" s="78"/>
      <c r="P1530" s="134"/>
    </row>
    <row r="1531" spans="15:16" x14ac:dyDescent="0.3">
      <c r="O1531" s="78"/>
      <c r="P1531" s="134"/>
    </row>
    <row r="1532" spans="15:16" x14ac:dyDescent="0.3">
      <c r="O1532" s="78"/>
      <c r="P1532" s="134"/>
    </row>
    <row r="1533" spans="15:16" x14ac:dyDescent="0.3">
      <c r="O1533" s="78"/>
      <c r="P1533" s="134"/>
    </row>
    <row r="1534" spans="15:16" x14ac:dyDescent="0.3">
      <c r="O1534" s="78"/>
      <c r="P1534" s="134"/>
    </row>
    <row r="1535" spans="15:16" x14ac:dyDescent="0.3">
      <c r="O1535" s="78"/>
      <c r="P1535" s="134"/>
    </row>
    <row r="1536" spans="15:16" x14ac:dyDescent="0.3">
      <c r="O1536" s="78"/>
      <c r="P1536" s="134"/>
    </row>
    <row r="1537" spans="15:16" x14ac:dyDescent="0.3">
      <c r="O1537" s="78"/>
      <c r="P1537" s="134"/>
    </row>
    <row r="1538" spans="15:16" x14ac:dyDescent="0.3">
      <c r="O1538" s="78"/>
      <c r="P1538" s="134"/>
    </row>
    <row r="1539" spans="15:16" x14ac:dyDescent="0.3">
      <c r="O1539" s="78"/>
      <c r="P1539" s="134"/>
    </row>
    <row r="1540" spans="15:16" x14ac:dyDescent="0.3">
      <c r="O1540" s="78"/>
      <c r="P1540" s="134"/>
    </row>
    <row r="1541" spans="15:16" x14ac:dyDescent="0.3">
      <c r="O1541" s="78"/>
      <c r="P1541" s="134"/>
    </row>
    <row r="1542" spans="15:16" x14ac:dyDescent="0.3">
      <c r="O1542" s="78"/>
      <c r="P1542" s="134"/>
    </row>
    <row r="1543" spans="15:16" x14ac:dyDescent="0.3">
      <c r="O1543" s="78"/>
      <c r="P1543" s="134"/>
    </row>
    <row r="1544" spans="15:16" x14ac:dyDescent="0.3">
      <c r="O1544" s="78"/>
      <c r="P1544" s="134"/>
    </row>
    <row r="1545" spans="15:16" x14ac:dyDescent="0.3">
      <c r="O1545" s="78"/>
      <c r="P1545" s="134"/>
    </row>
    <row r="1546" spans="15:16" x14ac:dyDescent="0.3">
      <c r="O1546" s="78"/>
      <c r="P1546" s="134"/>
    </row>
    <row r="1547" spans="15:16" x14ac:dyDescent="0.3">
      <c r="O1547" s="78"/>
      <c r="P1547" s="134"/>
    </row>
    <row r="1548" spans="15:16" x14ac:dyDescent="0.3">
      <c r="O1548" s="78"/>
      <c r="P1548" s="134"/>
    </row>
    <row r="1549" spans="15:16" x14ac:dyDescent="0.3">
      <c r="O1549" s="78"/>
      <c r="P1549" s="134"/>
    </row>
    <row r="1550" spans="15:16" x14ac:dyDescent="0.3">
      <c r="O1550" s="78"/>
      <c r="P1550" s="134"/>
    </row>
    <row r="1551" spans="15:16" x14ac:dyDescent="0.3">
      <c r="O1551" s="78"/>
      <c r="P1551" s="134"/>
    </row>
    <row r="1552" spans="15:16" x14ac:dyDescent="0.3">
      <c r="O1552" s="78"/>
      <c r="P1552" s="134"/>
    </row>
    <row r="1553" spans="15:16" x14ac:dyDescent="0.3">
      <c r="O1553" s="78"/>
      <c r="P1553" s="134"/>
    </row>
    <row r="1554" spans="15:16" x14ac:dyDescent="0.3">
      <c r="O1554" s="78"/>
      <c r="P1554" s="134"/>
    </row>
    <row r="1555" spans="15:16" x14ac:dyDescent="0.3">
      <c r="O1555" s="78"/>
      <c r="P1555" s="134"/>
    </row>
    <row r="1556" spans="15:16" x14ac:dyDescent="0.3">
      <c r="O1556" s="78"/>
      <c r="P1556" s="134"/>
    </row>
    <row r="1557" spans="15:16" x14ac:dyDescent="0.3">
      <c r="O1557" s="78"/>
      <c r="P1557" s="134"/>
    </row>
    <row r="1558" spans="15:16" x14ac:dyDescent="0.3">
      <c r="O1558" s="78"/>
      <c r="P1558" s="134"/>
    </row>
    <row r="1559" spans="15:16" x14ac:dyDescent="0.3">
      <c r="O1559" s="78"/>
      <c r="P1559" s="134"/>
    </row>
    <row r="1560" spans="15:16" x14ac:dyDescent="0.3">
      <c r="O1560" s="78"/>
      <c r="P1560" s="134"/>
    </row>
    <row r="1561" spans="15:16" x14ac:dyDescent="0.3">
      <c r="O1561" s="78"/>
      <c r="P1561" s="134"/>
    </row>
    <row r="1562" spans="15:16" x14ac:dyDescent="0.3">
      <c r="O1562" s="78"/>
      <c r="P1562" s="134"/>
    </row>
    <row r="1563" spans="15:16" x14ac:dyDescent="0.3">
      <c r="O1563" s="78"/>
      <c r="P1563" s="134"/>
    </row>
    <row r="1564" spans="15:16" x14ac:dyDescent="0.3">
      <c r="O1564" s="78"/>
      <c r="P1564" s="134"/>
    </row>
    <row r="1565" spans="15:16" x14ac:dyDescent="0.3">
      <c r="O1565" s="78"/>
      <c r="P1565" s="134"/>
    </row>
    <row r="1566" spans="15:16" x14ac:dyDescent="0.3">
      <c r="O1566" s="78"/>
      <c r="P1566" s="134"/>
    </row>
    <row r="1567" spans="15:16" x14ac:dyDescent="0.3">
      <c r="O1567" s="78"/>
      <c r="P1567" s="134"/>
    </row>
    <row r="1568" spans="15:16" x14ac:dyDescent="0.3">
      <c r="O1568" s="78"/>
      <c r="P1568" s="134"/>
    </row>
    <row r="1569" spans="15:16" x14ac:dyDescent="0.3">
      <c r="O1569" s="78"/>
      <c r="P1569" s="134"/>
    </row>
    <row r="1570" spans="15:16" x14ac:dyDescent="0.3">
      <c r="O1570" s="78"/>
      <c r="P1570" s="134"/>
    </row>
    <row r="1571" spans="15:16" x14ac:dyDescent="0.3">
      <c r="O1571" s="78"/>
      <c r="P1571" s="134"/>
    </row>
    <row r="1572" spans="15:16" x14ac:dyDescent="0.3">
      <c r="O1572" s="78"/>
      <c r="P1572" s="134"/>
    </row>
    <row r="1573" spans="15:16" x14ac:dyDescent="0.3">
      <c r="O1573" s="78"/>
      <c r="P1573" s="134"/>
    </row>
    <row r="1574" spans="15:16" x14ac:dyDescent="0.3">
      <c r="O1574" s="78"/>
      <c r="P1574" s="134"/>
    </row>
    <row r="1575" spans="15:16" x14ac:dyDescent="0.3">
      <c r="O1575" s="78"/>
      <c r="P1575" s="134"/>
    </row>
    <row r="1576" spans="15:16" x14ac:dyDescent="0.3">
      <c r="O1576" s="78"/>
      <c r="P1576" s="134"/>
    </row>
    <row r="1577" spans="15:16" x14ac:dyDescent="0.3">
      <c r="O1577" s="78"/>
      <c r="P1577" s="134"/>
    </row>
    <row r="1578" spans="15:16" x14ac:dyDescent="0.3">
      <c r="O1578" s="78"/>
      <c r="P1578" s="134"/>
    </row>
    <row r="1579" spans="15:16" x14ac:dyDescent="0.3">
      <c r="O1579" s="78"/>
      <c r="P1579" s="134"/>
    </row>
    <row r="1580" spans="15:16" x14ac:dyDescent="0.3">
      <c r="O1580" s="78"/>
      <c r="P1580" s="134"/>
    </row>
    <row r="1581" spans="15:16" x14ac:dyDescent="0.3">
      <c r="O1581" s="78"/>
      <c r="P1581" s="134"/>
    </row>
    <row r="1582" spans="15:16" x14ac:dyDescent="0.3">
      <c r="O1582" s="78"/>
      <c r="P1582" s="134"/>
    </row>
    <row r="1583" spans="15:16" x14ac:dyDescent="0.3">
      <c r="O1583" s="78"/>
      <c r="P1583" s="134"/>
    </row>
    <row r="1584" spans="15:16" x14ac:dyDescent="0.3">
      <c r="O1584" s="78"/>
      <c r="P1584" s="134"/>
    </row>
    <row r="1585" spans="15:16" x14ac:dyDescent="0.3">
      <c r="O1585" s="78"/>
      <c r="P1585" s="134"/>
    </row>
    <row r="1586" spans="15:16" x14ac:dyDescent="0.3">
      <c r="O1586" s="78"/>
      <c r="P1586" s="134"/>
    </row>
    <row r="1587" spans="15:16" x14ac:dyDescent="0.3">
      <c r="O1587" s="78"/>
      <c r="P1587" s="134"/>
    </row>
    <row r="1588" spans="15:16" x14ac:dyDescent="0.3">
      <c r="O1588" s="78"/>
      <c r="P1588" s="134"/>
    </row>
    <row r="1589" spans="15:16" x14ac:dyDescent="0.3">
      <c r="O1589" s="78"/>
      <c r="P1589" s="134"/>
    </row>
    <row r="1590" spans="15:16" x14ac:dyDescent="0.3">
      <c r="O1590" s="78"/>
      <c r="P1590" s="134"/>
    </row>
    <row r="1591" spans="15:16" x14ac:dyDescent="0.3">
      <c r="O1591" s="78"/>
      <c r="P1591" s="134"/>
    </row>
    <row r="1592" spans="15:16" x14ac:dyDescent="0.3">
      <c r="O1592" s="78"/>
      <c r="P1592" s="134"/>
    </row>
    <row r="1593" spans="15:16" x14ac:dyDescent="0.3">
      <c r="O1593" s="78"/>
      <c r="P1593" s="134"/>
    </row>
    <row r="1594" spans="15:16" x14ac:dyDescent="0.3">
      <c r="O1594" s="78"/>
      <c r="P1594" s="134"/>
    </row>
    <row r="1595" spans="15:16" x14ac:dyDescent="0.3">
      <c r="O1595" s="78"/>
      <c r="P1595" s="134"/>
    </row>
    <row r="1596" spans="15:16" x14ac:dyDescent="0.3">
      <c r="O1596" s="78"/>
      <c r="P1596" s="134"/>
    </row>
    <row r="1597" spans="15:16" x14ac:dyDescent="0.3">
      <c r="O1597" s="78"/>
      <c r="P1597" s="134"/>
    </row>
    <row r="1598" spans="15:16" x14ac:dyDescent="0.3">
      <c r="O1598" s="78"/>
      <c r="P1598" s="134"/>
    </row>
    <row r="1599" spans="15:16" x14ac:dyDescent="0.3">
      <c r="O1599" s="78"/>
      <c r="P1599" s="134"/>
    </row>
    <row r="1600" spans="15:16" x14ac:dyDescent="0.3">
      <c r="O1600" s="78"/>
      <c r="P1600" s="134"/>
    </row>
    <row r="1601" spans="15:16" x14ac:dyDescent="0.3">
      <c r="O1601" s="78"/>
      <c r="P1601" s="134"/>
    </row>
    <row r="1602" spans="15:16" x14ac:dyDescent="0.3">
      <c r="O1602" s="78"/>
      <c r="P1602" s="134"/>
    </row>
    <row r="1603" spans="15:16" x14ac:dyDescent="0.3">
      <c r="O1603" s="78"/>
      <c r="P1603" s="134"/>
    </row>
    <row r="1604" spans="15:16" x14ac:dyDescent="0.3">
      <c r="O1604" s="78"/>
      <c r="P1604" s="134"/>
    </row>
    <row r="1605" spans="15:16" x14ac:dyDescent="0.3">
      <c r="O1605" s="78"/>
      <c r="P1605" s="134"/>
    </row>
    <row r="1606" spans="15:16" x14ac:dyDescent="0.3">
      <c r="O1606" s="78"/>
      <c r="P1606" s="134"/>
    </row>
    <row r="1607" spans="15:16" x14ac:dyDescent="0.3">
      <c r="O1607" s="78"/>
      <c r="P1607" s="134"/>
    </row>
    <row r="1608" spans="15:16" x14ac:dyDescent="0.3">
      <c r="O1608" s="78"/>
      <c r="P1608" s="134"/>
    </row>
    <row r="1609" spans="15:16" x14ac:dyDescent="0.3">
      <c r="O1609" s="78"/>
      <c r="P1609" s="134"/>
    </row>
    <row r="1610" spans="15:16" x14ac:dyDescent="0.3">
      <c r="O1610" s="78"/>
      <c r="P1610" s="134"/>
    </row>
    <row r="1611" spans="15:16" x14ac:dyDescent="0.3">
      <c r="O1611" s="78"/>
      <c r="P1611" s="134"/>
    </row>
    <row r="1612" spans="15:16" x14ac:dyDescent="0.3">
      <c r="O1612" s="78"/>
      <c r="P1612" s="134"/>
    </row>
    <row r="1613" spans="15:16" x14ac:dyDescent="0.3">
      <c r="O1613" s="78"/>
      <c r="P1613" s="134"/>
    </row>
    <row r="1614" spans="15:16" x14ac:dyDescent="0.3">
      <c r="O1614" s="78"/>
      <c r="P1614" s="134"/>
    </row>
    <row r="1615" spans="15:16" x14ac:dyDescent="0.3">
      <c r="O1615" s="78"/>
      <c r="P1615" s="134"/>
    </row>
    <row r="1616" spans="15:16" x14ac:dyDescent="0.3">
      <c r="O1616" s="78"/>
      <c r="P1616" s="134"/>
    </row>
    <row r="1617" spans="15:16" x14ac:dyDescent="0.3">
      <c r="O1617" s="78"/>
      <c r="P1617" s="134"/>
    </row>
    <row r="1618" spans="15:16" x14ac:dyDescent="0.3">
      <c r="O1618" s="78"/>
      <c r="P1618" s="134"/>
    </row>
    <row r="1619" spans="15:16" x14ac:dyDescent="0.3">
      <c r="O1619" s="78"/>
      <c r="P1619" s="134"/>
    </row>
    <row r="1620" spans="15:16" x14ac:dyDescent="0.3">
      <c r="O1620" s="78"/>
      <c r="P1620" s="134"/>
    </row>
    <row r="1621" spans="15:16" x14ac:dyDescent="0.3">
      <c r="O1621" s="78"/>
      <c r="P1621" s="134"/>
    </row>
    <row r="1622" spans="15:16" x14ac:dyDescent="0.3">
      <c r="O1622" s="78"/>
      <c r="P1622" s="134"/>
    </row>
    <row r="1623" spans="15:16" x14ac:dyDescent="0.3">
      <c r="O1623" s="78"/>
      <c r="P1623" s="134"/>
    </row>
    <row r="1624" spans="15:16" x14ac:dyDescent="0.3">
      <c r="O1624" s="78"/>
      <c r="P1624" s="134"/>
    </row>
    <row r="1625" spans="15:16" x14ac:dyDescent="0.3">
      <c r="O1625" s="78"/>
      <c r="P1625" s="134"/>
    </row>
    <row r="1626" spans="15:16" x14ac:dyDescent="0.3">
      <c r="O1626" s="78"/>
      <c r="P1626" s="134"/>
    </row>
    <row r="1627" spans="15:16" x14ac:dyDescent="0.3">
      <c r="O1627" s="78"/>
      <c r="P1627" s="134"/>
    </row>
    <row r="1628" spans="15:16" x14ac:dyDescent="0.3">
      <c r="O1628" s="78"/>
      <c r="P1628" s="134"/>
    </row>
    <row r="1629" spans="15:16" x14ac:dyDescent="0.3">
      <c r="O1629" s="78"/>
      <c r="P1629" s="134"/>
    </row>
    <row r="1630" spans="15:16" x14ac:dyDescent="0.3">
      <c r="O1630" s="78"/>
      <c r="P1630" s="134"/>
    </row>
    <row r="1631" spans="15:16" x14ac:dyDescent="0.3">
      <c r="O1631" s="78"/>
      <c r="P1631" s="134"/>
    </row>
    <row r="1632" spans="15:16" x14ac:dyDescent="0.3">
      <c r="O1632" s="78"/>
      <c r="P1632" s="134"/>
    </row>
    <row r="1633" spans="15:16" x14ac:dyDescent="0.3">
      <c r="O1633" s="78"/>
      <c r="P1633" s="134"/>
    </row>
    <row r="1634" spans="15:16" x14ac:dyDescent="0.3">
      <c r="O1634" s="78"/>
      <c r="P1634" s="134"/>
    </row>
    <row r="1635" spans="15:16" x14ac:dyDescent="0.3">
      <c r="O1635" s="78"/>
      <c r="P1635" s="134"/>
    </row>
    <row r="1636" spans="15:16" x14ac:dyDescent="0.3">
      <c r="O1636" s="78"/>
      <c r="P1636" s="134"/>
    </row>
    <row r="1637" spans="15:16" x14ac:dyDescent="0.3">
      <c r="O1637" s="78"/>
      <c r="P1637" s="134"/>
    </row>
    <row r="1638" spans="15:16" x14ac:dyDescent="0.3">
      <c r="O1638" s="78"/>
      <c r="P1638" s="134"/>
    </row>
    <row r="1639" spans="15:16" x14ac:dyDescent="0.3">
      <c r="O1639" s="78"/>
      <c r="P1639" s="134"/>
    </row>
    <row r="1640" spans="15:16" x14ac:dyDescent="0.3">
      <c r="O1640" s="78"/>
      <c r="P1640" s="134"/>
    </row>
    <row r="1641" spans="15:16" x14ac:dyDescent="0.3">
      <c r="O1641" s="78"/>
      <c r="P1641" s="134"/>
    </row>
    <row r="1642" spans="15:16" x14ac:dyDescent="0.3">
      <c r="O1642" s="78"/>
      <c r="P1642" s="134"/>
    </row>
    <row r="1643" spans="15:16" x14ac:dyDescent="0.3">
      <c r="O1643" s="78"/>
      <c r="P1643" s="134"/>
    </row>
    <row r="1644" spans="15:16" x14ac:dyDescent="0.3">
      <c r="O1644" s="78"/>
      <c r="P1644" s="134"/>
    </row>
    <row r="1645" spans="15:16" x14ac:dyDescent="0.3">
      <c r="O1645" s="78"/>
      <c r="P1645" s="134"/>
    </row>
    <row r="1646" spans="15:16" x14ac:dyDescent="0.3">
      <c r="O1646" s="78"/>
      <c r="P1646" s="134"/>
    </row>
    <row r="1647" spans="15:16" x14ac:dyDescent="0.3">
      <c r="O1647" s="78"/>
      <c r="P1647" s="134"/>
    </row>
    <row r="1648" spans="15:16" x14ac:dyDescent="0.3">
      <c r="O1648" s="78"/>
      <c r="P1648" s="134"/>
    </row>
    <row r="1649" spans="15:16" x14ac:dyDescent="0.3">
      <c r="O1649" s="78"/>
      <c r="P1649" s="134"/>
    </row>
    <row r="1650" spans="15:16" x14ac:dyDescent="0.3">
      <c r="O1650" s="78"/>
      <c r="P1650" s="134"/>
    </row>
    <row r="1651" spans="15:16" x14ac:dyDescent="0.3">
      <c r="O1651" s="78"/>
      <c r="P1651" s="134"/>
    </row>
    <row r="1652" spans="15:16" x14ac:dyDescent="0.3">
      <c r="O1652" s="78"/>
      <c r="P1652" s="134"/>
    </row>
    <row r="1653" spans="15:16" x14ac:dyDescent="0.3">
      <c r="O1653" s="78"/>
      <c r="P1653" s="134"/>
    </row>
    <row r="1654" spans="15:16" x14ac:dyDescent="0.3">
      <c r="O1654" s="78"/>
      <c r="P1654" s="134"/>
    </row>
    <row r="1655" spans="15:16" x14ac:dyDescent="0.3">
      <c r="O1655" s="78"/>
      <c r="P1655" s="134"/>
    </row>
    <row r="1656" spans="15:16" x14ac:dyDescent="0.3">
      <c r="O1656" s="78"/>
      <c r="P1656" s="134"/>
    </row>
    <row r="1657" spans="15:16" x14ac:dyDescent="0.3">
      <c r="O1657" s="78"/>
      <c r="P1657" s="134"/>
    </row>
    <row r="1658" spans="15:16" x14ac:dyDescent="0.3">
      <c r="O1658" s="78"/>
      <c r="P1658" s="134"/>
    </row>
    <row r="1659" spans="15:16" x14ac:dyDescent="0.3">
      <c r="O1659" s="78"/>
      <c r="P1659" s="134"/>
    </row>
    <row r="1660" spans="15:16" x14ac:dyDescent="0.3">
      <c r="O1660" s="78"/>
      <c r="P1660" s="134"/>
    </row>
    <row r="1661" spans="15:16" x14ac:dyDescent="0.3">
      <c r="O1661" s="78"/>
      <c r="P1661" s="134"/>
    </row>
    <row r="1662" spans="15:16" x14ac:dyDescent="0.3">
      <c r="O1662" s="78"/>
      <c r="P1662" s="134"/>
    </row>
    <row r="1663" spans="15:16" x14ac:dyDescent="0.3">
      <c r="O1663" s="78"/>
      <c r="P1663" s="134"/>
    </row>
    <row r="1664" spans="15:16" x14ac:dyDescent="0.3">
      <c r="O1664" s="78"/>
      <c r="P1664" s="134"/>
    </row>
    <row r="1665" spans="15:16" x14ac:dyDescent="0.3">
      <c r="O1665" s="78"/>
      <c r="P1665" s="134"/>
    </row>
    <row r="1666" spans="15:16" x14ac:dyDescent="0.3">
      <c r="O1666" s="78"/>
      <c r="P1666" s="134"/>
    </row>
    <row r="1667" spans="15:16" x14ac:dyDescent="0.3">
      <c r="O1667" s="78"/>
      <c r="P1667" s="134"/>
    </row>
    <row r="1668" spans="15:16" x14ac:dyDescent="0.3">
      <c r="O1668" s="78"/>
      <c r="P1668" s="134"/>
    </row>
    <row r="1669" spans="15:16" x14ac:dyDescent="0.3">
      <c r="O1669" s="78"/>
      <c r="P1669" s="134"/>
    </row>
    <row r="1670" spans="15:16" x14ac:dyDescent="0.3">
      <c r="O1670" s="78"/>
      <c r="P1670" s="134"/>
    </row>
    <row r="1671" spans="15:16" x14ac:dyDescent="0.3">
      <c r="O1671" s="78"/>
      <c r="P1671" s="134"/>
    </row>
    <row r="1672" spans="15:16" x14ac:dyDescent="0.3">
      <c r="O1672" s="78"/>
      <c r="P1672" s="134"/>
    </row>
    <row r="1673" spans="15:16" x14ac:dyDescent="0.3">
      <c r="O1673" s="78"/>
      <c r="P1673" s="134"/>
    </row>
    <row r="1674" spans="15:16" x14ac:dyDescent="0.3">
      <c r="O1674" s="78"/>
      <c r="P1674" s="134"/>
    </row>
    <row r="1675" spans="15:16" x14ac:dyDescent="0.3">
      <c r="O1675" s="78"/>
      <c r="P1675" s="134"/>
    </row>
    <row r="1676" spans="15:16" x14ac:dyDescent="0.3">
      <c r="O1676" s="78"/>
      <c r="P1676" s="134"/>
    </row>
    <row r="1677" spans="15:16" x14ac:dyDescent="0.3">
      <c r="O1677" s="78"/>
      <c r="P1677" s="134"/>
    </row>
    <row r="1678" spans="15:16" x14ac:dyDescent="0.3">
      <c r="O1678" s="78"/>
      <c r="P1678" s="134"/>
    </row>
    <row r="1679" spans="15:16" x14ac:dyDescent="0.3">
      <c r="O1679" s="78"/>
      <c r="P1679" s="134"/>
    </row>
    <row r="1680" spans="15:16" x14ac:dyDescent="0.3">
      <c r="O1680" s="78"/>
      <c r="P1680" s="134"/>
    </row>
    <row r="1681" spans="15:16" x14ac:dyDescent="0.3">
      <c r="O1681" s="78"/>
      <c r="P1681" s="134"/>
    </row>
    <row r="1682" spans="15:16" x14ac:dyDescent="0.3">
      <c r="O1682" s="78"/>
      <c r="P1682" s="134"/>
    </row>
    <row r="1683" spans="15:16" x14ac:dyDescent="0.3">
      <c r="O1683" s="78"/>
      <c r="P1683" s="134"/>
    </row>
    <row r="1684" spans="15:16" x14ac:dyDescent="0.3">
      <c r="O1684" s="78"/>
      <c r="P1684" s="134"/>
    </row>
    <row r="1685" spans="15:16" x14ac:dyDescent="0.3">
      <c r="O1685" s="78"/>
      <c r="P1685" s="134"/>
    </row>
    <row r="1686" spans="15:16" x14ac:dyDescent="0.3">
      <c r="O1686" s="78"/>
      <c r="P1686" s="134"/>
    </row>
    <row r="1687" spans="15:16" x14ac:dyDescent="0.3">
      <c r="O1687" s="78"/>
      <c r="P1687" s="134"/>
    </row>
    <row r="1688" spans="15:16" x14ac:dyDescent="0.3">
      <c r="O1688" s="78"/>
      <c r="P1688" s="134"/>
    </row>
    <row r="1689" spans="15:16" x14ac:dyDescent="0.3">
      <c r="O1689" s="78"/>
      <c r="P1689" s="134"/>
    </row>
    <row r="1690" spans="15:16" x14ac:dyDescent="0.3">
      <c r="O1690" s="78"/>
      <c r="P1690" s="134"/>
    </row>
    <row r="1691" spans="15:16" x14ac:dyDescent="0.3">
      <c r="O1691" s="78"/>
      <c r="P1691" s="134"/>
    </row>
    <row r="1692" spans="15:16" x14ac:dyDescent="0.3">
      <c r="O1692" s="78"/>
      <c r="P1692" s="134"/>
    </row>
    <row r="1693" spans="15:16" x14ac:dyDescent="0.3">
      <c r="O1693" s="78"/>
      <c r="P1693" s="134"/>
    </row>
    <row r="1694" spans="15:16" x14ac:dyDescent="0.3">
      <c r="O1694" s="78"/>
      <c r="P1694" s="134"/>
    </row>
    <row r="1695" spans="15:16" x14ac:dyDescent="0.3">
      <c r="O1695" s="78"/>
      <c r="P1695" s="134"/>
    </row>
    <row r="1696" spans="15:16" x14ac:dyDescent="0.3">
      <c r="O1696" s="78"/>
      <c r="P1696" s="134"/>
    </row>
    <row r="1697" spans="15:16" x14ac:dyDescent="0.3">
      <c r="O1697" s="78"/>
      <c r="P1697" s="134"/>
    </row>
    <row r="1698" spans="15:16" x14ac:dyDescent="0.3">
      <c r="O1698" s="78"/>
      <c r="P1698" s="134"/>
    </row>
    <row r="1699" spans="15:16" x14ac:dyDescent="0.3">
      <c r="O1699" s="78"/>
      <c r="P1699" s="134"/>
    </row>
    <row r="1700" spans="15:16" x14ac:dyDescent="0.3">
      <c r="O1700" s="78"/>
      <c r="P1700" s="134"/>
    </row>
    <row r="1701" spans="15:16" x14ac:dyDescent="0.3">
      <c r="O1701" s="78"/>
      <c r="P1701" s="134"/>
    </row>
    <row r="1702" spans="15:16" x14ac:dyDescent="0.3">
      <c r="O1702" s="78"/>
      <c r="P1702" s="134"/>
    </row>
    <row r="1703" spans="15:16" x14ac:dyDescent="0.3">
      <c r="O1703" s="78"/>
      <c r="P1703" s="134"/>
    </row>
    <row r="1704" spans="15:16" x14ac:dyDescent="0.3">
      <c r="O1704" s="78"/>
      <c r="P1704" s="134"/>
    </row>
    <row r="1705" spans="15:16" x14ac:dyDescent="0.3">
      <c r="O1705" s="78"/>
      <c r="P1705" s="134"/>
    </row>
    <row r="1706" spans="15:16" x14ac:dyDescent="0.3">
      <c r="O1706" s="78"/>
      <c r="P1706" s="134"/>
    </row>
    <row r="1707" spans="15:16" x14ac:dyDescent="0.3">
      <c r="O1707" s="78"/>
      <c r="P1707" s="134"/>
    </row>
    <row r="1708" spans="15:16" x14ac:dyDescent="0.3">
      <c r="O1708" s="78"/>
      <c r="P1708" s="134"/>
    </row>
    <row r="1709" spans="15:16" x14ac:dyDescent="0.3">
      <c r="O1709" s="78"/>
      <c r="P1709" s="134"/>
    </row>
    <row r="1710" spans="15:16" x14ac:dyDescent="0.3">
      <c r="O1710" s="78"/>
      <c r="P1710" s="134"/>
    </row>
    <row r="1711" spans="15:16" x14ac:dyDescent="0.3">
      <c r="O1711" s="78"/>
      <c r="P1711" s="134"/>
    </row>
    <row r="1712" spans="15:16" x14ac:dyDescent="0.3">
      <c r="O1712" s="78"/>
      <c r="P1712" s="134"/>
    </row>
    <row r="1713" spans="15:16" x14ac:dyDescent="0.3">
      <c r="O1713" s="78"/>
      <c r="P1713" s="134"/>
    </row>
    <row r="1714" spans="15:16" x14ac:dyDescent="0.3">
      <c r="O1714" s="78"/>
      <c r="P1714" s="134"/>
    </row>
    <row r="1715" spans="15:16" x14ac:dyDescent="0.3">
      <c r="O1715" s="78"/>
      <c r="P1715" s="134"/>
    </row>
    <row r="1716" spans="15:16" x14ac:dyDescent="0.3">
      <c r="O1716" s="78"/>
      <c r="P1716" s="134"/>
    </row>
    <row r="1717" spans="15:16" x14ac:dyDescent="0.3">
      <c r="O1717" s="78"/>
      <c r="P1717" s="134"/>
    </row>
    <row r="1718" spans="15:16" x14ac:dyDescent="0.3">
      <c r="O1718" s="78"/>
      <c r="P1718" s="134"/>
    </row>
    <row r="1719" spans="15:16" x14ac:dyDescent="0.3">
      <c r="O1719" s="78"/>
      <c r="P1719" s="134"/>
    </row>
    <row r="1720" spans="15:16" x14ac:dyDescent="0.3">
      <c r="O1720" s="78"/>
      <c r="P1720" s="134"/>
    </row>
    <row r="1721" spans="15:16" x14ac:dyDescent="0.3">
      <c r="O1721" s="78"/>
      <c r="P1721" s="134"/>
    </row>
    <row r="1722" spans="15:16" x14ac:dyDescent="0.3">
      <c r="O1722" s="78"/>
      <c r="P1722" s="134"/>
    </row>
    <row r="1723" spans="15:16" x14ac:dyDescent="0.3">
      <c r="O1723" s="78"/>
      <c r="P1723" s="134"/>
    </row>
    <row r="1724" spans="15:16" x14ac:dyDescent="0.3">
      <c r="O1724" s="78"/>
      <c r="P1724" s="134"/>
    </row>
    <row r="1725" spans="15:16" x14ac:dyDescent="0.3">
      <c r="O1725" s="78"/>
      <c r="P1725" s="134"/>
    </row>
    <row r="1726" spans="15:16" x14ac:dyDescent="0.3">
      <c r="O1726" s="78"/>
      <c r="P1726" s="134"/>
    </row>
    <row r="1727" spans="15:16" x14ac:dyDescent="0.3">
      <c r="O1727" s="78"/>
      <c r="P1727" s="134"/>
    </row>
    <row r="1728" spans="15:16" x14ac:dyDescent="0.3">
      <c r="O1728" s="78"/>
      <c r="P1728" s="134"/>
    </row>
    <row r="1729" spans="15:16" x14ac:dyDescent="0.3">
      <c r="O1729" s="78"/>
      <c r="P1729" s="134"/>
    </row>
    <row r="1730" spans="15:16" x14ac:dyDescent="0.3">
      <c r="O1730" s="78"/>
      <c r="P1730" s="134"/>
    </row>
    <row r="1731" spans="15:16" x14ac:dyDescent="0.3">
      <c r="O1731" s="78"/>
      <c r="P1731" s="134"/>
    </row>
    <row r="1732" spans="15:16" x14ac:dyDescent="0.3">
      <c r="O1732" s="78"/>
      <c r="P1732" s="134"/>
    </row>
    <row r="1733" spans="15:16" x14ac:dyDescent="0.3">
      <c r="O1733" s="78"/>
      <c r="P1733" s="134"/>
    </row>
    <row r="1734" spans="15:16" x14ac:dyDescent="0.3">
      <c r="O1734" s="78"/>
      <c r="P1734" s="134"/>
    </row>
    <row r="1735" spans="15:16" x14ac:dyDescent="0.3">
      <c r="O1735" s="78"/>
      <c r="P1735" s="134"/>
    </row>
    <row r="1736" spans="15:16" x14ac:dyDescent="0.3">
      <c r="O1736" s="78"/>
      <c r="P1736" s="134"/>
    </row>
    <row r="1737" spans="15:16" x14ac:dyDescent="0.3">
      <c r="O1737" s="78"/>
      <c r="P1737" s="134"/>
    </row>
    <row r="1738" spans="15:16" x14ac:dyDescent="0.3">
      <c r="O1738" s="78"/>
      <c r="P1738" s="134"/>
    </row>
    <row r="1739" spans="15:16" x14ac:dyDescent="0.3">
      <c r="O1739" s="78"/>
      <c r="P1739" s="134"/>
    </row>
    <row r="1740" spans="15:16" x14ac:dyDescent="0.3">
      <c r="O1740" s="78"/>
      <c r="P1740" s="134"/>
    </row>
    <row r="1741" spans="15:16" x14ac:dyDescent="0.3">
      <c r="O1741" s="78"/>
      <c r="P1741" s="134"/>
    </row>
    <row r="1742" spans="15:16" x14ac:dyDescent="0.3">
      <c r="O1742" s="78"/>
      <c r="P1742" s="134"/>
    </row>
    <row r="1743" spans="15:16" x14ac:dyDescent="0.3">
      <c r="O1743" s="78"/>
      <c r="P1743" s="134"/>
    </row>
    <row r="1744" spans="15:16" x14ac:dyDescent="0.3">
      <c r="O1744" s="78"/>
      <c r="P1744" s="134"/>
    </row>
    <row r="1745" spans="15:16" x14ac:dyDescent="0.3">
      <c r="O1745" s="78"/>
      <c r="P1745" s="134"/>
    </row>
    <row r="1746" spans="15:16" x14ac:dyDescent="0.3">
      <c r="O1746" s="78"/>
      <c r="P1746" s="134"/>
    </row>
    <row r="1747" spans="15:16" x14ac:dyDescent="0.3">
      <c r="O1747" s="78"/>
      <c r="P1747" s="134"/>
    </row>
    <row r="1748" spans="15:16" x14ac:dyDescent="0.3">
      <c r="O1748" s="78"/>
      <c r="P1748" s="134"/>
    </row>
    <row r="1749" spans="15:16" x14ac:dyDescent="0.3">
      <c r="O1749" s="78"/>
      <c r="P1749" s="134"/>
    </row>
    <row r="1750" spans="15:16" x14ac:dyDescent="0.3">
      <c r="O1750" s="78"/>
      <c r="P1750" s="134"/>
    </row>
    <row r="1751" spans="15:16" x14ac:dyDescent="0.3">
      <c r="O1751" s="78"/>
      <c r="P1751" s="134"/>
    </row>
    <row r="1752" spans="15:16" x14ac:dyDescent="0.3">
      <c r="O1752" s="78"/>
      <c r="P1752" s="134"/>
    </row>
    <row r="1753" spans="15:16" x14ac:dyDescent="0.3">
      <c r="O1753" s="78"/>
      <c r="P1753" s="134"/>
    </row>
    <row r="1754" spans="15:16" x14ac:dyDescent="0.3">
      <c r="O1754" s="78"/>
      <c r="P1754" s="134"/>
    </row>
    <row r="1755" spans="15:16" x14ac:dyDescent="0.3">
      <c r="O1755" s="78"/>
      <c r="P1755" s="134"/>
    </row>
    <row r="1756" spans="15:16" x14ac:dyDescent="0.3">
      <c r="O1756" s="78"/>
      <c r="P1756" s="134"/>
    </row>
    <row r="1757" spans="15:16" x14ac:dyDescent="0.3">
      <c r="O1757" s="78"/>
      <c r="P1757" s="134"/>
    </row>
    <row r="1758" spans="15:16" x14ac:dyDescent="0.3">
      <c r="O1758" s="78"/>
      <c r="P1758" s="134"/>
    </row>
    <row r="1759" spans="15:16" x14ac:dyDescent="0.3">
      <c r="O1759" s="78"/>
      <c r="P1759" s="134"/>
    </row>
    <row r="1760" spans="15:16" x14ac:dyDescent="0.3">
      <c r="O1760" s="78"/>
      <c r="P1760" s="134"/>
    </row>
    <row r="1761" spans="15:16" x14ac:dyDescent="0.3">
      <c r="O1761" s="78"/>
      <c r="P1761" s="134"/>
    </row>
    <row r="1762" spans="15:16" x14ac:dyDescent="0.3">
      <c r="O1762" s="78"/>
      <c r="P1762" s="134"/>
    </row>
    <row r="1763" spans="15:16" x14ac:dyDescent="0.3">
      <c r="O1763" s="78"/>
      <c r="P1763" s="134"/>
    </row>
    <row r="1764" spans="15:16" x14ac:dyDescent="0.3">
      <c r="O1764" s="78"/>
      <c r="P1764" s="134"/>
    </row>
    <row r="1765" spans="15:16" x14ac:dyDescent="0.3">
      <c r="O1765" s="78"/>
      <c r="P1765" s="134"/>
    </row>
    <row r="1766" spans="15:16" x14ac:dyDescent="0.3">
      <c r="O1766" s="78"/>
      <c r="P1766" s="134"/>
    </row>
    <row r="1767" spans="15:16" x14ac:dyDescent="0.3">
      <c r="O1767" s="78"/>
      <c r="P1767" s="134"/>
    </row>
    <row r="1768" spans="15:16" x14ac:dyDescent="0.3">
      <c r="O1768" s="78"/>
      <c r="P1768" s="134"/>
    </row>
    <row r="1769" spans="15:16" x14ac:dyDescent="0.3">
      <c r="O1769" s="78"/>
      <c r="P1769" s="134"/>
    </row>
    <row r="1770" spans="15:16" x14ac:dyDescent="0.3">
      <c r="O1770" s="78"/>
      <c r="P1770" s="134"/>
    </row>
    <row r="1771" spans="15:16" x14ac:dyDescent="0.3">
      <c r="O1771" s="78"/>
      <c r="P1771" s="134"/>
    </row>
    <row r="1772" spans="15:16" x14ac:dyDescent="0.3">
      <c r="O1772" s="78"/>
      <c r="P1772" s="134"/>
    </row>
    <row r="1773" spans="15:16" x14ac:dyDescent="0.3">
      <c r="O1773" s="78"/>
      <c r="P1773" s="134"/>
    </row>
    <row r="1774" spans="15:16" x14ac:dyDescent="0.3">
      <c r="O1774" s="78"/>
      <c r="P1774" s="134"/>
    </row>
    <row r="1775" spans="15:16" x14ac:dyDescent="0.3">
      <c r="O1775" s="78"/>
      <c r="P1775" s="134"/>
    </row>
    <row r="1776" spans="15:16" x14ac:dyDescent="0.3">
      <c r="O1776" s="78"/>
      <c r="P1776" s="134"/>
    </row>
    <row r="1777" spans="15:16" x14ac:dyDescent="0.3">
      <c r="O1777" s="78"/>
      <c r="P1777" s="134"/>
    </row>
    <row r="1778" spans="15:16" x14ac:dyDescent="0.3">
      <c r="O1778" s="78"/>
      <c r="P1778" s="134"/>
    </row>
    <row r="1779" spans="15:16" x14ac:dyDescent="0.3">
      <c r="O1779" s="78"/>
      <c r="P1779" s="134"/>
    </row>
    <row r="1780" spans="15:16" x14ac:dyDescent="0.3">
      <c r="O1780" s="78"/>
      <c r="P1780" s="134"/>
    </row>
    <row r="1781" spans="15:16" x14ac:dyDescent="0.3">
      <c r="O1781" s="78"/>
      <c r="P1781" s="134"/>
    </row>
    <row r="1782" spans="15:16" x14ac:dyDescent="0.3">
      <c r="O1782" s="78"/>
      <c r="P1782" s="134"/>
    </row>
    <row r="1783" spans="15:16" x14ac:dyDescent="0.3">
      <c r="O1783" s="78"/>
      <c r="P1783" s="134"/>
    </row>
    <row r="1784" spans="15:16" x14ac:dyDescent="0.3">
      <c r="O1784" s="78"/>
      <c r="P1784" s="134"/>
    </row>
    <row r="1785" spans="15:16" x14ac:dyDescent="0.3">
      <c r="O1785" s="78"/>
      <c r="P1785" s="134"/>
    </row>
    <row r="1786" spans="15:16" x14ac:dyDescent="0.3">
      <c r="O1786" s="78"/>
      <c r="P1786" s="134"/>
    </row>
    <row r="1787" spans="15:16" x14ac:dyDescent="0.3">
      <c r="O1787" s="78"/>
      <c r="P1787" s="134"/>
    </row>
    <row r="1788" spans="15:16" x14ac:dyDescent="0.3">
      <c r="O1788" s="78"/>
      <c r="P1788" s="134"/>
    </row>
    <row r="1789" spans="15:16" x14ac:dyDescent="0.3">
      <c r="O1789" s="78"/>
      <c r="P1789" s="134"/>
    </row>
    <row r="1790" spans="15:16" x14ac:dyDescent="0.3">
      <c r="O1790" s="78"/>
      <c r="P1790" s="134"/>
    </row>
    <row r="1791" spans="15:16" x14ac:dyDescent="0.3">
      <c r="O1791" s="78"/>
      <c r="P1791" s="134"/>
    </row>
    <row r="1792" spans="15:16" x14ac:dyDescent="0.3">
      <c r="O1792" s="78"/>
      <c r="P1792" s="134"/>
    </row>
    <row r="1793" spans="15:16" x14ac:dyDescent="0.3">
      <c r="O1793" s="78"/>
      <c r="P1793" s="134"/>
    </row>
    <row r="1794" spans="15:16" x14ac:dyDescent="0.3">
      <c r="O1794" s="78"/>
      <c r="P1794" s="134"/>
    </row>
    <row r="1795" spans="15:16" x14ac:dyDescent="0.3">
      <c r="O1795" s="78"/>
      <c r="P1795" s="134"/>
    </row>
    <row r="1796" spans="15:16" x14ac:dyDescent="0.3">
      <c r="O1796" s="78"/>
      <c r="P1796" s="134"/>
    </row>
    <row r="1797" spans="15:16" x14ac:dyDescent="0.3">
      <c r="O1797" s="78"/>
      <c r="P1797" s="134"/>
    </row>
    <row r="1798" spans="15:16" x14ac:dyDescent="0.3">
      <c r="O1798" s="78"/>
      <c r="P1798" s="134"/>
    </row>
    <row r="1799" spans="15:16" x14ac:dyDescent="0.3">
      <c r="O1799" s="78"/>
      <c r="P1799" s="134"/>
    </row>
    <row r="1800" spans="15:16" x14ac:dyDescent="0.3">
      <c r="O1800" s="78"/>
      <c r="P1800" s="134"/>
    </row>
    <row r="1801" spans="15:16" x14ac:dyDescent="0.3">
      <c r="O1801" s="78"/>
      <c r="P1801" s="134"/>
    </row>
    <row r="1802" spans="15:16" x14ac:dyDescent="0.3">
      <c r="O1802" s="78"/>
      <c r="P1802" s="134"/>
    </row>
    <row r="1803" spans="15:16" x14ac:dyDescent="0.3">
      <c r="O1803" s="78"/>
      <c r="P1803" s="134"/>
    </row>
    <row r="1804" spans="15:16" x14ac:dyDescent="0.3">
      <c r="O1804" s="78"/>
      <c r="P1804" s="134"/>
    </row>
    <row r="1805" spans="15:16" x14ac:dyDescent="0.3">
      <c r="O1805" s="78"/>
      <c r="P1805" s="134"/>
    </row>
    <row r="1806" spans="15:16" x14ac:dyDescent="0.3">
      <c r="O1806" s="78"/>
      <c r="P1806" s="134"/>
    </row>
    <row r="1807" spans="15:16" x14ac:dyDescent="0.3">
      <c r="O1807" s="78"/>
      <c r="P1807" s="134"/>
    </row>
    <row r="1808" spans="15:16" x14ac:dyDescent="0.3">
      <c r="O1808" s="78"/>
      <c r="P1808" s="134"/>
    </row>
    <row r="1809" spans="15:16" x14ac:dyDescent="0.3">
      <c r="O1809" s="78"/>
      <c r="P1809" s="134"/>
    </row>
    <row r="1810" spans="15:16" x14ac:dyDescent="0.3">
      <c r="O1810" s="78"/>
      <c r="P1810" s="134"/>
    </row>
    <row r="1811" spans="15:16" x14ac:dyDescent="0.3">
      <c r="O1811" s="78"/>
      <c r="P1811" s="134"/>
    </row>
    <row r="1812" spans="15:16" x14ac:dyDescent="0.3">
      <c r="O1812" s="78"/>
      <c r="P1812" s="134"/>
    </row>
    <row r="1813" spans="15:16" x14ac:dyDescent="0.3">
      <c r="O1813" s="78"/>
      <c r="P1813" s="134"/>
    </row>
    <row r="1814" spans="15:16" x14ac:dyDescent="0.3">
      <c r="O1814" s="78"/>
      <c r="P1814" s="134"/>
    </row>
    <row r="1815" spans="15:16" x14ac:dyDescent="0.3">
      <c r="O1815" s="78"/>
      <c r="P1815" s="134"/>
    </row>
    <row r="1816" spans="15:16" x14ac:dyDescent="0.3">
      <c r="O1816" s="78"/>
      <c r="P1816" s="134"/>
    </row>
    <row r="1817" spans="15:16" x14ac:dyDescent="0.3">
      <c r="O1817" s="78"/>
      <c r="P1817" s="134"/>
    </row>
    <row r="1818" spans="15:16" x14ac:dyDescent="0.3">
      <c r="O1818" s="78"/>
      <c r="P1818" s="134"/>
    </row>
    <row r="1819" spans="15:16" x14ac:dyDescent="0.3">
      <c r="O1819" s="78"/>
      <c r="P1819" s="134"/>
    </row>
    <row r="1820" spans="15:16" x14ac:dyDescent="0.3">
      <c r="O1820" s="78"/>
      <c r="P1820" s="134"/>
    </row>
    <row r="1821" spans="15:16" x14ac:dyDescent="0.3">
      <c r="O1821" s="78"/>
      <c r="P1821" s="134"/>
    </row>
    <row r="1822" spans="15:16" x14ac:dyDescent="0.3">
      <c r="O1822" s="78"/>
      <c r="P1822" s="134"/>
    </row>
    <row r="1823" spans="15:16" x14ac:dyDescent="0.3">
      <c r="O1823" s="78"/>
      <c r="P1823" s="134"/>
    </row>
    <row r="1824" spans="15:16" x14ac:dyDescent="0.3">
      <c r="O1824" s="78"/>
      <c r="P1824" s="134"/>
    </row>
    <row r="1825" spans="15:16" x14ac:dyDescent="0.3">
      <c r="O1825" s="78"/>
      <c r="P1825" s="134"/>
    </row>
    <row r="1826" spans="15:16" x14ac:dyDescent="0.3">
      <c r="O1826" s="78"/>
      <c r="P1826" s="134"/>
    </row>
    <row r="1827" spans="15:16" x14ac:dyDescent="0.3">
      <c r="O1827" s="78"/>
      <c r="P1827" s="134"/>
    </row>
    <row r="1828" spans="15:16" x14ac:dyDescent="0.3">
      <c r="O1828" s="78"/>
      <c r="P1828" s="134"/>
    </row>
    <row r="1829" spans="15:16" x14ac:dyDescent="0.3">
      <c r="O1829" s="78"/>
      <c r="P1829" s="134"/>
    </row>
    <row r="1830" spans="15:16" x14ac:dyDescent="0.3">
      <c r="O1830" s="78"/>
      <c r="P1830" s="134"/>
    </row>
    <row r="1831" spans="15:16" x14ac:dyDescent="0.3">
      <c r="O1831" s="78"/>
      <c r="P1831" s="134"/>
    </row>
    <row r="1832" spans="15:16" x14ac:dyDescent="0.3">
      <c r="O1832" s="78"/>
      <c r="P1832" s="134"/>
    </row>
    <row r="1833" spans="15:16" x14ac:dyDescent="0.3">
      <c r="O1833" s="78"/>
      <c r="P1833" s="134"/>
    </row>
    <row r="1834" spans="15:16" x14ac:dyDescent="0.3">
      <c r="O1834" s="78"/>
      <c r="P1834" s="134"/>
    </row>
    <row r="1835" spans="15:16" x14ac:dyDescent="0.3">
      <c r="O1835" s="78"/>
      <c r="P1835" s="134"/>
    </row>
    <row r="1836" spans="15:16" x14ac:dyDescent="0.3">
      <c r="O1836" s="78"/>
      <c r="P1836" s="134"/>
    </row>
    <row r="1837" spans="15:16" x14ac:dyDescent="0.3">
      <c r="O1837" s="78"/>
      <c r="P1837" s="134"/>
    </row>
    <row r="1838" spans="15:16" x14ac:dyDescent="0.3">
      <c r="O1838" s="78"/>
      <c r="P1838" s="134"/>
    </row>
    <row r="1839" spans="15:16" x14ac:dyDescent="0.3">
      <c r="O1839" s="78"/>
      <c r="P1839" s="134"/>
    </row>
    <row r="1840" spans="15:16" x14ac:dyDescent="0.3">
      <c r="O1840" s="78"/>
      <c r="P1840" s="134"/>
    </row>
    <row r="1841" spans="15:16" x14ac:dyDescent="0.3">
      <c r="O1841" s="78"/>
      <c r="P1841" s="134"/>
    </row>
    <row r="1842" spans="15:16" x14ac:dyDescent="0.3">
      <c r="O1842" s="78"/>
      <c r="P1842" s="134"/>
    </row>
    <row r="1843" spans="15:16" x14ac:dyDescent="0.3">
      <c r="O1843" s="78"/>
      <c r="P1843" s="134"/>
    </row>
    <row r="1844" spans="15:16" x14ac:dyDescent="0.3">
      <c r="O1844" s="78"/>
      <c r="P1844" s="134"/>
    </row>
    <row r="1845" spans="15:16" x14ac:dyDescent="0.3">
      <c r="O1845" s="78"/>
      <c r="P1845" s="134"/>
    </row>
    <row r="1846" spans="15:16" x14ac:dyDescent="0.3">
      <c r="O1846" s="78"/>
      <c r="P1846" s="134"/>
    </row>
    <row r="1847" spans="15:16" x14ac:dyDescent="0.3">
      <c r="O1847" s="78"/>
      <c r="P1847" s="134"/>
    </row>
    <row r="1848" spans="15:16" x14ac:dyDescent="0.3">
      <c r="O1848" s="78"/>
      <c r="P1848" s="134"/>
    </row>
    <row r="1849" spans="15:16" x14ac:dyDescent="0.3">
      <c r="O1849" s="78"/>
      <c r="P1849" s="134"/>
    </row>
    <row r="1850" spans="15:16" x14ac:dyDescent="0.3">
      <c r="O1850" s="78"/>
      <c r="P1850" s="134"/>
    </row>
    <row r="1851" spans="15:16" x14ac:dyDescent="0.3">
      <c r="O1851" s="78"/>
      <c r="P1851" s="134"/>
    </row>
    <row r="1852" spans="15:16" x14ac:dyDescent="0.3">
      <c r="O1852" s="78"/>
      <c r="P1852" s="134"/>
    </row>
    <row r="1853" spans="15:16" x14ac:dyDescent="0.3">
      <c r="O1853" s="78"/>
      <c r="P1853" s="134"/>
    </row>
    <row r="1854" spans="15:16" x14ac:dyDescent="0.3">
      <c r="O1854" s="78"/>
      <c r="P1854" s="134"/>
    </row>
    <row r="1855" spans="15:16" x14ac:dyDescent="0.3">
      <c r="O1855" s="78"/>
      <c r="P1855" s="134"/>
    </row>
    <row r="1856" spans="15:16" x14ac:dyDescent="0.3">
      <c r="O1856" s="78"/>
      <c r="P1856" s="134"/>
    </row>
    <row r="1857" spans="15:16" x14ac:dyDescent="0.3">
      <c r="O1857" s="78"/>
      <c r="P1857" s="134"/>
    </row>
    <row r="1858" spans="15:16" x14ac:dyDescent="0.3">
      <c r="O1858" s="78"/>
      <c r="P1858" s="134"/>
    </row>
    <row r="1859" spans="15:16" x14ac:dyDescent="0.3">
      <c r="O1859" s="78"/>
      <c r="P1859" s="134"/>
    </row>
    <row r="1860" spans="15:16" x14ac:dyDescent="0.3">
      <c r="O1860" s="78"/>
      <c r="P1860" s="134"/>
    </row>
    <row r="1861" spans="15:16" x14ac:dyDescent="0.3">
      <c r="O1861" s="78"/>
      <c r="P1861" s="134"/>
    </row>
    <row r="1862" spans="15:16" x14ac:dyDescent="0.3">
      <c r="O1862" s="78"/>
      <c r="P1862" s="134"/>
    </row>
    <row r="1863" spans="15:16" x14ac:dyDescent="0.3">
      <c r="O1863" s="78"/>
      <c r="P1863" s="134"/>
    </row>
    <row r="1864" spans="15:16" x14ac:dyDescent="0.3">
      <c r="O1864" s="78"/>
      <c r="P1864" s="134"/>
    </row>
    <row r="1865" spans="15:16" x14ac:dyDescent="0.3">
      <c r="O1865" s="78"/>
      <c r="P1865" s="134"/>
    </row>
    <row r="1866" spans="15:16" x14ac:dyDescent="0.3">
      <c r="O1866" s="78"/>
      <c r="P1866" s="134"/>
    </row>
    <row r="1867" spans="15:16" x14ac:dyDescent="0.3">
      <c r="O1867" s="78"/>
      <c r="P1867" s="134"/>
    </row>
    <row r="1868" spans="15:16" x14ac:dyDescent="0.3">
      <c r="O1868" s="78"/>
      <c r="P1868" s="134"/>
    </row>
    <row r="1869" spans="15:16" x14ac:dyDescent="0.3">
      <c r="O1869" s="78"/>
      <c r="P1869" s="134"/>
    </row>
    <row r="1870" spans="15:16" x14ac:dyDescent="0.3">
      <c r="O1870" s="78"/>
      <c r="P1870" s="134"/>
    </row>
    <row r="1871" spans="15:16" x14ac:dyDescent="0.3">
      <c r="O1871" s="78"/>
      <c r="P1871" s="134"/>
    </row>
    <row r="1872" spans="15:16" x14ac:dyDescent="0.3">
      <c r="O1872" s="78"/>
      <c r="P1872" s="134"/>
    </row>
    <row r="1873" spans="15:16" x14ac:dyDescent="0.3">
      <c r="O1873" s="78"/>
      <c r="P1873" s="134"/>
    </row>
    <row r="1874" spans="15:16" x14ac:dyDescent="0.3">
      <c r="O1874" s="78"/>
      <c r="P1874" s="134"/>
    </row>
    <row r="1875" spans="15:16" x14ac:dyDescent="0.3">
      <c r="O1875" s="78"/>
      <c r="P1875" s="134"/>
    </row>
    <row r="1876" spans="15:16" x14ac:dyDescent="0.3">
      <c r="O1876" s="78"/>
      <c r="P1876" s="134"/>
    </row>
    <row r="1877" spans="15:16" x14ac:dyDescent="0.3">
      <c r="O1877" s="78"/>
      <c r="P1877" s="134"/>
    </row>
    <row r="1878" spans="15:16" x14ac:dyDescent="0.3">
      <c r="O1878" s="78"/>
      <c r="P1878" s="134"/>
    </row>
    <row r="1879" spans="15:16" x14ac:dyDescent="0.3">
      <c r="O1879" s="78"/>
      <c r="P1879" s="134"/>
    </row>
    <row r="1880" spans="15:16" x14ac:dyDescent="0.3">
      <c r="O1880" s="78"/>
      <c r="P1880" s="134"/>
    </row>
    <row r="1881" spans="15:16" x14ac:dyDescent="0.3">
      <c r="O1881" s="78"/>
      <c r="P1881" s="134"/>
    </row>
    <row r="1882" spans="15:16" x14ac:dyDescent="0.3">
      <c r="O1882" s="78"/>
      <c r="P1882" s="134"/>
    </row>
    <row r="1883" spans="15:16" x14ac:dyDescent="0.3">
      <c r="O1883" s="78"/>
      <c r="P1883" s="134"/>
    </row>
    <row r="1884" spans="15:16" x14ac:dyDescent="0.3">
      <c r="O1884" s="78"/>
      <c r="P1884" s="134"/>
    </row>
    <row r="1885" spans="15:16" x14ac:dyDescent="0.3">
      <c r="O1885" s="78"/>
      <c r="P1885" s="134"/>
    </row>
    <row r="1886" spans="15:16" x14ac:dyDescent="0.3">
      <c r="O1886" s="78"/>
      <c r="P1886" s="134"/>
    </row>
    <row r="1887" spans="15:16" x14ac:dyDescent="0.3">
      <c r="O1887" s="78"/>
      <c r="P1887" s="134"/>
    </row>
    <row r="1888" spans="15:16" x14ac:dyDescent="0.3">
      <c r="O1888" s="78"/>
      <c r="P1888" s="134"/>
    </row>
    <row r="1889" spans="15:16" x14ac:dyDescent="0.3">
      <c r="O1889" s="78"/>
      <c r="P1889" s="134"/>
    </row>
    <row r="1890" spans="15:16" x14ac:dyDescent="0.3">
      <c r="O1890" s="78"/>
      <c r="P1890" s="134"/>
    </row>
    <row r="1891" spans="15:16" x14ac:dyDescent="0.3">
      <c r="O1891" s="78"/>
      <c r="P1891" s="134"/>
    </row>
    <row r="1892" spans="15:16" x14ac:dyDescent="0.3">
      <c r="O1892" s="78"/>
      <c r="P1892" s="134"/>
    </row>
    <row r="1893" spans="15:16" x14ac:dyDescent="0.3">
      <c r="O1893" s="78"/>
      <c r="P1893" s="134"/>
    </row>
    <row r="1894" spans="15:16" x14ac:dyDescent="0.3">
      <c r="O1894" s="78"/>
      <c r="P1894" s="134"/>
    </row>
    <row r="1895" spans="15:16" x14ac:dyDescent="0.3">
      <c r="O1895" s="78"/>
      <c r="P1895" s="134"/>
    </row>
    <row r="1896" spans="15:16" x14ac:dyDescent="0.3">
      <c r="O1896" s="78"/>
      <c r="P1896" s="134"/>
    </row>
    <row r="1897" spans="15:16" x14ac:dyDescent="0.3">
      <c r="O1897" s="78"/>
      <c r="P1897" s="134"/>
    </row>
    <row r="1898" spans="15:16" x14ac:dyDescent="0.3">
      <c r="O1898" s="78"/>
      <c r="P1898" s="134"/>
    </row>
    <row r="1899" spans="15:16" x14ac:dyDescent="0.3">
      <c r="O1899" s="78"/>
      <c r="P1899" s="134"/>
    </row>
    <row r="1900" spans="15:16" x14ac:dyDescent="0.3">
      <c r="O1900" s="78"/>
      <c r="P1900" s="134"/>
    </row>
    <row r="1901" spans="15:16" x14ac:dyDescent="0.3">
      <c r="O1901" s="78"/>
      <c r="P1901" s="134"/>
    </row>
    <row r="1902" spans="15:16" x14ac:dyDescent="0.3">
      <c r="O1902" s="78"/>
      <c r="P1902" s="134"/>
    </row>
    <row r="1903" spans="15:16" x14ac:dyDescent="0.3">
      <c r="O1903" s="78"/>
      <c r="P1903" s="134"/>
    </row>
    <row r="1904" spans="15:16" x14ac:dyDescent="0.3">
      <c r="O1904" s="78"/>
      <c r="P1904" s="134"/>
    </row>
    <row r="1905" spans="15:16" x14ac:dyDescent="0.3">
      <c r="O1905" s="78"/>
      <c r="P1905" s="134"/>
    </row>
    <row r="1906" spans="15:16" x14ac:dyDescent="0.3">
      <c r="O1906" s="78"/>
      <c r="P1906" s="134"/>
    </row>
    <row r="1907" spans="15:16" x14ac:dyDescent="0.3">
      <c r="O1907" s="78"/>
      <c r="P1907" s="134"/>
    </row>
    <row r="1908" spans="15:16" x14ac:dyDescent="0.3">
      <c r="O1908" s="78"/>
      <c r="P1908" s="134"/>
    </row>
    <row r="1909" spans="15:16" x14ac:dyDescent="0.3">
      <c r="O1909" s="78"/>
      <c r="P1909" s="134"/>
    </row>
    <row r="1910" spans="15:16" x14ac:dyDescent="0.3">
      <c r="O1910" s="78"/>
      <c r="P1910" s="134"/>
    </row>
    <row r="1911" spans="15:16" x14ac:dyDescent="0.3">
      <c r="O1911" s="78"/>
      <c r="P1911" s="134"/>
    </row>
    <row r="1912" spans="15:16" x14ac:dyDescent="0.3">
      <c r="O1912" s="78"/>
      <c r="P1912" s="134"/>
    </row>
    <row r="1913" spans="15:16" x14ac:dyDescent="0.3">
      <c r="O1913" s="78"/>
      <c r="P1913" s="134"/>
    </row>
    <row r="1914" spans="15:16" x14ac:dyDescent="0.3">
      <c r="O1914" s="78"/>
      <c r="P1914" s="134"/>
    </row>
    <row r="1915" spans="15:16" x14ac:dyDescent="0.3">
      <c r="O1915" s="78"/>
      <c r="P1915" s="134"/>
    </row>
    <row r="1916" spans="15:16" x14ac:dyDescent="0.3">
      <c r="O1916" s="78"/>
      <c r="P1916" s="134"/>
    </row>
    <row r="1917" spans="15:16" x14ac:dyDescent="0.3">
      <c r="O1917" s="78"/>
      <c r="P1917" s="134"/>
    </row>
    <row r="1918" spans="15:16" x14ac:dyDescent="0.3">
      <c r="O1918" s="78"/>
      <c r="P1918" s="134"/>
    </row>
    <row r="1919" spans="15:16" x14ac:dyDescent="0.3">
      <c r="O1919" s="78"/>
      <c r="P1919" s="134"/>
    </row>
    <row r="1920" spans="15:16" x14ac:dyDescent="0.3">
      <c r="O1920" s="78"/>
      <c r="P1920" s="134"/>
    </row>
    <row r="1921" spans="15:16" x14ac:dyDescent="0.3">
      <c r="O1921" s="78"/>
      <c r="P1921" s="134"/>
    </row>
    <row r="1922" spans="15:16" x14ac:dyDescent="0.3">
      <c r="O1922" s="78"/>
      <c r="P1922" s="134"/>
    </row>
    <row r="1923" spans="15:16" x14ac:dyDescent="0.3">
      <c r="O1923" s="78"/>
      <c r="P1923" s="134"/>
    </row>
    <row r="1924" spans="15:16" x14ac:dyDescent="0.3">
      <c r="O1924" s="78"/>
      <c r="P1924" s="134"/>
    </row>
    <row r="1925" spans="15:16" x14ac:dyDescent="0.3">
      <c r="O1925" s="78"/>
      <c r="P1925" s="134"/>
    </row>
    <row r="1926" spans="15:16" x14ac:dyDescent="0.3">
      <c r="O1926" s="78"/>
      <c r="P1926" s="134"/>
    </row>
    <row r="1927" spans="15:16" x14ac:dyDescent="0.3">
      <c r="O1927" s="78"/>
      <c r="P1927" s="134"/>
    </row>
    <row r="1928" spans="15:16" x14ac:dyDescent="0.3">
      <c r="O1928" s="78"/>
      <c r="P1928" s="134"/>
    </row>
    <row r="1929" spans="15:16" x14ac:dyDescent="0.3">
      <c r="O1929" s="78"/>
      <c r="P1929" s="134"/>
    </row>
    <row r="1930" spans="15:16" x14ac:dyDescent="0.3">
      <c r="O1930" s="78"/>
      <c r="P1930" s="134"/>
    </row>
    <row r="1931" spans="15:16" x14ac:dyDescent="0.3">
      <c r="O1931" s="78"/>
      <c r="P1931" s="134"/>
    </row>
    <row r="1932" spans="15:16" x14ac:dyDescent="0.3">
      <c r="O1932" s="78"/>
      <c r="P1932" s="134"/>
    </row>
    <row r="1933" spans="15:16" x14ac:dyDescent="0.3">
      <c r="O1933" s="78"/>
      <c r="P1933" s="134"/>
    </row>
    <row r="1934" spans="15:16" x14ac:dyDescent="0.3">
      <c r="O1934" s="78"/>
      <c r="P1934" s="134"/>
    </row>
    <row r="1935" spans="15:16" x14ac:dyDescent="0.3">
      <c r="O1935" s="78"/>
      <c r="P1935" s="134"/>
    </row>
    <row r="1936" spans="15:16" x14ac:dyDescent="0.3">
      <c r="O1936" s="78"/>
      <c r="P1936" s="134"/>
    </row>
    <row r="1937" spans="15:16" x14ac:dyDescent="0.3">
      <c r="O1937" s="78"/>
      <c r="P1937" s="134"/>
    </row>
    <row r="1938" spans="15:16" x14ac:dyDescent="0.3">
      <c r="O1938" s="78"/>
      <c r="P1938" s="134"/>
    </row>
    <row r="1939" spans="15:16" x14ac:dyDescent="0.3">
      <c r="O1939" s="78"/>
      <c r="P1939" s="134"/>
    </row>
    <row r="1940" spans="15:16" x14ac:dyDescent="0.3">
      <c r="O1940" s="78"/>
      <c r="P1940" s="134"/>
    </row>
    <row r="1941" spans="15:16" x14ac:dyDescent="0.3">
      <c r="O1941" s="78"/>
      <c r="P1941" s="134"/>
    </row>
    <row r="1942" spans="15:16" x14ac:dyDescent="0.3">
      <c r="O1942" s="78"/>
      <c r="P1942" s="134"/>
    </row>
    <row r="1943" spans="15:16" x14ac:dyDescent="0.3">
      <c r="O1943" s="78"/>
      <c r="P1943" s="134"/>
    </row>
    <row r="1944" spans="15:16" x14ac:dyDescent="0.3">
      <c r="O1944" s="78"/>
      <c r="P1944" s="134"/>
    </row>
    <row r="1945" spans="15:16" x14ac:dyDescent="0.3">
      <c r="O1945" s="78"/>
      <c r="P1945" s="134"/>
    </row>
    <row r="1946" spans="15:16" x14ac:dyDescent="0.3">
      <c r="O1946" s="78"/>
      <c r="P1946" s="134"/>
    </row>
    <row r="1947" spans="15:16" x14ac:dyDescent="0.3">
      <c r="O1947" s="78"/>
      <c r="P1947" s="134"/>
    </row>
    <row r="1948" spans="15:16" x14ac:dyDescent="0.3">
      <c r="O1948" s="78"/>
      <c r="P1948" s="134"/>
    </row>
    <row r="1949" spans="15:16" x14ac:dyDescent="0.3">
      <c r="O1949" s="78"/>
      <c r="P1949" s="134"/>
    </row>
    <row r="1950" spans="15:16" x14ac:dyDescent="0.3">
      <c r="O1950" s="78"/>
      <c r="P1950" s="134"/>
    </row>
    <row r="1951" spans="15:16" x14ac:dyDescent="0.3">
      <c r="O1951" s="78"/>
      <c r="P1951" s="134"/>
    </row>
    <row r="1952" spans="15:16" x14ac:dyDescent="0.3">
      <c r="O1952" s="78"/>
      <c r="P1952" s="134"/>
    </row>
    <row r="1953" spans="15:16" x14ac:dyDescent="0.3">
      <c r="O1953" s="78"/>
      <c r="P1953" s="134"/>
    </row>
    <row r="1954" spans="15:16" x14ac:dyDescent="0.3">
      <c r="O1954" s="78"/>
      <c r="P1954" s="134"/>
    </row>
    <row r="1955" spans="15:16" x14ac:dyDescent="0.3">
      <c r="O1955" s="78"/>
      <c r="P1955" s="134"/>
    </row>
    <row r="1956" spans="15:16" x14ac:dyDescent="0.3">
      <c r="O1956" s="78"/>
      <c r="P1956" s="134"/>
    </row>
    <row r="1957" spans="15:16" x14ac:dyDescent="0.3">
      <c r="O1957" s="78"/>
      <c r="P1957" s="134"/>
    </row>
    <row r="1958" spans="15:16" x14ac:dyDescent="0.3">
      <c r="O1958" s="78"/>
      <c r="P1958" s="134"/>
    </row>
    <row r="1959" spans="15:16" x14ac:dyDescent="0.3">
      <c r="O1959" s="78"/>
      <c r="P1959" s="134"/>
    </row>
    <row r="1960" spans="15:16" x14ac:dyDescent="0.3">
      <c r="O1960" s="78"/>
      <c r="P1960" s="134"/>
    </row>
    <row r="1961" spans="15:16" x14ac:dyDescent="0.3">
      <c r="O1961" s="78"/>
      <c r="P1961" s="134"/>
    </row>
    <row r="1962" spans="15:16" x14ac:dyDescent="0.3">
      <c r="O1962" s="78"/>
      <c r="P1962" s="134"/>
    </row>
    <row r="1963" spans="15:16" x14ac:dyDescent="0.3">
      <c r="O1963" s="78"/>
      <c r="P1963" s="134"/>
    </row>
    <row r="1964" spans="15:16" x14ac:dyDescent="0.3">
      <c r="O1964" s="78"/>
      <c r="P1964" s="134"/>
    </row>
    <row r="1965" spans="15:16" x14ac:dyDescent="0.3">
      <c r="O1965" s="78"/>
      <c r="P1965" s="134"/>
    </row>
    <row r="1966" spans="15:16" x14ac:dyDescent="0.3">
      <c r="O1966" s="78"/>
      <c r="P1966" s="134"/>
    </row>
    <row r="1967" spans="15:16" x14ac:dyDescent="0.3">
      <c r="O1967" s="78"/>
      <c r="P1967" s="134"/>
    </row>
    <row r="1968" spans="15:16" x14ac:dyDescent="0.3">
      <c r="O1968" s="78"/>
      <c r="P1968" s="134"/>
    </row>
    <row r="1969" spans="15:16" x14ac:dyDescent="0.3">
      <c r="O1969" s="78"/>
      <c r="P1969" s="134"/>
    </row>
    <row r="1970" spans="15:16" x14ac:dyDescent="0.3">
      <c r="O1970" s="78"/>
      <c r="P1970" s="134"/>
    </row>
    <row r="1971" spans="15:16" x14ac:dyDescent="0.3">
      <c r="O1971" s="78"/>
      <c r="P1971" s="134"/>
    </row>
    <row r="1972" spans="15:16" x14ac:dyDescent="0.3">
      <c r="O1972" s="78"/>
      <c r="P1972" s="134"/>
    </row>
    <row r="1973" spans="15:16" x14ac:dyDescent="0.3">
      <c r="O1973" s="78"/>
      <c r="P1973" s="134"/>
    </row>
    <row r="1974" spans="15:16" x14ac:dyDescent="0.3">
      <c r="O1974" s="78"/>
      <c r="P1974" s="134"/>
    </row>
    <row r="1975" spans="15:16" x14ac:dyDescent="0.3">
      <c r="O1975" s="78"/>
      <c r="P1975" s="134"/>
    </row>
    <row r="1976" spans="15:16" x14ac:dyDescent="0.3">
      <c r="O1976" s="78"/>
      <c r="P1976" s="134"/>
    </row>
    <row r="1977" spans="15:16" x14ac:dyDescent="0.3">
      <c r="O1977" s="78"/>
      <c r="P1977" s="134"/>
    </row>
    <row r="1978" spans="15:16" x14ac:dyDescent="0.3">
      <c r="O1978" s="78"/>
      <c r="P1978" s="134"/>
    </row>
    <row r="1979" spans="15:16" x14ac:dyDescent="0.3">
      <c r="O1979" s="78"/>
      <c r="P1979" s="134"/>
    </row>
    <row r="1980" spans="15:16" x14ac:dyDescent="0.3">
      <c r="O1980" s="78"/>
      <c r="P1980" s="134"/>
    </row>
    <row r="1981" spans="15:16" x14ac:dyDescent="0.3">
      <c r="O1981" s="78"/>
      <c r="P1981" s="134"/>
    </row>
    <row r="1982" spans="15:16" x14ac:dyDescent="0.3">
      <c r="O1982" s="78"/>
      <c r="P1982" s="134"/>
    </row>
    <row r="1983" spans="15:16" x14ac:dyDescent="0.3">
      <c r="O1983" s="78"/>
      <c r="P1983" s="134"/>
    </row>
    <row r="1984" spans="15:16" x14ac:dyDescent="0.3">
      <c r="O1984" s="78"/>
      <c r="P1984" s="134"/>
    </row>
    <row r="1985" spans="15:16" x14ac:dyDescent="0.3">
      <c r="O1985" s="78"/>
      <c r="P1985" s="134"/>
    </row>
    <row r="1986" spans="15:16" x14ac:dyDescent="0.3">
      <c r="O1986" s="78"/>
      <c r="P1986" s="134"/>
    </row>
    <row r="1987" spans="15:16" x14ac:dyDescent="0.3">
      <c r="O1987" s="78"/>
      <c r="P1987" s="134"/>
    </row>
    <row r="1988" spans="15:16" x14ac:dyDescent="0.3">
      <c r="O1988" s="78"/>
      <c r="P1988" s="134"/>
    </row>
    <row r="1989" spans="15:16" x14ac:dyDescent="0.3">
      <c r="O1989" s="78"/>
      <c r="P1989" s="134"/>
    </row>
    <row r="1990" spans="15:16" x14ac:dyDescent="0.3">
      <c r="O1990" s="78"/>
      <c r="P1990" s="134"/>
    </row>
    <row r="1991" spans="15:16" x14ac:dyDescent="0.3">
      <c r="O1991" s="78"/>
      <c r="P1991" s="134"/>
    </row>
    <row r="1992" spans="15:16" x14ac:dyDescent="0.3">
      <c r="O1992" s="78"/>
      <c r="P1992" s="134"/>
    </row>
    <row r="1993" spans="15:16" x14ac:dyDescent="0.3">
      <c r="O1993" s="78"/>
      <c r="P1993" s="134"/>
    </row>
    <row r="1994" spans="15:16" x14ac:dyDescent="0.3">
      <c r="O1994" s="78"/>
      <c r="P1994" s="134"/>
    </row>
    <row r="1995" spans="15:16" x14ac:dyDescent="0.3">
      <c r="O1995" s="78"/>
      <c r="P1995" s="134"/>
    </row>
    <row r="1996" spans="15:16" x14ac:dyDescent="0.3">
      <c r="O1996" s="78"/>
      <c r="P1996" s="134"/>
    </row>
    <row r="1997" spans="15:16" x14ac:dyDescent="0.3">
      <c r="O1997" s="78"/>
      <c r="P1997" s="134"/>
    </row>
    <row r="1998" spans="15:16" x14ac:dyDescent="0.3">
      <c r="O1998" s="78"/>
      <c r="P1998" s="134"/>
    </row>
    <row r="1999" spans="15:16" x14ac:dyDescent="0.3">
      <c r="O1999" s="78"/>
      <c r="P1999" s="134"/>
    </row>
    <row r="2000" spans="15:16" x14ac:dyDescent="0.3">
      <c r="O2000" s="78"/>
      <c r="P2000" s="134"/>
    </row>
    <row r="2001" spans="15:16" x14ac:dyDescent="0.3">
      <c r="O2001" s="78"/>
      <c r="P2001" s="134"/>
    </row>
    <row r="2002" spans="15:16" x14ac:dyDescent="0.3">
      <c r="O2002" s="78"/>
      <c r="P2002" s="134"/>
    </row>
    <row r="2003" spans="15:16" x14ac:dyDescent="0.3">
      <c r="O2003" s="78"/>
      <c r="P2003" s="134"/>
    </row>
    <row r="2004" spans="15:16" x14ac:dyDescent="0.3">
      <c r="O2004" s="78"/>
      <c r="P2004" s="134"/>
    </row>
    <row r="2005" spans="15:16" x14ac:dyDescent="0.3">
      <c r="O2005" s="78"/>
      <c r="P2005" s="134"/>
    </row>
    <row r="2006" spans="15:16" x14ac:dyDescent="0.3">
      <c r="O2006" s="78"/>
      <c r="P2006" s="134"/>
    </row>
    <row r="2007" spans="15:16" x14ac:dyDescent="0.3">
      <c r="O2007" s="78"/>
      <c r="P2007" s="134"/>
    </row>
    <row r="2008" spans="15:16" x14ac:dyDescent="0.3">
      <c r="O2008" s="78"/>
      <c r="P2008" s="134"/>
    </row>
    <row r="2009" spans="15:16" x14ac:dyDescent="0.3">
      <c r="O2009" s="78"/>
      <c r="P2009" s="134"/>
    </row>
    <row r="2010" spans="15:16" x14ac:dyDescent="0.3">
      <c r="O2010" s="78"/>
      <c r="P2010" s="134"/>
    </row>
    <row r="2011" spans="15:16" x14ac:dyDescent="0.3">
      <c r="O2011" s="78"/>
      <c r="P2011" s="134"/>
    </row>
    <row r="2012" spans="15:16" x14ac:dyDescent="0.3">
      <c r="O2012" s="78"/>
      <c r="P2012" s="134"/>
    </row>
    <row r="2013" spans="15:16" x14ac:dyDescent="0.3">
      <c r="O2013" s="78"/>
      <c r="P2013" s="134"/>
    </row>
    <row r="2014" spans="15:16" x14ac:dyDescent="0.3">
      <c r="O2014" s="78"/>
      <c r="P2014" s="134"/>
    </row>
    <row r="2015" spans="15:16" x14ac:dyDescent="0.3">
      <c r="O2015" s="78"/>
      <c r="P2015" s="134"/>
    </row>
    <row r="2016" spans="15:16" x14ac:dyDescent="0.3">
      <c r="O2016" s="78"/>
      <c r="P2016" s="134"/>
    </row>
    <row r="2017" spans="15:16" x14ac:dyDescent="0.3">
      <c r="O2017" s="78"/>
      <c r="P2017" s="134"/>
    </row>
    <row r="2018" spans="15:16" x14ac:dyDescent="0.3">
      <c r="O2018" s="78"/>
      <c r="P2018" s="134"/>
    </row>
    <row r="2019" spans="15:16" x14ac:dyDescent="0.3">
      <c r="O2019" s="78"/>
      <c r="P2019" s="134"/>
    </row>
    <row r="2020" spans="15:16" x14ac:dyDescent="0.3">
      <c r="O2020" s="78"/>
      <c r="P2020" s="134"/>
    </row>
    <row r="2021" spans="15:16" x14ac:dyDescent="0.3">
      <c r="O2021" s="78"/>
      <c r="P2021" s="134"/>
    </row>
    <row r="2022" spans="15:16" x14ac:dyDescent="0.3">
      <c r="O2022" s="78"/>
      <c r="P2022" s="134"/>
    </row>
    <row r="2023" spans="15:16" x14ac:dyDescent="0.3">
      <c r="O2023" s="78"/>
      <c r="P2023" s="134"/>
    </row>
    <row r="2024" spans="15:16" x14ac:dyDescent="0.3">
      <c r="O2024" s="78"/>
      <c r="P2024" s="134"/>
    </row>
    <row r="2025" spans="15:16" x14ac:dyDescent="0.3">
      <c r="O2025" s="78"/>
      <c r="P2025" s="134"/>
    </row>
    <row r="2026" spans="15:16" x14ac:dyDescent="0.3">
      <c r="O2026" s="78"/>
      <c r="P2026" s="134"/>
    </row>
    <row r="2027" spans="15:16" x14ac:dyDescent="0.3">
      <c r="O2027" s="78"/>
      <c r="P2027" s="134"/>
    </row>
    <row r="2028" spans="15:16" x14ac:dyDescent="0.3">
      <c r="O2028" s="78"/>
      <c r="P2028" s="134"/>
    </row>
    <row r="2029" spans="15:16" x14ac:dyDescent="0.3">
      <c r="O2029" s="78"/>
      <c r="P2029" s="134"/>
    </row>
    <row r="2030" spans="15:16" x14ac:dyDescent="0.3">
      <c r="O2030" s="78"/>
      <c r="P2030" s="134"/>
    </row>
    <row r="2031" spans="15:16" x14ac:dyDescent="0.3">
      <c r="O2031" s="78"/>
      <c r="P2031" s="134"/>
    </row>
    <row r="2032" spans="15:16" x14ac:dyDescent="0.3">
      <c r="O2032" s="78"/>
      <c r="P2032" s="134"/>
    </row>
    <row r="2033" spans="15:16" x14ac:dyDescent="0.3">
      <c r="O2033" s="78"/>
      <c r="P2033" s="134"/>
    </row>
    <row r="2034" spans="15:16" x14ac:dyDescent="0.3">
      <c r="O2034" s="78"/>
      <c r="P2034" s="134"/>
    </row>
    <row r="2035" spans="15:16" x14ac:dyDescent="0.3">
      <c r="O2035" s="78"/>
      <c r="P2035" s="134"/>
    </row>
    <row r="2036" spans="15:16" x14ac:dyDescent="0.3">
      <c r="O2036" s="78"/>
      <c r="P2036" s="134"/>
    </row>
    <row r="2037" spans="15:16" x14ac:dyDescent="0.3">
      <c r="O2037" s="78"/>
      <c r="P2037" s="134"/>
    </row>
    <row r="2038" spans="15:16" x14ac:dyDescent="0.3">
      <c r="O2038" s="78"/>
      <c r="P2038" s="134"/>
    </row>
    <row r="2039" spans="15:16" x14ac:dyDescent="0.3">
      <c r="O2039" s="78"/>
      <c r="P2039" s="134"/>
    </row>
    <row r="2040" spans="15:16" x14ac:dyDescent="0.3">
      <c r="O2040" s="78"/>
      <c r="P2040" s="134"/>
    </row>
    <row r="2041" spans="15:16" x14ac:dyDescent="0.3">
      <c r="O2041" s="78"/>
      <c r="P2041" s="134"/>
    </row>
    <row r="2042" spans="15:16" x14ac:dyDescent="0.3">
      <c r="O2042" s="78"/>
      <c r="P2042" s="134"/>
    </row>
    <row r="2043" spans="15:16" x14ac:dyDescent="0.3">
      <c r="O2043" s="78"/>
      <c r="P2043" s="134"/>
    </row>
    <row r="2044" spans="15:16" x14ac:dyDescent="0.3">
      <c r="O2044" s="78"/>
      <c r="P2044" s="134"/>
    </row>
    <row r="2045" spans="15:16" x14ac:dyDescent="0.3">
      <c r="O2045" s="78"/>
      <c r="P2045" s="134"/>
    </row>
    <row r="2046" spans="15:16" x14ac:dyDescent="0.3">
      <c r="O2046" s="78"/>
      <c r="P2046" s="134"/>
    </row>
    <row r="2047" spans="15:16" x14ac:dyDescent="0.3">
      <c r="O2047" s="78"/>
      <c r="P2047" s="134"/>
    </row>
    <row r="2048" spans="15:16" x14ac:dyDescent="0.3">
      <c r="O2048" s="78"/>
      <c r="P2048" s="134"/>
    </row>
    <row r="2049" spans="15:16" x14ac:dyDescent="0.3">
      <c r="O2049" s="78"/>
      <c r="P2049" s="134"/>
    </row>
    <row r="2050" spans="15:16" x14ac:dyDescent="0.3">
      <c r="O2050" s="78"/>
      <c r="P2050" s="134"/>
    </row>
    <row r="2051" spans="15:16" x14ac:dyDescent="0.3">
      <c r="O2051" s="78"/>
      <c r="P2051" s="134"/>
    </row>
    <row r="2052" spans="15:16" x14ac:dyDescent="0.3">
      <c r="O2052" s="78"/>
      <c r="P2052" s="134"/>
    </row>
    <row r="2053" spans="15:16" x14ac:dyDescent="0.3">
      <c r="O2053" s="78"/>
      <c r="P2053" s="134"/>
    </row>
    <row r="2054" spans="15:16" x14ac:dyDescent="0.3">
      <c r="O2054" s="78"/>
      <c r="P2054" s="134"/>
    </row>
    <row r="2055" spans="15:16" x14ac:dyDescent="0.3">
      <c r="O2055" s="78"/>
      <c r="P2055" s="134"/>
    </row>
    <row r="2056" spans="15:16" x14ac:dyDescent="0.3">
      <c r="O2056" s="78"/>
      <c r="P2056" s="134"/>
    </row>
    <row r="2057" spans="15:16" x14ac:dyDescent="0.3">
      <c r="O2057" s="78"/>
      <c r="P2057" s="134"/>
    </row>
    <row r="2058" spans="15:16" x14ac:dyDescent="0.3">
      <c r="O2058" s="78"/>
      <c r="P2058" s="134"/>
    </row>
    <row r="2059" spans="15:16" x14ac:dyDescent="0.3">
      <c r="O2059" s="78"/>
      <c r="P2059" s="134"/>
    </row>
    <row r="2060" spans="15:16" x14ac:dyDescent="0.3">
      <c r="O2060" s="78"/>
      <c r="P2060" s="134"/>
    </row>
    <row r="2061" spans="15:16" x14ac:dyDescent="0.3">
      <c r="O2061" s="78"/>
      <c r="P2061" s="134"/>
    </row>
    <row r="2062" spans="15:16" x14ac:dyDescent="0.3">
      <c r="O2062" s="78"/>
      <c r="P2062" s="134"/>
    </row>
    <row r="2063" spans="15:16" x14ac:dyDescent="0.3">
      <c r="O2063" s="78"/>
      <c r="P2063" s="134"/>
    </row>
    <row r="2064" spans="15:16" x14ac:dyDescent="0.3">
      <c r="O2064" s="78"/>
      <c r="P2064" s="134"/>
    </row>
    <row r="2065" spans="15:16" x14ac:dyDescent="0.3">
      <c r="O2065" s="78"/>
      <c r="P2065" s="134"/>
    </row>
    <row r="2066" spans="15:16" x14ac:dyDescent="0.3">
      <c r="O2066" s="78"/>
      <c r="P2066" s="134"/>
    </row>
    <row r="2067" spans="15:16" x14ac:dyDescent="0.3">
      <c r="O2067" s="78"/>
      <c r="P2067" s="134"/>
    </row>
    <row r="2068" spans="15:16" x14ac:dyDescent="0.3">
      <c r="O2068" s="78"/>
      <c r="P2068" s="134"/>
    </row>
    <row r="2069" spans="15:16" x14ac:dyDescent="0.3">
      <c r="O2069" s="78"/>
      <c r="P2069" s="134"/>
    </row>
    <row r="2070" spans="15:16" x14ac:dyDescent="0.3">
      <c r="O2070" s="78"/>
      <c r="P2070" s="134"/>
    </row>
    <row r="2071" spans="15:16" x14ac:dyDescent="0.3">
      <c r="O2071" s="78"/>
      <c r="P2071" s="134"/>
    </row>
    <row r="2072" spans="15:16" x14ac:dyDescent="0.3">
      <c r="O2072" s="78"/>
      <c r="P2072" s="134"/>
    </row>
    <row r="2073" spans="15:16" x14ac:dyDescent="0.3">
      <c r="O2073" s="78"/>
      <c r="P2073" s="134"/>
    </row>
    <row r="2074" spans="15:16" x14ac:dyDescent="0.3">
      <c r="O2074" s="78"/>
      <c r="P2074" s="134"/>
    </row>
    <row r="2075" spans="15:16" x14ac:dyDescent="0.3">
      <c r="O2075" s="78"/>
      <c r="P2075" s="134"/>
    </row>
    <row r="2076" spans="15:16" x14ac:dyDescent="0.3">
      <c r="O2076" s="78"/>
      <c r="P2076" s="134"/>
    </row>
    <row r="2077" spans="15:16" x14ac:dyDescent="0.3">
      <c r="O2077" s="78"/>
      <c r="P2077" s="134"/>
    </row>
    <row r="2078" spans="15:16" x14ac:dyDescent="0.3">
      <c r="O2078" s="78"/>
      <c r="P2078" s="134"/>
    </row>
    <row r="2079" spans="15:16" x14ac:dyDescent="0.3">
      <c r="O2079" s="78"/>
      <c r="P2079" s="134"/>
    </row>
    <row r="2080" spans="15:16" x14ac:dyDescent="0.3">
      <c r="O2080" s="78"/>
      <c r="P2080" s="134"/>
    </row>
    <row r="2081" spans="15:16" x14ac:dyDescent="0.3">
      <c r="O2081" s="78"/>
      <c r="P2081" s="134"/>
    </row>
    <row r="2082" spans="15:16" x14ac:dyDescent="0.3">
      <c r="O2082" s="78"/>
      <c r="P2082" s="134"/>
    </row>
    <row r="2083" spans="15:16" x14ac:dyDescent="0.3">
      <c r="O2083" s="78"/>
      <c r="P2083" s="134"/>
    </row>
    <row r="2084" spans="15:16" x14ac:dyDescent="0.3">
      <c r="O2084" s="78"/>
      <c r="P2084" s="134"/>
    </row>
    <row r="2085" spans="15:16" x14ac:dyDescent="0.3">
      <c r="O2085" s="78"/>
      <c r="P2085" s="134"/>
    </row>
    <row r="2086" spans="15:16" x14ac:dyDescent="0.3">
      <c r="O2086" s="78"/>
      <c r="P2086" s="134"/>
    </row>
    <row r="2087" spans="15:16" x14ac:dyDescent="0.3">
      <c r="O2087" s="78"/>
      <c r="P2087" s="134"/>
    </row>
    <row r="2088" spans="15:16" x14ac:dyDescent="0.3">
      <c r="O2088" s="78"/>
      <c r="P2088" s="134"/>
    </row>
    <row r="2089" spans="15:16" x14ac:dyDescent="0.3">
      <c r="O2089" s="78"/>
      <c r="P2089" s="134"/>
    </row>
    <row r="2090" spans="15:16" x14ac:dyDescent="0.3">
      <c r="O2090" s="78"/>
      <c r="P2090" s="134"/>
    </row>
    <row r="2091" spans="15:16" x14ac:dyDescent="0.3">
      <c r="O2091" s="78"/>
      <c r="P2091" s="134"/>
    </row>
    <row r="2092" spans="15:16" x14ac:dyDescent="0.3">
      <c r="O2092" s="78"/>
      <c r="P2092" s="134"/>
    </row>
    <row r="2093" spans="15:16" x14ac:dyDescent="0.3">
      <c r="O2093" s="78"/>
      <c r="P2093" s="134"/>
    </row>
    <row r="2094" spans="15:16" x14ac:dyDescent="0.3">
      <c r="O2094" s="78"/>
      <c r="P2094" s="134"/>
    </row>
    <row r="2095" spans="15:16" x14ac:dyDescent="0.3">
      <c r="O2095" s="78"/>
      <c r="P2095" s="134"/>
    </row>
    <row r="2096" spans="15:16" x14ac:dyDescent="0.3">
      <c r="O2096" s="78"/>
      <c r="P2096" s="134"/>
    </row>
    <row r="2097" spans="15:16" x14ac:dyDescent="0.3">
      <c r="O2097" s="78"/>
      <c r="P2097" s="134"/>
    </row>
    <row r="2098" spans="15:16" x14ac:dyDescent="0.3">
      <c r="O2098" s="78"/>
      <c r="P2098" s="134"/>
    </row>
    <row r="2099" spans="15:16" x14ac:dyDescent="0.3">
      <c r="O2099" s="78"/>
      <c r="P2099" s="134"/>
    </row>
    <row r="2100" spans="15:16" x14ac:dyDescent="0.3">
      <c r="O2100" s="78"/>
      <c r="P2100" s="134"/>
    </row>
    <row r="2101" spans="15:16" x14ac:dyDescent="0.3">
      <c r="O2101" s="78"/>
      <c r="P2101" s="134"/>
    </row>
    <row r="2102" spans="15:16" x14ac:dyDescent="0.3">
      <c r="O2102" s="78"/>
      <c r="P2102" s="134"/>
    </row>
    <row r="2103" spans="15:16" x14ac:dyDescent="0.3">
      <c r="O2103" s="78"/>
      <c r="P2103" s="134"/>
    </row>
    <row r="2104" spans="15:16" x14ac:dyDescent="0.3">
      <c r="O2104" s="78"/>
      <c r="P2104" s="134"/>
    </row>
    <row r="2105" spans="15:16" x14ac:dyDescent="0.3">
      <c r="O2105" s="78"/>
      <c r="P2105" s="134"/>
    </row>
    <row r="2106" spans="15:16" x14ac:dyDescent="0.3">
      <c r="O2106" s="78"/>
      <c r="P2106" s="134"/>
    </row>
    <row r="2107" spans="15:16" x14ac:dyDescent="0.3">
      <c r="O2107" s="78"/>
      <c r="P2107" s="134"/>
    </row>
    <row r="2108" spans="15:16" x14ac:dyDescent="0.3">
      <c r="O2108" s="78"/>
      <c r="P2108" s="134"/>
    </row>
    <row r="2109" spans="15:16" x14ac:dyDescent="0.3">
      <c r="O2109" s="78"/>
      <c r="P2109" s="134"/>
    </row>
    <row r="2110" spans="15:16" x14ac:dyDescent="0.3">
      <c r="O2110" s="78"/>
      <c r="P2110" s="134"/>
    </row>
    <row r="2111" spans="15:16" x14ac:dyDescent="0.3">
      <c r="O2111" s="78"/>
      <c r="P2111" s="134"/>
    </row>
    <row r="2112" spans="15:16" x14ac:dyDescent="0.3">
      <c r="O2112" s="78"/>
      <c r="P2112" s="134"/>
    </row>
    <row r="2113" spans="15:16" x14ac:dyDescent="0.3">
      <c r="O2113" s="78"/>
      <c r="P2113" s="134"/>
    </row>
    <row r="2114" spans="15:16" x14ac:dyDescent="0.3">
      <c r="O2114" s="78"/>
      <c r="P2114" s="134"/>
    </row>
    <row r="2115" spans="15:16" x14ac:dyDescent="0.3">
      <c r="O2115" s="78"/>
      <c r="P2115" s="134"/>
    </row>
    <row r="2116" spans="15:16" x14ac:dyDescent="0.3">
      <c r="O2116" s="78"/>
      <c r="P2116" s="134"/>
    </row>
    <row r="2117" spans="15:16" x14ac:dyDescent="0.3">
      <c r="O2117" s="78"/>
      <c r="P2117" s="134"/>
    </row>
    <row r="2118" spans="15:16" x14ac:dyDescent="0.3">
      <c r="O2118" s="78"/>
      <c r="P2118" s="134"/>
    </row>
    <row r="2119" spans="15:16" x14ac:dyDescent="0.3">
      <c r="O2119" s="78"/>
      <c r="P2119" s="134"/>
    </row>
    <row r="2120" spans="15:16" x14ac:dyDescent="0.3">
      <c r="O2120" s="78"/>
      <c r="P2120" s="134"/>
    </row>
    <row r="2121" spans="15:16" x14ac:dyDescent="0.3">
      <c r="O2121" s="78"/>
      <c r="P2121" s="134"/>
    </row>
    <row r="2122" spans="15:16" x14ac:dyDescent="0.3">
      <c r="O2122" s="78"/>
      <c r="P2122" s="134"/>
    </row>
    <row r="2123" spans="15:16" x14ac:dyDescent="0.3">
      <c r="O2123" s="78"/>
      <c r="P2123" s="134"/>
    </row>
    <row r="2124" spans="15:16" x14ac:dyDescent="0.3">
      <c r="O2124" s="78"/>
      <c r="P2124" s="134"/>
    </row>
    <row r="2125" spans="15:16" x14ac:dyDescent="0.3">
      <c r="O2125" s="78"/>
      <c r="P2125" s="134"/>
    </row>
    <row r="2126" spans="15:16" x14ac:dyDescent="0.3">
      <c r="O2126" s="78"/>
      <c r="P2126" s="134"/>
    </row>
    <row r="2127" spans="15:16" x14ac:dyDescent="0.3">
      <c r="O2127" s="78"/>
      <c r="P2127" s="134"/>
    </row>
    <row r="2128" spans="15:16" x14ac:dyDescent="0.3">
      <c r="O2128" s="78"/>
      <c r="P2128" s="134"/>
    </row>
    <row r="2129" spans="15:16" x14ac:dyDescent="0.3">
      <c r="O2129" s="78"/>
      <c r="P2129" s="134"/>
    </row>
    <row r="2130" spans="15:16" x14ac:dyDescent="0.3">
      <c r="O2130" s="78"/>
      <c r="P2130" s="134"/>
    </row>
    <row r="2131" spans="15:16" x14ac:dyDescent="0.3">
      <c r="O2131" s="78"/>
      <c r="P2131" s="134"/>
    </row>
    <row r="2132" spans="15:16" x14ac:dyDescent="0.3">
      <c r="O2132" s="78"/>
      <c r="P2132" s="134"/>
    </row>
    <row r="2133" spans="15:16" x14ac:dyDescent="0.3">
      <c r="O2133" s="78"/>
      <c r="P2133" s="134"/>
    </row>
    <row r="2134" spans="15:16" x14ac:dyDescent="0.3">
      <c r="O2134" s="78"/>
      <c r="P2134" s="134"/>
    </row>
    <row r="2135" spans="15:16" x14ac:dyDescent="0.3">
      <c r="O2135" s="78"/>
      <c r="P2135" s="134"/>
    </row>
    <row r="2136" spans="15:16" x14ac:dyDescent="0.3">
      <c r="O2136" s="78"/>
      <c r="P2136" s="134"/>
    </row>
    <row r="2137" spans="15:16" x14ac:dyDescent="0.3">
      <c r="O2137" s="78"/>
      <c r="P2137" s="134"/>
    </row>
    <row r="2138" spans="15:16" x14ac:dyDescent="0.3">
      <c r="O2138" s="78"/>
      <c r="P2138" s="134"/>
    </row>
    <row r="2139" spans="15:16" x14ac:dyDescent="0.3">
      <c r="O2139" s="78"/>
      <c r="P2139" s="134"/>
    </row>
    <row r="2140" spans="15:16" x14ac:dyDescent="0.3">
      <c r="O2140" s="78"/>
      <c r="P2140" s="134"/>
    </row>
    <row r="2141" spans="15:16" x14ac:dyDescent="0.3">
      <c r="O2141" s="78"/>
      <c r="P2141" s="134"/>
    </row>
    <row r="2142" spans="15:16" x14ac:dyDescent="0.3">
      <c r="O2142" s="78"/>
      <c r="P2142" s="134"/>
    </row>
    <row r="2143" spans="15:16" x14ac:dyDescent="0.3">
      <c r="O2143" s="78"/>
      <c r="P2143" s="134"/>
    </row>
    <row r="2144" spans="15:16" x14ac:dyDescent="0.3">
      <c r="O2144" s="78"/>
      <c r="P2144" s="134"/>
    </row>
    <row r="2145" spans="15:16" x14ac:dyDescent="0.3">
      <c r="O2145" s="78"/>
      <c r="P2145" s="134"/>
    </row>
    <row r="2146" spans="15:16" x14ac:dyDescent="0.3">
      <c r="O2146" s="78"/>
      <c r="P2146" s="134"/>
    </row>
    <row r="2147" spans="15:16" x14ac:dyDescent="0.3">
      <c r="O2147" s="78"/>
      <c r="P2147" s="134"/>
    </row>
    <row r="2148" spans="15:16" x14ac:dyDescent="0.3">
      <c r="O2148" s="78"/>
      <c r="P2148" s="134"/>
    </row>
    <row r="2149" spans="15:16" x14ac:dyDescent="0.3">
      <c r="O2149" s="78"/>
      <c r="P2149" s="134"/>
    </row>
    <row r="2150" spans="15:16" x14ac:dyDescent="0.3">
      <c r="O2150" s="78"/>
      <c r="P2150" s="134"/>
    </row>
    <row r="2151" spans="15:16" x14ac:dyDescent="0.3">
      <c r="O2151" s="78"/>
      <c r="P2151" s="134"/>
    </row>
    <row r="2152" spans="15:16" x14ac:dyDescent="0.3">
      <c r="O2152" s="78"/>
      <c r="P2152" s="134"/>
    </row>
    <row r="2153" spans="15:16" x14ac:dyDescent="0.3">
      <c r="O2153" s="78"/>
      <c r="P2153" s="134"/>
    </row>
    <row r="2154" spans="15:16" x14ac:dyDescent="0.3">
      <c r="O2154" s="78"/>
      <c r="P2154" s="134"/>
    </row>
    <row r="2155" spans="15:16" x14ac:dyDescent="0.3">
      <c r="O2155" s="78"/>
      <c r="P2155" s="134"/>
    </row>
    <row r="2156" spans="15:16" x14ac:dyDescent="0.3">
      <c r="O2156" s="78"/>
      <c r="P2156" s="134"/>
    </row>
    <row r="2157" spans="15:16" x14ac:dyDescent="0.3">
      <c r="O2157" s="78"/>
      <c r="P2157" s="134"/>
    </row>
    <row r="2158" spans="15:16" x14ac:dyDescent="0.3">
      <c r="O2158" s="78"/>
      <c r="P2158" s="134"/>
    </row>
    <row r="2159" spans="15:16" x14ac:dyDescent="0.3">
      <c r="O2159" s="78"/>
      <c r="P2159" s="134"/>
    </row>
    <row r="2160" spans="15:16" x14ac:dyDescent="0.3">
      <c r="O2160" s="78"/>
      <c r="P2160" s="134"/>
    </row>
    <row r="2161" spans="15:16" x14ac:dyDescent="0.3">
      <c r="O2161" s="78"/>
      <c r="P2161" s="134"/>
    </row>
    <row r="2162" spans="15:16" x14ac:dyDescent="0.3">
      <c r="O2162" s="78"/>
      <c r="P2162" s="134"/>
    </row>
    <row r="2163" spans="15:16" x14ac:dyDescent="0.3">
      <c r="O2163" s="78"/>
      <c r="P2163" s="134"/>
    </row>
    <row r="2164" spans="15:16" x14ac:dyDescent="0.3">
      <c r="O2164" s="78"/>
      <c r="P2164" s="134"/>
    </row>
    <row r="2165" spans="15:16" x14ac:dyDescent="0.3">
      <c r="O2165" s="78"/>
      <c r="P2165" s="134"/>
    </row>
    <row r="2166" spans="15:16" x14ac:dyDescent="0.3">
      <c r="O2166" s="78"/>
      <c r="P2166" s="134"/>
    </row>
    <row r="2167" spans="15:16" x14ac:dyDescent="0.3">
      <c r="O2167" s="78"/>
      <c r="P2167" s="134"/>
    </row>
    <row r="2168" spans="15:16" x14ac:dyDescent="0.3">
      <c r="O2168" s="78"/>
      <c r="P2168" s="134"/>
    </row>
    <row r="2169" spans="15:16" x14ac:dyDescent="0.3">
      <c r="O2169" s="78"/>
      <c r="P2169" s="134"/>
    </row>
    <row r="2170" spans="15:16" x14ac:dyDescent="0.3">
      <c r="O2170" s="78"/>
      <c r="P2170" s="134"/>
    </row>
    <row r="2171" spans="15:16" x14ac:dyDescent="0.3">
      <c r="O2171" s="78"/>
      <c r="P2171" s="134"/>
    </row>
    <row r="2172" spans="15:16" x14ac:dyDescent="0.3">
      <c r="O2172" s="78"/>
      <c r="P2172" s="134"/>
    </row>
    <row r="2173" spans="15:16" x14ac:dyDescent="0.3">
      <c r="O2173" s="78"/>
      <c r="P2173" s="134"/>
    </row>
    <row r="2174" spans="15:16" x14ac:dyDescent="0.3">
      <c r="O2174" s="78"/>
      <c r="P2174" s="134"/>
    </row>
    <row r="2175" spans="15:16" x14ac:dyDescent="0.3">
      <c r="O2175" s="78"/>
      <c r="P2175" s="134"/>
    </row>
    <row r="2176" spans="15:16" x14ac:dyDescent="0.3">
      <c r="O2176" s="78"/>
      <c r="P2176" s="134"/>
    </row>
    <row r="2177" spans="15:16" x14ac:dyDescent="0.3">
      <c r="O2177" s="78"/>
      <c r="P2177" s="134"/>
    </row>
    <row r="2178" spans="15:16" x14ac:dyDescent="0.3">
      <c r="O2178" s="78"/>
      <c r="P2178" s="134"/>
    </row>
    <row r="2179" spans="15:16" x14ac:dyDescent="0.3">
      <c r="O2179" s="78"/>
      <c r="P2179" s="134"/>
    </row>
    <row r="2180" spans="15:16" x14ac:dyDescent="0.3">
      <c r="O2180" s="78"/>
      <c r="P2180" s="134"/>
    </row>
    <row r="2181" spans="15:16" x14ac:dyDescent="0.3">
      <c r="O2181" s="78"/>
      <c r="P2181" s="134"/>
    </row>
    <row r="2182" spans="15:16" x14ac:dyDescent="0.3">
      <c r="O2182" s="78"/>
      <c r="P2182" s="134"/>
    </row>
    <row r="2183" spans="15:16" x14ac:dyDescent="0.3">
      <c r="O2183" s="78"/>
      <c r="P2183" s="134"/>
    </row>
    <row r="2184" spans="15:16" x14ac:dyDescent="0.3">
      <c r="O2184" s="78"/>
      <c r="P2184" s="134"/>
    </row>
    <row r="2185" spans="15:16" x14ac:dyDescent="0.3">
      <c r="O2185" s="78"/>
      <c r="P2185" s="134"/>
    </row>
    <row r="2186" spans="15:16" x14ac:dyDescent="0.3">
      <c r="O2186" s="78"/>
      <c r="P2186" s="134"/>
    </row>
    <row r="2187" spans="15:16" x14ac:dyDescent="0.3">
      <c r="O2187" s="78"/>
      <c r="P2187" s="134"/>
    </row>
    <row r="2188" spans="15:16" x14ac:dyDescent="0.3">
      <c r="O2188" s="78"/>
      <c r="P2188" s="134"/>
    </row>
    <row r="2189" spans="15:16" x14ac:dyDescent="0.3">
      <c r="O2189" s="78"/>
      <c r="P2189" s="134"/>
    </row>
    <row r="2190" spans="15:16" x14ac:dyDescent="0.3">
      <c r="O2190" s="78"/>
      <c r="P2190" s="134"/>
    </row>
    <row r="2191" spans="15:16" x14ac:dyDescent="0.3">
      <c r="O2191" s="78"/>
      <c r="P2191" s="134"/>
    </row>
    <row r="2192" spans="15:16" x14ac:dyDescent="0.3">
      <c r="O2192" s="78"/>
      <c r="P2192" s="134"/>
    </row>
    <row r="2193" spans="15:16" x14ac:dyDescent="0.3">
      <c r="O2193" s="78"/>
      <c r="P2193" s="134"/>
    </row>
    <row r="2194" spans="15:16" x14ac:dyDescent="0.3">
      <c r="O2194" s="78"/>
      <c r="P2194" s="134"/>
    </row>
    <row r="2195" spans="15:16" x14ac:dyDescent="0.3">
      <c r="O2195" s="78"/>
      <c r="P2195" s="134"/>
    </row>
    <row r="2196" spans="15:16" x14ac:dyDescent="0.3">
      <c r="O2196" s="78"/>
      <c r="P2196" s="134"/>
    </row>
    <row r="2197" spans="15:16" x14ac:dyDescent="0.3">
      <c r="O2197" s="78"/>
      <c r="P2197" s="134"/>
    </row>
    <row r="2198" spans="15:16" x14ac:dyDescent="0.3">
      <c r="O2198" s="78"/>
      <c r="P2198" s="134"/>
    </row>
    <row r="2199" spans="15:16" x14ac:dyDescent="0.3">
      <c r="O2199" s="78"/>
      <c r="P2199" s="134"/>
    </row>
    <row r="2200" spans="15:16" x14ac:dyDescent="0.3">
      <c r="O2200" s="78"/>
      <c r="P2200" s="134"/>
    </row>
    <row r="2201" spans="15:16" x14ac:dyDescent="0.3">
      <c r="O2201" s="78"/>
      <c r="P2201" s="134"/>
    </row>
    <row r="2202" spans="15:16" x14ac:dyDescent="0.3">
      <c r="O2202" s="78"/>
      <c r="P2202" s="134"/>
    </row>
    <row r="2203" spans="15:16" x14ac:dyDescent="0.3">
      <c r="O2203" s="78"/>
      <c r="P2203" s="134"/>
    </row>
    <row r="2204" spans="15:16" x14ac:dyDescent="0.3">
      <c r="O2204" s="78"/>
      <c r="P2204" s="134"/>
    </row>
    <row r="2205" spans="15:16" x14ac:dyDescent="0.3">
      <c r="O2205" s="78"/>
      <c r="P2205" s="134"/>
    </row>
    <row r="2206" spans="15:16" x14ac:dyDescent="0.3">
      <c r="O2206" s="78"/>
      <c r="P2206" s="134"/>
    </row>
    <row r="2207" spans="15:16" x14ac:dyDescent="0.3">
      <c r="O2207" s="78"/>
      <c r="P2207" s="134"/>
    </row>
    <row r="2208" spans="15:16" x14ac:dyDescent="0.3">
      <c r="O2208" s="78"/>
      <c r="P2208" s="134"/>
    </row>
    <row r="2209" spans="15:16" x14ac:dyDescent="0.3">
      <c r="O2209" s="78"/>
      <c r="P2209" s="134"/>
    </row>
    <row r="2210" spans="15:16" x14ac:dyDescent="0.3">
      <c r="O2210" s="78"/>
      <c r="P2210" s="134"/>
    </row>
    <row r="2211" spans="15:16" x14ac:dyDescent="0.3">
      <c r="O2211" s="78"/>
      <c r="P2211" s="134"/>
    </row>
    <row r="2212" spans="15:16" x14ac:dyDescent="0.3">
      <c r="O2212" s="78"/>
      <c r="P2212" s="134"/>
    </row>
    <row r="2213" spans="15:16" x14ac:dyDescent="0.3">
      <c r="O2213" s="78"/>
      <c r="P2213" s="134"/>
    </row>
    <row r="2214" spans="15:16" x14ac:dyDescent="0.3">
      <c r="O2214" s="78"/>
      <c r="P2214" s="134"/>
    </row>
    <row r="2215" spans="15:16" x14ac:dyDescent="0.3">
      <c r="O2215" s="78"/>
      <c r="P2215" s="134"/>
    </row>
    <row r="2216" spans="15:16" x14ac:dyDescent="0.3">
      <c r="O2216" s="78"/>
      <c r="P2216" s="134"/>
    </row>
    <row r="2217" spans="15:16" x14ac:dyDescent="0.3">
      <c r="O2217" s="78"/>
      <c r="P2217" s="134"/>
    </row>
    <row r="2218" spans="15:16" x14ac:dyDescent="0.3">
      <c r="O2218" s="78"/>
      <c r="P2218" s="134"/>
    </row>
    <row r="2219" spans="15:16" x14ac:dyDescent="0.3">
      <c r="O2219" s="78"/>
      <c r="P2219" s="134"/>
    </row>
    <row r="2220" spans="15:16" x14ac:dyDescent="0.3">
      <c r="O2220" s="78"/>
      <c r="P2220" s="134"/>
    </row>
    <row r="2221" spans="15:16" x14ac:dyDescent="0.3">
      <c r="O2221" s="78"/>
      <c r="P2221" s="134"/>
    </row>
    <row r="2222" spans="15:16" x14ac:dyDescent="0.3">
      <c r="O2222" s="78"/>
      <c r="P2222" s="134"/>
    </row>
    <row r="2223" spans="15:16" x14ac:dyDescent="0.3">
      <c r="O2223" s="78"/>
      <c r="P2223" s="134"/>
    </row>
    <row r="2224" spans="15:16" x14ac:dyDescent="0.3">
      <c r="O2224" s="78"/>
      <c r="P2224" s="134"/>
    </row>
    <row r="2225" spans="15:16" x14ac:dyDescent="0.3">
      <c r="O2225" s="78"/>
      <c r="P2225" s="134"/>
    </row>
    <row r="2226" spans="15:16" x14ac:dyDescent="0.3">
      <c r="O2226" s="78"/>
      <c r="P2226" s="134"/>
    </row>
    <row r="2227" spans="15:16" x14ac:dyDescent="0.3">
      <c r="O2227" s="78"/>
      <c r="P2227" s="134"/>
    </row>
    <row r="2228" spans="15:16" x14ac:dyDescent="0.3">
      <c r="O2228" s="78"/>
      <c r="P2228" s="134"/>
    </row>
    <row r="2229" spans="15:16" x14ac:dyDescent="0.3">
      <c r="O2229" s="78"/>
      <c r="P2229" s="134"/>
    </row>
    <row r="2230" spans="15:16" x14ac:dyDescent="0.3">
      <c r="O2230" s="78"/>
      <c r="P2230" s="134"/>
    </row>
    <row r="2231" spans="15:16" x14ac:dyDescent="0.3">
      <c r="O2231" s="78"/>
      <c r="P2231" s="134"/>
    </row>
    <row r="2232" spans="15:16" x14ac:dyDescent="0.3">
      <c r="O2232" s="78"/>
      <c r="P2232" s="134"/>
    </row>
    <row r="2233" spans="15:16" x14ac:dyDescent="0.3">
      <c r="O2233" s="78"/>
      <c r="P2233" s="134"/>
    </row>
    <row r="2234" spans="15:16" x14ac:dyDescent="0.3">
      <c r="O2234" s="78"/>
      <c r="P2234" s="134"/>
    </row>
    <row r="2235" spans="15:16" x14ac:dyDescent="0.3">
      <c r="O2235" s="78"/>
      <c r="P2235" s="134"/>
    </row>
    <row r="2236" spans="15:16" x14ac:dyDescent="0.3">
      <c r="O2236" s="78"/>
      <c r="P2236" s="134"/>
    </row>
    <row r="2237" spans="15:16" x14ac:dyDescent="0.3">
      <c r="O2237" s="78"/>
      <c r="P2237" s="134"/>
    </row>
    <row r="2238" spans="15:16" x14ac:dyDescent="0.3">
      <c r="O2238" s="78"/>
      <c r="P2238" s="134"/>
    </row>
    <row r="2239" spans="15:16" x14ac:dyDescent="0.3">
      <c r="O2239" s="78"/>
      <c r="P2239" s="134"/>
    </row>
    <row r="2240" spans="15:16" x14ac:dyDescent="0.3">
      <c r="O2240" s="78"/>
      <c r="P2240" s="134"/>
    </row>
    <row r="2241" spans="15:16" x14ac:dyDescent="0.3">
      <c r="O2241" s="78"/>
      <c r="P2241" s="134"/>
    </row>
    <row r="2242" spans="15:16" x14ac:dyDescent="0.3">
      <c r="O2242" s="78"/>
      <c r="P2242" s="134"/>
    </row>
    <row r="2243" spans="15:16" x14ac:dyDescent="0.3">
      <c r="O2243" s="78"/>
      <c r="P2243" s="134"/>
    </row>
    <row r="2244" spans="15:16" x14ac:dyDescent="0.3">
      <c r="O2244" s="78"/>
      <c r="P2244" s="134"/>
    </row>
    <row r="2245" spans="15:16" x14ac:dyDescent="0.3">
      <c r="O2245" s="78"/>
      <c r="P2245" s="134"/>
    </row>
    <row r="2246" spans="15:16" x14ac:dyDescent="0.3">
      <c r="O2246" s="78"/>
      <c r="P2246" s="134"/>
    </row>
    <row r="2247" spans="15:16" x14ac:dyDescent="0.3">
      <c r="O2247" s="78"/>
      <c r="P2247" s="134"/>
    </row>
    <row r="2248" spans="15:16" x14ac:dyDescent="0.3">
      <c r="O2248" s="78"/>
      <c r="P2248" s="134"/>
    </row>
    <row r="2249" spans="15:16" x14ac:dyDescent="0.3">
      <c r="O2249" s="78"/>
      <c r="P2249" s="134"/>
    </row>
    <row r="2250" spans="15:16" x14ac:dyDescent="0.3">
      <c r="O2250" s="78"/>
      <c r="P2250" s="134"/>
    </row>
    <row r="2251" spans="15:16" x14ac:dyDescent="0.3">
      <c r="O2251" s="78"/>
      <c r="P2251" s="134"/>
    </row>
    <row r="2252" spans="15:16" x14ac:dyDescent="0.3">
      <c r="O2252" s="78"/>
      <c r="P2252" s="134"/>
    </row>
    <row r="2253" spans="15:16" x14ac:dyDescent="0.3">
      <c r="O2253" s="78"/>
      <c r="P2253" s="134"/>
    </row>
    <row r="2254" spans="15:16" x14ac:dyDescent="0.3">
      <c r="O2254" s="78"/>
      <c r="P2254" s="134"/>
    </row>
    <row r="2255" spans="15:16" x14ac:dyDescent="0.3">
      <c r="O2255" s="78"/>
      <c r="P2255" s="134"/>
    </row>
    <row r="2256" spans="15:16" x14ac:dyDescent="0.3">
      <c r="O2256" s="78"/>
      <c r="P2256" s="134"/>
    </row>
    <row r="2257" spans="15:16" x14ac:dyDescent="0.3">
      <c r="O2257" s="78"/>
      <c r="P2257" s="134"/>
    </row>
    <row r="2258" spans="15:16" x14ac:dyDescent="0.3">
      <c r="O2258" s="78"/>
      <c r="P2258" s="134"/>
    </row>
    <row r="2259" spans="15:16" x14ac:dyDescent="0.3">
      <c r="O2259" s="78"/>
      <c r="P2259" s="134"/>
    </row>
    <row r="2260" spans="15:16" x14ac:dyDescent="0.3">
      <c r="O2260" s="78"/>
      <c r="P2260" s="134"/>
    </row>
    <row r="2261" spans="15:16" x14ac:dyDescent="0.3">
      <c r="O2261" s="78"/>
      <c r="P2261" s="134"/>
    </row>
    <row r="2262" spans="15:16" x14ac:dyDescent="0.3">
      <c r="O2262" s="78"/>
      <c r="P2262" s="134"/>
    </row>
    <row r="2263" spans="15:16" x14ac:dyDescent="0.3">
      <c r="O2263" s="78"/>
      <c r="P2263" s="134"/>
    </row>
    <row r="2264" spans="15:16" x14ac:dyDescent="0.3">
      <c r="O2264" s="78"/>
      <c r="P2264" s="134"/>
    </row>
    <row r="2265" spans="15:16" x14ac:dyDescent="0.3">
      <c r="O2265" s="78"/>
      <c r="P2265" s="134"/>
    </row>
    <row r="2266" spans="15:16" x14ac:dyDescent="0.3">
      <c r="O2266" s="78"/>
      <c r="P2266" s="134"/>
    </row>
    <row r="2267" spans="15:16" x14ac:dyDescent="0.3">
      <c r="O2267" s="78"/>
      <c r="P2267" s="134"/>
    </row>
    <row r="2268" spans="15:16" x14ac:dyDescent="0.3">
      <c r="O2268" s="78"/>
      <c r="P2268" s="134"/>
    </row>
    <row r="2269" spans="15:16" x14ac:dyDescent="0.3">
      <c r="O2269" s="78"/>
      <c r="P2269" s="134"/>
    </row>
    <row r="2270" spans="15:16" x14ac:dyDescent="0.3">
      <c r="O2270" s="78"/>
      <c r="P2270" s="134"/>
    </row>
    <row r="2271" spans="15:16" x14ac:dyDescent="0.3">
      <c r="O2271" s="78"/>
      <c r="P2271" s="134"/>
    </row>
    <row r="2272" spans="15:16" x14ac:dyDescent="0.3">
      <c r="O2272" s="78"/>
      <c r="P2272" s="134"/>
    </row>
    <row r="2273" spans="15:16" x14ac:dyDescent="0.3">
      <c r="O2273" s="78"/>
      <c r="P2273" s="134"/>
    </row>
    <row r="2274" spans="15:16" x14ac:dyDescent="0.3">
      <c r="O2274" s="78"/>
      <c r="P2274" s="134"/>
    </row>
    <row r="2275" spans="15:16" x14ac:dyDescent="0.3">
      <c r="O2275" s="78"/>
      <c r="P2275" s="134"/>
    </row>
    <row r="2276" spans="15:16" x14ac:dyDescent="0.3">
      <c r="O2276" s="78"/>
      <c r="P2276" s="134"/>
    </row>
    <row r="2277" spans="15:16" x14ac:dyDescent="0.3">
      <c r="O2277" s="78"/>
      <c r="P2277" s="134"/>
    </row>
    <row r="2278" spans="15:16" x14ac:dyDescent="0.3">
      <c r="O2278" s="78"/>
      <c r="P2278" s="134"/>
    </row>
    <row r="2279" spans="15:16" x14ac:dyDescent="0.3">
      <c r="O2279" s="78"/>
      <c r="P2279" s="134"/>
    </row>
    <row r="2280" spans="15:16" x14ac:dyDescent="0.3">
      <c r="O2280" s="78"/>
      <c r="P2280" s="134"/>
    </row>
    <row r="2281" spans="15:16" x14ac:dyDescent="0.3">
      <c r="O2281" s="78"/>
      <c r="P2281" s="134"/>
    </row>
    <row r="2282" spans="15:16" x14ac:dyDescent="0.3">
      <c r="O2282" s="78"/>
      <c r="P2282" s="134"/>
    </row>
    <row r="2283" spans="15:16" x14ac:dyDescent="0.3">
      <c r="O2283" s="78"/>
      <c r="P2283" s="134"/>
    </row>
    <row r="2284" spans="15:16" x14ac:dyDescent="0.3">
      <c r="O2284" s="78"/>
      <c r="P2284" s="134"/>
    </row>
    <row r="2285" spans="15:16" x14ac:dyDescent="0.3">
      <c r="O2285" s="78"/>
      <c r="P2285" s="134"/>
    </row>
    <row r="2286" spans="15:16" x14ac:dyDescent="0.3">
      <c r="O2286" s="78"/>
      <c r="P2286" s="134"/>
    </row>
    <row r="2287" spans="15:16" x14ac:dyDescent="0.3">
      <c r="O2287" s="78"/>
      <c r="P2287" s="134"/>
    </row>
    <row r="2288" spans="15:16" x14ac:dyDescent="0.3">
      <c r="O2288" s="78"/>
      <c r="P2288" s="134"/>
    </row>
    <row r="2289" spans="15:16" x14ac:dyDescent="0.3">
      <c r="O2289" s="78"/>
      <c r="P2289" s="134"/>
    </row>
    <row r="2290" spans="15:16" x14ac:dyDescent="0.3">
      <c r="O2290" s="78"/>
      <c r="P2290" s="134"/>
    </row>
    <row r="2291" spans="15:16" x14ac:dyDescent="0.3">
      <c r="O2291" s="78"/>
      <c r="P2291" s="134"/>
    </row>
    <row r="2292" spans="15:16" x14ac:dyDescent="0.3">
      <c r="O2292" s="78"/>
      <c r="P2292" s="134"/>
    </row>
    <row r="2293" spans="15:16" x14ac:dyDescent="0.3">
      <c r="O2293" s="78"/>
      <c r="P2293" s="134"/>
    </row>
    <row r="2294" spans="15:16" x14ac:dyDescent="0.3">
      <c r="O2294" s="78"/>
      <c r="P2294" s="134"/>
    </row>
    <row r="2295" spans="15:16" x14ac:dyDescent="0.3">
      <c r="O2295" s="78"/>
      <c r="P2295" s="134"/>
    </row>
    <row r="2296" spans="15:16" x14ac:dyDescent="0.3">
      <c r="O2296" s="78"/>
      <c r="P2296" s="134"/>
    </row>
    <row r="2297" spans="15:16" x14ac:dyDescent="0.3">
      <c r="O2297" s="78"/>
      <c r="P2297" s="134"/>
    </row>
    <row r="2298" spans="15:16" x14ac:dyDescent="0.3">
      <c r="O2298" s="78"/>
      <c r="P2298" s="134"/>
    </row>
    <row r="2299" spans="15:16" x14ac:dyDescent="0.3">
      <c r="O2299" s="78"/>
      <c r="P2299" s="134"/>
    </row>
    <row r="2300" spans="15:16" x14ac:dyDescent="0.3">
      <c r="O2300" s="78"/>
      <c r="P2300" s="134"/>
    </row>
    <row r="2301" spans="15:16" x14ac:dyDescent="0.3">
      <c r="O2301" s="78"/>
      <c r="P2301" s="134"/>
    </row>
    <row r="2302" spans="15:16" x14ac:dyDescent="0.3">
      <c r="O2302" s="78"/>
      <c r="P2302" s="134"/>
    </row>
    <row r="2303" spans="15:16" x14ac:dyDescent="0.3">
      <c r="O2303" s="78"/>
      <c r="P2303" s="134"/>
    </row>
    <row r="2304" spans="15:16" x14ac:dyDescent="0.3">
      <c r="O2304" s="78"/>
      <c r="P2304" s="134"/>
    </row>
    <row r="2305" spans="15:16" x14ac:dyDescent="0.3">
      <c r="O2305" s="78"/>
      <c r="P2305" s="134"/>
    </row>
    <row r="2306" spans="15:16" x14ac:dyDescent="0.3">
      <c r="O2306" s="78"/>
      <c r="P2306" s="134"/>
    </row>
    <row r="2307" spans="15:16" x14ac:dyDescent="0.3">
      <c r="O2307" s="78"/>
      <c r="P2307" s="134"/>
    </row>
    <row r="2308" spans="15:16" x14ac:dyDescent="0.3">
      <c r="O2308" s="78"/>
      <c r="P2308" s="134"/>
    </row>
    <row r="2309" spans="15:16" x14ac:dyDescent="0.3">
      <c r="O2309" s="78"/>
      <c r="P2309" s="134"/>
    </row>
    <row r="2310" spans="15:16" x14ac:dyDescent="0.3">
      <c r="O2310" s="78"/>
      <c r="P2310" s="134"/>
    </row>
    <row r="2311" spans="15:16" x14ac:dyDescent="0.3">
      <c r="O2311" s="78"/>
      <c r="P2311" s="134"/>
    </row>
    <row r="2312" spans="15:16" x14ac:dyDescent="0.3">
      <c r="O2312" s="78"/>
      <c r="P2312" s="134"/>
    </row>
    <row r="2313" spans="15:16" x14ac:dyDescent="0.3">
      <c r="O2313" s="78"/>
      <c r="P2313" s="134"/>
    </row>
    <row r="2314" spans="15:16" x14ac:dyDescent="0.3">
      <c r="O2314" s="78"/>
      <c r="P2314" s="134"/>
    </row>
    <row r="2315" spans="15:16" x14ac:dyDescent="0.3">
      <c r="O2315" s="78"/>
      <c r="P2315" s="134"/>
    </row>
    <row r="2316" spans="15:16" x14ac:dyDescent="0.3">
      <c r="O2316" s="78"/>
      <c r="P2316" s="134"/>
    </row>
    <row r="2317" spans="15:16" x14ac:dyDescent="0.3">
      <c r="O2317" s="78"/>
      <c r="P2317" s="134"/>
    </row>
    <row r="2318" spans="15:16" x14ac:dyDescent="0.3">
      <c r="O2318" s="78"/>
      <c r="P2318" s="134"/>
    </row>
    <row r="2319" spans="15:16" x14ac:dyDescent="0.3">
      <c r="O2319" s="78"/>
      <c r="P2319" s="134"/>
    </row>
    <row r="2320" spans="15:16" x14ac:dyDescent="0.3">
      <c r="O2320" s="78"/>
      <c r="P2320" s="134"/>
    </row>
    <row r="2321" spans="15:16" x14ac:dyDescent="0.3">
      <c r="O2321" s="78"/>
      <c r="P2321" s="134"/>
    </row>
    <row r="2322" spans="15:16" x14ac:dyDescent="0.3">
      <c r="O2322" s="78"/>
      <c r="P2322" s="134"/>
    </row>
    <row r="2323" spans="15:16" x14ac:dyDescent="0.3">
      <c r="O2323" s="78"/>
      <c r="P2323" s="134"/>
    </row>
    <row r="2324" spans="15:16" x14ac:dyDescent="0.3">
      <c r="O2324" s="78"/>
      <c r="P2324" s="134"/>
    </row>
    <row r="2325" spans="15:16" x14ac:dyDescent="0.3">
      <c r="O2325" s="78"/>
      <c r="P2325" s="134"/>
    </row>
    <row r="2326" spans="15:16" x14ac:dyDescent="0.3">
      <c r="O2326" s="78"/>
      <c r="P2326" s="134"/>
    </row>
    <row r="2327" spans="15:16" x14ac:dyDescent="0.3">
      <c r="O2327" s="78"/>
      <c r="P2327" s="134"/>
    </row>
    <row r="2328" spans="15:16" x14ac:dyDescent="0.3">
      <c r="O2328" s="78"/>
      <c r="P2328" s="134"/>
    </row>
    <row r="2329" spans="15:16" x14ac:dyDescent="0.3">
      <c r="O2329" s="78"/>
      <c r="P2329" s="134"/>
    </row>
    <row r="2330" spans="15:16" x14ac:dyDescent="0.3">
      <c r="O2330" s="78"/>
      <c r="P2330" s="134"/>
    </row>
    <row r="2331" spans="15:16" x14ac:dyDescent="0.3">
      <c r="O2331" s="78"/>
      <c r="P2331" s="134"/>
    </row>
    <row r="2332" spans="15:16" x14ac:dyDescent="0.3">
      <c r="O2332" s="78"/>
      <c r="P2332" s="134"/>
    </row>
    <row r="2333" spans="15:16" x14ac:dyDescent="0.3">
      <c r="O2333" s="78"/>
      <c r="P2333" s="134"/>
    </row>
    <row r="2334" spans="15:16" x14ac:dyDescent="0.3">
      <c r="O2334" s="78"/>
      <c r="P2334" s="134"/>
    </row>
    <row r="2335" spans="15:16" x14ac:dyDescent="0.3">
      <c r="O2335" s="78"/>
      <c r="P2335" s="134"/>
    </row>
    <row r="2336" spans="15:16" x14ac:dyDescent="0.3">
      <c r="O2336" s="78"/>
      <c r="P2336" s="134"/>
    </row>
    <row r="2337" spans="15:16" x14ac:dyDescent="0.3">
      <c r="O2337" s="78"/>
      <c r="P2337" s="134"/>
    </row>
    <row r="2338" spans="15:16" x14ac:dyDescent="0.3">
      <c r="O2338" s="78"/>
      <c r="P2338" s="134"/>
    </row>
    <row r="2339" spans="15:16" x14ac:dyDescent="0.3">
      <c r="O2339" s="78"/>
      <c r="P2339" s="134"/>
    </row>
    <row r="2340" spans="15:16" x14ac:dyDescent="0.3">
      <c r="O2340" s="78"/>
      <c r="P2340" s="134"/>
    </row>
    <row r="2341" spans="15:16" x14ac:dyDescent="0.3">
      <c r="O2341" s="78"/>
      <c r="P2341" s="134"/>
    </row>
    <row r="2342" spans="15:16" x14ac:dyDescent="0.3">
      <c r="O2342" s="78"/>
      <c r="P2342" s="134"/>
    </row>
    <row r="2343" spans="15:16" x14ac:dyDescent="0.3">
      <c r="O2343" s="78"/>
      <c r="P2343" s="134"/>
    </row>
    <row r="2344" spans="15:16" x14ac:dyDescent="0.3">
      <c r="O2344" s="78"/>
      <c r="P2344" s="134"/>
    </row>
    <row r="2345" spans="15:16" x14ac:dyDescent="0.3">
      <c r="O2345" s="78"/>
      <c r="P2345" s="134"/>
    </row>
    <row r="2346" spans="15:16" x14ac:dyDescent="0.3">
      <c r="O2346" s="78"/>
      <c r="P2346" s="134"/>
    </row>
    <row r="2347" spans="15:16" x14ac:dyDescent="0.3">
      <c r="O2347" s="78"/>
      <c r="P2347" s="134"/>
    </row>
    <row r="2348" spans="15:16" x14ac:dyDescent="0.3">
      <c r="O2348" s="78"/>
      <c r="P2348" s="134"/>
    </row>
    <row r="2349" spans="15:16" x14ac:dyDescent="0.3">
      <c r="O2349" s="78"/>
      <c r="P2349" s="134"/>
    </row>
    <row r="2350" spans="15:16" x14ac:dyDescent="0.3">
      <c r="O2350" s="78"/>
      <c r="P2350" s="134"/>
    </row>
    <row r="2351" spans="15:16" x14ac:dyDescent="0.3">
      <c r="O2351" s="78"/>
      <c r="P2351" s="134"/>
    </row>
    <row r="2352" spans="15:16" x14ac:dyDescent="0.3">
      <c r="O2352" s="78"/>
      <c r="P2352" s="134"/>
    </row>
    <row r="2353" spans="15:16" x14ac:dyDescent="0.3">
      <c r="O2353" s="78"/>
      <c r="P2353" s="134"/>
    </row>
    <row r="2354" spans="15:16" x14ac:dyDescent="0.3">
      <c r="O2354" s="78"/>
      <c r="P2354" s="134"/>
    </row>
    <row r="2355" spans="15:16" x14ac:dyDescent="0.3">
      <c r="O2355" s="78"/>
      <c r="P2355" s="134"/>
    </row>
    <row r="2356" spans="15:16" x14ac:dyDescent="0.3">
      <c r="O2356" s="78"/>
      <c r="P2356" s="134"/>
    </row>
    <row r="2357" spans="15:16" x14ac:dyDescent="0.3">
      <c r="O2357" s="78"/>
      <c r="P2357" s="134"/>
    </row>
    <row r="2358" spans="15:16" x14ac:dyDescent="0.3">
      <c r="O2358" s="78"/>
      <c r="P2358" s="134"/>
    </row>
    <row r="2359" spans="15:16" x14ac:dyDescent="0.3">
      <c r="O2359" s="78"/>
      <c r="P2359" s="134"/>
    </row>
    <row r="2360" spans="15:16" x14ac:dyDescent="0.3">
      <c r="O2360" s="78"/>
      <c r="P2360" s="134"/>
    </row>
    <row r="2361" spans="15:16" x14ac:dyDescent="0.3">
      <c r="O2361" s="78"/>
      <c r="P2361" s="134"/>
    </row>
    <row r="2362" spans="15:16" x14ac:dyDescent="0.3">
      <c r="O2362" s="78"/>
      <c r="P2362" s="134"/>
    </row>
    <row r="2363" spans="15:16" x14ac:dyDescent="0.3">
      <c r="O2363" s="78"/>
      <c r="P2363" s="134"/>
    </row>
    <row r="2364" spans="15:16" x14ac:dyDescent="0.3">
      <c r="O2364" s="78"/>
      <c r="P2364" s="134"/>
    </row>
    <row r="2365" spans="15:16" x14ac:dyDescent="0.3">
      <c r="O2365" s="78"/>
      <c r="P2365" s="134"/>
    </row>
    <row r="2366" spans="15:16" x14ac:dyDescent="0.3">
      <c r="O2366" s="78"/>
      <c r="P2366" s="134"/>
    </row>
    <row r="2367" spans="15:16" x14ac:dyDescent="0.3">
      <c r="O2367" s="78"/>
      <c r="P2367" s="134"/>
    </row>
    <row r="2368" spans="15:16" x14ac:dyDescent="0.3">
      <c r="O2368" s="78"/>
      <c r="P2368" s="134"/>
    </row>
    <row r="2369" spans="15:16" x14ac:dyDescent="0.3">
      <c r="O2369" s="78"/>
      <c r="P2369" s="134"/>
    </row>
    <row r="2370" spans="15:16" x14ac:dyDescent="0.3">
      <c r="O2370" s="78"/>
      <c r="P2370" s="134"/>
    </row>
    <row r="2371" spans="15:16" x14ac:dyDescent="0.3">
      <c r="O2371" s="78"/>
      <c r="P2371" s="134"/>
    </row>
    <row r="2372" spans="15:16" x14ac:dyDescent="0.3">
      <c r="O2372" s="78"/>
      <c r="P2372" s="134"/>
    </row>
    <row r="2373" spans="15:16" x14ac:dyDescent="0.3">
      <c r="O2373" s="78"/>
      <c r="P2373" s="134"/>
    </row>
    <row r="2374" spans="15:16" x14ac:dyDescent="0.3">
      <c r="O2374" s="78"/>
      <c r="P2374" s="134"/>
    </row>
    <row r="2375" spans="15:16" x14ac:dyDescent="0.3">
      <c r="O2375" s="78"/>
      <c r="P2375" s="134"/>
    </row>
    <row r="2376" spans="15:16" x14ac:dyDescent="0.3">
      <c r="O2376" s="78"/>
      <c r="P2376" s="134"/>
    </row>
    <row r="2377" spans="15:16" x14ac:dyDescent="0.3">
      <c r="O2377" s="78"/>
      <c r="P2377" s="134"/>
    </row>
    <row r="2378" spans="15:16" x14ac:dyDescent="0.3">
      <c r="O2378" s="78"/>
      <c r="P2378" s="134"/>
    </row>
    <row r="2379" spans="15:16" x14ac:dyDescent="0.3">
      <c r="O2379" s="78"/>
      <c r="P2379" s="134"/>
    </row>
    <row r="2380" spans="15:16" x14ac:dyDescent="0.3">
      <c r="O2380" s="78"/>
      <c r="P2380" s="134"/>
    </row>
    <row r="2381" spans="15:16" x14ac:dyDescent="0.3">
      <c r="O2381" s="78"/>
      <c r="P2381" s="134"/>
    </row>
    <row r="2382" spans="15:16" x14ac:dyDescent="0.3">
      <c r="O2382" s="78"/>
      <c r="P2382" s="134"/>
    </row>
    <row r="2383" spans="15:16" x14ac:dyDescent="0.3">
      <c r="O2383" s="78"/>
      <c r="P2383" s="134"/>
    </row>
    <row r="2384" spans="15:16" x14ac:dyDescent="0.3">
      <c r="O2384" s="78"/>
      <c r="P2384" s="134"/>
    </row>
    <row r="2385" spans="15:16" x14ac:dyDescent="0.3">
      <c r="O2385" s="78"/>
      <c r="P2385" s="134"/>
    </row>
    <row r="2386" spans="15:16" x14ac:dyDescent="0.3">
      <c r="O2386" s="78"/>
      <c r="P2386" s="134"/>
    </row>
    <row r="2387" spans="15:16" x14ac:dyDescent="0.3">
      <c r="O2387" s="78"/>
      <c r="P2387" s="134"/>
    </row>
    <row r="2388" spans="15:16" x14ac:dyDescent="0.3">
      <c r="O2388" s="78"/>
      <c r="P2388" s="134"/>
    </row>
    <row r="2389" spans="15:16" x14ac:dyDescent="0.3">
      <c r="O2389" s="78"/>
      <c r="P2389" s="134"/>
    </row>
    <row r="2390" spans="15:16" x14ac:dyDescent="0.3">
      <c r="O2390" s="78"/>
      <c r="P2390" s="134"/>
    </row>
    <row r="2391" spans="15:16" x14ac:dyDescent="0.3">
      <c r="O2391" s="78"/>
      <c r="P2391" s="134"/>
    </row>
    <row r="2392" spans="15:16" x14ac:dyDescent="0.3">
      <c r="O2392" s="78"/>
      <c r="P2392" s="134"/>
    </row>
    <row r="2393" spans="15:16" x14ac:dyDescent="0.3">
      <c r="O2393" s="78"/>
      <c r="P2393" s="134"/>
    </row>
    <row r="2394" spans="15:16" x14ac:dyDescent="0.3">
      <c r="O2394" s="78"/>
      <c r="P2394" s="134"/>
    </row>
    <row r="2395" spans="15:16" x14ac:dyDescent="0.3">
      <c r="O2395" s="78"/>
      <c r="P2395" s="134"/>
    </row>
    <row r="2396" spans="15:16" x14ac:dyDescent="0.3">
      <c r="O2396" s="78"/>
      <c r="P2396" s="134"/>
    </row>
    <row r="2397" spans="15:16" x14ac:dyDescent="0.3">
      <c r="O2397" s="78"/>
      <c r="P2397" s="134"/>
    </row>
    <row r="2398" spans="15:16" x14ac:dyDescent="0.3">
      <c r="O2398" s="78"/>
      <c r="P2398" s="134"/>
    </row>
    <row r="2399" spans="15:16" x14ac:dyDescent="0.3">
      <c r="O2399" s="78"/>
      <c r="P2399" s="134"/>
    </row>
    <row r="2400" spans="15:16" x14ac:dyDescent="0.3">
      <c r="O2400" s="78"/>
      <c r="P2400" s="134"/>
    </row>
    <row r="2401" spans="15:16" x14ac:dyDescent="0.3">
      <c r="O2401" s="78"/>
      <c r="P2401" s="134"/>
    </row>
    <row r="2402" spans="15:16" x14ac:dyDescent="0.3">
      <c r="O2402" s="78"/>
      <c r="P2402" s="134"/>
    </row>
    <row r="2403" spans="15:16" x14ac:dyDescent="0.3">
      <c r="O2403" s="78"/>
      <c r="P2403" s="134"/>
    </row>
    <row r="2404" spans="15:16" x14ac:dyDescent="0.3">
      <c r="O2404" s="78"/>
      <c r="P2404" s="134"/>
    </row>
    <row r="2405" spans="15:16" x14ac:dyDescent="0.3">
      <c r="O2405" s="78"/>
      <c r="P2405" s="134"/>
    </row>
    <row r="2406" spans="15:16" x14ac:dyDescent="0.3">
      <c r="O2406" s="78"/>
      <c r="P2406" s="134"/>
    </row>
    <row r="2407" spans="15:16" x14ac:dyDescent="0.3">
      <c r="O2407" s="78"/>
      <c r="P2407" s="134"/>
    </row>
    <row r="2408" spans="15:16" x14ac:dyDescent="0.3">
      <c r="O2408" s="78"/>
      <c r="P2408" s="134"/>
    </row>
    <row r="2409" spans="15:16" x14ac:dyDescent="0.3">
      <c r="O2409" s="78"/>
      <c r="P2409" s="134"/>
    </row>
    <row r="2410" spans="15:16" x14ac:dyDescent="0.3">
      <c r="O2410" s="78"/>
      <c r="P2410" s="134"/>
    </row>
    <row r="2411" spans="15:16" x14ac:dyDescent="0.3">
      <c r="O2411" s="78"/>
      <c r="P2411" s="134"/>
    </row>
    <row r="2412" spans="15:16" x14ac:dyDescent="0.3">
      <c r="O2412" s="78"/>
      <c r="P2412" s="134"/>
    </row>
    <row r="2413" spans="15:16" x14ac:dyDescent="0.3">
      <c r="O2413" s="78"/>
      <c r="P2413" s="134"/>
    </row>
    <row r="2414" spans="15:16" x14ac:dyDescent="0.3">
      <c r="O2414" s="78"/>
      <c r="P2414" s="134"/>
    </row>
    <row r="2415" spans="15:16" x14ac:dyDescent="0.3">
      <c r="O2415" s="78"/>
      <c r="P2415" s="134"/>
    </row>
    <row r="2416" spans="15:16" x14ac:dyDescent="0.3">
      <c r="O2416" s="78"/>
      <c r="P2416" s="134"/>
    </row>
    <row r="2417" spans="15:16" x14ac:dyDescent="0.3">
      <c r="O2417" s="78"/>
      <c r="P2417" s="134"/>
    </row>
    <row r="2418" spans="15:16" x14ac:dyDescent="0.3">
      <c r="O2418" s="78"/>
      <c r="P2418" s="134"/>
    </row>
    <row r="2419" spans="15:16" x14ac:dyDescent="0.3">
      <c r="O2419" s="78"/>
      <c r="P2419" s="134"/>
    </row>
    <row r="2420" spans="15:16" x14ac:dyDescent="0.3">
      <c r="O2420" s="78"/>
      <c r="P2420" s="134"/>
    </row>
    <row r="2421" spans="15:16" x14ac:dyDescent="0.3">
      <c r="O2421" s="78"/>
      <c r="P2421" s="134"/>
    </row>
    <row r="2422" spans="15:16" x14ac:dyDescent="0.3">
      <c r="O2422" s="78"/>
      <c r="P2422" s="134"/>
    </row>
    <row r="2423" spans="15:16" x14ac:dyDescent="0.3">
      <c r="O2423" s="78"/>
      <c r="P2423" s="134"/>
    </row>
    <row r="2424" spans="15:16" x14ac:dyDescent="0.3">
      <c r="O2424" s="78"/>
      <c r="P2424" s="134"/>
    </row>
    <row r="2425" spans="15:16" x14ac:dyDescent="0.3">
      <c r="O2425" s="78"/>
      <c r="P2425" s="134"/>
    </row>
    <row r="2426" spans="15:16" x14ac:dyDescent="0.3">
      <c r="O2426" s="78"/>
      <c r="P2426" s="134"/>
    </row>
    <row r="2427" spans="15:16" x14ac:dyDescent="0.3">
      <c r="O2427" s="78"/>
      <c r="P2427" s="134"/>
    </row>
    <row r="2428" spans="15:16" x14ac:dyDescent="0.3">
      <c r="O2428" s="78"/>
      <c r="P2428" s="134"/>
    </row>
    <row r="2429" spans="15:16" x14ac:dyDescent="0.3">
      <c r="O2429" s="78"/>
      <c r="P2429" s="134"/>
    </row>
    <row r="2430" spans="15:16" x14ac:dyDescent="0.3">
      <c r="O2430" s="78"/>
      <c r="P2430" s="134"/>
    </row>
    <row r="2431" spans="15:16" x14ac:dyDescent="0.3">
      <c r="O2431" s="78"/>
      <c r="P2431" s="134"/>
    </row>
    <row r="2432" spans="15:16" x14ac:dyDescent="0.3">
      <c r="O2432" s="78"/>
      <c r="P2432" s="134"/>
    </row>
    <row r="2433" spans="15:16" x14ac:dyDescent="0.3">
      <c r="O2433" s="78"/>
      <c r="P2433" s="134"/>
    </row>
    <row r="2434" spans="15:16" x14ac:dyDescent="0.3">
      <c r="O2434" s="78"/>
      <c r="P2434" s="134"/>
    </row>
    <row r="2435" spans="15:16" x14ac:dyDescent="0.3">
      <c r="O2435" s="78"/>
      <c r="P2435" s="134"/>
    </row>
    <row r="2436" spans="15:16" x14ac:dyDescent="0.3">
      <c r="O2436" s="78"/>
      <c r="P2436" s="134"/>
    </row>
    <row r="2437" spans="15:16" x14ac:dyDescent="0.3">
      <c r="O2437" s="78"/>
      <c r="P2437" s="134"/>
    </row>
    <row r="2438" spans="15:16" x14ac:dyDescent="0.3">
      <c r="O2438" s="78"/>
      <c r="P2438" s="134"/>
    </row>
    <row r="2439" spans="15:16" x14ac:dyDescent="0.3">
      <c r="O2439" s="78"/>
      <c r="P2439" s="134"/>
    </row>
    <row r="2440" spans="15:16" x14ac:dyDescent="0.3">
      <c r="O2440" s="78"/>
      <c r="P2440" s="134"/>
    </row>
    <row r="2441" spans="15:16" x14ac:dyDescent="0.3">
      <c r="O2441" s="78"/>
      <c r="P2441" s="134"/>
    </row>
    <row r="2442" spans="15:16" x14ac:dyDescent="0.3">
      <c r="O2442" s="78"/>
      <c r="P2442" s="134"/>
    </row>
    <row r="2443" spans="15:16" x14ac:dyDescent="0.3">
      <c r="O2443" s="78"/>
      <c r="P2443" s="134"/>
    </row>
    <row r="2444" spans="15:16" x14ac:dyDescent="0.3">
      <c r="O2444" s="78"/>
      <c r="P2444" s="134"/>
    </row>
    <row r="2445" spans="15:16" x14ac:dyDescent="0.3">
      <c r="O2445" s="78"/>
      <c r="P2445" s="134"/>
    </row>
    <row r="2446" spans="15:16" x14ac:dyDescent="0.3">
      <c r="O2446" s="78"/>
      <c r="P2446" s="134"/>
    </row>
  </sheetData>
  <mergeCells count="1">
    <mergeCell ref="B2:C2"/>
  </mergeCells>
  <conditionalFormatting sqref="E3">
    <cfRule type="colorScale" priority="23">
      <colorScale>
        <cfvo type="min"/>
        <cfvo type="percentile" val="50"/>
        <cfvo type="max"/>
        <color rgb="FFF8696B"/>
        <color rgb="FFFCFCFF"/>
        <color rgb="FF63BE7B"/>
      </colorScale>
    </cfRule>
  </conditionalFormatting>
  <conditionalFormatting sqref="R2:R3 Q4:Q47">
    <cfRule type="containsText" dxfId="233" priority="18" operator="containsText" text="DUPLICADO">
      <formula>NOT(ISERROR(SEARCH("DUPLICADO",Q2)))</formula>
    </cfRule>
    <cfRule type="containsText" dxfId="232" priority="19" operator="containsText" text="UNICO">
      <formula>NOT(ISERROR(SEARCH("UNICO",Q2)))</formula>
    </cfRule>
  </conditionalFormatting>
  <conditionalFormatting sqref="S51:S1048576 O2:P3 N4:N47">
    <cfRule type="containsText" dxfId="231" priority="13" operator="containsText" text="PROXIMO">
      <formula>NOT(ISERROR(SEARCH("PROXIMO",N2)))</formula>
    </cfRule>
    <cfRule type="containsText" dxfId="230" priority="14" operator="containsText" text="NO PROCEDE">
      <formula>NOT(ISERROR(SEARCH("NO PROCEDE",N2)))</formula>
    </cfRule>
    <cfRule type="containsText" dxfId="229" priority="15" operator="containsText" text="PROCEDE">
      <formula>NOT(ISERROR(SEARCH("PROCEDE",N2)))</formula>
    </cfRule>
  </conditionalFormatting>
  <conditionalFormatting sqref="S2:S3 T52:T1048576 R4:R47">
    <cfRule type="containsText" dxfId="228" priority="3" operator="containsText" text="NO REGISTRA">
      <formula>NOT(ISERROR(SEARCH("NO REGISTRA",R2)))</formula>
    </cfRule>
    <cfRule type="containsText" dxfId="227" priority="4" operator="containsText" text="OPTIMO">
      <formula>NOT(ISERROR(SEARCH("OPTIMO",R2)))</formula>
    </cfRule>
    <cfRule type="containsText" dxfId="226" priority="6" operator="containsText" text="ACTUALIZAR">
      <formula>NOT(ISERROR(SEARCH("ACTUALIZAR",R2)))</formula>
    </cfRule>
  </conditionalFormatting>
  <conditionalFormatting sqref="L11">
    <cfRule type="containsText" dxfId="225" priority="5" operator="containsText" text="OPTIMO">
      <formula>NOT(ISERROR(SEARCH("OPTIMO",L11)))</formula>
    </cfRule>
  </conditionalFormatting>
  <conditionalFormatting sqref="P1:P1048576">
    <cfRule type="containsText" dxfId="224" priority="1" operator="containsText" text="NO OPERATIVO">
      <formula>NOT(ISERROR(SEARCH("NO OPERATIVO",P1)))</formula>
    </cfRule>
    <cfRule type="containsText" dxfId="223" priority="2" operator="containsText" text="OPERATIVO">
      <formula>NOT(ISERROR(SEARCH("OPERATIVO",P1)))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NuevoEquipo">
                <anchor moveWithCells="1" sizeWithCells="1">
                  <from>
                    <xdr:col>3</xdr:col>
                    <xdr:colOff>190500</xdr:colOff>
                    <xdr:row>1</xdr:row>
                    <xdr:rowOff>45720</xdr:rowOff>
                  </from>
                  <to>
                    <xdr:col>4</xdr:col>
                    <xdr:colOff>579120</xdr:colOff>
                    <xdr:row>2</xdr:row>
                    <xdr:rowOff>144780</xdr:rowOff>
                  </to>
                </anchor>
              </controlPr>
            </control>
          </mc:Choice>
        </mc:AlternateContent>
        <mc:AlternateContent xmlns:mc="http://schemas.openxmlformats.org/markup-compatibility/2006">
          <mc:Choice Requires="x14">
            <control shapeId="6147" r:id="rId4" name="Button 3">
              <controlPr defaultSize="0" print="0" autoFill="0" autoPict="0" macro="[0]!BorrarUltimoRE">
                <anchor moveWithCells="1" sizeWithCells="1">
                  <from>
                    <xdr:col>4</xdr:col>
                    <xdr:colOff>876300</xdr:colOff>
                    <xdr:row>1</xdr:row>
                    <xdr:rowOff>38100</xdr:rowOff>
                  </from>
                  <to>
                    <xdr:col>5</xdr:col>
                    <xdr:colOff>1112520</xdr:colOff>
                    <xdr:row>2</xdr:row>
                    <xdr:rowOff>137160</xdr:rowOff>
                  </to>
                </anchor>
              </controlPr>
            </control>
          </mc:Choice>
        </mc:AlternateContent>
        <mc:AlternateContent xmlns:mc="http://schemas.openxmlformats.org/markup-compatibility/2006">
          <mc:Choice Requires="x14">
            <control shapeId="6148" r:id="rId5" name="Button 4">
              <controlPr defaultSize="0" print="0" autoFill="0" autoPict="0" macro="[0]!IrMenuPrincipal">
                <anchor>
                  <from>
                    <xdr:col>6</xdr:col>
                    <xdr:colOff>0</xdr:colOff>
                    <xdr:row>1</xdr:row>
                    <xdr:rowOff>38100</xdr:rowOff>
                  </from>
                  <to>
                    <xdr:col>8</xdr:col>
                    <xdr:colOff>274320</xdr:colOff>
                    <xdr:row>2</xdr:row>
                    <xdr:rowOff>106680</xdr:rowOff>
                  </to>
                </anchor>
              </controlPr>
            </control>
          </mc:Choice>
        </mc:AlternateContent>
        <mc:AlternateContent xmlns:mc="http://schemas.openxmlformats.org/markup-compatibility/2006">
          <mc:Choice Requires="x14">
            <control shapeId="6161" r:id="rId6" name="Button 17">
              <controlPr defaultSize="0" print="0" autoFill="0" autoPict="0" macro="[0]!IrIndicadores">
                <anchor moveWithCells="1" sizeWithCells="1">
                  <from>
                    <xdr:col>8</xdr:col>
                    <xdr:colOff>518160</xdr:colOff>
                    <xdr:row>1</xdr:row>
                    <xdr:rowOff>38100</xdr:rowOff>
                  </from>
                  <to>
                    <xdr:col>11</xdr:col>
                    <xdr:colOff>350520</xdr:colOff>
                    <xdr:row>2</xdr:row>
                    <xdr:rowOff>99060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1"/>
  <dimension ref="A1:N41"/>
  <sheetViews>
    <sheetView zoomScale="80" zoomScaleNormal="80" workbookViewId="0">
      <selection activeCell="I8" sqref="I8"/>
    </sheetView>
  </sheetViews>
  <sheetFormatPr baseColWidth="10" defaultColWidth="0" defaultRowHeight="14.4" zeroHeight="1" x14ac:dyDescent="0.3"/>
  <cols>
    <col min="1" max="1" width="3.33203125" style="653" customWidth="1"/>
    <col min="2" max="2" width="12.6640625" style="653" customWidth="1"/>
    <col min="3" max="3" width="33.109375" style="653" customWidth="1"/>
    <col min="4" max="4" width="13" style="653" customWidth="1"/>
    <col min="5" max="5" width="13.44140625" style="653" customWidth="1"/>
    <col min="6" max="6" width="21.109375" style="653" customWidth="1"/>
    <col min="7" max="7" width="14.44140625" style="653" customWidth="1"/>
    <col min="8" max="10" width="15.6640625" style="653" customWidth="1"/>
    <col min="11" max="11" width="20" style="653" customWidth="1"/>
    <col min="12" max="12" width="30.109375" style="653" customWidth="1"/>
    <col min="13" max="14" width="11.44140625" style="653" customWidth="1"/>
    <col min="15" max="16384" width="11.44140625" style="653" hidden="1"/>
  </cols>
  <sheetData>
    <row r="1" spans="1:12" ht="8.25" customHeight="1" x14ac:dyDescent="0.3">
      <c r="A1" s="661"/>
    </row>
    <row r="2" spans="1:12" ht="24.9" customHeight="1" thickBot="1" x14ac:dyDescent="0.35">
      <c r="A2" s="662"/>
      <c r="B2" s="1045" t="s">
        <v>1912</v>
      </c>
      <c r="C2" s="1046"/>
      <c r="D2" s="1046"/>
      <c r="E2" s="1046"/>
      <c r="F2" s="1046"/>
      <c r="G2" s="1046"/>
      <c r="I2" s="671" t="s">
        <v>1908</v>
      </c>
    </row>
    <row r="3" spans="1:12" ht="7.5" customHeight="1" thickBot="1" x14ac:dyDescent="0.35">
      <c r="A3" s="662"/>
      <c r="B3" s="672"/>
      <c r="C3" s="673"/>
      <c r="D3" s="674"/>
      <c r="E3" s="674"/>
      <c r="F3" s="674"/>
      <c r="G3" s="675"/>
      <c r="I3" s="671"/>
    </row>
    <row r="4" spans="1:12" ht="20.100000000000001" customHeight="1" thickBot="1" x14ac:dyDescent="0.35">
      <c r="A4" s="661"/>
      <c r="B4" s="676" t="s">
        <v>1907</v>
      </c>
      <c r="C4" s="659">
        <v>3004336198</v>
      </c>
      <c r="D4" s="677"/>
      <c r="E4" s="678" t="s">
        <v>1911</v>
      </c>
      <c r="F4" s="679" t="str">
        <f>INDEX(EQUIPOS[],MATCH(C4,EQUIPOS[SERIE],0),6)</f>
        <v>TALLER EGENER</v>
      </c>
      <c r="G4" s="663"/>
      <c r="I4" s="671" t="s">
        <v>1909</v>
      </c>
    </row>
    <row r="5" spans="1:12" ht="15" thickBot="1" x14ac:dyDescent="0.35">
      <c r="A5" s="661"/>
      <c r="B5" s="654"/>
      <c r="C5" s="655"/>
      <c r="D5" s="655"/>
      <c r="E5" s="655"/>
      <c r="F5" s="656"/>
      <c r="G5" s="657"/>
    </row>
    <row r="6" spans="1:12" ht="28.8" x14ac:dyDescent="0.3">
      <c r="B6" s="664" t="s">
        <v>940</v>
      </c>
      <c r="C6" s="664" t="s">
        <v>24</v>
      </c>
      <c r="D6" s="664" t="s">
        <v>1046</v>
      </c>
      <c r="E6" s="664" t="s">
        <v>11</v>
      </c>
      <c r="F6" s="664" t="s">
        <v>1902</v>
      </c>
      <c r="G6" s="664" t="s">
        <v>1906</v>
      </c>
      <c r="H6" s="664" t="s">
        <v>1903</v>
      </c>
      <c r="I6" s="664" t="s">
        <v>1904</v>
      </c>
      <c r="J6" s="664" t="s">
        <v>1905</v>
      </c>
      <c r="K6" s="664" t="s">
        <v>1184</v>
      </c>
      <c r="L6" s="664" t="s">
        <v>1910</v>
      </c>
    </row>
    <row r="7" spans="1:12" x14ac:dyDescent="0.3">
      <c r="A7" s="660">
        <v>1</v>
      </c>
      <c r="B7" s="665">
        <f>IF($C$4&lt;&gt;"",IFERROR(INDEX(BDEGENER[],MATCH(CONCATENATE($C$4,"MANT",$A$7),BDEGENER[GA6],0),10),""),"")</f>
        <v>44120</v>
      </c>
      <c r="C7" s="658" t="str">
        <f>IF($C$4&lt;&gt;"",IFERROR(INDEX(BDEGENER[],MATCH(CONCATENATE($C$4,"MANT",A7),BDEGENER[GA6],0),49),""),"")</f>
        <v>MANTENIMIENTO PREVENTIVO N°7</v>
      </c>
      <c r="D7" s="658">
        <f>IF($C$4&lt;&gt;"",IFERROR(INDEX(BDEGENER[],MATCH(CONCATENATE($C$4,"MANT",A7),BDEGENER[GA6],0),60),""),"")</f>
        <v>49431.4</v>
      </c>
      <c r="E7" s="658">
        <f>IF($C$4&lt;&gt;"",IFERROR(INDEX(BDEGENER[],MATCH(CONCATENATE($C$4,"MANT",A7),BDEGENER[GA6],0),31),""),"")</f>
        <v>2049.3000000000002</v>
      </c>
      <c r="F7" s="560">
        <f>IF(INDICADORES[[#This Row],[HORAS]]="NR","NR",IF(INDICADORES[[#This Row],[KW-HR]]="","",INDICADORES[[#This Row],[KW-HR]]/INDICADORES[[#This Row],[HORAS]]))</f>
        <v>24.121114526911626</v>
      </c>
      <c r="G7" s="658" t="str">
        <f>IF($C$4&lt;&gt;"",IFERROR(INDEX(BDEGENER[],MATCH(CONCATENATE($C$4,"MANT",A7),BDEGENER[GA6],0),62),""),"")</f>
        <v>35 KW</v>
      </c>
      <c r="H7" s="658" t="str">
        <f>IF($C$4&lt;&gt;"",IFERROR(INDEX(BDEGENER[],MATCH(CONCATENATE($C$4,"MANT",A7),BDEGENER[GA6],0),40),""),"")</f>
        <v>32 PSI</v>
      </c>
      <c r="I7" s="658" t="str">
        <f>IF($C$4&lt;&gt;"",IFERROR(INDEX(BDEGENER[],MATCH(CONCATENATE($C$4,"MANT",A7),BDEGENER[GA6],0),39),""),"")</f>
        <v>112 °F</v>
      </c>
      <c r="J7" s="658" t="str">
        <f>IF($C$4&lt;&gt;"",IFERROR(INDEX(BDEGENER[],MATCH(CONCATENATE($C$4,"MANT",A7),BDEGENER[GA6],0),38),""),"")</f>
        <v>13.5 V</v>
      </c>
      <c r="K7" s="658" t="str">
        <f>IF($C$4&lt;&gt;"",IFERROR(INDEX(BDEGENER[],MATCH(CONCATENATE($C$4,"MANT",A7),BDEGENER[GA6],0),41),""),"")</f>
        <v>OPERATIVO</v>
      </c>
      <c r="L7" s="666" t="str">
        <f>IF($C$4&lt;&gt;"",IFERROR(INDEX(BDEGENER[],MATCH(CONCATENATE($C$4,"MANT",A7),BDEGENER[GA6],0),12),""),"")</f>
        <v>PL-502</v>
      </c>
    </row>
    <row r="8" spans="1:12" x14ac:dyDescent="0.3">
      <c r="A8" s="660">
        <v>2</v>
      </c>
      <c r="B8" s="665">
        <f>IF($C$4&lt;&gt;"",IFERROR(INDEX(BDEGENER[],MATCH(CONCATENATE($C$4,"MANT",A8),BDEGENER[GA6],0),10),""),"")</f>
        <v>44109</v>
      </c>
      <c r="C8" s="658" t="str">
        <f>IF($C$4&lt;&gt;"",IFERROR(INDEX(BDEGENER[],MATCH(CONCATENATE($C$4,"MANT",A8),BDEGENER[GA6],0),49),""),"")</f>
        <v>MANTENIMIENTO CORRECTIVO N°3</v>
      </c>
      <c r="D8" s="658">
        <f>IF($C$4&lt;&gt;"",IFERROR(INDEX(BDEGENER[],MATCH(CONCATENATE($C$4,"MANT",A8),BDEGENER[GA6],0),60),""),"")</f>
        <v>0</v>
      </c>
      <c r="E8" s="658">
        <f>IF($C$4&lt;&gt;"",IFERROR(INDEX(BDEGENER[],MATCH(CONCATENATE($C$4,"MANT",A8),BDEGENER[GA6],0),31),""),"")</f>
        <v>2049.1</v>
      </c>
      <c r="F8" s="560">
        <f>IF(INDICADORES[[#This Row],[HORAS]]="NR","NR",IF(INDICADORES[[#This Row],[KW-HR]]="","",INDICADORES[[#This Row],[KW-HR]]/INDICADORES[[#This Row],[HORAS]]))</f>
        <v>0</v>
      </c>
      <c r="G8" s="658">
        <f>IF($C$4&lt;&gt;"",IFERROR(INDEX(BDEGENER[],MATCH(CONCATENATE($C$4,"MANT",A8),BDEGENER[GA6],0),62),""),"")</f>
        <v>0</v>
      </c>
      <c r="H8" s="658">
        <f>IF($C$4&lt;&gt;"",IFERROR(INDEX(BDEGENER[],MATCH(CONCATENATE($C$4,"MANT",A8),BDEGENER[GA6],0),40),""),"")</f>
        <v>0</v>
      </c>
      <c r="I8" s="658">
        <f>IF($C$4&lt;&gt;"",IFERROR(INDEX(BDEGENER[],MATCH(CONCATENATE($C$4,"MANT",A8),BDEGENER[GA6],0),39),""),"")</f>
        <v>0</v>
      </c>
      <c r="J8" s="658">
        <f>IF($C$4&lt;&gt;"",IFERROR(INDEX(BDEGENER[],MATCH(CONCATENATE($C$4,"MANT",A8),BDEGENER[GA6],0),38),""),"")</f>
        <v>0</v>
      </c>
      <c r="K8" s="658" t="str">
        <f>IF($C$4&lt;&gt;"",IFERROR(INDEX(BDEGENER[],MATCH(CONCATENATE($C$4,"MANT",A8),BDEGENER[GA6],0),41),""),"")</f>
        <v>OPERATIVO</v>
      </c>
      <c r="L8" s="667" t="str">
        <f>IF($C$4&lt;&gt;"",IFERROR(INDEX(BDEGENER[],MATCH(CONCATENATE($C$4,"MANT",A8),BDEGENER[GA6],0),12),""),"")</f>
        <v>PL-502</v>
      </c>
    </row>
    <row r="9" spans="1:12" x14ac:dyDescent="0.3">
      <c r="A9" s="660">
        <v>3</v>
      </c>
      <c r="B9" s="665">
        <f>IF($C$4&lt;&gt;"",IFERROR(INDEX(BDEGENER[],MATCH(CONCATENATE($C$4,"MANT",A9),BDEGENER[GA6],0),10),""),"")</f>
        <v>44062</v>
      </c>
      <c r="C9" s="658" t="str">
        <f>IF($C$4&lt;&gt;"",IFERROR(INDEX(BDEGENER[],MATCH(CONCATENATE($C$4,"MANT",A9),BDEGENER[GA6],0),49),""),"")</f>
        <v>MANTENIMIENTO CORRECTIVO N°2</v>
      </c>
      <c r="D9" s="658">
        <f>IF($C$4&lt;&gt;"",IFERROR(INDEX(BDEGENER[],MATCH(CONCATENATE($C$4,"MANT",A9),BDEGENER[GA6],0),60),""),"")</f>
        <v>0</v>
      </c>
      <c r="E9" s="658">
        <f>IF($C$4&lt;&gt;"",IFERROR(INDEX(BDEGENER[],MATCH(CONCATENATE($C$4,"MANT",A9),BDEGENER[GA6],0),31),""),"")</f>
        <v>2000.2</v>
      </c>
      <c r="F9" s="560">
        <f>IF(INDICADORES[[#This Row],[HORAS]]="NR","NR",IF(INDICADORES[[#This Row],[KW-HR]]="","",INDICADORES[[#This Row],[KW-HR]]/INDICADORES[[#This Row],[HORAS]]))</f>
        <v>0</v>
      </c>
      <c r="G9" s="658">
        <f>IF($C$4&lt;&gt;"",IFERROR(INDEX(BDEGENER[],MATCH(CONCATENATE($C$4,"MANT",A9),BDEGENER[GA6],0),62),""),"")</f>
        <v>0</v>
      </c>
      <c r="H9" s="658" t="str">
        <f>IF($C$4&lt;&gt;"",IFERROR(INDEX(BDEGENER[],MATCH(CONCATENATE($C$4,"MANT",A9),BDEGENER[GA6],0),40),""),"")</f>
        <v>27 PSI</v>
      </c>
      <c r="I9" s="658" t="str">
        <f>IF($C$4&lt;&gt;"",IFERROR(INDEX(BDEGENER[],MATCH(CONCATENATE($C$4,"MANT",A9),BDEGENER[GA6],0),39),""),"")</f>
        <v>165 °F</v>
      </c>
      <c r="J9" s="658" t="str">
        <f>IF($C$4&lt;&gt;"",IFERROR(INDEX(BDEGENER[],MATCH(CONCATENATE($C$4,"MANT",A9),BDEGENER[GA6],0),38),""),"")</f>
        <v>13.5 V</v>
      </c>
      <c r="K9" s="658" t="str">
        <f>IF($C$4&lt;&gt;"",IFERROR(INDEX(BDEGENER[],MATCH(CONCATENATE($C$4,"MANT",A9),BDEGENER[GA6],0),41),""),"")</f>
        <v>OPERATIVO</v>
      </c>
      <c r="L9" s="667" t="str">
        <f>IF($C$4&lt;&gt;"",IFERROR(INDEX(BDEGENER[],MATCH(CONCATENATE($C$4,"MANT",A9),BDEGENER[GA6],0),12),""),"")</f>
        <v>PL-502</v>
      </c>
    </row>
    <row r="10" spans="1:12" x14ac:dyDescent="0.3">
      <c r="A10" s="660">
        <v>4</v>
      </c>
      <c r="B10" s="665">
        <f>IF($C$4&lt;&gt;"",IFERROR(INDEX(BDEGENER[],MATCH(CONCATENATE($C$4,"MANT",A10),BDEGENER[GA6],0),10),""),"")</f>
        <v>44053</v>
      </c>
      <c r="C10" s="658" t="str">
        <f>IF($C$4&lt;&gt;"",IFERROR(INDEX(BDEGENER[],MATCH(CONCATENATE($C$4,"MANT",A10),BDEGENER[GA6],0),49),""),"")</f>
        <v>INSPECCION</v>
      </c>
      <c r="D10" s="658">
        <f>IF($C$4&lt;&gt;"",IFERROR(INDEX(BDEGENER[],MATCH(CONCATENATE($C$4,"MANT",A10),BDEGENER[GA6],0),60),""),"")</f>
        <v>0</v>
      </c>
      <c r="E10" s="658">
        <f>IF($C$4&lt;&gt;"",IFERROR(INDEX(BDEGENER[],MATCH(CONCATENATE($C$4,"MANT",A10),BDEGENER[GA6],0),31),""),"")</f>
        <v>1922</v>
      </c>
      <c r="F10" s="560">
        <f>IF(INDICADORES[[#This Row],[HORAS]]="NR","NR",IF(INDICADORES[[#This Row],[KW-HR]]="","",INDICADORES[[#This Row],[KW-HR]]/INDICADORES[[#This Row],[HORAS]]))</f>
        <v>0</v>
      </c>
      <c r="G10" s="658">
        <f>IF($C$4&lt;&gt;"",IFERROR(INDEX(BDEGENER[],MATCH(CONCATENATE($C$4,"MANT",A10),BDEGENER[GA6],0),62),""),"")</f>
        <v>0</v>
      </c>
      <c r="H10" s="658">
        <f>IF($C$4&lt;&gt;"",IFERROR(INDEX(BDEGENER[],MATCH(CONCATENATE($C$4,"MANT",A10),BDEGENER[GA6],0),40),""),"")</f>
        <v>0</v>
      </c>
      <c r="I10" s="658">
        <f>IF($C$4&lt;&gt;"",IFERROR(INDEX(BDEGENER[],MATCH(CONCATENATE($C$4,"MANT",A10),BDEGENER[GA6],0),39),""),"")</f>
        <v>0</v>
      </c>
      <c r="J10" s="658">
        <f>IF($C$4&lt;&gt;"",IFERROR(INDEX(BDEGENER[],MATCH(CONCATENATE($C$4,"MANT",A10),BDEGENER[GA6],0),38),""),"")</f>
        <v>0</v>
      </c>
      <c r="K10" s="658" t="str">
        <f>IF($C$4&lt;&gt;"",IFERROR(INDEX(BDEGENER[],MATCH(CONCATENATE($C$4,"MANT",A10),BDEGENER[GA6],0),41),""),"")</f>
        <v>OPERATIVO</v>
      </c>
      <c r="L10" s="667" t="str">
        <f>IF($C$4&lt;&gt;"",IFERROR(INDEX(BDEGENER[],MATCH(CONCATENATE($C$4,"MANT",A10),BDEGENER[GA6],0),12),""),"")</f>
        <v>PL-502</v>
      </c>
    </row>
    <row r="11" spans="1:12" x14ac:dyDescent="0.3">
      <c r="A11" s="660">
        <v>5</v>
      </c>
      <c r="B11" s="665">
        <f>IF($C$4&lt;&gt;"",IFERROR(INDEX(BDEGENER[],MATCH(CONCATENATE($C$4,"MANT",A11),BDEGENER[GA6],0),10),""),"")</f>
        <v>44051</v>
      </c>
      <c r="C11" s="658" t="str">
        <f>IF($C$4&lt;&gt;"",IFERROR(INDEX(BDEGENER[],MATCH(CONCATENATE($C$4,"MANT",A11),BDEGENER[GA6],0),49),""),"")</f>
        <v>MANTENIMIENTO PREVENTIVO N°6</v>
      </c>
      <c r="D11" s="658">
        <f>IF($C$4&lt;&gt;"",IFERROR(INDEX(BDEGENER[],MATCH(CONCATENATE($C$4,"MANT",A11),BDEGENER[GA6],0),60),""),"")</f>
        <v>45415</v>
      </c>
      <c r="E11" s="658">
        <f>IF($C$4&lt;&gt;"",IFERROR(INDEX(BDEGENER[],MATCH(CONCATENATE($C$4,"MANT",A11),BDEGENER[GA6],0),31),""),"")</f>
        <v>1922.1</v>
      </c>
      <c r="F11" s="560">
        <f>IF(INDICADORES[[#This Row],[HORAS]]="NR","NR",IF(INDICADORES[[#This Row],[KW-HR]]="","",INDICADORES[[#This Row],[KW-HR]]/INDICADORES[[#This Row],[HORAS]]))</f>
        <v>23.627802923885334</v>
      </c>
      <c r="G11" s="658" t="str">
        <f>IF($C$4&lt;&gt;"",IFERROR(INDEX(BDEGENER[],MATCH(CONCATENATE($C$4,"MANT",A11),BDEGENER[GA6],0),62),""),"")</f>
        <v>16 KW</v>
      </c>
      <c r="H11" s="658" t="str">
        <f>IF($C$4&lt;&gt;"",IFERROR(INDEX(BDEGENER[],MATCH(CONCATENATE($C$4,"MANT",A11),BDEGENER[GA6],0),40),""),"")</f>
        <v>54 PSI</v>
      </c>
      <c r="I11" s="658" t="str">
        <f>IF($C$4&lt;&gt;"",IFERROR(INDEX(BDEGENER[],MATCH(CONCATENATE($C$4,"MANT",A11),BDEGENER[GA6],0),39),""),"")</f>
        <v>198 °F</v>
      </c>
      <c r="J11" s="658" t="str">
        <f>IF($C$4&lt;&gt;"",IFERROR(INDEX(BDEGENER[],MATCH(CONCATENATE($C$4,"MANT",A11),BDEGENER[GA6],0),38),""),"")</f>
        <v>13.6 V</v>
      </c>
      <c r="K11" s="658" t="str">
        <f>IF($C$4&lt;&gt;"",IFERROR(INDEX(BDEGENER[],MATCH(CONCATENATE($C$4,"MANT",A11),BDEGENER[GA6],0),41),""),"")</f>
        <v>OPERATIVO</v>
      </c>
      <c r="L11" s="667" t="str">
        <f>IF($C$4&lt;&gt;"",IFERROR(INDEX(BDEGENER[],MATCH(CONCATENATE($C$4,"MANT",A11),BDEGENER[GA6],0),12),""),"")</f>
        <v>PL-502</v>
      </c>
    </row>
    <row r="12" spans="1:12" x14ac:dyDescent="0.3">
      <c r="A12" s="660">
        <v>6</v>
      </c>
      <c r="B12" s="665">
        <f>IF($C$4&lt;&gt;"",IFERROR(INDEX(BDEGENER[],MATCH(CONCATENATE($C$4,"MANT",A12),BDEGENER[GA6],0),10),""),"")</f>
        <v>43991</v>
      </c>
      <c r="C12" s="658" t="str">
        <f>IF($C$4&lt;&gt;"",IFERROR(INDEX(BDEGENER[],MATCH(CONCATENATE($C$4,"MANT",A12),BDEGENER[GA6],0),49),""),"")</f>
        <v>MANTENIMIENTO PREVENTIVO N°5</v>
      </c>
      <c r="D12" s="658">
        <f>IF($C$4&lt;&gt;"",IFERROR(INDEX(BDEGENER[],MATCH(CONCATENATE($C$4,"MANT",A12),BDEGENER[GA6],0),60),""),"")</f>
        <v>38750.300000000003</v>
      </c>
      <c r="E12" s="658">
        <f>IF($C$4&lt;&gt;"",IFERROR(INDEX(BDEGENER[],MATCH(CONCATENATE($C$4,"MANT",A12),BDEGENER[GA6],0),31),""),"")</f>
        <v>1664.3</v>
      </c>
      <c r="F12" s="560">
        <f>IF(INDICADORES[[#This Row],[HORAS]]="NR","NR",IF(INDICADORES[[#This Row],[KW-HR]]="","",INDICADORES[[#This Row],[KW-HR]]/INDICADORES[[#This Row],[HORAS]]))</f>
        <v>23.283242203929582</v>
      </c>
      <c r="G12" s="658" t="str">
        <f>IF($C$4&lt;&gt;"",IFERROR(INDEX(BDEGENER[],MATCH(CONCATENATE($C$4,"MANT",A12),BDEGENER[GA6],0),62),""),"")</f>
        <v>32 KW</v>
      </c>
      <c r="H12" s="658" t="str">
        <f>IF($C$4&lt;&gt;"",IFERROR(INDEX(BDEGENER[],MATCH(CONCATENATE($C$4,"MANT",A12),BDEGENER[GA6],0),40),""),"")</f>
        <v>45 PSI</v>
      </c>
      <c r="I12" s="658" t="str">
        <f>IF($C$4&lt;&gt;"",IFERROR(INDEX(BDEGENER[],MATCH(CONCATENATE($C$4,"MANT",A12),BDEGENER[GA6],0),39),""),"")</f>
        <v>176 °F</v>
      </c>
      <c r="J12" s="658" t="str">
        <f>IF($C$4&lt;&gt;"",IFERROR(INDEX(BDEGENER[],MATCH(CONCATENATE($C$4,"MANT",A12),BDEGENER[GA6],0),38),""),"")</f>
        <v>13.7 V</v>
      </c>
      <c r="K12" s="658" t="str">
        <f>IF($C$4&lt;&gt;"",IFERROR(INDEX(BDEGENER[],MATCH(CONCATENATE($C$4,"MANT",A12),BDEGENER[GA6],0),41),""),"")</f>
        <v>OPERATIVO</v>
      </c>
      <c r="L12" s="667" t="str">
        <f>IF($C$4&lt;&gt;"",IFERROR(INDEX(BDEGENER[],MATCH(CONCATENATE($C$4,"MANT",A12),BDEGENER[GA6],0),12),""),"")</f>
        <v>PL-502</v>
      </c>
    </row>
    <row r="13" spans="1:12" x14ac:dyDescent="0.3">
      <c r="A13" s="660">
        <v>7</v>
      </c>
      <c r="B13" s="665">
        <f>IF($C$4&lt;&gt;"",IFERROR(INDEX(BDEGENER[],MATCH(CONCATENATE($C$4,"MANT",A13),BDEGENER[GA6],0),10),""),"")</f>
        <v>43911</v>
      </c>
      <c r="C13" s="658" t="str">
        <f>IF($C$4&lt;&gt;"",IFERROR(INDEX(BDEGENER[],MATCH(CONCATENATE($C$4,"MANT",A13),BDEGENER[GA6],0),49),""),"")</f>
        <v>MANTENIMIENTO PREVENTIVO N°4</v>
      </c>
      <c r="D13" s="658">
        <f>IF($C$4&lt;&gt;"",IFERROR(INDEX(BDEGENER[],MATCH(CONCATENATE($C$4,"MANT",A13),BDEGENER[GA6],0),60),""),"")</f>
        <v>29376.7</v>
      </c>
      <c r="E13" s="658">
        <f>IF($C$4&lt;&gt;"",IFERROR(INDEX(BDEGENER[],MATCH(CONCATENATE($C$4,"MANT",A13),BDEGENER[GA6],0),31),""),"")</f>
        <v>1339.9</v>
      </c>
      <c r="F13" s="560">
        <f>IF(INDICADORES[[#This Row],[HORAS]]="NR","NR",IF(INDICADORES[[#This Row],[KW-HR]]="","",INDICADORES[[#This Row],[KW-HR]]/INDICADORES[[#This Row],[HORAS]]))</f>
        <v>21.924546607955815</v>
      </c>
      <c r="G13" s="658">
        <f>IF($C$4&lt;&gt;"",IFERROR(INDEX(BDEGENER[],MATCH(CONCATENATE($C$4,"MANT",A13),BDEGENER[GA6],0),62),""),"")</f>
        <v>0</v>
      </c>
      <c r="H13" s="658" t="str">
        <f>IF($C$4&lt;&gt;"",IFERROR(INDEX(BDEGENER[],MATCH(CONCATENATE($C$4,"MANT",A13),BDEGENER[GA6],0),40),""),"")</f>
        <v>59 PSI</v>
      </c>
      <c r="I13" s="658" t="str">
        <f>IF($C$4&lt;&gt;"",IFERROR(INDEX(BDEGENER[],MATCH(CONCATENATE($C$4,"MANT",A13),BDEGENER[GA6],0),39),""),"")</f>
        <v>194 °F</v>
      </c>
      <c r="J13" s="658" t="str">
        <f>IF($C$4&lt;&gt;"",IFERROR(INDEX(BDEGENER[],MATCH(CONCATENATE($C$4,"MANT",A13),BDEGENER[GA6],0),38),""),"")</f>
        <v>13.7 V</v>
      </c>
      <c r="K13" s="658" t="str">
        <f>IF($C$4&lt;&gt;"",IFERROR(INDEX(BDEGENER[],MATCH(CONCATENATE($C$4,"MANT",A13),BDEGENER[GA6],0),41),""),"")</f>
        <v>OPERATIVO</v>
      </c>
      <c r="L13" s="667" t="str">
        <f>IF($C$4&lt;&gt;"",IFERROR(INDEX(BDEGENER[],MATCH(CONCATENATE($C$4,"MANT",A13),BDEGENER[GA6],0),12),""),"")</f>
        <v>PL-502</v>
      </c>
    </row>
    <row r="14" spans="1:12" x14ac:dyDescent="0.3">
      <c r="A14" s="660">
        <v>8</v>
      </c>
      <c r="B14" s="665">
        <f>IF($C$4&lt;&gt;"",IFERROR(INDEX(BDEGENER[],MATCH(CONCATENATE($C$4,"MANT",A14),BDEGENER[GA6],0),10),""),"")</f>
        <v>43843</v>
      </c>
      <c r="C14" s="658" t="str">
        <f>IF($C$4&lt;&gt;"",IFERROR(INDEX(BDEGENER[],MATCH(CONCATENATE($C$4,"MANT",A14),BDEGENER[GA6],0),49),""),"")</f>
        <v>MANTENIMIENTO PREVENTIVO N°3</v>
      </c>
      <c r="D14" s="658">
        <f>IF($C$4&lt;&gt;"",IFERROR(INDEX(BDEGENER[],MATCH(CONCATENATE($C$4,"MANT",A14),BDEGENER[GA6],0),60),""),"")</f>
        <v>16383.9</v>
      </c>
      <c r="E14" s="658">
        <f>IF($C$4&lt;&gt;"",IFERROR(INDEX(BDEGENER[],MATCH(CONCATENATE($C$4,"MANT",A14),BDEGENER[GA6],0),31),""),"")</f>
        <v>920.4</v>
      </c>
      <c r="F14" s="560">
        <f>IF(INDICADORES[[#This Row],[HORAS]]="NR","NR",IF(INDICADORES[[#This Row],[KW-HR]]="","",INDICADORES[[#This Row],[KW-HR]]/INDICADORES[[#This Row],[HORAS]]))</f>
        <v>17.800847457627118</v>
      </c>
      <c r="G14" s="658" t="str">
        <f>IF($C$4&lt;&gt;"",IFERROR(INDEX(BDEGENER[],MATCH(CONCATENATE($C$4,"MANT",A14),BDEGENER[GA6],0),62),""),"")</f>
        <v>29 KW</v>
      </c>
      <c r="H14" s="658" t="str">
        <f>IF($C$4&lt;&gt;"",IFERROR(INDEX(BDEGENER[],MATCH(CONCATENATE($C$4,"MANT",A14),BDEGENER[GA6],0),40),""),"")</f>
        <v>51 PSI</v>
      </c>
      <c r="I14" s="658" t="str">
        <f>IF($C$4&lt;&gt;"",IFERROR(INDEX(BDEGENER[],MATCH(CONCATENATE($C$4,"MANT",A14),BDEGENER[GA6],0),39),""),"")</f>
        <v>201 °F</v>
      </c>
      <c r="J14" s="658" t="str">
        <f>IF($C$4&lt;&gt;"",IFERROR(INDEX(BDEGENER[],MATCH(CONCATENATE($C$4,"MANT",A14),BDEGENER[GA6],0),38),""),"")</f>
        <v>13.7 V</v>
      </c>
      <c r="K14" s="658" t="str">
        <f>IF($C$4&lt;&gt;"",IFERROR(INDEX(BDEGENER[],MATCH(CONCATENATE($C$4,"MANT",A14),BDEGENER[GA6],0),41),""),"")</f>
        <v>OPERATIVO</v>
      </c>
      <c r="L14" s="667" t="str">
        <f>IF($C$4&lt;&gt;"",IFERROR(INDEX(BDEGENER[],MATCH(CONCATENATE($C$4,"MANT",A14),BDEGENER[GA6],0),12),""),"")</f>
        <v>PL-502</v>
      </c>
    </row>
    <row r="15" spans="1:12" x14ac:dyDescent="0.3">
      <c r="A15" s="660">
        <v>9</v>
      </c>
      <c r="B15" s="665">
        <f>IF($C$4&lt;&gt;"",IFERROR(INDEX(BDEGENER[],MATCH(CONCATENATE($C$4,"MANT",A15),BDEGENER[GA6],0),10),""),"")</f>
        <v>43810</v>
      </c>
      <c r="C15" s="658" t="str">
        <f>IF($C$4&lt;&gt;"",IFERROR(INDEX(BDEGENER[],MATCH(CONCATENATE($C$4,"MANT",A15),BDEGENER[GA6],0),49),""),"")</f>
        <v>MANTENIMIENTO CORRECTIVO N°1</v>
      </c>
      <c r="D15" s="658">
        <f>IF($C$4&lt;&gt;"",IFERROR(INDEX(BDEGENER[],MATCH(CONCATENATE($C$4,"MANT",A15),BDEGENER[GA6],0),60),""),"")</f>
        <v>0</v>
      </c>
      <c r="E15" s="658">
        <f>IF($C$4&lt;&gt;"",IFERROR(INDEX(BDEGENER[],MATCH(CONCATENATE($C$4,"MANT",A15),BDEGENER[GA6],0),31),""),"")</f>
        <v>747.9</v>
      </c>
      <c r="F15" s="560">
        <f>IF(INDICADORES[[#This Row],[HORAS]]="NR","NR",IF(INDICADORES[[#This Row],[KW-HR]]="","",INDICADORES[[#This Row],[KW-HR]]/INDICADORES[[#This Row],[HORAS]]))</f>
        <v>0</v>
      </c>
      <c r="G15" s="658">
        <f>IF($C$4&lt;&gt;"",IFERROR(INDEX(BDEGENER[],MATCH(CONCATENATE($C$4,"MANT",A15),BDEGENER[GA6],0),62),""),"")</f>
        <v>0</v>
      </c>
      <c r="H15" s="658">
        <f>IF($C$4&lt;&gt;"",IFERROR(INDEX(BDEGENER[],MATCH(CONCATENATE($C$4,"MANT",A15),BDEGENER[GA6],0),40),""),"")</f>
        <v>0</v>
      </c>
      <c r="I15" s="658">
        <f>IF($C$4&lt;&gt;"",IFERROR(INDEX(BDEGENER[],MATCH(CONCATENATE($C$4,"MANT",A15),BDEGENER[GA6],0),39),""),"")</f>
        <v>0</v>
      </c>
      <c r="J15" s="658">
        <f>IF($C$4&lt;&gt;"",IFERROR(INDEX(BDEGENER[],MATCH(CONCATENATE($C$4,"MANT",A15),BDEGENER[GA6],0),38),""),"")</f>
        <v>0</v>
      </c>
      <c r="K15" s="658" t="str">
        <f>IF($C$4&lt;&gt;"",IFERROR(INDEX(BDEGENER[],MATCH(CONCATENATE($C$4,"MANT",A15),BDEGENER[GA6],0),41),""),"")</f>
        <v>OPERATIVO</v>
      </c>
      <c r="L15" s="667" t="str">
        <f>IF($C$4&lt;&gt;"",IFERROR(INDEX(BDEGENER[],MATCH(CONCATENATE($C$4,"MANT",A15),BDEGENER[GA6],0),12),""),"")</f>
        <v>PL-502</v>
      </c>
    </row>
    <row r="16" spans="1:12" x14ac:dyDescent="0.3">
      <c r="A16" s="660">
        <v>10</v>
      </c>
      <c r="B16" s="665">
        <f>IF($C$4&lt;&gt;"",IFERROR(INDEX(BDEGENER[],MATCH(CONCATENATE($C$4,"MANT",A16),BDEGENER[GA6],0),10),""),"")</f>
        <v>43791</v>
      </c>
      <c r="C16" s="658" t="str">
        <f>IF($C$4&lt;&gt;"",IFERROR(INDEX(BDEGENER[],MATCH(CONCATENATE($C$4,"MANT",A16),BDEGENER[GA6],0),49),""),"")</f>
        <v>MANTENIMIENTO PREVENTIVO N°2</v>
      </c>
      <c r="D16" s="658">
        <f>IF($C$4&lt;&gt;"",IFERROR(INDEX(BDEGENER[],MATCH(CONCATENATE($C$4,"MANT",A16),BDEGENER[GA6],0),60),""),"")</f>
        <v>0</v>
      </c>
      <c r="E16" s="658">
        <f>IF($C$4&lt;&gt;"",IFERROR(INDEX(BDEGENER[],MATCH(CONCATENATE($C$4,"MANT",A16),BDEGENER[GA6],0),31),""),"")</f>
        <v>706.6</v>
      </c>
      <c r="F16" s="560">
        <f>IF(INDICADORES[[#This Row],[HORAS]]="NR","NR",IF(INDICADORES[[#This Row],[KW-HR]]="","",INDICADORES[[#This Row],[KW-HR]]/INDICADORES[[#This Row],[HORAS]]))</f>
        <v>0</v>
      </c>
      <c r="G16" s="658">
        <f>IF($C$4&lt;&gt;"",IFERROR(INDEX(BDEGENER[],MATCH(CONCATENATE($C$4,"MANT",A16),BDEGENER[GA6],0),62),""),"")</f>
        <v>0</v>
      </c>
      <c r="H16" s="658" t="str">
        <f>IF($C$4&lt;&gt;"",IFERROR(INDEX(BDEGENER[],MATCH(CONCATENATE($C$4,"MANT",A16),BDEGENER[GA6],0),40),""),"")</f>
        <v>66 PSI</v>
      </c>
      <c r="I16" s="658" t="str">
        <f>IF($C$4&lt;&gt;"",IFERROR(INDEX(BDEGENER[],MATCH(CONCATENATE($C$4,"MANT",A16),BDEGENER[GA6],0),39),""),"")</f>
        <v>182 °F</v>
      </c>
      <c r="J16" s="658" t="str">
        <f>IF($C$4&lt;&gt;"",IFERROR(INDEX(BDEGENER[],MATCH(CONCATENATE($C$4,"MANT",A16),BDEGENER[GA6],0),38),""),"")</f>
        <v>13.2 V</v>
      </c>
      <c r="K16" s="658" t="str">
        <f>IF($C$4&lt;&gt;"",IFERROR(INDEX(BDEGENER[],MATCH(CONCATENATE($C$4,"MANT",A16),BDEGENER[GA6],0),41),""),"")</f>
        <v>OPERATIVO</v>
      </c>
      <c r="L16" s="667" t="str">
        <f>IF($C$4&lt;&gt;"",IFERROR(INDEX(BDEGENER[],MATCH(CONCATENATE($C$4,"MANT",A16),BDEGENER[GA6],0),12),""),"")</f>
        <v>PL-502</v>
      </c>
    </row>
    <row r="17" spans="1:12" x14ac:dyDescent="0.3">
      <c r="A17" s="660">
        <v>11</v>
      </c>
      <c r="B17" s="665">
        <f>IF($C$4&lt;&gt;"",IFERROR(INDEX(BDEGENER[],MATCH(CONCATENATE($C$4,"MANT",A17),BDEGENER[GA6],0),10),""),"")</f>
        <v>43759</v>
      </c>
      <c r="C17" s="658" t="str">
        <f>IF($C$4&lt;&gt;"",IFERROR(INDEX(BDEGENER[],MATCH(CONCATENATE($C$4,"MANT",A17),BDEGENER[GA6],0),49),""),"")</f>
        <v>MANTENIMIENTO PREVENTIVO N°1</v>
      </c>
      <c r="D17" s="658">
        <f>IF($C$4&lt;&gt;"",IFERROR(INDEX(BDEGENER[],MATCH(CONCATENATE($C$4,"MANT",A17),BDEGENER[GA6],0),60),""),"")</f>
        <v>0</v>
      </c>
      <c r="E17" s="658">
        <f>IF($C$4&lt;&gt;"",IFERROR(INDEX(BDEGENER[],MATCH(CONCATENATE($C$4,"MANT",A17),BDEGENER[GA6],0),31),""),"")</f>
        <v>408.4</v>
      </c>
      <c r="F17" s="560">
        <f>IF(INDICADORES[[#This Row],[HORAS]]="NR","NR",IF(INDICADORES[[#This Row],[KW-HR]]="","",INDICADORES[[#This Row],[KW-HR]]/INDICADORES[[#This Row],[HORAS]]))</f>
        <v>0</v>
      </c>
      <c r="G17" s="658">
        <f>IF($C$4&lt;&gt;"",IFERROR(INDEX(BDEGENER[],MATCH(CONCATENATE($C$4,"MANT",A17),BDEGENER[GA6],0),62),""),"")</f>
        <v>0</v>
      </c>
      <c r="H17" s="658">
        <f>IF($C$4&lt;&gt;"",IFERROR(INDEX(BDEGENER[],MATCH(CONCATENATE($C$4,"MANT",A17),BDEGENER[GA6],0),40),""),"")</f>
        <v>0</v>
      </c>
      <c r="I17" s="658">
        <f>IF($C$4&lt;&gt;"",IFERROR(INDEX(BDEGENER[],MATCH(CONCATENATE($C$4,"MANT",A17),BDEGENER[GA6],0),39),""),"")</f>
        <v>0</v>
      </c>
      <c r="J17" s="658">
        <f>IF($C$4&lt;&gt;"",IFERROR(INDEX(BDEGENER[],MATCH(CONCATENATE($C$4,"MANT",A17),BDEGENER[GA6],0),38),""),"")</f>
        <v>0</v>
      </c>
      <c r="K17" s="658" t="str">
        <f>IF($C$4&lt;&gt;"",IFERROR(INDEX(BDEGENER[],MATCH(CONCATENATE($C$4,"MANT",A17),BDEGENER[GA6],0),41),""),"")</f>
        <v>OPERATIVO</v>
      </c>
      <c r="L17" s="667" t="str">
        <f>IF($C$4&lt;&gt;"",IFERROR(INDEX(BDEGENER[],MATCH(CONCATENATE($C$4,"MANT",A17),BDEGENER[GA6],0),12),""),"")</f>
        <v>PL-502</v>
      </c>
    </row>
    <row r="18" spans="1:12" x14ac:dyDescent="0.3">
      <c r="A18" s="660">
        <v>12</v>
      </c>
      <c r="B18" s="665">
        <f>IF($C$4&lt;&gt;"",IFERROR(INDEX(BDEGENER[],MATCH(CONCATENATE($C$4,"MANT",A18),BDEGENER[GA6],0),10),""),"")</f>
        <v>43584</v>
      </c>
      <c r="C18" s="658" t="str">
        <f>IF($C$4&lt;&gt;"",IFERROR(INDEX(BDEGENER[],MATCH(CONCATENATE($C$4,"MANT",A18),BDEGENER[GA6],0),49),""),"")</f>
        <v>PUESTA EN MARCHA</v>
      </c>
      <c r="D18" s="658">
        <f>IF($C$4&lt;&gt;"",IFERROR(INDEX(BDEGENER[],MATCH(CONCATENATE($C$4,"MANT",A18),BDEGENER[GA6],0),60),""),"")</f>
        <v>0</v>
      </c>
      <c r="E18" s="658">
        <f>IF($C$4&lt;&gt;"",IFERROR(INDEX(BDEGENER[],MATCH(CONCATENATE($C$4,"MANT",A18),BDEGENER[GA6],0),31),""),"")</f>
        <v>1.1000000000000001</v>
      </c>
      <c r="F18" s="560">
        <f>IF(INDICADORES[[#This Row],[HORAS]]="NR","NR",IF(INDICADORES[[#This Row],[KW-HR]]="","",INDICADORES[[#This Row],[KW-HR]]/INDICADORES[[#This Row],[HORAS]]))</f>
        <v>0</v>
      </c>
      <c r="G18" s="658">
        <f>IF($C$4&lt;&gt;"",IFERROR(INDEX(BDEGENER[],MATCH(CONCATENATE($C$4,"MANT",A18),BDEGENER[GA6],0),62),""),"")</f>
        <v>0</v>
      </c>
      <c r="H18" s="658">
        <f>IF($C$4&lt;&gt;"",IFERROR(INDEX(BDEGENER[],MATCH(CONCATENATE($C$4,"MANT",A18),BDEGENER[GA6],0),40),""),"")</f>
        <v>0</v>
      </c>
      <c r="I18" s="658">
        <f>IF($C$4&lt;&gt;"",IFERROR(INDEX(BDEGENER[],MATCH(CONCATENATE($C$4,"MANT",A18),BDEGENER[GA6],0),39),""),"")</f>
        <v>0</v>
      </c>
      <c r="J18" s="658">
        <f>IF($C$4&lt;&gt;"",IFERROR(INDEX(BDEGENER[],MATCH(CONCATENATE($C$4,"MANT",A18),BDEGENER[GA6],0),38),""),"")</f>
        <v>0</v>
      </c>
      <c r="K18" s="658" t="str">
        <f>IF($C$4&lt;&gt;"",IFERROR(INDEX(BDEGENER[],MATCH(CONCATENATE($C$4,"MANT",A18),BDEGENER[GA6],0),41),""),"")</f>
        <v>OPERATIVO</v>
      </c>
      <c r="L18" s="667" t="str">
        <f>IF($C$4&lt;&gt;"",IFERROR(INDEX(BDEGENER[],MATCH(CONCATENATE($C$4,"MANT",A18),BDEGENER[GA6],0),12),""),"")</f>
        <v>PL-502</v>
      </c>
    </row>
    <row r="19" spans="1:12" x14ac:dyDescent="0.3">
      <c r="A19" s="660">
        <v>13</v>
      </c>
      <c r="B19" s="665" t="str">
        <f>IF($C$4&lt;&gt;"",IFERROR(INDEX(BDEGENER[],MATCH(CONCATENATE($C$4,"MANT",A19),BDEGENER[GA6],0),10),""),"")</f>
        <v/>
      </c>
      <c r="C19" s="658" t="str">
        <f>IF($C$4&lt;&gt;"",IFERROR(INDEX(BDEGENER[],MATCH(CONCATENATE($C$4,"MANT",A19),BDEGENER[GA6],0),49),""),"")</f>
        <v/>
      </c>
      <c r="D19" s="658" t="str">
        <f>IF($C$4&lt;&gt;"",IFERROR(INDEX(BDEGENER[],MATCH(CONCATENATE($C$4,"MANT",A19),BDEGENER[GA6],0),60),""),"")</f>
        <v/>
      </c>
      <c r="E19" s="658" t="str">
        <f>IF($C$4&lt;&gt;"",IFERROR(INDEX(BDEGENER[],MATCH(CONCATENATE($C$4,"MANT",A19),BDEGENER[GA6],0),31),""),"")</f>
        <v/>
      </c>
      <c r="F19" s="560" t="str">
        <f>IF(INDICADORES[[#This Row],[HORAS]]="NR","NR",IF(INDICADORES[[#This Row],[KW-HR]]="","",INDICADORES[[#This Row],[KW-HR]]/INDICADORES[[#This Row],[HORAS]]))</f>
        <v/>
      </c>
      <c r="G19" s="658" t="str">
        <f>IF($C$4&lt;&gt;"",IFERROR(INDEX(BDEGENER[],MATCH(CONCATENATE($C$4,"MANT",A19),BDEGENER[GA6],0),62),""),"")</f>
        <v/>
      </c>
      <c r="H19" s="658" t="str">
        <f>IF($C$4&lt;&gt;"",IFERROR(INDEX(BDEGENER[],MATCH(CONCATENATE($C$4,"MANT",A19),BDEGENER[GA6],0),40),""),"")</f>
        <v/>
      </c>
      <c r="I19" s="658" t="str">
        <f>IF($C$4&lt;&gt;"",IFERROR(INDEX(BDEGENER[],MATCH(CONCATENATE($C$4,"MANT",A19),BDEGENER[GA6],0),39),""),"")</f>
        <v/>
      </c>
      <c r="J19" s="658" t="str">
        <f>IF($C$4&lt;&gt;"",IFERROR(INDEX(BDEGENER[],MATCH(CONCATENATE($C$4,"MANT",A19),BDEGENER[GA6],0),38),""),"")</f>
        <v/>
      </c>
      <c r="K19" s="658" t="str">
        <f>IF($C$4&lt;&gt;"",IFERROR(INDEX(BDEGENER[],MATCH(CONCATENATE($C$4,"MANT",A19),BDEGENER[GA6],0),41),""),"")</f>
        <v/>
      </c>
      <c r="L19" s="667" t="str">
        <f>IF($C$4&lt;&gt;"",IFERROR(INDEX(BDEGENER[],MATCH(CONCATENATE($C$4,"MANT",A19),BDEGENER[GA6],0),12),""),"")</f>
        <v/>
      </c>
    </row>
    <row r="20" spans="1:12" x14ac:dyDescent="0.3">
      <c r="A20" s="660">
        <v>14</v>
      </c>
      <c r="B20" s="665" t="str">
        <f>IF($C$4&lt;&gt;"",IFERROR(INDEX(BDEGENER[],MATCH(CONCATENATE($C$4,"MANT",A20),BDEGENER[GA6],0),10),""),"")</f>
        <v/>
      </c>
      <c r="C20" s="658" t="str">
        <f>IF($C$4&lt;&gt;"",IFERROR(INDEX(BDEGENER[],MATCH(CONCATENATE($C$4,"MANT",A20),BDEGENER[GA6],0),49),""),"")</f>
        <v/>
      </c>
      <c r="D20" s="658" t="str">
        <f>IF($C$4&lt;&gt;"",IFERROR(INDEX(BDEGENER[],MATCH(CONCATENATE($C$4,"MANT",A20),BDEGENER[GA6],0),60),""),"")</f>
        <v/>
      </c>
      <c r="E20" s="658" t="str">
        <f>IF($C$4&lt;&gt;"",IFERROR(INDEX(BDEGENER[],MATCH(CONCATENATE($C$4,"MANT",A20),BDEGENER[GA6],0),31),""),"")</f>
        <v/>
      </c>
      <c r="F20" s="560" t="str">
        <f>IF(INDICADORES[[#This Row],[HORAS]]="NR","NR",IF(INDICADORES[[#This Row],[KW-HR]]="","",INDICADORES[[#This Row],[KW-HR]]/INDICADORES[[#This Row],[HORAS]]))</f>
        <v/>
      </c>
      <c r="G20" s="658" t="str">
        <f>IF($C$4&lt;&gt;"",IFERROR(INDEX(BDEGENER[],MATCH(CONCATENATE($C$4,"MANT",A20),BDEGENER[GA6],0),62),""),"")</f>
        <v/>
      </c>
      <c r="H20" s="658" t="str">
        <f>IF($C$4&lt;&gt;"",IFERROR(INDEX(BDEGENER[],MATCH(CONCATENATE($C$4,"MANT",A20),BDEGENER[GA6],0),40),""),"")</f>
        <v/>
      </c>
      <c r="I20" s="658" t="str">
        <f>IF($C$4&lt;&gt;"",IFERROR(INDEX(BDEGENER[],MATCH(CONCATENATE($C$4,"MANT",A20),BDEGENER[GA6],0),39),""),"")</f>
        <v/>
      </c>
      <c r="J20" s="658" t="str">
        <f>IF($C$4&lt;&gt;"",IFERROR(INDEX(BDEGENER[],MATCH(CONCATENATE($C$4,"MANT",A20),BDEGENER[GA6],0),38),""),"")</f>
        <v/>
      </c>
      <c r="K20" s="658" t="str">
        <f>IF($C$4&lt;&gt;"",IFERROR(INDEX(BDEGENER[],MATCH(CONCATENATE($C$4,"MANT",A20),BDEGENER[GA6],0),41),""),"")</f>
        <v/>
      </c>
      <c r="L20" s="667" t="str">
        <f>IF($C$4&lt;&gt;"",IFERROR(INDEX(BDEGENER[],MATCH(CONCATENATE($C$4,"MANT",A20),BDEGENER[GA6],0),12),""),"")</f>
        <v/>
      </c>
    </row>
    <row r="21" spans="1:12" x14ac:dyDescent="0.3">
      <c r="A21" s="660">
        <v>15</v>
      </c>
      <c r="B21" s="665" t="str">
        <f>IF($C$4&lt;&gt;"",IFERROR(INDEX(BDEGENER[],MATCH(CONCATENATE($C$4,"MANT",A21),BDEGENER[GA6],0),10),""),"")</f>
        <v/>
      </c>
      <c r="C21" s="658" t="str">
        <f>IF($C$4&lt;&gt;"",IFERROR(INDEX(BDEGENER[],MATCH(CONCATENATE($C$4,"MANT",A21),BDEGENER[GA6],0),49),""),"")</f>
        <v/>
      </c>
      <c r="D21" s="658" t="str">
        <f>IF($C$4&lt;&gt;"",IFERROR(INDEX(BDEGENER[],MATCH(CONCATENATE($C$4,"MANT",A21),BDEGENER[GA6],0),60),""),"")</f>
        <v/>
      </c>
      <c r="E21" s="658" t="str">
        <f>IF($C$4&lt;&gt;"",IFERROR(INDEX(BDEGENER[],MATCH(CONCATENATE($C$4,"MANT",A21),BDEGENER[GA6],0),31),""),"")</f>
        <v/>
      </c>
      <c r="F21" s="560" t="str">
        <f>IF(INDICADORES[[#This Row],[HORAS]]="NR","NR",IF(INDICADORES[[#This Row],[KW-HR]]="","",INDICADORES[[#This Row],[KW-HR]]/INDICADORES[[#This Row],[HORAS]]))</f>
        <v/>
      </c>
      <c r="G21" s="658" t="str">
        <f>IF($C$4&lt;&gt;"",IFERROR(INDEX(BDEGENER[],MATCH(CONCATENATE($C$4,"MANT",A21),BDEGENER[GA6],0),62),""),"")</f>
        <v/>
      </c>
      <c r="H21" s="658" t="str">
        <f>IF($C$4&lt;&gt;"",IFERROR(INDEX(BDEGENER[],MATCH(CONCATENATE($C$4,"MANT",A21),BDEGENER[GA6],0),40),""),"")</f>
        <v/>
      </c>
      <c r="I21" s="658" t="str">
        <f>IF($C$4&lt;&gt;"",IFERROR(INDEX(BDEGENER[],MATCH(CONCATENATE($C$4,"MANT",A21),BDEGENER[GA6],0),39),""),"")</f>
        <v/>
      </c>
      <c r="J21" s="658" t="str">
        <f>IF($C$4&lt;&gt;"",IFERROR(INDEX(BDEGENER[],MATCH(CONCATENATE($C$4,"MANT",A21),BDEGENER[GA6],0),38),""),"")</f>
        <v/>
      </c>
      <c r="K21" s="658" t="str">
        <f>IF($C$4&lt;&gt;"",IFERROR(INDEX(BDEGENER[],MATCH(CONCATENATE($C$4,"MANT",A21),BDEGENER[GA6],0),41),""),"")</f>
        <v/>
      </c>
      <c r="L21" s="667" t="str">
        <f>IF($C$4&lt;&gt;"",IFERROR(INDEX(BDEGENER[],MATCH(CONCATENATE($C$4,"MANT",A21),BDEGENER[GA6],0),12),""),"")</f>
        <v/>
      </c>
    </row>
    <row r="22" spans="1:12" x14ac:dyDescent="0.3">
      <c r="A22" s="660">
        <v>16</v>
      </c>
      <c r="B22" s="665" t="str">
        <f>IF($C$4&lt;&gt;"",IFERROR(INDEX(BDEGENER[],MATCH(CONCATENATE($C$4,"MANT",A22),BDEGENER[GA6],0),10),""),"")</f>
        <v/>
      </c>
      <c r="C22" s="658" t="str">
        <f>IF($C$4&lt;&gt;"",IFERROR(INDEX(BDEGENER[],MATCH(CONCATENATE($C$4,"MANT",A22),BDEGENER[GA6],0),49),""),"")</f>
        <v/>
      </c>
      <c r="D22" s="658" t="str">
        <f>IF($C$4&lt;&gt;"",IFERROR(INDEX(BDEGENER[],MATCH(CONCATENATE($C$4,"MANT",A22),BDEGENER[GA6],0),60),""),"")</f>
        <v/>
      </c>
      <c r="E22" s="658" t="str">
        <f>IF($C$4&lt;&gt;"",IFERROR(INDEX(BDEGENER[],MATCH(CONCATENATE($C$4,"MANT",A22),BDEGENER[GA6],0),31),""),"")</f>
        <v/>
      </c>
      <c r="F22" s="560" t="str">
        <f>IF(INDICADORES[[#This Row],[HORAS]]="NR","NR",IF(INDICADORES[[#This Row],[KW-HR]]="","",INDICADORES[[#This Row],[KW-HR]]/INDICADORES[[#This Row],[HORAS]]))</f>
        <v/>
      </c>
      <c r="G22" s="658" t="str">
        <f>IF($C$4&lt;&gt;"",IFERROR(INDEX(BDEGENER[],MATCH(CONCATENATE($C$4,"MANT",A22),BDEGENER[GA6],0),62),""),"")</f>
        <v/>
      </c>
      <c r="H22" s="658" t="str">
        <f>IF($C$4&lt;&gt;"",IFERROR(INDEX(BDEGENER[],MATCH(CONCATENATE($C$4,"MANT",A22),BDEGENER[GA6],0),40),""),"")</f>
        <v/>
      </c>
      <c r="I22" s="658" t="str">
        <f>IF($C$4&lt;&gt;"",IFERROR(INDEX(BDEGENER[],MATCH(CONCATENATE($C$4,"MANT",A22),BDEGENER[GA6],0),39),""),"")</f>
        <v/>
      </c>
      <c r="J22" s="658" t="str">
        <f>IF($C$4&lt;&gt;"",IFERROR(INDEX(BDEGENER[],MATCH(CONCATENATE($C$4,"MANT",A22),BDEGENER[GA6],0),38),""),"")</f>
        <v/>
      </c>
      <c r="K22" s="658" t="str">
        <f>IF($C$4&lt;&gt;"",IFERROR(INDEX(BDEGENER[],MATCH(CONCATENATE($C$4,"MANT",A22),BDEGENER[GA6],0),41),""),"")</f>
        <v/>
      </c>
      <c r="L22" s="667" t="str">
        <f>IF($C$4&lt;&gt;"",IFERROR(INDEX(BDEGENER[],MATCH(CONCATENATE($C$4,"MANT",A22),BDEGENER[GA6],0),12),""),"")</f>
        <v/>
      </c>
    </row>
    <row r="23" spans="1:12" x14ac:dyDescent="0.3">
      <c r="A23" s="660">
        <v>17</v>
      </c>
      <c r="B23" s="665" t="str">
        <f>IF($C$4&lt;&gt;"",IFERROR(INDEX(BDEGENER[],MATCH(CONCATENATE($C$4,"MANT",A23),BDEGENER[GA6],0),10),""),"")</f>
        <v/>
      </c>
      <c r="C23" s="658" t="str">
        <f>IF($C$4&lt;&gt;"",IFERROR(INDEX(BDEGENER[],MATCH(CONCATENATE($C$4,"MANT",A23),BDEGENER[GA6],0),49),""),"")</f>
        <v/>
      </c>
      <c r="D23" s="658" t="str">
        <f>IF($C$4&lt;&gt;"",IFERROR(INDEX(BDEGENER[],MATCH(CONCATENATE($C$4,"MANT",A23),BDEGENER[GA6],0),60),""),"")</f>
        <v/>
      </c>
      <c r="E23" s="658" t="str">
        <f>IF($C$4&lt;&gt;"",IFERROR(INDEX(BDEGENER[],MATCH(CONCATENATE($C$4,"MANT",A23),BDEGENER[GA6],0),31),""),"")</f>
        <v/>
      </c>
      <c r="F23" s="560" t="str">
        <f>IF(INDICADORES[[#This Row],[HORAS]]="NR","NR",IF(INDICADORES[[#This Row],[KW-HR]]="","",INDICADORES[[#This Row],[KW-HR]]/INDICADORES[[#This Row],[HORAS]]))</f>
        <v/>
      </c>
      <c r="G23" s="658" t="str">
        <f>IF($C$4&lt;&gt;"",IFERROR(INDEX(BDEGENER[],MATCH(CONCATENATE($C$4,"MANT",A23),BDEGENER[GA6],0),62),""),"")</f>
        <v/>
      </c>
      <c r="H23" s="658" t="str">
        <f>IF($C$4&lt;&gt;"",IFERROR(INDEX(BDEGENER[],MATCH(CONCATENATE($C$4,"MANT",A23),BDEGENER[GA6],0),40),""),"")</f>
        <v/>
      </c>
      <c r="I23" s="658" t="str">
        <f>IF($C$4&lt;&gt;"",IFERROR(INDEX(BDEGENER[],MATCH(CONCATENATE($C$4,"MANT",A23),BDEGENER[GA6],0),39),""),"")</f>
        <v/>
      </c>
      <c r="J23" s="658" t="str">
        <f>IF($C$4&lt;&gt;"",IFERROR(INDEX(BDEGENER[],MATCH(CONCATENATE($C$4,"MANT",A23),BDEGENER[GA6],0),38),""),"")</f>
        <v/>
      </c>
      <c r="K23" s="658" t="str">
        <f>IF($C$4&lt;&gt;"",IFERROR(INDEX(BDEGENER[],MATCH(CONCATENATE($C$4,"MANT",A23),BDEGENER[GA6],0),41),""),"")</f>
        <v/>
      </c>
      <c r="L23" s="667" t="str">
        <f>IF($C$4&lt;&gt;"",IFERROR(INDEX(BDEGENER[],MATCH(CONCATENATE($C$4,"MANT",A23),BDEGENER[GA6],0),12),""),"")</f>
        <v/>
      </c>
    </row>
    <row r="24" spans="1:12" x14ac:dyDescent="0.3">
      <c r="A24" s="660">
        <v>18</v>
      </c>
      <c r="B24" s="665" t="str">
        <f>IF($C$4&lt;&gt;"",IFERROR(INDEX(BDEGENER[],MATCH(CONCATENATE($C$4,"MANT",A24),BDEGENER[GA6],0),10),""),"")</f>
        <v/>
      </c>
      <c r="C24" s="658" t="str">
        <f>IF($C$4&lt;&gt;"",IFERROR(INDEX(BDEGENER[],MATCH(CONCATENATE($C$4,"MANT",A24),BDEGENER[GA6],0),49),""),"")</f>
        <v/>
      </c>
      <c r="D24" s="658" t="str">
        <f>IF($C$4&lt;&gt;"",IFERROR(INDEX(BDEGENER[],MATCH(CONCATENATE($C$4,"MANT",A24),BDEGENER[GA6],0),60),""),"")</f>
        <v/>
      </c>
      <c r="E24" s="658" t="str">
        <f>IF($C$4&lt;&gt;"",IFERROR(INDEX(BDEGENER[],MATCH(CONCATENATE($C$4,"MANT",A24),BDEGENER[GA6],0),31),""),"")</f>
        <v/>
      </c>
      <c r="F24" s="560" t="str">
        <f>IF(INDICADORES[[#This Row],[HORAS]]="NR","NR",IF(INDICADORES[[#This Row],[KW-HR]]="","",INDICADORES[[#This Row],[KW-HR]]/INDICADORES[[#This Row],[HORAS]]))</f>
        <v/>
      </c>
      <c r="G24" s="658" t="str">
        <f>IF($C$4&lt;&gt;"",IFERROR(INDEX(BDEGENER[],MATCH(CONCATENATE($C$4,"MANT",A24),BDEGENER[GA6],0),62),""),"")</f>
        <v/>
      </c>
      <c r="H24" s="658" t="str">
        <f>IF($C$4&lt;&gt;"",IFERROR(INDEX(BDEGENER[],MATCH(CONCATENATE($C$4,"MANT",A24),BDEGENER[GA6],0),40),""),"")</f>
        <v/>
      </c>
      <c r="I24" s="658" t="str">
        <f>IF($C$4&lt;&gt;"",IFERROR(INDEX(BDEGENER[],MATCH(CONCATENATE($C$4,"MANT",A24),BDEGENER[GA6],0),39),""),"")</f>
        <v/>
      </c>
      <c r="J24" s="658" t="str">
        <f>IF($C$4&lt;&gt;"",IFERROR(INDEX(BDEGENER[],MATCH(CONCATENATE($C$4,"MANT",A24),BDEGENER[GA6],0),38),""),"")</f>
        <v/>
      </c>
      <c r="K24" s="658" t="str">
        <f>IF($C$4&lt;&gt;"",IFERROR(INDEX(BDEGENER[],MATCH(CONCATENATE($C$4,"MANT",A24),BDEGENER[GA6],0),41),""),"")</f>
        <v/>
      </c>
      <c r="L24" s="667" t="str">
        <f>IF($C$4&lt;&gt;"",IFERROR(INDEX(BDEGENER[],MATCH(CONCATENATE($C$4,"MANT",A24),BDEGENER[GA6],0),12),""),"")</f>
        <v/>
      </c>
    </row>
    <row r="25" spans="1:12" x14ac:dyDescent="0.3">
      <c r="A25" s="660">
        <v>19</v>
      </c>
      <c r="B25" s="665" t="str">
        <f>IF($C$4&lt;&gt;"",IFERROR(INDEX(BDEGENER[],MATCH(CONCATENATE($C$4,"MANT",A25),BDEGENER[GA6],0),10),""),"")</f>
        <v/>
      </c>
      <c r="C25" s="658" t="str">
        <f>IF($C$4&lt;&gt;"",IFERROR(INDEX(BDEGENER[],MATCH(CONCATENATE($C$4,"MANT",A25),BDEGENER[GA6],0),49),""),"")</f>
        <v/>
      </c>
      <c r="D25" s="658" t="str">
        <f>IF($C$4&lt;&gt;"",IFERROR(INDEX(BDEGENER[],MATCH(CONCATENATE($C$4,"MANT",A25),BDEGENER[GA6],0),60),""),"")</f>
        <v/>
      </c>
      <c r="E25" s="658" t="str">
        <f>IF($C$4&lt;&gt;"",IFERROR(INDEX(BDEGENER[],MATCH(CONCATENATE($C$4,"MANT",A25),BDEGENER[GA6],0),31),""),"")</f>
        <v/>
      </c>
      <c r="F25" s="560" t="str">
        <f>IF(INDICADORES[[#This Row],[HORAS]]="NR","NR",IF(INDICADORES[[#This Row],[KW-HR]]="","",INDICADORES[[#This Row],[KW-HR]]/INDICADORES[[#This Row],[HORAS]]))</f>
        <v/>
      </c>
      <c r="G25" s="658" t="str">
        <f>IF($C$4&lt;&gt;"",IFERROR(INDEX(BDEGENER[],MATCH(CONCATENATE($C$4,"MANT",A25),BDEGENER[GA6],0),62),""),"")</f>
        <v/>
      </c>
      <c r="H25" s="658" t="str">
        <f>IF($C$4&lt;&gt;"",IFERROR(INDEX(BDEGENER[],MATCH(CONCATENATE($C$4,"MANT",A25),BDEGENER[GA6],0),40),""),"")</f>
        <v/>
      </c>
      <c r="I25" s="658" t="str">
        <f>IF($C$4&lt;&gt;"",IFERROR(INDEX(BDEGENER[],MATCH(CONCATENATE($C$4,"MANT",A25),BDEGENER[GA6],0),39),""),"")</f>
        <v/>
      </c>
      <c r="J25" s="658" t="str">
        <f>IF($C$4&lt;&gt;"",IFERROR(INDEX(BDEGENER[],MATCH(CONCATENATE($C$4,"MANT",A25),BDEGENER[GA6],0),38),""),"")</f>
        <v/>
      </c>
      <c r="K25" s="658" t="str">
        <f>IF($C$4&lt;&gt;"",IFERROR(INDEX(BDEGENER[],MATCH(CONCATENATE($C$4,"MANT",A25),BDEGENER[GA6],0),41),""),"")</f>
        <v/>
      </c>
      <c r="L25" s="667" t="str">
        <f>IF($C$4&lt;&gt;"",IFERROR(INDEX(BDEGENER[],MATCH(CONCATENATE($C$4,"MANT",A25),BDEGENER[GA6],0),12),""),"")</f>
        <v/>
      </c>
    </row>
    <row r="26" spans="1:12" x14ac:dyDescent="0.3">
      <c r="A26" s="660">
        <v>20</v>
      </c>
      <c r="B26" s="665" t="str">
        <f>IF($C$4&lt;&gt;"",IFERROR(INDEX(BDEGENER[],MATCH(CONCATENATE($C$4,"MANT",A26),BDEGENER[GA6],0),10),""),"")</f>
        <v/>
      </c>
      <c r="C26" s="658" t="str">
        <f>IF($C$4&lt;&gt;"",IFERROR(INDEX(BDEGENER[],MATCH(CONCATENATE($C$4,"MANT",A26),BDEGENER[GA6],0),49),""),"")</f>
        <v/>
      </c>
      <c r="D26" s="658" t="str">
        <f>IF($C$4&lt;&gt;"",IFERROR(INDEX(BDEGENER[],MATCH(CONCATENATE($C$4,"MANT",A26),BDEGENER[GA6],0),60),""),"")</f>
        <v/>
      </c>
      <c r="E26" s="658" t="str">
        <f>IF($C$4&lt;&gt;"",IFERROR(INDEX(BDEGENER[],MATCH(CONCATENATE($C$4,"MANT",A26),BDEGENER[GA6],0),31),""),"")</f>
        <v/>
      </c>
      <c r="F26" s="560" t="str">
        <f>IF(INDICADORES[[#This Row],[HORAS]]="NR","NR",IF(INDICADORES[[#This Row],[KW-HR]]="","",INDICADORES[[#This Row],[KW-HR]]/INDICADORES[[#This Row],[HORAS]]))</f>
        <v/>
      </c>
      <c r="G26" s="658" t="str">
        <f>IF($C$4&lt;&gt;"",IFERROR(INDEX(BDEGENER[],MATCH(CONCATENATE($C$4,"MANT",A26),BDEGENER[GA6],0),62),""),"")</f>
        <v/>
      </c>
      <c r="H26" s="658" t="str">
        <f>IF($C$4&lt;&gt;"",IFERROR(INDEX(BDEGENER[],MATCH(CONCATENATE($C$4,"MANT",A26),BDEGENER[GA6],0),40),""),"")</f>
        <v/>
      </c>
      <c r="I26" s="658" t="str">
        <f>IF($C$4&lt;&gt;"",IFERROR(INDEX(BDEGENER[],MATCH(CONCATENATE($C$4,"MANT",A26),BDEGENER[GA6],0),39),""),"")</f>
        <v/>
      </c>
      <c r="J26" s="658" t="str">
        <f>IF($C$4&lt;&gt;"",IFERROR(INDEX(BDEGENER[],MATCH(CONCATENATE($C$4,"MANT",A26),BDEGENER[GA6],0),38),""),"")</f>
        <v/>
      </c>
      <c r="K26" s="658" t="str">
        <f>IF($C$4&lt;&gt;"",IFERROR(INDEX(BDEGENER[],MATCH(CONCATENATE($C$4,"MANT",A26),BDEGENER[GA6],0),41),""),"")</f>
        <v/>
      </c>
      <c r="L26" s="667" t="str">
        <f>IF($C$4&lt;&gt;"",IFERROR(INDEX(BDEGENER[],MATCH(CONCATENATE($C$4,"MANT",A26),BDEGENER[GA6],0),12),""),"")</f>
        <v/>
      </c>
    </row>
    <row r="27" spans="1:12" x14ac:dyDescent="0.3">
      <c r="A27" s="660">
        <v>21</v>
      </c>
      <c r="B27" s="665" t="str">
        <f>IF($C$4&lt;&gt;"",IFERROR(INDEX(BDEGENER[],MATCH(CONCATENATE($C$4,"MANT",A27),BDEGENER[GA6],0),10),""),"")</f>
        <v/>
      </c>
      <c r="C27" s="658" t="str">
        <f>IF($C$4&lt;&gt;"",IFERROR(INDEX(BDEGENER[],MATCH(CONCATENATE($C$4,"MANT",A27),BDEGENER[GA6],0),49),""),"")</f>
        <v/>
      </c>
      <c r="D27" s="658" t="str">
        <f>IF($C$4&lt;&gt;"",IFERROR(INDEX(BDEGENER[],MATCH(CONCATENATE($C$4,"MANT",A27),BDEGENER[GA6],0),60),""),"")</f>
        <v/>
      </c>
      <c r="E27" s="658" t="str">
        <f>IF($C$4&lt;&gt;"",IFERROR(INDEX(BDEGENER[],MATCH(CONCATENATE($C$4,"MANT",A27),BDEGENER[GA6],0),31),""),"")</f>
        <v/>
      </c>
      <c r="F27" s="560" t="str">
        <f>IF(INDICADORES[[#This Row],[HORAS]]="NR","NR",IF(INDICADORES[[#This Row],[KW-HR]]="","",INDICADORES[[#This Row],[KW-HR]]/INDICADORES[[#This Row],[HORAS]]))</f>
        <v/>
      </c>
      <c r="G27" s="658" t="str">
        <f>IF($C$4&lt;&gt;"",IFERROR(INDEX(BDEGENER[],MATCH(CONCATENATE($C$4,"MANT",A27),BDEGENER[GA6],0),62),""),"")</f>
        <v/>
      </c>
      <c r="H27" s="658" t="str">
        <f>IF($C$4&lt;&gt;"",IFERROR(INDEX(BDEGENER[],MATCH(CONCATENATE($C$4,"MANT",A27),BDEGENER[GA6],0),40),""),"")</f>
        <v/>
      </c>
      <c r="I27" s="658" t="str">
        <f>IF($C$4&lt;&gt;"",IFERROR(INDEX(BDEGENER[],MATCH(CONCATENATE($C$4,"MANT",A27),BDEGENER[GA6],0),39),""),"")</f>
        <v/>
      </c>
      <c r="J27" s="658" t="str">
        <f>IF($C$4&lt;&gt;"",IFERROR(INDEX(BDEGENER[],MATCH(CONCATENATE($C$4,"MANT",A27),BDEGENER[GA6],0),38),""),"")</f>
        <v/>
      </c>
      <c r="K27" s="658" t="str">
        <f>IF($C$4&lt;&gt;"",IFERROR(INDEX(BDEGENER[],MATCH(CONCATENATE($C$4,"MANT",A27),BDEGENER[GA6],0),41),""),"")</f>
        <v/>
      </c>
      <c r="L27" s="667" t="str">
        <f>IF($C$4&lt;&gt;"",IFERROR(INDEX(BDEGENER[],MATCH(CONCATENATE($C$4,"MANT",A27),BDEGENER[GA6],0),12),""),"")</f>
        <v/>
      </c>
    </row>
    <row r="28" spans="1:12" x14ac:dyDescent="0.3">
      <c r="A28" s="660">
        <v>22</v>
      </c>
      <c r="B28" s="665" t="str">
        <f>IF($C$4&lt;&gt;"",IFERROR(INDEX(BDEGENER[],MATCH(CONCATENATE($C$4,"MANT",A28),BDEGENER[GA6],0),10),""),"")</f>
        <v/>
      </c>
      <c r="C28" s="658" t="str">
        <f>IF($C$4&lt;&gt;"",IFERROR(INDEX(BDEGENER[],MATCH(CONCATENATE($C$4,"MANT",A28),BDEGENER[GA6],0),49),""),"")</f>
        <v/>
      </c>
      <c r="D28" s="658" t="str">
        <f>IF($C$4&lt;&gt;"",IFERROR(INDEX(BDEGENER[],MATCH(CONCATENATE($C$4,"MANT",A28),BDEGENER[GA6],0),60),""),"")</f>
        <v/>
      </c>
      <c r="E28" s="658" t="str">
        <f>IF($C$4&lt;&gt;"",IFERROR(INDEX(BDEGENER[],MATCH(CONCATENATE($C$4,"MANT",A28),BDEGENER[GA6],0),31),""),"")</f>
        <v/>
      </c>
      <c r="F28" s="560" t="str">
        <f>IF(INDICADORES[[#This Row],[HORAS]]="NR","NR",IF(INDICADORES[[#This Row],[KW-HR]]="","",INDICADORES[[#This Row],[KW-HR]]/INDICADORES[[#This Row],[HORAS]]))</f>
        <v/>
      </c>
      <c r="G28" s="658" t="str">
        <f>IF($C$4&lt;&gt;"",IFERROR(INDEX(BDEGENER[],MATCH(CONCATENATE($C$4,"MANT",A28),BDEGENER[GA6],0),62),""),"")</f>
        <v/>
      </c>
      <c r="H28" s="658" t="str">
        <f>IF($C$4&lt;&gt;"",IFERROR(INDEX(BDEGENER[],MATCH(CONCATENATE($C$4,"MANT",A28),BDEGENER[GA6],0),40),""),"")</f>
        <v/>
      </c>
      <c r="I28" s="658" t="str">
        <f>IF($C$4&lt;&gt;"",IFERROR(INDEX(BDEGENER[],MATCH(CONCATENATE($C$4,"MANT",A28),BDEGENER[GA6],0),39),""),"")</f>
        <v/>
      </c>
      <c r="J28" s="658" t="str">
        <f>IF($C$4&lt;&gt;"",IFERROR(INDEX(BDEGENER[],MATCH(CONCATENATE($C$4,"MANT",A28),BDEGENER[GA6],0),38),""),"")</f>
        <v/>
      </c>
      <c r="K28" s="658" t="str">
        <f>IF($C$4&lt;&gt;"",IFERROR(INDEX(BDEGENER[],MATCH(CONCATENATE($C$4,"MANT",A28),BDEGENER[GA6],0),41),""),"")</f>
        <v/>
      </c>
      <c r="L28" s="667" t="str">
        <f>IF($C$4&lt;&gt;"",IFERROR(INDEX(BDEGENER[],MATCH(CONCATENATE($C$4,"MANT",A28),BDEGENER[GA6],0),12),""),"")</f>
        <v/>
      </c>
    </row>
    <row r="29" spans="1:12" x14ac:dyDescent="0.3">
      <c r="A29" s="660">
        <v>23</v>
      </c>
      <c r="B29" s="665" t="str">
        <f>IF($C$4&lt;&gt;"",IFERROR(INDEX(BDEGENER[],MATCH(CONCATENATE($C$4,"MANT",A29),BDEGENER[GA6],0),10),""),"")</f>
        <v/>
      </c>
      <c r="C29" s="658" t="str">
        <f>IF($C$4&lt;&gt;"",IFERROR(INDEX(BDEGENER[],MATCH(CONCATENATE($C$4,"MANT",A29),BDEGENER[GA6],0),49),""),"")</f>
        <v/>
      </c>
      <c r="D29" s="658" t="str">
        <f>IF($C$4&lt;&gt;"",IFERROR(INDEX(BDEGENER[],MATCH(CONCATENATE($C$4,"MANT",A29),BDEGENER[GA6],0),60),""),"")</f>
        <v/>
      </c>
      <c r="E29" s="658" t="str">
        <f>IF($C$4&lt;&gt;"",IFERROR(INDEX(BDEGENER[],MATCH(CONCATENATE($C$4,"MANT",A29),BDEGENER[GA6],0),31),""),"")</f>
        <v/>
      </c>
      <c r="F29" s="560" t="str">
        <f>IF(INDICADORES[[#This Row],[HORAS]]="NR","NR",IF(INDICADORES[[#This Row],[KW-HR]]="","",INDICADORES[[#This Row],[KW-HR]]/INDICADORES[[#This Row],[HORAS]]))</f>
        <v/>
      </c>
      <c r="G29" s="658" t="str">
        <f>IF($C$4&lt;&gt;"",IFERROR(INDEX(BDEGENER[],MATCH(CONCATENATE($C$4,"MANT",A29),BDEGENER[GA6],0),62),""),"")</f>
        <v/>
      </c>
      <c r="H29" s="658" t="str">
        <f>IF($C$4&lt;&gt;"",IFERROR(INDEX(BDEGENER[],MATCH(CONCATENATE($C$4,"MANT",A29),BDEGENER[GA6],0),40),""),"")</f>
        <v/>
      </c>
      <c r="I29" s="658" t="str">
        <f>IF($C$4&lt;&gt;"",IFERROR(INDEX(BDEGENER[],MATCH(CONCATENATE($C$4,"MANT",A29),BDEGENER[GA6],0),39),""),"")</f>
        <v/>
      </c>
      <c r="J29" s="658" t="str">
        <f>IF($C$4&lt;&gt;"",IFERROR(INDEX(BDEGENER[],MATCH(CONCATENATE($C$4,"MANT",A29),BDEGENER[GA6],0),38),""),"")</f>
        <v/>
      </c>
      <c r="K29" s="658" t="str">
        <f>IF($C$4&lt;&gt;"",IFERROR(INDEX(BDEGENER[],MATCH(CONCATENATE($C$4,"MANT",A29),BDEGENER[GA6],0),41),""),"")</f>
        <v/>
      </c>
      <c r="L29" s="667" t="str">
        <f>IF($C$4&lt;&gt;"",IFERROR(INDEX(BDEGENER[],MATCH(CONCATENATE($C$4,"MANT",A29),BDEGENER[GA6],0),12),""),"")</f>
        <v/>
      </c>
    </row>
    <row r="30" spans="1:12" x14ac:dyDescent="0.3">
      <c r="A30" s="660">
        <v>24</v>
      </c>
      <c r="B30" s="665" t="str">
        <f>IF($C$4&lt;&gt;"",IFERROR(INDEX(BDEGENER[],MATCH(CONCATENATE($C$4,"MANT",A30),BDEGENER[GA6],0),10),""),"")</f>
        <v/>
      </c>
      <c r="C30" s="658" t="str">
        <f>IF($C$4&lt;&gt;"",IFERROR(INDEX(BDEGENER[],MATCH(CONCATENATE($C$4,"MANT",A30),BDEGENER[GA6],0),49),""),"")</f>
        <v/>
      </c>
      <c r="D30" s="658" t="str">
        <f>IF($C$4&lt;&gt;"",IFERROR(INDEX(BDEGENER[],MATCH(CONCATENATE($C$4,"MANT",A30),BDEGENER[GA6],0),60),""),"")</f>
        <v/>
      </c>
      <c r="E30" s="658" t="str">
        <f>IF($C$4&lt;&gt;"",IFERROR(INDEX(BDEGENER[],MATCH(CONCATENATE($C$4,"MANT",A30),BDEGENER[GA6],0),31),""),"")</f>
        <v/>
      </c>
      <c r="F30" s="560" t="str">
        <f>IF(INDICADORES[[#This Row],[HORAS]]="NR","NR",IF(INDICADORES[[#This Row],[KW-HR]]="","",INDICADORES[[#This Row],[KW-HR]]/INDICADORES[[#This Row],[HORAS]]))</f>
        <v/>
      </c>
      <c r="G30" s="658" t="str">
        <f>IF($C$4&lt;&gt;"",IFERROR(INDEX(BDEGENER[],MATCH(CONCATENATE($C$4,"MANT",A30),BDEGENER[GA6],0),62),""),"")</f>
        <v/>
      </c>
      <c r="H30" s="658" t="str">
        <f>IF($C$4&lt;&gt;"",IFERROR(INDEX(BDEGENER[],MATCH(CONCATENATE($C$4,"MANT",A30),BDEGENER[GA6],0),40),""),"")</f>
        <v/>
      </c>
      <c r="I30" s="658" t="str">
        <f>IF($C$4&lt;&gt;"",IFERROR(INDEX(BDEGENER[],MATCH(CONCATENATE($C$4,"MANT",A30),BDEGENER[GA6],0),39),""),"")</f>
        <v/>
      </c>
      <c r="J30" s="658" t="str">
        <f>IF($C$4&lt;&gt;"",IFERROR(INDEX(BDEGENER[],MATCH(CONCATENATE($C$4,"MANT",A30),BDEGENER[GA6],0),38),""),"")</f>
        <v/>
      </c>
      <c r="K30" s="658" t="str">
        <f>IF($C$4&lt;&gt;"",IFERROR(INDEX(BDEGENER[],MATCH(CONCATENATE($C$4,"MANT",A30),BDEGENER[GA6],0),41),""),"")</f>
        <v/>
      </c>
      <c r="L30" s="667" t="str">
        <f>IF($C$4&lt;&gt;"",IFERROR(INDEX(BDEGENER[],MATCH(CONCATENATE($C$4,"MANT",A30),BDEGENER[GA6],0),12),""),"")</f>
        <v/>
      </c>
    </row>
    <row r="31" spans="1:12" x14ac:dyDescent="0.3">
      <c r="A31" s="660">
        <v>25</v>
      </c>
      <c r="B31" s="665" t="str">
        <f>IF($C$4&lt;&gt;"",IFERROR(INDEX(BDEGENER[],MATCH(CONCATENATE($C$4,"MANT",A31),BDEGENER[GA6],0),10),""),"")</f>
        <v/>
      </c>
      <c r="C31" s="658" t="str">
        <f>IF($C$4&lt;&gt;"",IFERROR(INDEX(BDEGENER[],MATCH(CONCATENATE($C$4,"MANT",A31),BDEGENER[GA6],0),49),""),"")</f>
        <v/>
      </c>
      <c r="D31" s="658" t="str">
        <f>IF($C$4&lt;&gt;"",IFERROR(INDEX(BDEGENER[],MATCH(CONCATENATE($C$4,"MANT",A31),BDEGENER[GA6],0),60),""),"")</f>
        <v/>
      </c>
      <c r="E31" s="658" t="str">
        <f>IF($C$4&lt;&gt;"",IFERROR(INDEX(BDEGENER[],MATCH(CONCATENATE($C$4,"MANT",A31),BDEGENER[GA6],0),31),""),"")</f>
        <v/>
      </c>
      <c r="F31" s="560" t="str">
        <f>IF(INDICADORES[[#This Row],[HORAS]]="NR","NR",IF(INDICADORES[[#This Row],[KW-HR]]="","",INDICADORES[[#This Row],[KW-HR]]/INDICADORES[[#This Row],[HORAS]]))</f>
        <v/>
      </c>
      <c r="G31" s="658" t="str">
        <f>IF($C$4&lt;&gt;"",IFERROR(INDEX(BDEGENER[],MATCH(CONCATENATE($C$4,"MANT",A31),BDEGENER[GA6],0),62),""),"")</f>
        <v/>
      </c>
      <c r="H31" s="658" t="str">
        <f>IF($C$4&lt;&gt;"",IFERROR(INDEX(BDEGENER[],MATCH(CONCATENATE($C$4,"MANT",A31),BDEGENER[GA6],0),40),""),"")</f>
        <v/>
      </c>
      <c r="I31" s="658" t="str">
        <f>IF($C$4&lt;&gt;"",IFERROR(INDEX(BDEGENER[],MATCH(CONCATENATE($C$4,"MANT",A31),BDEGENER[GA6],0),39),""),"")</f>
        <v/>
      </c>
      <c r="J31" s="658" t="str">
        <f>IF($C$4&lt;&gt;"",IFERROR(INDEX(BDEGENER[],MATCH(CONCATENATE($C$4,"MANT",A31),BDEGENER[GA6],0),38),""),"")</f>
        <v/>
      </c>
      <c r="K31" s="658" t="str">
        <f>IF($C$4&lt;&gt;"",IFERROR(INDEX(BDEGENER[],MATCH(CONCATENATE($C$4,"MANT",A31),BDEGENER[GA6],0),41),""),"")</f>
        <v/>
      </c>
      <c r="L31" s="667" t="str">
        <f>IF($C$4&lt;&gt;"",IFERROR(INDEX(BDEGENER[],MATCH(CONCATENATE($C$4,"MANT",A31),BDEGENER[GA6],0),12),""),"")</f>
        <v/>
      </c>
    </row>
    <row r="32" spans="1:12" x14ac:dyDescent="0.3">
      <c r="A32" s="660">
        <v>26</v>
      </c>
      <c r="B32" s="665" t="str">
        <f>IF($C$4&lt;&gt;"",IFERROR(INDEX(BDEGENER[],MATCH(CONCATENATE($C$4,"MANT",A32),BDEGENER[GA6],0),10),""),"")</f>
        <v/>
      </c>
      <c r="C32" s="658" t="str">
        <f>IF($C$4&lt;&gt;"",IFERROR(INDEX(BDEGENER[],MATCH(CONCATENATE($C$4,"MANT",A32),BDEGENER[GA6],0),49),""),"")</f>
        <v/>
      </c>
      <c r="D32" s="658" t="str">
        <f>IF($C$4&lt;&gt;"",IFERROR(INDEX(BDEGENER[],MATCH(CONCATENATE($C$4,"MANT",A32),BDEGENER[GA6],0),60),""),"")</f>
        <v/>
      </c>
      <c r="E32" s="658" t="str">
        <f>IF($C$4&lt;&gt;"",IFERROR(INDEX(BDEGENER[],MATCH(CONCATENATE($C$4,"MANT",A32),BDEGENER[GA6],0),31),""),"")</f>
        <v/>
      </c>
      <c r="F32" s="560" t="str">
        <f>IF(INDICADORES[[#This Row],[HORAS]]="NR","NR",IF(INDICADORES[[#This Row],[KW-HR]]="","",INDICADORES[[#This Row],[KW-HR]]/INDICADORES[[#This Row],[HORAS]]))</f>
        <v/>
      </c>
      <c r="G32" s="658" t="str">
        <f>IF($C$4&lt;&gt;"",IFERROR(INDEX(BDEGENER[],MATCH(CONCATENATE($C$4,"MANT",A32),BDEGENER[GA6],0),62),""),"")</f>
        <v/>
      </c>
      <c r="H32" s="658" t="str">
        <f>IF($C$4&lt;&gt;"",IFERROR(INDEX(BDEGENER[],MATCH(CONCATENATE($C$4,"MANT",A32),BDEGENER[GA6],0),40),""),"")</f>
        <v/>
      </c>
      <c r="I32" s="658" t="str">
        <f>IF($C$4&lt;&gt;"",IFERROR(INDEX(BDEGENER[],MATCH(CONCATENATE($C$4,"MANT",A32),BDEGENER[GA6],0),39),""),"")</f>
        <v/>
      </c>
      <c r="J32" s="658" t="str">
        <f>IF($C$4&lt;&gt;"",IFERROR(INDEX(BDEGENER[],MATCH(CONCATENATE($C$4,"MANT",A32),BDEGENER[GA6],0),38),""),"")</f>
        <v/>
      </c>
      <c r="K32" s="658" t="str">
        <f>IF($C$4&lt;&gt;"",IFERROR(INDEX(BDEGENER[],MATCH(CONCATENATE($C$4,"MANT",A32),BDEGENER[GA6],0),41),""),"")</f>
        <v/>
      </c>
      <c r="L32" s="667" t="str">
        <f>IF($C$4&lt;&gt;"",IFERROR(INDEX(BDEGENER[],MATCH(CONCATENATE($C$4,"MANT",A32),BDEGENER[GA6],0),12),""),"")</f>
        <v/>
      </c>
    </row>
    <row r="33" spans="1:12" x14ac:dyDescent="0.3">
      <c r="A33" s="660">
        <v>27</v>
      </c>
      <c r="B33" s="665" t="str">
        <f>IF($C$4&lt;&gt;"",IFERROR(INDEX(BDEGENER[],MATCH(CONCATENATE($C$4,"MANT",A33),BDEGENER[GA6],0),10),""),"")</f>
        <v/>
      </c>
      <c r="C33" s="658" t="str">
        <f>IF($C$4&lt;&gt;"",IFERROR(INDEX(BDEGENER[],MATCH(CONCATENATE($C$4,"MANT",A33),BDEGENER[GA6],0),49),""),"")</f>
        <v/>
      </c>
      <c r="D33" s="658" t="str">
        <f>IF($C$4&lt;&gt;"",IFERROR(INDEX(BDEGENER[],MATCH(CONCATENATE($C$4,"MANT",A33),BDEGENER[GA6],0),60),""),"")</f>
        <v/>
      </c>
      <c r="E33" s="658" t="str">
        <f>IF($C$4&lt;&gt;"",IFERROR(INDEX(BDEGENER[],MATCH(CONCATENATE($C$4,"MANT",A33),BDEGENER[GA6],0),31),""),"")</f>
        <v/>
      </c>
      <c r="F33" s="560" t="str">
        <f>IF(INDICADORES[[#This Row],[HORAS]]="NR","NR",IF(INDICADORES[[#This Row],[KW-HR]]="","",INDICADORES[[#This Row],[KW-HR]]/INDICADORES[[#This Row],[HORAS]]))</f>
        <v/>
      </c>
      <c r="G33" s="658" t="str">
        <f>IF($C$4&lt;&gt;"",IFERROR(INDEX(BDEGENER[],MATCH(CONCATENATE($C$4,"MANT",A33),BDEGENER[GA6],0),62),""),"")</f>
        <v/>
      </c>
      <c r="H33" s="658" t="str">
        <f>IF($C$4&lt;&gt;"",IFERROR(INDEX(BDEGENER[],MATCH(CONCATENATE($C$4,"MANT",A33),BDEGENER[GA6],0),40),""),"")</f>
        <v/>
      </c>
      <c r="I33" s="658" t="str">
        <f>IF($C$4&lt;&gt;"",IFERROR(INDEX(BDEGENER[],MATCH(CONCATENATE($C$4,"MANT",A33),BDEGENER[GA6],0),39),""),"")</f>
        <v/>
      </c>
      <c r="J33" s="658" t="str">
        <f>IF($C$4&lt;&gt;"",IFERROR(INDEX(BDEGENER[],MATCH(CONCATENATE($C$4,"MANT",A33),BDEGENER[GA6],0),38),""),"")</f>
        <v/>
      </c>
      <c r="K33" s="658" t="str">
        <f>IF($C$4&lt;&gt;"",IFERROR(INDEX(BDEGENER[],MATCH(CONCATENATE($C$4,"MANT",A33),BDEGENER[GA6],0),41),""),"")</f>
        <v/>
      </c>
      <c r="L33" s="667" t="str">
        <f>IF($C$4&lt;&gt;"",IFERROR(INDEX(BDEGENER[],MATCH(CONCATENATE($C$4,"MANT",A33),BDEGENER[GA6],0),12),""),"")</f>
        <v/>
      </c>
    </row>
    <row r="34" spans="1:12" x14ac:dyDescent="0.3">
      <c r="A34" s="660">
        <v>28</v>
      </c>
      <c r="B34" s="665" t="str">
        <f>IF($C$4&lt;&gt;"",IFERROR(INDEX(BDEGENER[],MATCH(CONCATENATE($C$4,"MANT",A34),BDEGENER[GA6],0),10),""),"")</f>
        <v/>
      </c>
      <c r="C34" s="658" t="str">
        <f>IF($C$4&lt;&gt;"",IFERROR(INDEX(BDEGENER[],MATCH(CONCATENATE($C$4,"MANT",A34),BDEGENER[GA6],0),49),""),"")</f>
        <v/>
      </c>
      <c r="D34" s="658" t="str">
        <f>IF($C$4&lt;&gt;"",IFERROR(INDEX(BDEGENER[],MATCH(CONCATENATE($C$4,"MANT",A34),BDEGENER[GA6],0),60),""),"")</f>
        <v/>
      </c>
      <c r="E34" s="658" t="str">
        <f>IF($C$4&lt;&gt;"",IFERROR(INDEX(BDEGENER[],MATCH(CONCATENATE($C$4,"MANT",A34),BDEGENER[GA6],0),31),""),"")</f>
        <v/>
      </c>
      <c r="F34" s="560" t="str">
        <f>IF(INDICADORES[[#This Row],[HORAS]]="NR","NR",IF(INDICADORES[[#This Row],[KW-HR]]="","",INDICADORES[[#This Row],[KW-HR]]/INDICADORES[[#This Row],[HORAS]]))</f>
        <v/>
      </c>
      <c r="G34" s="658" t="str">
        <f>IF($C$4&lt;&gt;"",IFERROR(INDEX(BDEGENER[],MATCH(CONCATENATE($C$4,"MANT",A34),BDEGENER[GA6],0),62),""),"")</f>
        <v/>
      </c>
      <c r="H34" s="658" t="str">
        <f>IF($C$4&lt;&gt;"",IFERROR(INDEX(BDEGENER[],MATCH(CONCATENATE($C$4,"MANT",A34),BDEGENER[GA6],0),40),""),"")</f>
        <v/>
      </c>
      <c r="I34" s="658" t="str">
        <f>IF($C$4&lt;&gt;"",IFERROR(INDEX(BDEGENER[],MATCH(CONCATENATE($C$4,"MANT",A34),BDEGENER[GA6],0),39),""),"")</f>
        <v/>
      </c>
      <c r="J34" s="658" t="str">
        <f>IF($C$4&lt;&gt;"",IFERROR(INDEX(BDEGENER[],MATCH(CONCATENATE($C$4,"MANT",A34),BDEGENER[GA6],0),38),""),"")</f>
        <v/>
      </c>
      <c r="K34" s="658" t="str">
        <f>IF($C$4&lt;&gt;"",IFERROR(INDEX(BDEGENER[],MATCH(CONCATENATE($C$4,"MANT",A34),BDEGENER[GA6],0),41),""),"")</f>
        <v/>
      </c>
      <c r="L34" s="667" t="str">
        <f>IF($C$4&lt;&gt;"",IFERROR(INDEX(BDEGENER[],MATCH(CONCATENATE($C$4,"MANT",A34),BDEGENER[GA6],0),12),""),"")</f>
        <v/>
      </c>
    </row>
    <row r="35" spans="1:12" x14ac:dyDescent="0.3">
      <c r="A35" s="660">
        <v>29</v>
      </c>
      <c r="B35" s="665" t="str">
        <f>IF($C$4&lt;&gt;"",IFERROR(INDEX(BDEGENER[],MATCH(CONCATENATE($C$4,"MANT",A35),BDEGENER[GA6],0),10),""),"")</f>
        <v/>
      </c>
      <c r="C35" s="658" t="str">
        <f>IF($C$4&lt;&gt;"",IFERROR(INDEX(BDEGENER[],MATCH(CONCATENATE($C$4,"MANT",A35),BDEGENER[GA6],0),49),""),"")</f>
        <v/>
      </c>
      <c r="D35" s="658" t="str">
        <f>IF($C$4&lt;&gt;"",IFERROR(INDEX(BDEGENER[],MATCH(CONCATENATE($C$4,"MANT",A35),BDEGENER[GA6],0),60),""),"")</f>
        <v/>
      </c>
      <c r="E35" s="658" t="str">
        <f>IF($C$4&lt;&gt;"",IFERROR(INDEX(BDEGENER[],MATCH(CONCATENATE($C$4,"MANT",A35),BDEGENER[GA6],0),31),""),"")</f>
        <v/>
      </c>
      <c r="F35" s="560" t="str">
        <f>IF(INDICADORES[[#This Row],[HORAS]]="NR","NR",IF(INDICADORES[[#This Row],[KW-HR]]="","",INDICADORES[[#This Row],[KW-HR]]/INDICADORES[[#This Row],[HORAS]]))</f>
        <v/>
      </c>
      <c r="G35" s="658" t="str">
        <f>IF($C$4&lt;&gt;"",IFERROR(INDEX(BDEGENER[],MATCH(CONCATENATE($C$4,"MANT",A35),BDEGENER[GA6],0),62),""),"")</f>
        <v/>
      </c>
      <c r="H35" s="658" t="str">
        <f>IF($C$4&lt;&gt;"",IFERROR(INDEX(BDEGENER[],MATCH(CONCATENATE($C$4,"MANT",A35),BDEGENER[GA6],0),40),""),"")</f>
        <v/>
      </c>
      <c r="I35" s="658" t="str">
        <f>IF($C$4&lt;&gt;"",IFERROR(INDEX(BDEGENER[],MATCH(CONCATENATE($C$4,"MANT",A35),BDEGENER[GA6],0),39),""),"")</f>
        <v/>
      </c>
      <c r="J35" s="658" t="str">
        <f>IF($C$4&lt;&gt;"",IFERROR(INDEX(BDEGENER[],MATCH(CONCATENATE($C$4,"MANT",A35),BDEGENER[GA6],0),38),""),"")</f>
        <v/>
      </c>
      <c r="K35" s="658" t="str">
        <f>IF($C$4&lt;&gt;"",IFERROR(INDEX(BDEGENER[],MATCH(CONCATENATE($C$4,"MANT",A35),BDEGENER[GA6],0),41),""),"")</f>
        <v/>
      </c>
      <c r="L35" s="667" t="str">
        <f>IF($C$4&lt;&gt;"",IFERROR(INDEX(BDEGENER[],MATCH(CONCATENATE($C$4,"MANT",A35),BDEGENER[GA6],0),12),""),"")</f>
        <v/>
      </c>
    </row>
    <row r="36" spans="1:12" x14ac:dyDescent="0.3">
      <c r="A36" s="660">
        <v>30</v>
      </c>
      <c r="B36" s="668" t="str">
        <f>IF($C$4&lt;&gt;"",IFERROR(INDEX(BDEGENER[],MATCH(CONCATENATE($C$4,"MANT",A36),BDEGENER[GA6],0),10),""),"")</f>
        <v/>
      </c>
      <c r="C36" s="669" t="str">
        <f>IF($C$4&lt;&gt;"",IFERROR(INDEX(BDEGENER[],MATCH(CONCATENATE($C$4,"MANT",A36),BDEGENER[GA6],0),49),""),"")</f>
        <v/>
      </c>
      <c r="D36" s="669" t="str">
        <f>IF($C$4&lt;&gt;"",IFERROR(INDEX(BDEGENER[],MATCH(CONCATENATE($C$4,"MANT",A36),BDEGENER[GA6],0),60),""),"")</f>
        <v/>
      </c>
      <c r="E36" s="669" t="str">
        <f>IF($C$4&lt;&gt;"",IFERROR(INDEX(BDEGENER[],MATCH(CONCATENATE($C$4,"MANT",A36),BDEGENER[GA6],0),31),""),"")</f>
        <v/>
      </c>
      <c r="F36" s="652" t="str">
        <f>IF(INDICADORES[[#This Row],[HORAS]]="NR","NR",IF(INDICADORES[[#This Row],[KW-HR]]="","",INDICADORES[[#This Row],[KW-HR]]/INDICADORES[[#This Row],[HORAS]]))</f>
        <v/>
      </c>
      <c r="G36" s="669" t="str">
        <f>IF($C$4&lt;&gt;"",IFERROR(INDEX(BDEGENER[],MATCH(CONCATENATE($C$4,"MANT",A36),BDEGENER[GA6],0),62),""),"")</f>
        <v/>
      </c>
      <c r="H36" s="669" t="str">
        <f>IF($C$4&lt;&gt;"",IFERROR(INDEX(BDEGENER[],MATCH(CONCATENATE($C$4,"MANT",A36),BDEGENER[GA6],0),40),""),"")</f>
        <v/>
      </c>
      <c r="I36" s="669" t="str">
        <f>IF($C$4&lt;&gt;"",IFERROR(INDEX(BDEGENER[],MATCH(CONCATENATE($C$4,"MANT",A36),BDEGENER[GA6],0),39),""),"")</f>
        <v/>
      </c>
      <c r="J36" s="669" t="str">
        <f>IF($C$4&lt;&gt;"",IFERROR(INDEX(BDEGENER[],MATCH(CONCATENATE($C$4,"MANT",A36),BDEGENER[GA6],0),38),""),"")</f>
        <v/>
      </c>
      <c r="K36" s="669" t="str">
        <f>IF($C$4&lt;&gt;"",IFERROR(INDEX(BDEGENER[],MATCH(CONCATENATE($C$4,"MANT",A36),BDEGENER[GA6],0),41),""),"")</f>
        <v/>
      </c>
      <c r="L36" s="670" t="str">
        <f>IF($C$4&lt;&gt;"",IFERROR(INDEX(BDEGENER[],MATCH(CONCATENATE($C$4,"MANT",A36),BDEGENER[GA6],0),12),""),"")</f>
        <v/>
      </c>
    </row>
    <row r="37" spans="1:12" x14ac:dyDescent="0.3"/>
    <row r="38" spans="1:12" x14ac:dyDescent="0.3"/>
    <row r="41" spans="1:12" ht="5.25" hidden="1" customHeight="1" x14ac:dyDescent="0.3"/>
  </sheetData>
  <sheetProtection algorithmName="SHA-512" hashValue="fBaQgPOLXel6/va/5aJhRQRioL+mGibiN2TZfyw+2Z2sc3sd9b/73+7Tyin24zmyT1a86jRYzVzNmcljG9KfsQ==" saltValue="ua2ABa3YNiO+1W8KrcEjBw==" spinCount="100000" sheet="1" objects="1" scenarios="1"/>
  <mergeCells count="1">
    <mergeCell ref="B2:G2"/>
  </mergeCells>
  <conditionalFormatting sqref="F7:F36">
    <cfRule type="containsText" dxfId="199" priority="1" operator="containsText" text="#¡VALOR!">
      <formula>NOT(ISERROR(SEARCH("#¡VALOR!",F7)))</formula>
    </cfRule>
  </conditionalFormatting>
  <dataValidations count="1">
    <dataValidation type="list" allowBlank="1" showInputMessage="1" showErrorMessage="1" sqref="C4" xr:uid="{00000000-0002-0000-0A00-000000000000}">
      <formula1>SERIEGRUPO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5" r:id="rId3" name="Button 3">
              <controlPr defaultSize="0" print="0" autoFill="0" autoPict="0" macro="[0]!IrMenuPrincipal">
                <anchor>
                  <from>
                    <xdr:col>5</xdr:col>
                    <xdr:colOff>1013460</xdr:colOff>
                    <xdr:row>1</xdr:row>
                    <xdr:rowOff>22860</xdr:rowOff>
                  </from>
                  <to>
                    <xdr:col>6</xdr:col>
                    <xdr:colOff>937260</xdr:colOff>
                    <xdr:row>1</xdr:row>
                    <xdr:rowOff>304800</xdr:rowOff>
                  </to>
                </anchor>
              </controlPr>
            </control>
          </mc:Choice>
        </mc:AlternateContent>
      </controls>
    </mc:Choice>
  </mc:AlternateContent>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7"/>
  <dimension ref="A1:J31"/>
  <sheetViews>
    <sheetView showRowColHeaders="0" zoomScale="90" zoomScaleNormal="90" workbookViewId="0">
      <selection activeCell="D2" sqref="D2:E2"/>
    </sheetView>
  </sheetViews>
  <sheetFormatPr baseColWidth="10" defaultColWidth="0" defaultRowHeight="14.4" zeroHeight="1" x14ac:dyDescent="0.3"/>
  <cols>
    <col min="1" max="1" width="6.6640625" style="75" customWidth="1"/>
    <col min="2" max="2" width="8.109375" style="75" customWidth="1"/>
    <col min="3" max="3" width="13.109375" style="75" customWidth="1"/>
    <col min="4" max="4" width="33.33203125" style="75" customWidth="1"/>
    <col min="5" max="5" width="20.88671875" style="75" customWidth="1"/>
    <col min="6" max="7" width="17.6640625" style="75" customWidth="1"/>
    <col min="8" max="8" width="11.109375" style="76" customWidth="1"/>
    <col min="9" max="9" width="34.33203125" style="75" customWidth="1"/>
    <col min="10" max="10" width="11.44140625" style="75" customWidth="1"/>
    <col min="11" max="16384" width="11.44140625" style="75" hidden="1"/>
  </cols>
  <sheetData>
    <row r="1" spans="1:10" ht="15" thickBot="1" x14ac:dyDescent="0.35">
      <c r="A1" s="166"/>
      <c r="B1" s="166"/>
      <c r="C1" s="166"/>
      <c r="D1" s="166"/>
      <c r="E1" s="166"/>
      <c r="F1" s="166"/>
      <c r="G1" s="166"/>
      <c r="H1" s="189"/>
      <c r="I1" s="166"/>
      <c r="J1" s="166"/>
    </row>
    <row r="2" spans="1:10" ht="15" thickBot="1" x14ac:dyDescent="0.35">
      <c r="A2" s="166"/>
      <c r="B2" s="166"/>
      <c r="C2" s="166"/>
      <c r="D2" s="1047" t="s">
        <v>1780</v>
      </c>
      <c r="E2" s="1048"/>
      <c r="F2" s="166"/>
      <c r="G2" s="1049" t="s">
        <v>158</v>
      </c>
      <c r="H2" s="1050"/>
      <c r="I2" s="555" t="str">
        <f>IFERROR(INDEX(BDEGENER[],MATCH(E3,BDEGENER[SERIE],0),11),"")</f>
        <v/>
      </c>
      <c r="J2" s="190"/>
    </row>
    <row r="3" spans="1:10" ht="15" thickBot="1" x14ac:dyDescent="0.35">
      <c r="A3" s="166"/>
      <c r="B3" s="166"/>
      <c r="C3" s="188"/>
      <c r="D3" s="569" t="s">
        <v>7</v>
      </c>
      <c r="E3" s="567"/>
      <c r="F3" s="166"/>
      <c r="G3" s="1051" t="s">
        <v>9</v>
      </c>
      <c r="H3" s="1052"/>
      <c r="I3" s="556" t="str">
        <f>IFERROR(INDEX(BDEGENER[],MATCH(E3,BDEGENER[SERIE],0),26),"")</f>
        <v/>
      </c>
      <c r="J3" s="190"/>
    </row>
    <row r="4" spans="1:10" ht="15" thickBot="1" x14ac:dyDescent="0.35">
      <c r="A4" s="166"/>
      <c r="B4" s="166"/>
      <c r="C4" s="188"/>
      <c r="D4" s="570" t="s">
        <v>8</v>
      </c>
      <c r="E4" s="568"/>
      <c r="F4" s="166"/>
      <c r="G4" s="1053" t="s">
        <v>10</v>
      </c>
      <c r="H4" s="1054"/>
      <c r="I4" s="566" t="str">
        <f>IFERROR(INDEX(BDEGENER[],MATCH(E3,BDEGENER[SERIE],0),27),"")</f>
        <v/>
      </c>
      <c r="J4" s="190"/>
    </row>
    <row r="5" spans="1:10" x14ac:dyDescent="0.3">
      <c r="A5" s="166"/>
      <c r="B5" s="166"/>
      <c r="C5" s="166"/>
      <c r="D5" s="166"/>
      <c r="E5" s="166"/>
      <c r="F5" s="166"/>
      <c r="G5" s="166"/>
      <c r="H5" s="189"/>
      <c r="I5" s="166"/>
      <c r="J5" s="166"/>
    </row>
    <row r="6" spans="1:10" ht="30" customHeight="1" x14ac:dyDescent="0.3">
      <c r="A6" s="571"/>
      <c r="B6" s="572" t="s">
        <v>939</v>
      </c>
      <c r="C6" s="573" t="s">
        <v>940</v>
      </c>
      <c r="D6" s="574" t="s">
        <v>24</v>
      </c>
      <c r="E6" s="573" t="s">
        <v>4</v>
      </c>
      <c r="F6" s="573" t="s">
        <v>943</v>
      </c>
      <c r="G6" s="573" t="s">
        <v>1490</v>
      </c>
      <c r="H6" s="575" t="s">
        <v>11</v>
      </c>
      <c r="I6" s="553" t="s">
        <v>753</v>
      </c>
      <c r="J6" s="571"/>
    </row>
    <row r="7" spans="1:10" x14ac:dyDescent="0.3">
      <c r="A7" s="166"/>
      <c r="B7" s="557">
        <v>1</v>
      </c>
      <c r="C7" s="558" t="str">
        <f>IF($E$3&lt;&gt;"",IFERROR(INDEX(BDEGENER[],MATCH(CONCATENATE($E$3,"MANT",TABLA_ACTAS[[#This Row],[N° DE SERV.]]),BDEGENER[GA6],0),10),""),IF($E$4&lt;&gt;"",IFERROR(INDEX(BDEGENER[],MATCH(CONCATENATE($E$4,"MANT",TABLA_ACTAS[[#This Row],[N° DE SERV.]]),BDEGENER[GA7],0),10),""),""))</f>
        <v/>
      </c>
      <c r="D7" s="559" t="str">
        <f>IF($E$3&lt;&gt;"",IFERROR(INDEX(BDEGENER[],MATCH(CONCATENATE($E$3,"MANT",TABLA_ACTAS[[#This Row],[N° DE SERV.]]),BDEGENER[GA6],0),49),""),IF($E$4&lt;&gt;"",IFERROR(INDEX(BDEGENER[],MATCH(CONCATENATE($E$4,"MANT",TABLA_ACTAS[[#This Row],[N° DE SERV.]]),BDEGENER[GA7],0),49),""),""))</f>
        <v/>
      </c>
      <c r="E7" s="559" t="str">
        <f>IF($E$3&lt;&gt;"",IFERROR(INDEX(BDEGENER[],MATCH(CONCATENATE($E$3,"MANT",TABLA_ACTAS[[#This Row],[N° DE SERV.]]),BDEGENER[GA6],0),21),""),IF($E$4&lt;&gt;"",IFERROR(INDEX(BDEGENER[],MATCH(CONCATENATE($E$4,"MANT",TABLA_ACTAS[[#This Row],[N° DE SERV.]]),BDEGENER[GA7],0),21),""),""))</f>
        <v/>
      </c>
      <c r="F7" s="559" t="str">
        <f>IF($E$3&lt;&gt;"",IFERROR(INDEX(BDEGENER[],MATCH(CONCATENATE($E$3,"MANT",TABLA_ACTAS[[#This Row],[N° DE SERV.]]),BDEGENER[GA6],0),41),""),IF($E$4&lt;&gt;"",IFERROR(INDEX(BDEGENER[],MATCH(CONCATENATE($E$4,"MANT",TABLA_ACTAS[[#This Row],[N° DE SERV.]]),BDEGENER[GA7],0),41),""),""))</f>
        <v/>
      </c>
      <c r="G7" s="559" t="str">
        <f>IF($E$3&lt;&gt;"",IFERROR(INDEX(BDEGENER[],MATCH(CONCATENATE($E$3,"MANT",TABLA_ACTAS[[#This Row],[N° DE SERV.]]),BDEGENER[GA6],0),12),""),IF($E$4&lt;&gt;"",IFERROR(INDEX(BDEGENER[],MATCH(CONCATENATE($E$4,"MANT",TABLA_ACTAS[[#This Row],[N° DE SERV.]]),BDEGENER[GA7],0),12),""),""))</f>
        <v/>
      </c>
      <c r="H7" s="560" t="str">
        <f>IF($E$3&lt;&gt;"",IFERROR(INDEX(BDEGENER[],MATCH(CONCATENATE($E$3,"MANT",TABLA_ACTAS[[#This Row],[N° DE SERV.]]),BDEGENER[GA6],0),31),""),IF($E$4&lt;&gt;"",IFERROR(INDEX(BDEGENER[],MATCH(CONCATENATE($E$4,"MANT",TABLA_ACTAS[[#This Row],[N° DE SERV.]]),BDEGENER[GA7],0),31),""),""))</f>
        <v/>
      </c>
      <c r="I7" s="561" t="str">
        <f>IF($E$3&lt;&gt;"",IFERROR(INDEX(BDEGENER[],MATCH(CONCATENATE($E$3,"MANT",TABLA_ACTAS[[#This Row],[N° DE SERV.]]),BDEGENER[GA6],0),42),""),IF($E$4&lt;&gt;"",IFERROR(INDEX(BDEGENER[],MATCH(CONCATENATE($E$4,"MANT",TABLA_ACTAS[[#This Row],[N° DE SERV.]]),BDEGENER[GA7],0),42),""),""))</f>
        <v/>
      </c>
      <c r="J7" s="166"/>
    </row>
    <row r="8" spans="1:10" x14ac:dyDescent="0.3">
      <c r="A8" s="166"/>
      <c r="B8" s="557">
        <v>2</v>
      </c>
      <c r="C8" s="558" t="str">
        <f>IF($E$3&lt;&gt;"",IFERROR(INDEX(BDEGENER[],MATCH(CONCATENATE($E$3,"MANT",TABLA_ACTAS[[#This Row],[N° DE SERV.]]),BDEGENER[GA6],0),10),""),IF($E$4&lt;&gt;"",IFERROR(INDEX(BDEGENER[],MATCH(CONCATENATE($E$4,"MANT",TABLA_ACTAS[[#This Row],[N° DE SERV.]]),BDEGENER[GA7],0),10),""),""))</f>
        <v/>
      </c>
      <c r="D8" s="559" t="str">
        <f>IF($E$3&lt;&gt;"",IFERROR(INDEX(BDEGENER[],MATCH(CONCATENATE($E$3,"MANT",TABLA_ACTAS[[#This Row],[N° DE SERV.]]),BDEGENER[GA6],0),49),""),IF($E$4&lt;&gt;"",IFERROR(INDEX(BDEGENER[],MATCH(CONCATENATE($E$4,"MANT",TABLA_ACTAS[[#This Row],[N° DE SERV.]]),BDEGENER[GA7],0),49),""),""))</f>
        <v/>
      </c>
      <c r="E8" s="559" t="str">
        <f>IF($E$3&lt;&gt;"",IFERROR(INDEX(BDEGENER[],MATCH(CONCATENATE($E$3,"MANT",TABLA_ACTAS[[#This Row],[N° DE SERV.]]),BDEGENER[GA6],0),21),""),IF($E$4&lt;&gt;"",IFERROR(INDEX(BDEGENER[],MATCH(CONCATENATE($E$4,"MANT",TABLA_ACTAS[[#This Row],[N° DE SERV.]]),BDEGENER[GA7],0),21),""),""))</f>
        <v/>
      </c>
      <c r="F8" s="559" t="str">
        <f>IF($E$3&lt;&gt;"",IFERROR(INDEX(BDEGENER[],MATCH(CONCATENATE($E$3,"MANT",TABLA_ACTAS[[#This Row],[N° DE SERV.]]),BDEGENER[GA6],0),41),""),IF($E$4&lt;&gt;"",IFERROR(INDEX(BDEGENER[],MATCH(CONCATENATE($E$4,"MANT",TABLA_ACTAS[[#This Row],[N° DE SERV.]]),BDEGENER[GA7],0),41),""),""))</f>
        <v/>
      </c>
      <c r="G8" s="559" t="str">
        <f>IF($E$3&lt;&gt;"",IFERROR(INDEX(BDEGENER[],MATCH(CONCATENATE($E$3,"MANT",TABLA_ACTAS[[#This Row],[N° DE SERV.]]),BDEGENER[GA6],0),12),""),IF($E$4&lt;&gt;"",IFERROR(INDEX(BDEGENER[],MATCH(CONCATENATE($E$4,"MANT",TABLA_ACTAS[[#This Row],[N° DE SERV.]]),BDEGENER[GA7],0),12),""),""))</f>
        <v/>
      </c>
      <c r="H8" s="560" t="str">
        <f>IF($E$3&lt;&gt;"",IFERROR(INDEX(BDEGENER[],MATCH(CONCATENATE($E$3,"MANT",TABLA_ACTAS[[#This Row],[N° DE SERV.]]),BDEGENER[GA6],0),31),""),IF($E$4&lt;&gt;"",IFERROR(INDEX(BDEGENER[],MATCH(CONCATENATE($E$4,"MANT",TABLA_ACTAS[[#This Row],[N° DE SERV.]]),BDEGENER[GA7],0),31),""),""))</f>
        <v/>
      </c>
      <c r="I8" s="562" t="str">
        <f>IF($E$3&lt;&gt;"",IFERROR(INDEX(BDEGENER[],MATCH(CONCATENATE($E$3,"MANT",TABLA_ACTAS[[#This Row],[N° DE SERV.]]),BDEGENER[GA6],0),42),""),IF($E$4&lt;&gt;"",IFERROR(INDEX(BDEGENER[],MATCH(CONCATENATE($E$4,"MANT",TABLA_ACTAS[[#This Row],[N° DE SERV.]]),BDEGENER[GA7],0),42),""),""))</f>
        <v/>
      </c>
      <c r="J8" s="166"/>
    </row>
    <row r="9" spans="1:10" x14ac:dyDescent="0.3">
      <c r="A9" s="166"/>
      <c r="B9" s="557">
        <v>3</v>
      </c>
      <c r="C9" s="558" t="str">
        <f>IF($E$3&lt;&gt;"",IFERROR(INDEX(BDEGENER[],MATCH(CONCATENATE($E$3,"MANT",TABLA_ACTAS[[#This Row],[N° DE SERV.]]),BDEGENER[GA6],0),10),""),IF($E$4&lt;&gt;"",IFERROR(INDEX(BDEGENER[],MATCH(CONCATENATE($E$4,"MANT",TABLA_ACTAS[[#This Row],[N° DE SERV.]]),BDEGENER[GA7],0),10),""),""))</f>
        <v/>
      </c>
      <c r="D9" s="559" t="str">
        <f>IF($E$3&lt;&gt;"",IFERROR(INDEX(BDEGENER[],MATCH(CONCATENATE($E$3,"MANT",TABLA_ACTAS[[#This Row],[N° DE SERV.]]),BDEGENER[GA6],0),49),""),IF($E$4&lt;&gt;"",IFERROR(INDEX(BDEGENER[],MATCH(CONCATENATE($E$4,"MANT",TABLA_ACTAS[[#This Row],[N° DE SERV.]]),BDEGENER[GA7],0),49),""),""))</f>
        <v/>
      </c>
      <c r="E9" s="559" t="str">
        <f>IF($E$3&lt;&gt;"",IFERROR(INDEX(BDEGENER[],MATCH(CONCATENATE($E$3,"MANT",TABLA_ACTAS[[#This Row],[N° DE SERV.]]),BDEGENER[GA6],0),21),""),IF($E$4&lt;&gt;"",IFERROR(INDEX(BDEGENER[],MATCH(CONCATENATE($E$4,"MANT",TABLA_ACTAS[[#This Row],[N° DE SERV.]]),BDEGENER[GA7],0),21),""),""))</f>
        <v/>
      </c>
      <c r="F9" s="559" t="str">
        <f>IF($E$3&lt;&gt;"",IFERROR(INDEX(BDEGENER[],MATCH(CONCATENATE($E$3,"MANT",TABLA_ACTAS[[#This Row],[N° DE SERV.]]),BDEGENER[GA6],0),41),""),IF($E$4&lt;&gt;"",IFERROR(INDEX(BDEGENER[],MATCH(CONCATENATE($E$4,"MANT",TABLA_ACTAS[[#This Row],[N° DE SERV.]]),BDEGENER[GA7],0),41),""),""))</f>
        <v/>
      </c>
      <c r="G9" s="559" t="str">
        <f>IF($E$3&lt;&gt;"",IFERROR(INDEX(BDEGENER[],MATCH(CONCATENATE($E$3,"MANT",TABLA_ACTAS[[#This Row],[N° DE SERV.]]),BDEGENER[GA6],0),12),""),IF($E$4&lt;&gt;"",IFERROR(INDEX(BDEGENER[],MATCH(CONCATENATE($E$4,"MANT",TABLA_ACTAS[[#This Row],[N° DE SERV.]]),BDEGENER[GA7],0),12),""),""))</f>
        <v/>
      </c>
      <c r="H9" s="560" t="str">
        <f>IF($E$3&lt;&gt;"",IFERROR(INDEX(BDEGENER[],MATCH(CONCATENATE($E$3,"MANT",TABLA_ACTAS[[#This Row],[N° DE SERV.]]),BDEGENER[GA6],0),31),""),IF($E$4&lt;&gt;"",IFERROR(INDEX(BDEGENER[],MATCH(CONCATENATE($E$4,"MANT",TABLA_ACTAS[[#This Row],[N° DE SERV.]]),BDEGENER[GA7],0),31),""),""))</f>
        <v/>
      </c>
      <c r="I9" s="562" t="str">
        <f>IF($E$3&lt;&gt;"",IFERROR(INDEX(BDEGENER[],MATCH(CONCATENATE($E$3,"MANT",TABLA_ACTAS[[#This Row],[N° DE SERV.]]),BDEGENER[GA6],0),42),""),IF($E$4&lt;&gt;"",IFERROR(INDEX(BDEGENER[],MATCH(CONCATENATE($E$4,"MANT",TABLA_ACTAS[[#This Row],[N° DE SERV.]]),BDEGENER[GA7],0),42),""),""))</f>
        <v/>
      </c>
      <c r="J9" s="166"/>
    </row>
    <row r="10" spans="1:10" x14ac:dyDescent="0.3">
      <c r="A10" s="166"/>
      <c r="B10" s="557">
        <v>4</v>
      </c>
      <c r="C10" s="558" t="str">
        <f>IF($E$3&lt;&gt;"",IFERROR(INDEX(BDEGENER[],MATCH(CONCATENATE($E$3,"MANT",TABLA_ACTAS[[#This Row],[N° DE SERV.]]),BDEGENER[GA6],0),10),""),IF($E$4&lt;&gt;"",IFERROR(INDEX(BDEGENER[],MATCH(CONCATENATE($E$4,"MANT",TABLA_ACTAS[[#This Row],[N° DE SERV.]]),BDEGENER[GA7],0),10),""),""))</f>
        <v/>
      </c>
      <c r="D10" s="559" t="str">
        <f>IF($E$3&lt;&gt;"",IFERROR(INDEX(BDEGENER[],MATCH(CONCATENATE($E$3,"MANT",TABLA_ACTAS[[#This Row],[N° DE SERV.]]),BDEGENER[GA6],0),49),""),IF($E$4&lt;&gt;"",IFERROR(INDEX(BDEGENER[],MATCH(CONCATENATE($E$4,"MANT",TABLA_ACTAS[[#This Row],[N° DE SERV.]]),BDEGENER[GA7],0),49),""),""))</f>
        <v/>
      </c>
      <c r="E10" s="559" t="str">
        <f>IF($E$3&lt;&gt;"",IFERROR(INDEX(BDEGENER[],MATCH(CONCATENATE($E$3,"MANT",TABLA_ACTAS[[#This Row],[N° DE SERV.]]),BDEGENER[GA6],0),21),""),IF($E$4&lt;&gt;"",IFERROR(INDEX(BDEGENER[],MATCH(CONCATENATE($E$4,"MANT",TABLA_ACTAS[[#This Row],[N° DE SERV.]]),BDEGENER[GA7],0),21),""),""))</f>
        <v/>
      </c>
      <c r="F10" s="559" t="str">
        <f>IF($E$3&lt;&gt;"",IFERROR(INDEX(BDEGENER[],MATCH(CONCATENATE($E$3,"MANT",TABLA_ACTAS[[#This Row],[N° DE SERV.]]),BDEGENER[GA6],0),41),""),IF($E$4&lt;&gt;"",IFERROR(INDEX(BDEGENER[],MATCH(CONCATENATE($E$4,"MANT",TABLA_ACTAS[[#This Row],[N° DE SERV.]]),BDEGENER[GA7],0),41),""),""))</f>
        <v/>
      </c>
      <c r="G10" s="559" t="str">
        <f>IF($E$3&lt;&gt;"",IFERROR(INDEX(BDEGENER[],MATCH(CONCATENATE($E$3,"MANT",TABLA_ACTAS[[#This Row],[N° DE SERV.]]),BDEGENER[GA6],0),12),""),IF($E$4&lt;&gt;"",IFERROR(INDEX(BDEGENER[],MATCH(CONCATENATE($E$4,"MANT",TABLA_ACTAS[[#This Row],[N° DE SERV.]]),BDEGENER[GA7],0),12),""),""))</f>
        <v/>
      </c>
      <c r="H10" s="560" t="str">
        <f>IF($E$3&lt;&gt;"",IFERROR(INDEX(BDEGENER[],MATCH(CONCATENATE($E$3,"MANT",TABLA_ACTAS[[#This Row],[N° DE SERV.]]),BDEGENER[GA6],0),31),""),IF($E$4&lt;&gt;"",IFERROR(INDEX(BDEGENER[],MATCH(CONCATENATE($E$4,"MANT",TABLA_ACTAS[[#This Row],[N° DE SERV.]]),BDEGENER[GA7],0),31),""),""))</f>
        <v/>
      </c>
      <c r="I10" s="562" t="str">
        <f>IF($E$3&lt;&gt;"",IFERROR(INDEX(BDEGENER[],MATCH(CONCATENATE($E$3,"MANT",TABLA_ACTAS[[#This Row],[N° DE SERV.]]),BDEGENER[GA6],0),42),""),IF($E$4&lt;&gt;"",IFERROR(INDEX(BDEGENER[],MATCH(CONCATENATE($E$4,"MANT",TABLA_ACTAS[[#This Row],[N° DE SERV.]]),BDEGENER[GA7],0),42),""),""))</f>
        <v/>
      </c>
      <c r="J10" s="166"/>
    </row>
    <row r="11" spans="1:10" x14ac:dyDescent="0.3">
      <c r="A11" s="166"/>
      <c r="B11" s="557">
        <v>5</v>
      </c>
      <c r="C11" s="558" t="str">
        <f>IF($E$3&lt;&gt;"",IFERROR(INDEX(BDEGENER[],MATCH(CONCATENATE($E$3,"MANT",TABLA_ACTAS[[#This Row],[N° DE SERV.]]),BDEGENER[GA6],0),10),""),IF($E$4&lt;&gt;"",IFERROR(INDEX(BDEGENER[],MATCH(CONCATENATE($E$4,"MANT",TABLA_ACTAS[[#This Row],[N° DE SERV.]]),BDEGENER[GA7],0),10),""),""))</f>
        <v/>
      </c>
      <c r="D11" s="559" t="str">
        <f>IF($E$3&lt;&gt;"",IFERROR(INDEX(BDEGENER[],MATCH(CONCATENATE($E$3,"MANT",TABLA_ACTAS[[#This Row],[N° DE SERV.]]),BDEGENER[GA6],0),49),""),IF($E$4&lt;&gt;"",IFERROR(INDEX(BDEGENER[],MATCH(CONCATENATE($E$4,"MANT",TABLA_ACTAS[[#This Row],[N° DE SERV.]]),BDEGENER[GA7],0),49),""),""))</f>
        <v/>
      </c>
      <c r="E11" s="559" t="str">
        <f>IF($E$3&lt;&gt;"",IFERROR(INDEX(BDEGENER[],MATCH(CONCATENATE($E$3,"MANT",TABLA_ACTAS[[#This Row],[N° DE SERV.]]),BDEGENER[GA6],0),21),""),IF($E$4&lt;&gt;"",IFERROR(INDEX(BDEGENER[],MATCH(CONCATENATE($E$4,"MANT",TABLA_ACTAS[[#This Row],[N° DE SERV.]]),BDEGENER[GA7],0),21),""),""))</f>
        <v/>
      </c>
      <c r="F11" s="559" t="str">
        <f>IF($E$3&lt;&gt;"",IFERROR(INDEX(BDEGENER[],MATCH(CONCATENATE($E$3,"MANT",TABLA_ACTAS[[#This Row],[N° DE SERV.]]),BDEGENER[GA6],0),41),""),IF($E$4&lt;&gt;"",IFERROR(INDEX(BDEGENER[],MATCH(CONCATENATE($E$4,"MANT",TABLA_ACTAS[[#This Row],[N° DE SERV.]]),BDEGENER[GA7],0),41),""),""))</f>
        <v/>
      </c>
      <c r="G11" s="559" t="str">
        <f>IF($E$3&lt;&gt;"",IFERROR(INDEX(BDEGENER[],MATCH(CONCATENATE($E$3,"MANT",TABLA_ACTAS[[#This Row],[N° DE SERV.]]),BDEGENER[GA6],0),12),""),IF($E$4&lt;&gt;"",IFERROR(INDEX(BDEGENER[],MATCH(CONCATENATE($E$4,"MANT",TABLA_ACTAS[[#This Row],[N° DE SERV.]]),BDEGENER[GA7],0),12),""),""))</f>
        <v/>
      </c>
      <c r="H11" s="560" t="str">
        <f>IF($E$3&lt;&gt;"",IFERROR(INDEX(BDEGENER[],MATCH(CONCATENATE($E$3,"MANT",TABLA_ACTAS[[#This Row],[N° DE SERV.]]),BDEGENER[GA6],0),31),""),IF($E$4&lt;&gt;"",IFERROR(INDEX(BDEGENER[],MATCH(CONCATENATE($E$4,"MANT",TABLA_ACTAS[[#This Row],[N° DE SERV.]]),BDEGENER[GA7],0),31),""),""))</f>
        <v/>
      </c>
      <c r="I11" s="562" t="str">
        <f>IF($E$3&lt;&gt;"",IFERROR(INDEX(BDEGENER[],MATCH(CONCATENATE($E$3,"MANT",TABLA_ACTAS[[#This Row],[N° DE SERV.]]),BDEGENER[GA6],0),42),""),IF($E$4&lt;&gt;"",IFERROR(INDEX(BDEGENER[],MATCH(CONCATENATE($E$4,"MANT",TABLA_ACTAS[[#This Row],[N° DE SERV.]]),BDEGENER[GA7],0),42),""),""))</f>
        <v/>
      </c>
      <c r="J11" s="166"/>
    </row>
    <row r="12" spans="1:10" x14ac:dyDescent="0.3">
      <c r="A12" s="166"/>
      <c r="B12" s="557">
        <v>6</v>
      </c>
      <c r="C12" s="558" t="str">
        <f>IF($E$3&lt;&gt;"",IFERROR(INDEX(BDEGENER[],MATCH(CONCATENATE($E$3,"MANT",TABLA_ACTAS[[#This Row],[N° DE SERV.]]),BDEGENER[GA6],0),10),""),IF($E$4&lt;&gt;"",IFERROR(INDEX(BDEGENER[],MATCH(CONCATENATE($E$4,"MANT",TABLA_ACTAS[[#This Row],[N° DE SERV.]]),BDEGENER[GA7],0),10),""),""))</f>
        <v/>
      </c>
      <c r="D12" s="559" t="str">
        <f>IF($E$3&lt;&gt;"",IFERROR(INDEX(BDEGENER[],MATCH(CONCATENATE($E$3,"MANT",TABLA_ACTAS[[#This Row],[N° DE SERV.]]),BDEGENER[GA6],0),49),""),IF($E$4&lt;&gt;"",IFERROR(INDEX(BDEGENER[],MATCH(CONCATENATE($E$4,"MANT",TABLA_ACTAS[[#This Row],[N° DE SERV.]]),BDEGENER[GA7],0),49),""),""))</f>
        <v/>
      </c>
      <c r="E12" s="559" t="str">
        <f>IF($E$3&lt;&gt;"",IFERROR(INDEX(BDEGENER[],MATCH(CONCATENATE($E$3,"MANT",TABLA_ACTAS[[#This Row],[N° DE SERV.]]),BDEGENER[GA6],0),21),""),IF($E$4&lt;&gt;"",IFERROR(INDEX(BDEGENER[],MATCH(CONCATENATE($E$4,"MANT",TABLA_ACTAS[[#This Row],[N° DE SERV.]]),BDEGENER[GA7],0),21),""),""))</f>
        <v/>
      </c>
      <c r="F12" s="559" t="str">
        <f>IF($E$3&lt;&gt;"",IFERROR(INDEX(BDEGENER[],MATCH(CONCATENATE($E$3,"MANT",TABLA_ACTAS[[#This Row],[N° DE SERV.]]),BDEGENER[GA6],0),41),""),IF($E$4&lt;&gt;"",IFERROR(INDEX(BDEGENER[],MATCH(CONCATENATE($E$4,"MANT",TABLA_ACTAS[[#This Row],[N° DE SERV.]]),BDEGENER[GA7],0),41),""),""))</f>
        <v/>
      </c>
      <c r="G12" s="559" t="str">
        <f>IF($E$3&lt;&gt;"",IFERROR(INDEX(BDEGENER[],MATCH(CONCATENATE($E$3,"MANT",TABLA_ACTAS[[#This Row],[N° DE SERV.]]),BDEGENER[GA6],0),12),""),IF($E$4&lt;&gt;"",IFERROR(INDEX(BDEGENER[],MATCH(CONCATENATE($E$4,"MANT",TABLA_ACTAS[[#This Row],[N° DE SERV.]]),BDEGENER[GA7],0),12),""),""))</f>
        <v/>
      </c>
      <c r="H12" s="560" t="str">
        <f>IF($E$3&lt;&gt;"",IFERROR(INDEX(BDEGENER[],MATCH(CONCATENATE($E$3,"MANT",TABLA_ACTAS[[#This Row],[N° DE SERV.]]),BDEGENER[GA6],0),31),""),IF($E$4&lt;&gt;"",IFERROR(INDEX(BDEGENER[],MATCH(CONCATENATE($E$4,"MANT",TABLA_ACTAS[[#This Row],[N° DE SERV.]]),BDEGENER[GA7],0),31),""),""))</f>
        <v/>
      </c>
      <c r="I12" s="562" t="str">
        <f>IF($E$3&lt;&gt;"",IFERROR(INDEX(BDEGENER[],MATCH(CONCATENATE($E$3,"MANT",TABLA_ACTAS[[#This Row],[N° DE SERV.]]),BDEGENER[GA6],0),42),""),IF($E$4&lt;&gt;"",IFERROR(INDEX(BDEGENER[],MATCH(CONCATENATE($E$4,"MANT",TABLA_ACTAS[[#This Row],[N° DE SERV.]]),BDEGENER[GA7],0),42),""),""))</f>
        <v/>
      </c>
      <c r="J12" s="166"/>
    </row>
    <row r="13" spans="1:10" x14ac:dyDescent="0.3">
      <c r="A13" s="166"/>
      <c r="B13" s="557">
        <v>7</v>
      </c>
      <c r="C13" s="558" t="str">
        <f>IF($E$3&lt;&gt;"",IFERROR(INDEX(BDEGENER[],MATCH(CONCATENATE($E$3,"MANT",TABLA_ACTAS[[#This Row],[N° DE SERV.]]),BDEGENER[GA6],0),10),""),IF($E$4&lt;&gt;"",IFERROR(INDEX(BDEGENER[],MATCH(CONCATENATE($E$4,"MANT",TABLA_ACTAS[[#This Row],[N° DE SERV.]]),BDEGENER[GA7],0),10),""),""))</f>
        <v/>
      </c>
      <c r="D13" s="559" t="str">
        <f>IF($E$3&lt;&gt;"",IFERROR(INDEX(BDEGENER[],MATCH(CONCATENATE($E$3,"MANT",TABLA_ACTAS[[#This Row],[N° DE SERV.]]),BDEGENER[GA6],0),49),""),IF($E$4&lt;&gt;"",IFERROR(INDEX(BDEGENER[],MATCH(CONCATENATE($E$4,"MANT",TABLA_ACTAS[[#This Row],[N° DE SERV.]]),BDEGENER[GA7],0),49),""),""))</f>
        <v/>
      </c>
      <c r="E13" s="559" t="str">
        <f>IF($E$3&lt;&gt;"",IFERROR(INDEX(BDEGENER[],MATCH(CONCATENATE($E$3,"MANT",TABLA_ACTAS[[#This Row],[N° DE SERV.]]),BDEGENER[GA6],0),21),""),IF($E$4&lt;&gt;"",IFERROR(INDEX(BDEGENER[],MATCH(CONCATENATE($E$4,"MANT",TABLA_ACTAS[[#This Row],[N° DE SERV.]]),BDEGENER[GA7],0),21),""),""))</f>
        <v/>
      </c>
      <c r="F13" s="559" t="str">
        <f>IF($E$3&lt;&gt;"",IFERROR(INDEX(BDEGENER[],MATCH(CONCATENATE($E$3,"MANT",TABLA_ACTAS[[#This Row],[N° DE SERV.]]),BDEGENER[GA6],0),41),""),IF($E$4&lt;&gt;"",IFERROR(INDEX(BDEGENER[],MATCH(CONCATENATE($E$4,"MANT",TABLA_ACTAS[[#This Row],[N° DE SERV.]]),BDEGENER[GA7],0),41),""),""))</f>
        <v/>
      </c>
      <c r="G13" s="559" t="str">
        <f>IF($E$3&lt;&gt;"",IFERROR(INDEX(BDEGENER[],MATCH(CONCATENATE($E$3,"MANT",TABLA_ACTAS[[#This Row],[N° DE SERV.]]),BDEGENER[GA6],0),12),""),IF($E$4&lt;&gt;"",IFERROR(INDEX(BDEGENER[],MATCH(CONCATENATE($E$4,"MANT",TABLA_ACTAS[[#This Row],[N° DE SERV.]]),BDEGENER[GA7],0),12),""),""))</f>
        <v/>
      </c>
      <c r="H13" s="560" t="str">
        <f>IF($E$3&lt;&gt;"",IFERROR(INDEX(BDEGENER[],MATCH(CONCATENATE($E$3,"MANT",TABLA_ACTAS[[#This Row],[N° DE SERV.]]),BDEGENER[GA6],0),31),""),IF($E$4&lt;&gt;"",IFERROR(INDEX(BDEGENER[],MATCH(CONCATENATE($E$4,"MANT",TABLA_ACTAS[[#This Row],[N° DE SERV.]]),BDEGENER[GA7],0),31),""),""))</f>
        <v/>
      </c>
      <c r="I13" s="562" t="str">
        <f>IF($E$3&lt;&gt;"",IFERROR(INDEX(BDEGENER[],MATCH(CONCATENATE($E$3,"MANT",TABLA_ACTAS[[#This Row],[N° DE SERV.]]),BDEGENER[GA6],0),42),""),IF($E$4&lt;&gt;"",IFERROR(INDEX(BDEGENER[],MATCH(CONCATENATE($E$4,"MANT",TABLA_ACTAS[[#This Row],[N° DE SERV.]]),BDEGENER[GA7],0),42),""),""))</f>
        <v/>
      </c>
      <c r="J13" s="166"/>
    </row>
    <row r="14" spans="1:10" x14ac:dyDescent="0.3">
      <c r="A14" s="166"/>
      <c r="B14" s="557">
        <v>8</v>
      </c>
      <c r="C14" s="558" t="str">
        <f>IF($E$3&lt;&gt;"",IFERROR(INDEX(BDEGENER[],MATCH(CONCATENATE($E$3,"MANT",TABLA_ACTAS[[#This Row],[N° DE SERV.]]),BDEGENER[GA6],0),10),""),IF($E$4&lt;&gt;"",IFERROR(INDEX(BDEGENER[],MATCH(CONCATENATE($E$4,"MANT",TABLA_ACTAS[[#This Row],[N° DE SERV.]]),BDEGENER[GA7],0),10),""),""))</f>
        <v/>
      </c>
      <c r="D14" s="559" t="str">
        <f>IF($E$3&lt;&gt;"",IFERROR(INDEX(BDEGENER[],MATCH(CONCATENATE($E$3,"MANT",TABLA_ACTAS[[#This Row],[N° DE SERV.]]),BDEGENER[GA6],0),49),""),IF($E$4&lt;&gt;"",IFERROR(INDEX(BDEGENER[],MATCH(CONCATENATE($E$4,"MANT",TABLA_ACTAS[[#This Row],[N° DE SERV.]]),BDEGENER[GA7],0),49),""),""))</f>
        <v/>
      </c>
      <c r="E14" s="559" t="str">
        <f>IF($E$3&lt;&gt;"",IFERROR(INDEX(BDEGENER[],MATCH(CONCATENATE($E$3,"MANT",TABLA_ACTAS[[#This Row],[N° DE SERV.]]),BDEGENER[GA6],0),21),""),IF($E$4&lt;&gt;"",IFERROR(INDEX(BDEGENER[],MATCH(CONCATENATE($E$4,"MANT",TABLA_ACTAS[[#This Row],[N° DE SERV.]]),BDEGENER[GA7],0),21),""),""))</f>
        <v/>
      </c>
      <c r="F14" s="559" t="str">
        <f>IF($E$3&lt;&gt;"",IFERROR(INDEX(BDEGENER[],MATCH(CONCATENATE($E$3,"MANT",TABLA_ACTAS[[#This Row],[N° DE SERV.]]),BDEGENER[GA6],0),41),""),IF($E$4&lt;&gt;"",IFERROR(INDEX(BDEGENER[],MATCH(CONCATENATE($E$4,"MANT",TABLA_ACTAS[[#This Row],[N° DE SERV.]]),BDEGENER[GA7],0),41),""),""))</f>
        <v/>
      </c>
      <c r="G14" s="559" t="str">
        <f>IF($E$3&lt;&gt;"",IFERROR(INDEX(BDEGENER[],MATCH(CONCATENATE($E$3,"MANT",TABLA_ACTAS[[#This Row],[N° DE SERV.]]),BDEGENER[GA6],0),12),""),IF($E$4&lt;&gt;"",IFERROR(INDEX(BDEGENER[],MATCH(CONCATENATE($E$4,"MANT",TABLA_ACTAS[[#This Row],[N° DE SERV.]]),BDEGENER[GA7],0),12),""),""))</f>
        <v/>
      </c>
      <c r="H14" s="560" t="str">
        <f>IF($E$3&lt;&gt;"",IFERROR(INDEX(BDEGENER[],MATCH(CONCATENATE($E$3,"MANT",TABLA_ACTAS[[#This Row],[N° DE SERV.]]),BDEGENER[GA6],0),31),""),IF($E$4&lt;&gt;"",IFERROR(INDEX(BDEGENER[],MATCH(CONCATENATE($E$4,"MANT",TABLA_ACTAS[[#This Row],[N° DE SERV.]]),BDEGENER[GA7],0),31),""),""))</f>
        <v/>
      </c>
      <c r="I14" s="562" t="str">
        <f>IF($E$3&lt;&gt;"",IFERROR(INDEX(BDEGENER[],MATCH(CONCATENATE($E$3,"MANT",TABLA_ACTAS[[#This Row],[N° DE SERV.]]),BDEGENER[GA6],0),42),""),IF($E$4&lt;&gt;"",IFERROR(INDEX(BDEGENER[],MATCH(CONCATENATE($E$4,"MANT",TABLA_ACTAS[[#This Row],[N° DE SERV.]]),BDEGENER[GA7],0),42),""),""))</f>
        <v/>
      </c>
      <c r="J14" s="166"/>
    </row>
    <row r="15" spans="1:10" x14ac:dyDescent="0.3">
      <c r="A15" s="166"/>
      <c r="B15" s="557">
        <v>9</v>
      </c>
      <c r="C15" s="558" t="str">
        <f>IF($E$3&lt;&gt;"",IFERROR(INDEX(BDEGENER[],MATCH(CONCATENATE($E$3,"MANT",TABLA_ACTAS[[#This Row],[N° DE SERV.]]),BDEGENER[GA6],0),10),""),IF($E$4&lt;&gt;"",IFERROR(INDEX(BDEGENER[],MATCH(CONCATENATE($E$4,"MANT",TABLA_ACTAS[[#This Row],[N° DE SERV.]]),BDEGENER[GA7],0),10),""),""))</f>
        <v/>
      </c>
      <c r="D15" s="559" t="str">
        <f>IF($E$3&lt;&gt;"",IFERROR(INDEX(BDEGENER[],MATCH(CONCATENATE($E$3,"MANT",TABLA_ACTAS[[#This Row],[N° DE SERV.]]),BDEGENER[GA6],0),49),""),IF($E$4&lt;&gt;"",IFERROR(INDEX(BDEGENER[],MATCH(CONCATENATE($E$4,"MANT",TABLA_ACTAS[[#This Row],[N° DE SERV.]]),BDEGENER[GA7],0),49),""),""))</f>
        <v/>
      </c>
      <c r="E15" s="559" t="str">
        <f>IF($E$3&lt;&gt;"",IFERROR(INDEX(BDEGENER[],MATCH(CONCATENATE($E$3,"MANT",TABLA_ACTAS[[#This Row],[N° DE SERV.]]),BDEGENER[GA6],0),21),""),IF($E$4&lt;&gt;"",IFERROR(INDEX(BDEGENER[],MATCH(CONCATENATE($E$4,"MANT",TABLA_ACTAS[[#This Row],[N° DE SERV.]]),BDEGENER[GA7],0),21),""),""))</f>
        <v/>
      </c>
      <c r="F15" s="559" t="str">
        <f>IF($E$3&lt;&gt;"",IFERROR(INDEX(BDEGENER[],MATCH(CONCATENATE($E$3,"MANT",TABLA_ACTAS[[#This Row],[N° DE SERV.]]),BDEGENER[GA6],0),41),""),IF($E$4&lt;&gt;"",IFERROR(INDEX(BDEGENER[],MATCH(CONCATENATE($E$4,"MANT",TABLA_ACTAS[[#This Row],[N° DE SERV.]]),BDEGENER[GA7],0),41),""),""))</f>
        <v/>
      </c>
      <c r="G15" s="559" t="str">
        <f>IF($E$3&lt;&gt;"",IFERROR(INDEX(BDEGENER[],MATCH(CONCATENATE($E$3,"MANT",TABLA_ACTAS[[#This Row],[N° DE SERV.]]),BDEGENER[GA6],0),12),""),IF($E$4&lt;&gt;"",IFERROR(INDEX(BDEGENER[],MATCH(CONCATENATE($E$4,"MANT",TABLA_ACTAS[[#This Row],[N° DE SERV.]]),BDEGENER[GA7],0),12),""),""))</f>
        <v/>
      </c>
      <c r="H15" s="560" t="str">
        <f>IF($E$3&lt;&gt;"",IFERROR(INDEX(BDEGENER[],MATCH(CONCATENATE($E$3,"MANT",TABLA_ACTAS[[#This Row],[N° DE SERV.]]),BDEGENER[GA6],0),31),""),IF($E$4&lt;&gt;"",IFERROR(INDEX(BDEGENER[],MATCH(CONCATENATE($E$4,"MANT",TABLA_ACTAS[[#This Row],[N° DE SERV.]]),BDEGENER[GA7],0),31),""),""))</f>
        <v/>
      </c>
      <c r="I15" s="562" t="str">
        <f>IF($E$3&lt;&gt;"",IFERROR(INDEX(BDEGENER[],MATCH(CONCATENATE($E$3,"MANT",TABLA_ACTAS[[#This Row],[N° DE SERV.]]),BDEGENER[GA6],0),42),""),IF($E$4&lt;&gt;"",IFERROR(INDEX(BDEGENER[],MATCH(CONCATENATE($E$4,"MANT",TABLA_ACTAS[[#This Row],[N° DE SERV.]]),BDEGENER[GA7],0),42),""),""))</f>
        <v/>
      </c>
      <c r="J15" s="166"/>
    </row>
    <row r="16" spans="1:10" x14ac:dyDescent="0.3">
      <c r="A16" s="166"/>
      <c r="B16" s="557">
        <v>10</v>
      </c>
      <c r="C16" s="558" t="str">
        <f>IF($E$3&lt;&gt;"",IFERROR(INDEX(BDEGENER[],MATCH(CONCATENATE($E$3,"MANT",TABLA_ACTAS[[#This Row],[N° DE SERV.]]),BDEGENER[GA6],0),10),""),IF($E$4&lt;&gt;"",IFERROR(INDEX(BDEGENER[],MATCH(CONCATENATE($E$4,"MANT",TABLA_ACTAS[[#This Row],[N° DE SERV.]]),BDEGENER[GA7],0),10),""),""))</f>
        <v/>
      </c>
      <c r="D16" s="559" t="str">
        <f>IF($E$3&lt;&gt;"",IFERROR(INDEX(BDEGENER[],MATCH(CONCATENATE($E$3,"MANT",TABLA_ACTAS[[#This Row],[N° DE SERV.]]),BDEGENER[GA6],0),49),""),IF($E$4&lt;&gt;"",IFERROR(INDEX(BDEGENER[],MATCH(CONCATENATE($E$4,"MANT",TABLA_ACTAS[[#This Row],[N° DE SERV.]]),BDEGENER[GA7],0),49),""),""))</f>
        <v/>
      </c>
      <c r="E16" s="559" t="str">
        <f>IF($E$3&lt;&gt;"",IFERROR(INDEX(BDEGENER[],MATCH(CONCATENATE($E$3,"MANT",TABLA_ACTAS[[#This Row],[N° DE SERV.]]),BDEGENER[GA6],0),21),""),IF($E$4&lt;&gt;"",IFERROR(INDEX(BDEGENER[],MATCH(CONCATENATE($E$4,"MANT",TABLA_ACTAS[[#This Row],[N° DE SERV.]]),BDEGENER[GA7],0),21),""),""))</f>
        <v/>
      </c>
      <c r="F16" s="559" t="str">
        <f>IF($E$3&lt;&gt;"",IFERROR(INDEX(BDEGENER[],MATCH(CONCATENATE($E$3,"MANT",TABLA_ACTAS[[#This Row],[N° DE SERV.]]),BDEGENER[GA6],0),41),""),IF($E$4&lt;&gt;"",IFERROR(INDEX(BDEGENER[],MATCH(CONCATENATE($E$4,"MANT",TABLA_ACTAS[[#This Row],[N° DE SERV.]]),BDEGENER[GA7],0),41),""),""))</f>
        <v/>
      </c>
      <c r="G16" s="559" t="str">
        <f>IF($E$3&lt;&gt;"",IFERROR(INDEX(BDEGENER[],MATCH(CONCATENATE($E$3,"MANT",TABLA_ACTAS[[#This Row],[N° DE SERV.]]),BDEGENER[GA6],0),12),""),IF($E$4&lt;&gt;"",IFERROR(INDEX(BDEGENER[],MATCH(CONCATENATE($E$4,"MANT",TABLA_ACTAS[[#This Row],[N° DE SERV.]]),BDEGENER[GA7],0),12),""),""))</f>
        <v/>
      </c>
      <c r="H16" s="560" t="str">
        <f>IF($E$3&lt;&gt;"",IFERROR(INDEX(BDEGENER[],MATCH(CONCATENATE($E$3,"MANT",TABLA_ACTAS[[#This Row],[N° DE SERV.]]),BDEGENER[GA6],0),31),""),IF($E$4&lt;&gt;"",IFERROR(INDEX(BDEGENER[],MATCH(CONCATENATE($E$4,"MANT",TABLA_ACTAS[[#This Row],[N° DE SERV.]]),BDEGENER[GA7],0),31),""),""))</f>
        <v/>
      </c>
      <c r="I16" s="562" t="str">
        <f>IF($E$3&lt;&gt;"",IFERROR(INDEX(BDEGENER[],MATCH(CONCATENATE($E$3,"MANT",TABLA_ACTAS[[#This Row],[N° DE SERV.]]),BDEGENER[GA6],0),42),""),IF($E$4&lt;&gt;"",IFERROR(INDEX(BDEGENER[],MATCH(CONCATENATE($E$4,"MANT",TABLA_ACTAS[[#This Row],[N° DE SERV.]]),BDEGENER[GA7],0),42),""),""))</f>
        <v/>
      </c>
      <c r="J16" s="166"/>
    </row>
    <row r="17" spans="1:10" x14ac:dyDescent="0.3">
      <c r="A17" s="166"/>
      <c r="B17" s="557">
        <v>11</v>
      </c>
      <c r="C17" s="558" t="str">
        <f>IF($E$3&lt;&gt;"",IFERROR(INDEX(BDEGENER[],MATCH(CONCATENATE($E$3,"MANT",TABLA_ACTAS[[#This Row],[N° DE SERV.]]),BDEGENER[GA6],0),10),""),IF($E$4&lt;&gt;"",IFERROR(INDEX(BDEGENER[],MATCH(CONCATENATE($E$4,"MANT",TABLA_ACTAS[[#This Row],[N° DE SERV.]]),BDEGENER[GA7],0),10),""),""))</f>
        <v/>
      </c>
      <c r="D17" s="559" t="str">
        <f>IF($E$3&lt;&gt;"",IFERROR(INDEX(BDEGENER[],MATCH(CONCATENATE($E$3,"MANT",TABLA_ACTAS[[#This Row],[N° DE SERV.]]),BDEGENER[GA6],0),49),""),IF($E$4&lt;&gt;"",IFERROR(INDEX(BDEGENER[],MATCH(CONCATENATE($E$4,"MANT",TABLA_ACTAS[[#This Row],[N° DE SERV.]]),BDEGENER[GA7],0),49),""),""))</f>
        <v/>
      </c>
      <c r="E17" s="559" t="str">
        <f>IF($E$3&lt;&gt;"",IFERROR(INDEX(BDEGENER[],MATCH(CONCATENATE($E$3,"MANT",TABLA_ACTAS[[#This Row],[N° DE SERV.]]),BDEGENER[GA6],0),21),""),IF($E$4&lt;&gt;"",IFERROR(INDEX(BDEGENER[],MATCH(CONCATENATE($E$4,"MANT",TABLA_ACTAS[[#This Row],[N° DE SERV.]]),BDEGENER[GA7],0),21),""),""))</f>
        <v/>
      </c>
      <c r="F17" s="559" t="str">
        <f>IF($E$3&lt;&gt;"",IFERROR(INDEX(BDEGENER[],MATCH(CONCATENATE($E$3,"MANT",TABLA_ACTAS[[#This Row],[N° DE SERV.]]),BDEGENER[GA6],0),41),""),IF($E$4&lt;&gt;"",IFERROR(INDEX(BDEGENER[],MATCH(CONCATENATE($E$4,"MANT",TABLA_ACTAS[[#This Row],[N° DE SERV.]]),BDEGENER[GA7],0),41),""),""))</f>
        <v/>
      </c>
      <c r="G17" s="559" t="str">
        <f>IF($E$3&lt;&gt;"",IFERROR(INDEX(BDEGENER[],MATCH(CONCATENATE($E$3,"MANT",TABLA_ACTAS[[#This Row],[N° DE SERV.]]),BDEGENER[GA6],0),12),""),IF($E$4&lt;&gt;"",IFERROR(INDEX(BDEGENER[],MATCH(CONCATENATE($E$4,"MANT",TABLA_ACTAS[[#This Row],[N° DE SERV.]]),BDEGENER[GA7],0),12),""),""))</f>
        <v/>
      </c>
      <c r="H17" s="560" t="str">
        <f>IF($E$3&lt;&gt;"",IFERROR(INDEX(BDEGENER[],MATCH(CONCATENATE($E$3,"MANT",TABLA_ACTAS[[#This Row],[N° DE SERV.]]),BDEGENER[GA6],0),31),""),IF($E$4&lt;&gt;"",IFERROR(INDEX(BDEGENER[],MATCH(CONCATENATE($E$4,"MANT",TABLA_ACTAS[[#This Row],[N° DE SERV.]]),BDEGENER[GA7],0),31),""),""))</f>
        <v/>
      </c>
      <c r="I17" s="562" t="str">
        <f>IF($E$3&lt;&gt;"",IFERROR(INDEX(BDEGENER[],MATCH(CONCATENATE($E$3,"MANT",TABLA_ACTAS[[#This Row],[N° DE SERV.]]),BDEGENER[GA6],0),42),""),IF($E$4&lt;&gt;"",IFERROR(INDEX(BDEGENER[],MATCH(CONCATENATE($E$4,"MANT",TABLA_ACTAS[[#This Row],[N° DE SERV.]]),BDEGENER[GA7],0),42),""),""))</f>
        <v/>
      </c>
      <c r="J17" s="166"/>
    </row>
    <row r="18" spans="1:10" x14ac:dyDescent="0.3">
      <c r="A18" s="166"/>
      <c r="B18" s="557">
        <v>12</v>
      </c>
      <c r="C18" s="558" t="str">
        <f>IF($E$3&lt;&gt;"",IFERROR(INDEX(BDEGENER[],MATCH(CONCATENATE($E$3,"MANT",TABLA_ACTAS[[#This Row],[N° DE SERV.]]),BDEGENER[GA6],0),10),""),IF($E$4&lt;&gt;"",IFERROR(INDEX(BDEGENER[],MATCH(CONCATENATE($E$4,"MANT",TABLA_ACTAS[[#This Row],[N° DE SERV.]]),BDEGENER[GA7],0),10),""),""))</f>
        <v/>
      </c>
      <c r="D18" s="559" t="str">
        <f>IF($E$3&lt;&gt;"",IFERROR(INDEX(BDEGENER[],MATCH(CONCATENATE($E$3,"MANT",TABLA_ACTAS[[#This Row],[N° DE SERV.]]),BDEGENER[GA6],0),49),""),IF($E$4&lt;&gt;"",IFERROR(INDEX(BDEGENER[],MATCH(CONCATENATE($E$4,"MANT",TABLA_ACTAS[[#This Row],[N° DE SERV.]]),BDEGENER[GA7],0),49),""),""))</f>
        <v/>
      </c>
      <c r="E18" s="559" t="str">
        <f>IF($E$3&lt;&gt;"",IFERROR(INDEX(BDEGENER[],MATCH(CONCATENATE($E$3,"MANT",TABLA_ACTAS[[#This Row],[N° DE SERV.]]),BDEGENER[GA6],0),21),""),IF($E$4&lt;&gt;"",IFERROR(INDEX(BDEGENER[],MATCH(CONCATENATE($E$4,"MANT",TABLA_ACTAS[[#This Row],[N° DE SERV.]]),BDEGENER[GA7],0),21),""),""))</f>
        <v/>
      </c>
      <c r="F18" s="559" t="str">
        <f>IF($E$3&lt;&gt;"",IFERROR(INDEX(BDEGENER[],MATCH(CONCATENATE($E$3,"MANT",TABLA_ACTAS[[#This Row],[N° DE SERV.]]),BDEGENER[GA6],0),41),""),IF($E$4&lt;&gt;"",IFERROR(INDEX(BDEGENER[],MATCH(CONCATENATE($E$4,"MANT",TABLA_ACTAS[[#This Row],[N° DE SERV.]]),BDEGENER[GA7],0),41),""),""))</f>
        <v/>
      </c>
      <c r="G18" s="559" t="str">
        <f>IF($E$3&lt;&gt;"",IFERROR(INDEX(BDEGENER[],MATCH(CONCATENATE($E$3,"MANT",TABLA_ACTAS[[#This Row],[N° DE SERV.]]),BDEGENER[GA6],0),12),""),IF($E$4&lt;&gt;"",IFERROR(INDEX(BDEGENER[],MATCH(CONCATENATE($E$4,"MANT",TABLA_ACTAS[[#This Row],[N° DE SERV.]]),BDEGENER[GA7],0),12),""),""))</f>
        <v/>
      </c>
      <c r="H18" s="560" t="str">
        <f>IF($E$3&lt;&gt;"",IFERROR(INDEX(BDEGENER[],MATCH(CONCATENATE($E$3,"MANT",TABLA_ACTAS[[#This Row],[N° DE SERV.]]),BDEGENER[GA6],0),31),""),IF($E$4&lt;&gt;"",IFERROR(INDEX(BDEGENER[],MATCH(CONCATENATE($E$4,"MANT",TABLA_ACTAS[[#This Row],[N° DE SERV.]]),BDEGENER[GA7],0),31),""),""))</f>
        <v/>
      </c>
      <c r="I18" s="562" t="str">
        <f>IF($E$3&lt;&gt;"",IFERROR(INDEX(BDEGENER[],MATCH(CONCATENATE($E$3,"MANT",TABLA_ACTAS[[#This Row],[N° DE SERV.]]),BDEGENER[GA6],0),42),""),IF($E$4&lt;&gt;"",IFERROR(INDEX(BDEGENER[],MATCH(CONCATENATE($E$4,"MANT",TABLA_ACTAS[[#This Row],[N° DE SERV.]]),BDEGENER[GA7],0),42),""),""))</f>
        <v/>
      </c>
      <c r="J18" s="166"/>
    </row>
    <row r="19" spans="1:10" x14ac:dyDescent="0.3">
      <c r="A19" s="166"/>
      <c r="B19" s="557">
        <v>13</v>
      </c>
      <c r="C19" s="558" t="str">
        <f>IF($E$3&lt;&gt;"",IFERROR(INDEX(BDEGENER[],MATCH(CONCATENATE($E$3,"MANT",TABLA_ACTAS[[#This Row],[N° DE SERV.]]),BDEGENER[GA6],0),10),""),IF($E$4&lt;&gt;"",IFERROR(INDEX(BDEGENER[],MATCH(CONCATENATE($E$4,"MANT",TABLA_ACTAS[[#This Row],[N° DE SERV.]]),BDEGENER[GA7],0),10),""),""))</f>
        <v/>
      </c>
      <c r="D19" s="559" t="str">
        <f>IF($E$3&lt;&gt;"",IFERROR(INDEX(BDEGENER[],MATCH(CONCATENATE($E$3,"MANT",TABLA_ACTAS[[#This Row],[N° DE SERV.]]),BDEGENER[GA6],0),49),""),IF($E$4&lt;&gt;"",IFERROR(INDEX(BDEGENER[],MATCH(CONCATENATE($E$4,"MANT",TABLA_ACTAS[[#This Row],[N° DE SERV.]]),BDEGENER[GA7],0),49),""),""))</f>
        <v/>
      </c>
      <c r="E19" s="559" t="str">
        <f>IF($E$3&lt;&gt;"",IFERROR(INDEX(BDEGENER[],MATCH(CONCATENATE($E$3,"MANT",TABLA_ACTAS[[#This Row],[N° DE SERV.]]),BDEGENER[GA6],0),21),""),IF($E$4&lt;&gt;"",IFERROR(INDEX(BDEGENER[],MATCH(CONCATENATE($E$4,"MANT",TABLA_ACTAS[[#This Row],[N° DE SERV.]]),BDEGENER[GA7],0),21),""),""))</f>
        <v/>
      </c>
      <c r="F19" s="559" t="str">
        <f>IF($E$3&lt;&gt;"",IFERROR(INDEX(BDEGENER[],MATCH(CONCATENATE($E$3,"MANT",TABLA_ACTAS[[#This Row],[N° DE SERV.]]),BDEGENER[GA6],0),41),""),IF($E$4&lt;&gt;"",IFERROR(INDEX(BDEGENER[],MATCH(CONCATENATE($E$4,"MANT",TABLA_ACTAS[[#This Row],[N° DE SERV.]]),BDEGENER[GA7],0),41),""),""))</f>
        <v/>
      </c>
      <c r="G19" s="559" t="str">
        <f>IF($E$3&lt;&gt;"",IFERROR(INDEX(BDEGENER[],MATCH(CONCATENATE($E$3,"MANT",TABLA_ACTAS[[#This Row],[N° DE SERV.]]),BDEGENER[GA6],0),12),""),IF($E$4&lt;&gt;"",IFERROR(INDEX(BDEGENER[],MATCH(CONCATENATE($E$4,"MANT",TABLA_ACTAS[[#This Row],[N° DE SERV.]]),BDEGENER[GA7],0),12),""),""))</f>
        <v/>
      </c>
      <c r="H19" s="560" t="str">
        <f>IF($E$3&lt;&gt;"",IFERROR(INDEX(BDEGENER[],MATCH(CONCATENATE($E$3,"MANT",TABLA_ACTAS[[#This Row],[N° DE SERV.]]),BDEGENER[GA6],0),31),""),IF($E$4&lt;&gt;"",IFERROR(INDEX(BDEGENER[],MATCH(CONCATENATE($E$4,"MANT",TABLA_ACTAS[[#This Row],[N° DE SERV.]]),BDEGENER[GA7],0),31),""),""))</f>
        <v/>
      </c>
      <c r="I19" s="562" t="str">
        <f>IF($E$3&lt;&gt;"",IFERROR(INDEX(BDEGENER[],MATCH(CONCATENATE($E$3,"MANT",TABLA_ACTAS[[#This Row],[N° DE SERV.]]),BDEGENER[GA6],0),42),""),IF($E$4&lt;&gt;"",IFERROR(INDEX(BDEGENER[],MATCH(CONCATENATE($E$4,"MANT",TABLA_ACTAS[[#This Row],[N° DE SERV.]]),BDEGENER[GA7],0),42),""),""))</f>
        <v/>
      </c>
      <c r="J19" s="166"/>
    </row>
    <row r="20" spans="1:10" x14ac:dyDescent="0.3">
      <c r="A20" s="166"/>
      <c r="B20" s="557">
        <v>14</v>
      </c>
      <c r="C20" s="558" t="str">
        <f>IF($E$3&lt;&gt;"",IFERROR(INDEX(BDEGENER[],MATCH(CONCATENATE($E$3,"MANT",TABLA_ACTAS[[#This Row],[N° DE SERV.]]),BDEGENER[GA6],0),10),""),IF($E$4&lt;&gt;"",IFERROR(INDEX(BDEGENER[],MATCH(CONCATENATE($E$4,"MANT",TABLA_ACTAS[[#This Row],[N° DE SERV.]]),BDEGENER[GA7],0),10),""),""))</f>
        <v/>
      </c>
      <c r="D20" s="559" t="str">
        <f>IF($E$3&lt;&gt;"",IFERROR(INDEX(BDEGENER[],MATCH(CONCATENATE($E$3,"MANT",TABLA_ACTAS[[#This Row],[N° DE SERV.]]),BDEGENER[GA6],0),49),""),IF($E$4&lt;&gt;"",IFERROR(INDEX(BDEGENER[],MATCH(CONCATENATE($E$4,"MANT",TABLA_ACTAS[[#This Row],[N° DE SERV.]]),BDEGENER[GA7],0),49),""),""))</f>
        <v/>
      </c>
      <c r="E20" s="559" t="str">
        <f>IF($E$3&lt;&gt;"",IFERROR(INDEX(BDEGENER[],MATCH(CONCATENATE($E$3,"MANT",TABLA_ACTAS[[#This Row],[N° DE SERV.]]),BDEGENER[GA6],0),21),""),IF($E$4&lt;&gt;"",IFERROR(INDEX(BDEGENER[],MATCH(CONCATENATE($E$4,"MANT",TABLA_ACTAS[[#This Row],[N° DE SERV.]]),BDEGENER[GA7],0),21),""),""))</f>
        <v/>
      </c>
      <c r="F20" s="559" t="str">
        <f>IF($E$3&lt;&gt;"",IFERROR(INDEX(BDEGENER[],MATCH(CONCATENATE($E$3,"MANT",TABLA_ACTAS[[#This Row],[N° DE SERV.]]),BDEGENER[GA6],0),41),""),IF($E$4&lt;&gt;"",IFERROR(INDEX(BDEGENER[],MATCH(CONCATENATE($E$4,"MANT",TABLA_ACTAS[[#This Row],[N° DE SERV.]]),BDEGENER[GA7],0),41),""),""))</f>
        <v/>
      </c>
      <c r="G20" s="559" t="str">
        <f>IF($E$3&lt;&gt;"",IFERROR(INDEX(BDEGENER[],MATCH(CONCATENATE($E$3,"MANT",TABLA_ACTAS[[#This Row],[N° DE SERV.]]),BDEGENER[GA6],0),12),""),IF($E$4&lt;&gt;"",IFERROR(INDEX(BDEGENER[],MATCH(CONCATENATE($E$4,"MANT",TABLA_ACTAS[[#This Row],[N° DE SERV.]]),BDEGENER[GA7],0),12),""),""))</f>
        <v/>
      </c>
      <c r="H20" s="560" t="str">
        <f>IF($E$3&lt;&gt;"",IFERROR(INDEX(BDEGENER[],MATCH(CONCATENATE($E$3,"MANT",TABLA_ACTAS[[#This Row],[N° DE SERV.]]),BDEGENER[GA6],0),31),""),IF($E$4&lt;&gt;"",IFERROR(INDEX(BDEGENER[],MATCH(CONCATENATE($E$4,"MANT",TABLA_ACTAS[[#This Row],[N° DE SERV.]]),BDEGENER[GA7],0),31),""),""))</f>
        <v/>
      </c>
      <c r="I20" s="562" t="str">
        <f>IF($E$3&lt;&gt;"",IFERROR(INDEX(BDEGENER[],MATCH(CONCATENATE($E$3,"MANT",TABLA_ACTAS[[#This Row],[N° DE SERV.]]),BDEGENER[GA6],0),42),""),IF($E$4&lt;&gt;"",IFERROR(INDEX(BDEGENER[],MATCH(CONCATENATE($E$4,"MANT",TABLA_ACTAS[[#This Row],[N° DE SERV.]]),BDEGENER[GA7],0),42),""),""))</f>
        <v/>
      </c>
      <c r="J20" s="166"/>
    </row>
    <row r="21" spans="1:10" x14ac:dyDescent="0.3">
      <c r="A21" s="166"/>
      <c r="B21" s="563">
        <v>15</v>
      </c>
      <c r="C21" s="558" t="str">
        <f>IF($E$3&lt;&gt;"",IFERROR(INDEX(BDEGENER[],MATCH(CONCATENATE($E$3,"MANT",TABLA_ACTAS[[#This Row],[N° DE SERV.]]),BDEGENER[GA6],0),10),""),IF($E$4&lt;&gt;"",IFERROR(INDEX(BDEGENER[],MATCH(CONCATENATE($E$4,"MANT",TABLA_ACTAS[[#This Row],[N° DE SERV.]]),BDEGENER[GA7],0),10),""),""))</f>
        <v/>
      </c>
      <c r="D21" s="559" t="str">
        <f>IF($E$3&lt;&gt;"",IFERROR(INDEX(BDEGENER[],MATCH(CONCATENATE($E$3,"MANT",TABLA_ACTAS[[#This Row],[N° DE SERV.]]),BDEGENER[GA6],0),49),""),IF($E$4&lt;&gt;"",IFERROR(INDEX(BDEGENER[],MATCH(CONCATENATE($E$4,"MANT",TABLA_ACTAS[[#This Row],[N° DE SERV.]]),BDEGENER[GA7],0),49),""),""))</f>
        <v/>
      </c>
      <c r="E21" s="559" t="str">
        <f>IF($E$3&lt;&gt;"",IFERROR(INDEX(BDEGENER[],MATCH(CONCATENATE($E$3,"MANT",TABLA_ACTAS[[#This Row],[N° DE SERV.]]),BDEGENER[GA6],0),21),""),IF($E$4&lt;&gt;"",IFERROR(INDEX(BDEGENER[],MATCH(CONCATENATE($E$4,"MANT",TABLA_ACTAS[[#This Row],[N° DE SERV.]]),BDEGENER[GA7],0),21),""),""))</f>
        <v/>
      </c>
      <c r="F21" s="559" t="str">
        <f>IF($E$3&lt;&gt;"",IFERROR(INDEX(BDEGENER[],MATCH(CONCATENATE($E$3,"MANT",TABLA_ACTAS[[#This Row],[N° DE SERV.]]),BDEGENER[GA6],0),41),""),IF($E$4&lt;&gt;"",IFERROR(INDEX(BDEGENER[],MATCH(CONCATENATE($E$4,"MANT",TABLA_ACTAS[[#This Row],[N° DE SERV.]]),BDEGENER[GA7],0),41),""),""))</f>
        <v/>
      </c>
      <c r="G21" s="559" t="str">
        <f>IF($E$3&lt;&gt;"",IFERROR(INDEX(BDEGENER[],MATCH(CONCATENATE($E$3,"MANT",TABLA_ACTAS[[#This Row],[N° DE SERV.]]),BDEGENER[GA6],0),12),""),IF($E$4&lt;&gt;"",IFERROR(INDEX(BDEGENER[],MATCH(CONCATENATE($E$4,"MANT",TABLA_ACTAS[[#This Row],[N° DE SERV.]]),BDEGENER[GA7],0),12),""),""))</f>
        <v/>
      </c>
      <c r="H21" s="560" t="str">
        <f>IF($E$3&lt;&gt;"",IFERROR(INDEX(BDEGENER[],MATCH(CONCATENATE($E$3,"MANT",TABLA_ACTAS[[#This Row],[N° DE SERV.]]),BDEGENER[GA6],0),31),""),IF($E$4&lt;&gt;"",IFERROR(INDEX(BDEGENER[],MATCH(CONCATENATE($E$4,"MANT",TABLA_ACTAS[[#This Row],[N° DE SERV.]]),BDEGENER[GA7],0),31),""),""))</f>
        <v/>
      </c>
      <c r="I21" s="564" t="str">
        <f>IF($E$3&lt;&gt;"",IFERROR(INDEX(BDEGENER[],MATCH(CONCATENATE($E$3,"MANT",TABLA_ACTAS[[#This Row],[N° DE SERV.]]),BDEGENER[GA6],0),42),""),IF($E$4&lt;&gt;"",IFERROR(INDEX(BDEGENER[],MATCH(CONCATENATE($E$4,"MANT",TABLA_ACTAS[[#This Row],[N° DE SERV.]]),BDEGENER[GA7],0),42),""),""))</f>
        <v/>
      </c>
      <c r="J21" s="166"/>
    </row>
    <row r="22" spans="1:10" x14ac:dyDescent="0.3">
      <c r="A22" s="166"/>
      <c r="B22" s="563">
        <v>16</v>
      </c>
      <c r="C22" s="558" t="str">
        <f>IF($E$3&lt;&gt;"",IFERROR(INDEX(BDEGENER[],MATCH(CONCATENATE($E$3,"MANT",TABLA_ACTAS[[#This Row],[N° DE SERV.]]),BDEGENER[GA6],0),10),""),IF($E$4&lt;&gt;"",IFERROR(INDEX(BDEGENER[],MATCH(CONCATENATE($E$4,"MANT",TABLA_ACTAS[[#This Row],[N° DE SERV.]]),BDEGENER[GA7],0),10),""),""))</f>
        <v/>
      </c>
      <c r="D22" s="559" t="str">
        <f>IF($E$3&lt;&gt;"",IFERROR(INDEX(BDEGENER[],MATCH(CONCATENATE($E$3,"MANT",TABLA_ACTAS[[#This Row],[N° DE SERV.]]),BDEGENER[GA6],0),49),""),IF($E$4&lt;&gt;"",IFERROR(INDEX(BDEGENER[],MATCH(CONCATENATE($E$4,"MANT",TABLA_ACTAS[[#This Row],[N° DE SERV.]]),BDEGENER[GA7],0),49),""),""))</f>
        <v/>
      </c>
      <c r="E22" s="559" t="str">
        <f>IF($E$3&lt;&gt;"",IFERROR(INDEX(BDEGENER[],MATCH(CONCATENATE($E$3,"MANT",TABLA_ACTAS[[#This Row],[N° DE SERV.]]),BDEGENER[GA6],0),21),""),IF($E$4&lt;&gt;"",IFERROR(INDEX(BDEGENER[],MATCH(CONCATENATE($E$4,"MANT",TABLA_ACTAS[[#This Row],[N° DE SERV.]]),BDEGENER[GA7],0),21),""),""))</f>
        <v/>
      </c>
      <c r="F22" s="559" t="str">
        <f>IF($E$3&lt;&gt;"",IFERROR(INDEX(BDEGENER[],MATCH(CONCATENATE($E$3,"MANT",TABLA_ACTAS[[#This Row],[N° DE SERV.]]),BDEGENER[GA6],0),41),""),IF($E$4&lt;&gt;"",IFERROR(INDEX(BDEGENER[],MATCH(CONCATENATE($E$4,"MANT",TABLA_ACTAS[[#This Row],[N° DE SERV.]]),BDEGENER[GA7],0),41),""),""))</f>
        <v/>
      </c>
      <c r="G22" s="559" t="str">
        <f>IF($E$3&lt;&gt;"",IFERROR(INDEX(BDEGENER[],MATCH(CONCATENATE($E$3,"MANT",TABLA_ACTAS[[#This Row],[N° DE SERV.]]),BDEGENER[GA6],0),12),""),IF($E$4&lt;&gt;"",IFERROR(INDEX(BDEGENER[],MATCH(CONCATENATE($E$4,"MANT",TABLA_ACTAS[[#This Row],[N° DE SERV.]]),BDEGENER[GA7],0),12),""),""))</f>
        <v/>
      </c>
      <c r="H22" s="560" t="str">
        <f>IF($E$3&lt;&gt;"",IFERROR(INDEX(BDEGENER[],MATCH(CONCATENATE($E$3,"MANT",TABLA_ACTAS[[#This Row],[N° DE SERV.]]),BDEGENER[GA6],0),31),""),IF($E$4&lt;&gt;"",IFERROR(INDEX(BDEGENER[],MATCH(CONCATENATE($E$4,"MANT",TABLA_ACTAS[[#This Row],[N° DE SERV.]]),BDEGENER[GA7],0),31),""),""))</f>
        <v/>
      </c>
      <c r="I22" s="564" t="str">
        <f>IF($E$3&lt;&gt;"",IFERROR(INDEX(BDEGENER[],MATCH(CONCATENATE($E$3,"MANT",TABLA_ACTAS[[#This Row],[N° DE SERV.]]),BDEGENER[GA6],0),42),""),IF($E$4&lt;&gt;"",IFERROR(INDEX(BDEGENER[],MATCH(CONCATENATE($E$4,"MANT",TABLA_ACTAS[[#This Row],[N° DE SERV.]]),BDEGENER[GA7],0),42),""),""))</f>
        <v/>
      </c>
      <c r="J22" s="166"/>
    </row>
    <row r="23" spans="1:10" x14ac:dyDescent="0.3">
      <c r="A23" s="166"/>
      <c r="B23" s="563">
        <v>17</v>
      </c>
      <c r="C23" s="558" t="str">
        <f>IF($E$3&lt;&gt;"",IFERROR(INDEX(BDEGENER[],MATCH(CONCATENATE($E$3,"MANT",TABLA_ACTAS[[#This Row],[N° DE SERV.]]),BDEGENER[GA6],0),10),""),IF($E$4&lt;&gt;"",IFERROR(INDEX(BDEGENER[],MATCH(CONCATENATE($E$4,"MANT",TABLA_ACTAS[[#This Row],[N° DE SERV.]]),BDEGENER[GA7],0),10),""),""))</f>
        <v/>
      </c>
      <c r="D23" s="559" t="str">
        <f>IF($E$3&lt;&gt;"",IFERROR(INDEX(BDEGENER[],MATCH(CONCATENATE($E$3,"MANT",TABLA_ACTAS[[#This Row],[N° DE SERV.]]),BDEGENER[GA6],0),49),""),IF($E$4&lt;&gt;"",IFERROR(INDEX(BDEGENER[],MATCH(CONCATENATE($E$4,"MANT",TABLA_ACTAS[[#This Row],[N° DE SERV.]]),BDEGENER[GA7],0),49),""),""))</f>
        <v/>
      </c>
      <c r="E23" s="559" t="str">
        <f>IF($E$3&lt;&gt;"",IFERROR(INDEX(BDEGENER[],MATCH(CONCATENATE($E$3,"MANT",TABLA_ACTAS[[#This Row],[N° DE SERV.]]),BDEGENER[GA6],0),21),""),IF($E$4&lt;&gt;"",IFERROR(INDEX(BDEGENER[],MATCH(CONCATENATE($E$4,"MANT",TABLA_ACTAS[[#This Row],[N° DE SERV.]]),BDEGENER[GA7],0),21),""),""))</f>
        <v/>
      </c>
      <c r="F23" s="559" t="str">
        <f>IF($E$3&lt;&gt;"",IFERROR(INDEX(BDEGENER[],MATCH(CONCATENATE($E$3,"MANT",TABLA_ACTAS[[#This Row],[N° DE SERV.]]),BDEGENER[GA6],0),41),""),IF($E$4&lt;&gt;"",IFERROR(INDEX(BDEGENER[],MATCH(CONCATENATE($E$4,"MANT",TABLA_ACTAS[[#This Row],[N° DE SERV.]]),BDEGENER[GA7],0),41),""),""))</f>
        <v/>
      </c>
      <c r="G23" s="559" t="str">
        <f>IF($E$3&lt;&gt;"",IFERROR(INDEX(BDEGENER[],MATCH(CONCATENATE($E$3,"MANT",TABLA_ACTAS[[#This Row],[N° DE SERV.]]),BDEGENER[GA6],0),12),""),IF($E$4&lt;&gt;"",IFERROR(INDEX(BDEGENER[],MATCH(CONCATENATE($E$4,"MANT",TABLA_ACTAS[[#This Row],[N° DE SERV.]]),BDEGENER[GA7],0),12),""),""))</f>
        <v/>
      </c>
      <c r="H23" s="560" t="str">
        <f>IF($E$3&lt;&gt;"",IFERROR(INDEX(BDEGENER[],MATCH(CONCATENATE($E$3,"MANT",TABLA_ACTAS[[#This Row],[N° DE SERV.]]),BDEGENER[GA6],0),31),""),IF($E$4&lt;&gt;"",IFERROR(INDEX(BDEGENER[],MATCH(CONCATENATE($E$4,"MANT",TABLA_ACTAS[[#This Row],[N° DE SERV.]]),BDEGENER[GA7],0),31),""),""))</f>
        <v/>
      </c>
      <c r="I23" s="564" t="str">
        <f>IF($E$3&lt;&gt;"",IFERROR(INDEX(BDEGENER[],MATCH(CONCATENATE($E$3,"MANT",TABLA_ACTAS[[#This Row],[N° DE SERV.]]),BDEGENER[GA6],0),42),""),IF($E$4&lt;&gt;"",IFERROR(INDEX(BDEGENER[],MATCH(CONCATENATE($E$4,"MANT",TABLA_ACTAS[[#This Row],[N° DE SERV.]]),BDEGENER[GA7],0),42),""),""))</f>
        <v/>
      </c>
      <c r="J23" s="166"/>
    </row>
    <row r="24" spans="1:10" x14ac:dyDescent="0.3">
      <c r="A24" s="166"/>
      <c r="B24" s="563">
        <v>18</v>
      </c>
      <c r="C24" s="558" t="str">
        <f>IF($E$3&lt;&gt;"",IFERROR(INDEX(BDEGENER[],MATCH(CONCATENATE($E$3,"MANT",TABLA_ACTAS[[#This Row],[N° DE SERV.]]),BDEGENER[GA6],0),10),""),IF($E$4&lt;&gt;"",IFERROR(INDEX(BDEGENER[],MATCH(CONCATENATE($E$4,"MANT",TABLA_ACTAS[[#This Row],[N° DE SERV.]]),BDEGENER[GA7],0),10),""),""))</f>
        <v/>
      </c>
      <c r="D24" s="559" t="str">
        <f>IF($E$3&lt;&gt;"",IFERROR(INDEX(BDEGENER[],MATCH(CONCATENATE($E$3,"MANT",TABLA_ACTAS[[#This Row],[N° DE SERV.]]),BDEGENER[GA6],0),49),""),IF($E$4&lt;&gt;"",IFERROR(INDEX(BDEGENER[],MATCH(CONCATENATE($E$4,"MANT",TABLA_ACTAS[[#This Row],[N° DE SERV.]]),BDEGENER[GA7],0),49),""),""))</f>
        <v/>
      </c>
      <c r="E24" s="559" t="str">
        <f>IF($E$3&lt;&gt;"",IFERROR(INDEX(BDEGENER[],MATCH(CONCATENATE($E$3,"MANT",TABLA_ACTAS[[#This Row],[N° DE SERV.]]),BDEGENER[GA6],0),21),""),IF($E$4&lt;&gt;"",IFERROR(INDEX(BDEGENER[],MATCH(CONCATENATE($E$4,"MANT",TABLA_ACTAS[[#This Row],[N° DE SERV.]]),BDEGENER[GA7],0),21),""),""))</f>
        <v/>
      </c>
      <c r="F24" s="559" t="str">
        <f>IF($E$3&lt;&gt;"",IFERROR(INDEX(BDEGENER[],MATCH(CONCATENATE($E$3,"MANT",TABLA_ACTAS[[#This Row],[N° DE SERV.]]),BDEGENER[GA6],0),41),""),IF($E$4&lt;&gt;"",IFERROR(INDEX(BDEGENER[],MATCH(CONCATENATE($E$4,"MANT",TABLA_ACTAS[[#This Row],[N° DE SERV.]]),BDEGENER[GA7],0),41),""),""))</f>
        <v/>
      </c>
      <c r="G24" s="559" t="str">
        <f>IF($E$3&lt;&gt;"",IFERROR(INDEX(BDEGENER[],MATCH(CONCATENATE($E$3,"MANT",TABLA_ACTAS[[#This Row],[N° DE SERV.]]),BDEGENER[GA6],0),12),""),IF($E$4&lt;&gt;"",IFERROR(INDEX(BDEGENER[],MATCH(CONCATENATE($E$4,"MANT",TABLA_ACTAS[[#This Row],[N° DE SERV.]]),BDEGENER[GA7],0),12),""),""))</f>
        <v/>
      </c>
      <c r="H24" s="560" t="str">
        <f>IF($E$3&lt;&gt;"",IFERROR(INDEX(BDEGENER[],MATCH(CONCATENATE($E$3,"MANT",TABLA_ACTAS[[#This Row],[N° DE SERV.]]),BDEGENER[GA6],0),31),""),IF($E$4&lt;&gt;"",IFERROR(INDEX(BDEGENER[],MATCH(CONCATENATE($E$4,"MANT",TABLA_ACTAS[[#This Row],[N° DE SERV.]]),BDEGENER[GA7],0),31),""),""))</f>
        <v/>
      </c>
      <c r="I24" s="564" t="str">
        <f>IF($E$3&lt;&gt;"",IFERROR(INDEX(BDEGENER[],MATCH(CONCATENATE($E$3,"MANT",TABLA_ACTAS[[#This Row],[N° DE SERV.]]),BDEGENER[GA6],0),42),""),IF($E$4&lt;&gt;"",IFERROR(INDEX(BDEGENER[],MATCH(CONCATENATE($E$4,"MANT",TABLA_ACTAS[[#This Row],[N° DE SERV.]]),BDEGENER[GA7],0),42),""),""))</f>
        <v/>
      </c>
      <c r="J24" s="166"/>
    </row>
    <row r="25" spans="1:10" x14ac:dyDescent="0.3">
      <c r="A25" s="166"/>
      <c r="B25" s="563">
        <v>19</v>
      </c>
      <c r="C25" s="558" t="str">
        <f>IF($E$3&lt;&gt;"",IFERROR(INDEX(BDEGENER[],MATCH(CONCATENATE($E$3,"MANT",TABLA_ACTAS[[#This Row],[N° DE SERV.]]),BDEGENER[GA6],0),10),""),IF($E$4&lt;&gt;"",IFERROR(INDEX(BDEGENER[],MATCH(CONCATENATE($E$4,"MANT",TABLA_ACTAS[[#This Row],[N° DE SERV.]]),BDEGENER[GA7],0),10),""),""))</f>
        <v/>
      </c>
      <c r="D25" s="559" t="str">
        <f>IF($E$3&lt;&gt;"",IFERROR(INDEX(BDEGENER[],MATCH(CONCATENATE($E$3,"MANT",TABLA_ACTAS[[#This Row],[N° DE SERV.]]),BDEGENER[GA6],0),49),""),IF($E$4&lt;&gt;"",IFERROR(INDEX(BDEGENER[],MATCH(CONCATENATE($E$4,"MANT",TABLA_ACTAS[[#This Row],[N° DE SERV.]]),BDEGENER[GA7],0),49),""),""))</f>
        <v/>
      </c>
      <c r="E25" s="559" t="str">
        <f>IF($E$3&lt;&gt;"",IFERROR(INDEX(BDEGENER[],MATCH(CONCATENATE($E$3,"MANT",TABLA_ACTAS[[#This Row],[N° DE SERV.]]),BDEGENER[GA6],0),21),""),IF($E$4&lt;&gt;"",IFERROR(INDEX(BDEGENER[],MATCH(CONCATENATE($E$4,"MANT",TABLA_ACTAS[[#This Row],[N° DE SERV.]]),BDEGENER[GA7],0),21),""),""))</f>
        <v/>
      </c>
      <c r="F25" s="559" t="str">
        <f>IF($E$3&lt;&gt;"",IFERROR(INDEX(BDEGENER[],MATCH(CONCATENATE($E$3,"MANT",TABLA_ACTAS[[#This Row],[N° DE SERV.]]),BDEGENER[GA6],0),41),""),IF($E$4&lt;&gt;"",IFERROR(INDEX(BDEGENER[],MATCH(CONCATENATE($E$4,"MANT",TABLA_ACTAS[[#This Row],[N° DE SERV.]]),BDEGENER[GA7],0),41),""),""))</f>
        <v/>
      </c>
      <c r="G25" s="559" t="str">
        <f>IF($E$3&lt;&gt;"",IFERROR(INDEX(BDEGENER[],MATCH(CONCATENATE($E$3,"MANT",TABLA_ACTAS[[#This Row],[N° DE SERV.]]),BDEGENER[GA6],0),12),""),IF($E$4&lt;&gt;"",IFERROR(INDEX(BDEGENER[],MATCH(CONCATENATE($E$4,"MANT",TABLA_ACTAS[[#This Row],[N° DE SERV.]]),BDEGENER[GA7],0),12),""),""))</f>
        <v/>
      </c>
      <c r="H25" s="560" t="str">
        <f>IF($E$3&lt;&gt;"",IFERROR(INDEX(BDEGENER[],MATCH(CONCATENATE($E$3,"MANT",TABLA_ACTAS[[#This Row],[N° DE SERV.]]),BDEGENER[GA6],0),31),""),IF($E$4&lt;&gt;"",IFERROR(INDEX(BDEGENER[],MATCH(CONCATENATE($E$4,"MANT",TABLA_ACTAS[[#This Row],[N° DE SERV.]]),BDEGENER[GA7],0),31),""),""))</f>
        <v/>
      </c>
      <c r="I25" s="564" t="str">
        <f>IF($E$3&lt;&gt;"",IFERROR(INDEX(BDEGENER[],MATCH(CONCATENATE($E$3,"MANT",TABLA_ACTAS[[#This Row],[N° DE SERV.]]),BDEGENER[GA6],0),42),""),IF($E$4&lt;&gt;"",IFERROR(INDEX(BDEGENER[],MATCH(CONCATENATE($E$4,"MANT",TABLA_ACTAS[[#This Row],[N° DE SERV.]]),BDEGENER[GA7],0),42),""),""))</f>
        <v/>
      </c>
      <c r="J25" s="166"/>
    </row>
    <row r="26" spans="1:10" x14ac:dyDescent="0.3">
      <c r="A26" s="166"/>
      <c r="B26" s="563">
        <v>20</v>
      </c>
      <c r="C26" s="558" t="str">
        <f>IF($E$3&lt;&gt;"",IFERROR(INDEX(BDEGENER[],MATCH(CONCATENATE($E$3,"MANT",TABLA_ACTAS[[#This Row],[N° DE SERV.]]),BDEGENER[GA6],0),10),""),IF($E$4&lt;&gt;"",IFERROR(INDEX(BDEGENER[],MATCH(CONCATENATE($E$4,"MANT",TABLA_ACTAS[[#This Row],[N° DE SERV.]]),BDEGENER[GA7],0),10),""),""))</f>
        <v/>
      </c>
      <c r="D26" s="559" t="str">
        <f>IF($E$3&lt;&gt;"",IFERROR(INDEX(BDEGENER[],MATCH(CONCATENATE($E$3,"MANT",TABLA_ACTAS[[#This Row],[N° DE SERV.]]),BDEGENER[GA6],0),49),""),IF($E$4&lt;&gt;"",IFERROR(INDEX(BDEGENER[],MATCH(CONCATENATE($E$4,"MANT",TABLA_ACTAS[[#This Row],[N° DE SERV.]]),BDEGENER[GA7],0),49),""),""))</f>
        <v/>
      </c>
      <c r="E26" s="559" t="str">
        <f>IF($E$3&lt;&gt;"",IFERROR(INDEX(BDEGENER[],MATCH(CONCATENATE($E$3,"MANT",TABLA_ACTAS[[#This Row],[N° DE SERV.]]),BDEGENER[GA6],0),21),""),IF($E$4&lt;&gt;"",IFERROR(INDEX(BDEGENER[],MATCH(CONCATENATE($E$4,"MANT",TABLA_ACTAS[[#This Row],[N° DE SERV.]]),BDEGENER[GA7],0),21),""),""))</f>
        <v/>
      </c>
      <c r="F26" s="559" t="str">
        <f>IF($E$3&lt;&gt;"",IFERROR(INDEX(BDEGENER[],MATCH(CONCATENATE($E$3,"MANT",TABLA_ACTAS[[#This Row],[N° DE SERV.]]),BDEGENER[GA6],0),41),""),IF($E$4&lt;&gt;"",IFERROR(INDEX(BDEGENER[],MATCH(CONCATENATE($E$4,"MANT",TABLA_ACTAS[[#This Row],[N° DE SERV.]]),BDEGENER[GA7],0),41),""),""))</f>
        <v/>
      </c>
      <c r="G26" s="559" t="str">
        <f>IF($E$3&lt;&gt;"",IFERROR(INDEX(BDEGENER[],MATCH(CONCATENATE($E$3,"MANT",TABLA_ACTAS[[#This Row],[N° DE SERV.]]),BDEGENER[GA6],0),12),""),IF($E$4&lt;&gt;"",IFERROR(INDEX(BDEGENER[],MATCH(CONCATENATE($E$4,"MANT",TABLA_ACTAS[[#This Row],[N° DE SERV.]]),BDEGENER[GA7],0),12),""),""))</f>
        <v/>
      </c>
      <c r="H26" s="560" t="str">
        <f>IF($E$3&lt;&gt;"",IFERROR(INDEX(BDEGENER[],MATCH(CONCATENATE($E$3,"MANT",TABLA_ACTAS[[#This Row],[N° DE SERV.]]),BDEGENER[GA6],0),31),""),IF($E$4&lt;&gt;"",IFERROR(INDEX(BDEGENER[],MATCH(CONCATENATE($E$4,"MANT",TABLA_ACTAS[[#This Row],[N° DE SERV.]]),BDEGENER[GA7],0),31),""),""))</f>
        <v/>
      </c>
      <c r="I26" s="564" t="str">
        <f>IF($E$3&lt;&gt;"",IFERROR(INDEX(BDEGENER[],MATCH(CONCATENATE($E$3,"MANT",TABLA_ACTAS[[#This Row],[N° DE SERV.]]),BDEGENER[GA6],0),42),""),IF($E$4&lt;&gt;"",IFERROR(INDEX(BDEGENER[],MATCH(CONCATENATE($E$4,"MANT",TABLA_ACTAS[[#This Row],[N° DE SERV.]]),BDEGENER[GA7],0),42),""),""))</f>
        <v/>
      </c>
      <c r="J26" s="166"/>
    </row>
    <row r="27" spans="1:10" x14ac:dyDescent="0.3">
      <c r="A27" s="166"/>
      <c r="B27" s="563">
        <v>21</v>
      </c>
      <c r="C27" s="558" t="str">
        <f>IF($E$3&lt;&gt;"",IFERROR(INDEX(BDEGENER[],MATCH(CONCATENATE($E$3,"MANT",TABLA_ACTAS[[#This Row],[N° DE SERV.]]),BDEGENER[GA6],0),10),""),IF($E$4&lt;&gt;"",IFERROR(INDEX(BDEGENER[],MATCH(CONCATENATE($E$4,"MANT",TABLA_ACTAS[[#This Row],[N° DE SERV.]]),BDEGENER[GA7],0),10),""),""))</f>
        <v/>
      </c>
      <c r="D27" s="559" t="str">
        <f>IF($E$3&lt;&gt;"",IFERROR(INDEX(BDEGENER[],MATCH(CONCATENATE($E$3,"MANT",TABLA_ACTAS[[#This Row],[N° DE SERV.]]),BDEGENER[GA6],0),49),""),IF($E$4&lt;&gt;"",IFERROR(INDEX(BDEGENER[],MATCH(CONCATENATE($E$4,"MANT",TABLA_ACTAS[[#This Row],[N° DE SERV.]]),BDEGENER[GA7],0),49),""),""))</f>
        <v/>
      </c>
      <c r="E27" s="559" t="str">
        <f>IF($E$3&lt;&gt;"",IFERROR(INDEX(BDEGENER[],MATCH(CONCATENATE($E$3,"MANT",TABLA_ACTAS[[#This Row],[N° DE SERV.]]),BDEGENER[GA6],0),21),""),IF($E$4&lt;&gt;"",IFERROR(INDEX(BDEGENER[],MATCH(CONCATENATE($E$4,"MANT",TABLA_ACTAS[[#This Row],[N° DE SERV.]]),BDEGENER[GA7],0),21),""),""))</f>
        <v/>
      </c>
      <c r="F27" s="559" t="str">
        <f>IF($E$3&lt;&gt;"",IFERROR(INDEX(BDEGENER[],MATCH(CONCATENATE($E$3,"MANT",TABLA_ACTAS[[#This Row],[N° DE SERV.]]),BDEGENER[GA6],0),41),""),IF($E$4&lt;&gt;"",IFERROR(INDEX(BDEGENER[],MATCH(CONCATENATE($E$4,"MANT",TABLA_ACTAS[[#This Row],[N° DE SERV.]]),BDEGENER[GA7],0),41),""),""))</f>
        <v/>
      </c>
      <c r="G27" s="559" t="str">
        <f>IF($E$3&lt;&gt;"",IFERROR(INDEX(BDEGENER[],MATCH(CONCATENATE($E$3,"MANT",TABLA_ACTAS[[#This Row],[N° DE SERV.]]),BDEGENER[GA6],0),12),""),IF($E$4&lt;&gt;"",IFERROR(INDEX(BDEGENER[],MATCH(CONCATENATE($E$4,"MANT",TABLA_ACTAS[[#This Row],[N° DE SERV.]]),BDEGENER[GA7],0),12),""),""))</f>
        <v/>
      </c>
      <c r="H27" s="560" t="str">
        <f>IF($E$3&lt;&gt;"",IFERROR(INDEX(BDEGENER[],MATCH(CONCATENATE($E$3,"MANT",TABLA_ACTAS[[#This Row],[N° DE SERV.]]),BDEGENER[GA6],0),31),""),IF($E$4&lt;&gt;"",IFERROR(INDEX(BDEGENER[],MATCH(CONCATENATE($E$4,"MANT",TABLA_ACTAS[[#This Row],[N° DE SERV.]]),BDEGENER[GA7],0),31),""),""))</f>
        <v/>
      </c>
      <c r="I27" s="565" t="str">
        <f>IF($E$3&lt;&gt;"",IFERROR(INDEX(BDEGENER[],MATCH(CONCATENATE($E$3,"MANT",TABLA_ACTAS[[#This Row],[N° DE SERV.]]),BDEGENER[GA6],0),42),""),IF($E$4&lt;&gt;"",IFERROR(INDEX(BDEGENER[],MATCH(CONCATENATE($E$4,"MANT",TABLA_ACTAS[[#This Row],[N° DE SERV.]]),BDEGENER[GA7],0),42),""),""))</f>
        <v/>
      </c>
      <c r="J27" s="166"/>
    </row>
    <row r="28" spans="1:10" x14ac:dyDescent="0.3">
      <c r="A28" s="166"/>
      <c r="B28" s="563">
        <v>22</v>
      </c>
      <c r="C28" s="558" t="str">
        <f>IF($E$3&lt;&gt;"",IFERROR(INDEX(BDEGENER[],MATCH(CONCATENATE($E$3,"MANT",TABLA_ACTAS[[#This Row],[N° DE SERV.]]),BDEGENER[GA6],0),10),""),IF($E$4&lt;&gt;"",IFERROR(INDEX(BDEGENER[],MATCH(CONCATENATE($E$4,"MANT",TABLA_ACTAS[[#This Row],[N° DE SERV.]]),BDEGENER[GA7],0),10),""),""))</f>
        <v/>
      </c>
      <c r="D28" s="559" t="str">
        <f>IF($E$3&lt;&gt;"",IFERROR(INDEX(BDEGENER[],MATCH(CONCATENATE($E$3,"MANT",TABLA_ACTAS[[#This Row],[N° DE SERV.]]),BDEGENER[GA6],0),49),""),IF($E$4&lt;&gt;"",IFERROR(INDEX(BDEGENER[],MATCH(CONCATENATE($E$4,"MANT",TABLA_ACTAS[[#This Row],[N° DE SERV.]]),BDEGENER[GA7],0),49),""),""))</f>
        <v/>
      </c>
      <c r="E28" s="559" t="str">
        <f>IF($E$3&lt;&gt;"",IFERROR(INDEX(BDEGENER[],MATCH(CONCATENATE($E$3,"MANT",TABLA_ACTAS[[#This Row],[N° DE SERV.]]),BDEGENER[GA6],0),21),""),IF($E$4&lt;&gt;"",IFERROR(INDEX(BDEGENER[],MATCH(CONCATENATE($E$4,"MANT",TABLA_ACTAS[[#This Row],[N° DE SERV.]]),BDEGENER[GA7],0),21),""),""))</f>
        <v/>
      </c>
      <c r="F28" s="559" t="str">
        <f>IF($E$3&lt;&gt;"",IFERROR(INDEX(BDEGENER[],MATCH(CONCATENATE($E$3,"MANT",TABLA_ACTAS[[#This Row],[N° DE SERV.]]),BDEGENER[GA6],0),41),""),IF($E$4&lt;&gt;"",IFERROR(INDEX(BDEGENER[],MATCH(CONCATENATE($E$4,"MANT",TABLA_ACTAS[[#This Row],[N° DE SERV.]]),BDEGENER[GA7],0),41),""),""))</f>
        <v/>
      </c>
      <c r="G28" s="559" t="str">
        <f>IF($E$3&lt;&gt;"",IFERROR(INDEX(BDEGENER[],MATCH(CONCATENATE($E$3,"MANT",TABLA_ACTAS[[#This Row],[N° DE SERV.]]),BDEGENER[GA6],0),12),""),IF($E$4&lt;&gt;"",IFERROR(INDEX(BDEGENER[],MATCH(CONCATENATE($E$4,"MANT",TABLA_ACTAS[[#This Row],[N° DE SERV.]]),BDEGENER[GA7],0),12),""),""))</f>
        <v/>
      </c>
      <c r="H28" s="560" t="str">
        <f>IF($E$3&lt;&gt;"",IFERROR(INDEX(BDEGENER[],MATCH(CONCATENATE($E$3,"MANT",TABLA_ACTAS[[#This Row],[N° DE SERV.]]),BDEGENER[GA6],0),31),""),IF($E$4&lt;&gt;"",IFERROR(INDEX(BDEGENER[],MATCH(CONCATENATE($E$4,"MANT",TABLA_ACTAS[[#This Row],[N° DE SERV.]]),BDEGENER[GA7],0),31),""),""))</f>
        <v/>
      </c>
      <c r="I28" s="565" t="str">
        <f>IF($E$3&lt;&gt;"",IFERROR(INDEX(BDEGENER[],MATCH(CONCATENATE($E$3,"MANT",TABLA_ACTAS[[#This Row],[N° DE SERV.]]),BDEGENER[GA6],0),42),""),IF($E$4&lt;&gt;"",IFERROR(INDEX(BDEGENER[],MATCH(CONCATENATE($E$4,"MANT",TABLA_ACTAS[[#This Row],[N° DE SERV.]]),BDEGENER[GA7],0),42),""),""))</f>
        <v/>
      </c>
      <c r="J28" s="166"/>
    </row>
    <row r="29" spans="1:10" x14ac:dyDescent="0.3">
      <c r="A29" s="166"/>
      <c r="B29" s="563">
        <v>23</v>
      </c>
      <c r="C29" s="651" t="str">
        <f>IF($E$3&lt;&gt;"",IFERROR(INDEX(BDEGENER[],MATCH(CONCATENATE($E$3,"MANT",TABLA_ACTAS[[#This Row],[N° DE SERV.]]),BDEGENER[GA6],0),10),""),IF($E$4&lt;&gt;"",IFERROR(INDEX(BDEGENER[],MATCH(CONCATENATE($E$4,"MANT",TABLA_ACTAS[[#This Row],[N° DE SERV.]]),BDEGENER[GA7],0),10),""),""))</f>
        <v/>
      </c>
      <c r="D29" s="650" t="str">
        <f>IF($E$3&lt;&gt;"",IFERROR(INDEX(BDEGENER[],MATCH(CONCATENATE($E$3,"MANT",TABLA_ACTAS[[#This Row],[N° DE SERV.]]),BDEGENER[GA6],0),49),""),IF($E$4&lt;&gt;"",IFERROR(INDEX(BDEGENER[],MATCH(CONCATENATE($E$4,"MANT",TABLA_ACTAS[[#This Row],[N° DE SERV.]]),BDEGENER[GA7],0),49),""),""))</f>
        <v/>
      </c>
      <c r="E29" s="650" t="str">
        <f>IF($E$3&lt;&gt;"",IFERROR(INDEX(BDEGENER[],MATCH(CONCATENATE($E$3,"MANT",TABLA_ACTAS[[#This Row],[N° DE SERV.]]),BDEGENER[GA6],0),21),""),IF($E$4&lt;&gt;"",IFERROR(INDEX(BDEGENER[],MATCH(CONCATENATE($E$4,"MANT",TABLA_ACTAS[[#This Row],[N° DE SERV.]]),BDEGENER[GA7],0),21),""),""))</f>
        <v/>
      </c>
      <c r="F29" s="650" t="str">
        <f>IF($E$3&lt;&gt;"",IFERROR(INDEX(BDEGENER[],MATCH(CONCATENATE($E$3,"MANT",TABLA_ACTAS[[#This Row],[N° DE SERV.]]),BDEGENER[GA6],0),41),""),IF($E$4&lt;&gt;"",IFERROR(INDEX(BDEGENER[],MATCH(CONCATENATE($E$4,"MANT",TABLA_ACTAS[[#This Row],[N° DE SERV.]]),BDEGENER[GA7],0),41),""),""))</f>
        <v/>
      </c>
      <c r="G29" s="650" t="str">
        <f>IF($E$3&lt;&gt;"",IFERROR(INDEX(BDEGENER[],MATCH(CONCATENATE($E$3,"MANT",TABLA_ACTAS[[#This Row],[N° DE SERV.]]),BDEGENER[GA6],0),12),""),IF($E$4&lt;&gt;"",IFERROR(INDEX(BDEGENER[],MATCH(CONCATENATE($E$4,"MANT",TABLA_ACTAS[[#This Row],[N° DE SERV.]]),BDEGENER[GA7],0),12),""),""))</f>
        <v/>
      </c>
      <c r="H29" s="652" t="str">
        <f>IF($E$3&lt;&gt;"",IFERROR(INDEX(BDEGENER[],MATCH(CONCATENATE($E$3,"MANT",TABLA_ACTAS[[#This Row],[N° DE SERV.]]),BDEGENER[GA6],0),31),""),IF($E$4&lt;&gt;"",IFERROR(INDEX(BDEGENER[],MATCH(CONCATENATE($E$4,"MANT",TABLA_ACTAS[[#This Row],[N° DE SERV.]]),BDEGENER[GA7],0),31),""),""))</f>
        <v/>
      </c>
      <c r="I29" s="565" t="str">
        <f>IF($E$3&lt;&gt;"",IFERROR(INDEX(BDEGENER[],MATCH(CONCATENATE($E$3,"MANT",TABLA_ACTAS[[#This Row],[N° DE SERV.]]),BDEGENER[GA6],0),42),""),IF($E$4&lt;&gt;"",IFERROR(INDEX(BDEGENER[],MATCH(CONCATENATE($E$4,"MANT",TABLA_ACTAS[[#This Row],[N° DE SERV.]]),BDEGENER[GA7],0),42),""),""))</f>
        <v/>
      </c>
      <c r="J29" s="166"/>
    </row>
    <row r="30" spans="1:10" x14ac:dyDescent="0.3">
      <c r="A30" s="166"/>
      <c r="B30" s="563">
        <v>24</v>
      </c>
      <c r="C30" s="651" t="str">
        <f>IF($E$3&lt;&gt;"",IFERROR(INDEX(BDEGENER[],MATCH(CONCATENATE($E$3,"MANT",TABLA_ACTAS[[#This Row],[N° DE SERV.]]),BDEGENER[GA6],0),10),""),IF($E$4&lt;&gt;"",IFERROR(INDEX(BDEGENER[],MATCH(CONCATENATE($E$4,"MANT",TABLA_ACTAS[[#This Row],[N° DE SERV.]]),BDEGENER[GA7],0),10),""),""))</f>
        <v/>
      </c>
      <c r="D30" s="650" t="str">
        <f>IF($E$3&lt;&gt;"",IFERROR(INDEX(BDEGENER[],MATCH(CONCATENATE($E$3,"MANT",TABLA_ACTAS[[#This Row],[N° DE SERV.]]),BDEGENER[GA6],0),49),""),IF($E$4&lt;&gt;"",IFERROR(INDEX(BDEGENER[],MATCH(CONCATENATE($E$4,"MANT",TABLA_ACTAS[[#This Row],[N° DE SERV.]]),BDEGENER[GA7],0),49),""),""))</f>
        <v/>
      </c>
      <c r="E30" s="650" t="str">
        <f>IF($E$3&lt;&gt;"",IFERROR(INDEX(BDEGENER[],MATCH(CONCATENATE($E$3,"MANT",TABLA_ACTAS[[#This Row],[N° DE SERV.]]),BDEGENER[GA6],0),21),""),IF($E$4&lt;&gt;"",IFERROR(INDEX(BDEGENER[],MATCH(CONCATENATE($E$4,"MANT",TABLA_ACTAS[[#This Row],[N° DE SERV.]]),BDEGENER[GA7],0),21),""),""))</f>
        <v/>
      </c>
      <c r="F30" s="650" t="str">
        <f>IF($E$3&lt;&gt;"",IFERROR(INDEX(BDEGENER[],MATCH(CONCATENATE($E$3,"MANT",TABLA_ACTAS[[#This Row],[N° DE SERV.]]),BDEGENER[GA6],0),41),""),IF($E$4&lt;&gt;"",IFERROR(INDEX(BDEGENER[],MATCH(CONCATENATE($E$4,"MANT",TABLA_ACTAS[[#This Row],[N° DE SERV.]]),BDEGENER[GA7],0),41),""),""))</f>
        <v/>
      </c>
      <c r="G30" s="650" t="str">
        <f>IF($E$3&lt;&gt;"",IFERROR(INDEX(BDEGENER[],MATCH(CONCATENATE($E$3,"MANT",TABLA_ACTAS[[#This Row],[N° DE SERV.]]),BDEGENER[GA6],0),12),""),IF($E$4&lt;&gt;"",IFERROR(INDEX(BDEGENER[],MATCH(CONCATENATE($E$4,"MANT",TABLA_ACTAS[[#This Row],[N° DE SERV.]]),BDEGENER[GA7],0),12),""),""))</f>
        <v/>
      </c>
      <c r="H30" s="652" t="str">
        <f>IF($E$3&lt;&gt;"",IFERROR(INDEX(BDEGENER[],MATCH(CONCATENATE($E$3,"MANT",TABLA_ACTAS[[#This Row],[N° DE SERV.]]),BDEGENER[GA6],0),31),""),IF($E$4&lt;&gt;"",IFERROR(INDEX(BDEGENER[],MATCH(CONCATENATE($E$4,"MANT",TABLA_ACTAS[[#This Row],[N° DE SERV.]]),BDEGENER[GA7],0),31),""),""))</f>
        <v/>
      </c>
      <c r="I30" s="565" t="str">
        <f>IF($E$3&lt;&gt;"",IFERROR(INDEX(BDEGENER[],MATCH(CONCATENATE($E$3,"MANT",TABLA_ACTAS[[#This Row],[N° DE SERV.]]),BDEGENER[GA6],0),42),""),IF($E$4&lt;&gt;"",IFERROR(INDEX(BDEGENER[],MATCH(CONCATENATE($E$4,"MANT",TABLA_ACTAS[[#This Row],[N° DE SERV.]]),BDEGENER[GA7],0),42),""),""))</f>
        <v/>
      </c>
      <c r="J30" s="166"/>
    </row>
    <row r="31" spans="1:10" x14ac:dyDescent="0.3">
      <c r="A31" s="166"/>
      <c r="B31" s="166"/>
      <c r="C31" s="166"/>
      <c r="D31" s="166"/>
      <c r="E31" s="166"/>
      <c r="F31" s="166"/>
      <c r="G31" s="166"/>
      <c r="H31" s="189"/>
      <c r="I31" s="166"/>
      <c r="J31" s="166"/>
    </row>
  </sheetData>
  <sheetProtection algorithmName="SHA-512" hashValue="6SDTjU57RX5KgwEdBV04o0jHGPDywSENw5q/RxnDQmeqw+ND8noOW664H6Orm20RPn2dvoPIhFNZh2YigiKRUg==" saltValue="Ld9MsL5LrvGuMi3TytBzgg==" spinCount="100000" sheet="1" objects="1" scenarios="1" sort="0" autoFilter="0"/>
  <mergeCells count="4">
    <mergeCell ref="D2:E2"/>
    <mergeCell ref="G2:H2"/>
    <mergeCell ref="G3:H3"/>
    <mergeCell ref="G4:H4"/>
  </mergeCells>
  <conditionalFormatting sqref="C1:C1048576">
    <cfRule type="containsText" dxfId="184" priority="1" stopIfTrue="1" operator="containsText" text="&quot;&quot;">
      <formula>NOT(ISERROR(SEARCH("""""",C1)))</formula>
    </cfRule>
  </conditionalFormatting>
  <pageMargins left="0" right="0" top="0"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IrMenuPrincipal">
                <anchor>
                  <from>
                    <xdr:col>1</xdr:col>
                    <xdr:colOff>7620</xdr:colOff>
                    <xdr:row>0</xdr:row>
                    <xdr:rowOff>152400</xdr:rowOff>
                  </from>
                  <to>
                    <xdr:col>2</xdr:col>
                    <xdr:colOff>723900</xdr:colOff>
                    <xdr:row>2</xdr:row>
                    <xdr:rowOff>106680</xdr:rowOff>
                  </to>
                </anchor>
              </controlPr>
            </control>
          </mc:Choice>
        </mc:AlternateContent>
        <mc:AlternateContent xmlns:mc="http://schemas.openxmlformats.org/markup-compatibility/2006">
          <mc:Choice Requires="x14">
            <control shapeId="7170" r:id="rId5" name="Button 2">
              <controlPr defaultSize="0" print="0" autoFill="0" autoPict="0" macro="[0]!LimpiarConsultaActasSerie">
                <anchor>
                  <from>
                    <xdr:col>1</xdr:col>
                    <xdr:colOff>0</xdr:colOff>
                    <xdr:row>2</xdr:row>
                    <xdr:rowOff>182880</xdr:rowOff>
                  </from>
                  <to>
                    <xdr:col>2</xdr:col>
                    <xdr:colOff>723900</xdr:colOff>
                    <xdr:row>4</xdr:row>
                    <xdr:rowOff>106680</xdr:rowOff>
                  </to>
                </anchor>
              </controlPr>
            </control>
          </mc:Choice>
        </mc:AlternateContent>
      </controls>
    </mc:Choice>
  </mc:AlternateContent>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9"/>
  <dimension ref="B2:S11"/>
  <sheetViews>
    <sheetView zoomScale="80" zoomScaleNormal="80" workbookViewId="0">
      <selection activeCell="F3" sqref="F3"/>
    </sheetView>
  </sheetViews>
  <sheetFormatPr baseColWidth="10" defaultColWidth="11.44140625" defaultRowHeight="14.4" x14ac:dyDescent="0.3"/>
  <cols>
    <col min="1" max="1" width="7.6640625" style="533" customWidth="1"/>
    <col min="2" max="2" width="16" style="541" customWidth="1"/>
    <col min="3" max="3" width="13.44140625" style="533" customWidth="1"/>
    <col min="4" max="4" width="18.6640625" style="533" customWidth="1"/>
    <col min="5" max="5" width="17.109375" style="533" customWidth="1"/>
    <col min="6" max="6" width="28.5546875" style="533" customWidth="1"/>
    <col min="7" max="7" width="23.44140625" style="533" customWidth="1"/>
    <col min="8" max="8" width="22.33203125" style="548" customWidth="1"/>
    <col min="9" max="9" width="22.5546875" style="548" hidden="1" customWidth="1"/>
    <col min="10" max="10" width="21.44140625" style="533" hidden="1" customWidth="1"/>
    <col min="11" max="11" width="15.5546875" style="533" customWidth="1"/>
    <col min="12" max="12" width="15.5546875" style="548" customWidth="1"/>
    <col min="13" max="13" width="19.88671875" style="548" customWidth="1"/>
    <col min="14" max="14" width="19.44140625" style="533" customWidth="1"/>
    <col min="15" max="15" width="14.5546875" style="533" hidden="1" customWidth="1"/>
    <col min="16" max="16" width="18.5546875" style="533" customWidth="1"/>
    <col min="17" max="17" width="18.33203125" style="533" customWidth="1"/>
    <col min="18" max="18" width="20.6640625" style="533" customWidth="1"/>
    <col min="19" max="19" width="17.109375" style="533" customWidth="1"/>
    <col min="20" max="16384" width="11.44140625" style="533"/>
  </cols>
  <sheetData>
    <row r="2" spans="2:19" x14ac:dyDescent="0.3">
      <c r="B2" s="1055"/>
      <c r="C2" s="1055"/>
      <c r="D2" s="1055"/>
      <c r="E2" s="1055"/>
    </row>
    <row r="3" spans="2:19" x14ac:dyDescent="0.3">
      <c r="B3" s="1055"/>
      <c r="C3" s="1055"/>
      <c r="D3" s="1055"/>
      <c r="E3" s="1055"/>
    </row>
    <row r="4" spans="2:19" ht="28.8" x14ac:dyDescent="0.3">
      <c r="B4" s="542" t="s">
        <v>7</v>
      </c>
      <c r="C4" s="543" t="s">
        <v>9</v>
      </c>
      <c r="D4" s="543" t="s">
        <v>10</v>
      </c>
      <c r="E4" s="543" t="s">
        <v>158</v>
      </c>
      <c r="F4" s="543" t="s">
        <v>1690</v>
      </c>
      <c r="G4" s="546" t="s">
        <v>1331</v>
      </c>
      <c r="H4" s="544" t="s">
        <v>1116</v>
      </c>
      <c r="I4" s="544" t="s">
        <v>928</v>
      </c>
      <c r="J4" s="543" t="s">
        <v>1115</v>
      </c>
      <c r="K4" s="543" t="s">
        <v>926</v>
      </c>
      <c r="L4" s="547" t="s">
        <v>933</v>
      </c>
      <c r="M4" s="544" t="s">
        <v>929</v>
      </c>
      <c r="N4" s="543" t="s">
        <v>944</v>
      </c>
      <c r="O4" s="543" t="s">
        <v>935</v>
      </c>
      <c r="P4" s="543" t="s">
        <v>1396</v>
      </c>
      <c r="Q4" s="543" t="s">
        <v>1117</v>
      </c>
      <c r="R4" s="543" t="s">
        <v>1118</v>
      </c>
      <c r="S4" s="545" t="s">
        <v>1400</v>
      </c>
    </row>
    <row r="5" spans="2:19" ht="15.6" x14ac:dyDescent="0.3">
      <c r="B5" s="540">
        <v>1603587</v>
      </c>
      <c r="C5" s="72" t="str">
        <f>IFERROR(INDEX(BDEGENER[],MATCH(B5,BDEGENER[SERIE],0),26)," ")</f>
        <v>GENERAC</v>
      </c>
      <c r="D5" s="72" t="str">
        <f>IFERROR(INDEX(BDEGENER[],MATCH(B5,BDEGENER[SERIE],0),27)," ")</f>
        <v>VT8 K3</v>
      </c>
      <c r="E5" s="72" t="str">
        <f>IFERROR(INDEX(BDEGENER[],MATCH(B5,BDEGENER[SERIE],0),11)," ")</f>
        <v>KALANI</v>
      </c>
      <c r="F5" s="72" t="str">
        <f>IFERROR(INDEX(BDEGENER[],MATCH(B5,BDEGENER[SERIE],0),12)," ")</f>
        <v>OBRA KALANI</v>
      </c>
      <c r="G5" s="534" t="s">
        <v>1395</v>
      </c>
      <c r="H5" s="77">
        <f>IFERROR(INDEX(BDEGENER[],MATCH(B5,BDEGENER[SERIE],0),31)," ")</f>
        <v>1781.5</v>
      </c>
      <c r="I5" s="77">
        <f>IFERROR(INDEX(BDEGENER[],MATCH(B5,BDEGENER[SERIE],0),53)," ")</f>
        <v>1781.5</v>
      </c>
      <c r="J5" s="72">
        <f>IFERROR(INDEX(BDEGENER[],MATCH(B5,BDEGENER[SERIE],0),47)," ")</f>
        <v>1</v>
      </c>
      <c r="K5" s="72">
        <f>IFERROR(INDEX(BDEGENER[],MATCH(B5,BDEGENER[SERIE],0),48)," ")</f>
        <v>5</v>
      </c>
      <c r="L5" s="535">
        <v>1589.1</v>
      </c>
      <c r="M5" s="77">
        <f>EQUIPOS_ALQUILER[[#This Row],[HR DE ULTIMO PREVENTIVO]]+300</f>
        <v>2081.5</v>
      </c>
      <c r="N5" s="187" t="str">
        <f>IF(EQUIPOS_ALQUILER[[#This Row],[HR ACTUALES]]&gt;=EQUIPOS_ALQUILER[[#This Row],[HR DE PROX SERVICIO]],"PROCEDE",IF((EQUIPOS_ALQUILER[[#This Row],[HR ACTUALES]]+35)&gt;=EQUIPOS_ALQUILER[[#This Row],[HR DE PROX SERVICIO]],"PROXIMO","NO PROCEDE"))</f>
        <v>NO PROCEDE</v>
      </c>
      <c r="O5" s="196">
        <f>COUNTIF(EQUIPOS_ALQUILER[SERIE],EQUIPOS_ALQUILER[[#This Row],[SERIE]])</f>
        <v>1</v>
      </c>
      <c r="P5" s="199" t="str">
        <f>IFERROR(INDEX(BDEGENER[],MATCH(B5,BDEGENER[SERIE],0),41)," ")</f>
        <v>OPERATIVO</v>
      </c>
      <c r="Q5" s="187" t="str">
        <f>IF(EQUIPOS[[#This Row],[GA1]]=1,"UNICO","DUPLICADO")</f>
        <v>UNICO</v>
      </c>
      <c r="R5" s="187" t="str">
        <f>IF(EQUIPOS_ALQUILER[[#This Row],[HR ULTIMO SERVICIO]]="NR","OPTIMO",IF(EQUIPOS_ALQUILER[[#This Row],[HR ACTUALES]]="","NO REGISTRA",IF(EQUIPOS_ALQUILER[[#This Row],[HR ULTIMO SERVICIO]]&gt;=EQUIPOS_ALQUILER[[#This Row],[HR ACTUALES]],"ACTUALIZAR","OPTIMO")))</f>
        <v>ACTUALIZAR</v>
      </c>
      <c r="S5" s="230">
        <f>EQUIPOS_ALQUILER[[#This Row],[HR DE PROX SERVICIO]]-EQUIPOS_ALQUILER[[#This Row],[HR ACTUALES]]</f>
        <v>492.40000000000009</v>
      </c>
    </row>
    <row r="6" spans="2:19" ht="15.6" x14ac:dyDescent="0.3">
      <c r="B6" s="540">
        <v>1603595</v>
      </c>
      <c r="C6" s="534" t="str">
        <f>IFERROR(INDEX(BDEGENER[],MATCH(B6,BDEGENER[SERIE],0),26)," ")</f>
        <v>GENERAC</v>
      </c>
      <c r="D6" s="534" t="str">
        <f>IFERROR(INDEX(BDEGENER[],MATCH(B6,BDEGENER[SERIE],0),27)," ")</f>
        <v>VT8 K3</v>
      </c>
      <c r="E6" s="534" t="str">
        <f>IFERROR(INDEX(BDEGENER[],MATCH(B6,BDEGENER[SERIE],0),11)," ")</f>
        <v>PENAL DE ICA</v>
      </c>
      <c r="F6" s="534" t="str">
        <f>IFERROR(INDEX(BDEGENER[],MATCH(B6,BDEGENER[SERIE],0),12)," ")</f>
        <v>PENAL DE ICA</v>
      </c>
      <c r="G6" s="693"/>
      <c r="H6" s="535">
        <f>IFERROR(INDEX(BDEGENER[],MATCH(B6,BDEGENER[SERIE],0),31)," ")</f>
        <v>1242</v>
      </c>
      <c r="I6" s="535">
        <f>IFERROR(INDEX(BDEGENER[],MATCH(B6,BDEGENER[SERIE],0),53)," ")</f>
        <v>1242</v>
      </c>
      <c r="J6" s="534">
        <f>IFERROR(INDEX(BDEGENER[],MATCH(B6,BDEGENER[SERIE],0),47)," ")</f>
        <v>1</v>
      </c>
      <c r="K6" s="534">
        <f>IFERROR(INDEX(BDEGENER[],MATCH(B6,BDEGENER[SERIE],0),48)," ")</f>
        <v>3</v>
      </c>
      <c r="L6" s="535"/>
      <c r="M6" s="535">
        <f>EQUIPOS_ALQUILER[[#This Row],[HR DE ULTIMO PREVENTIVO]]+300</f>
        <v>1542</v>
      </c>
      <c r="N6" s="536" t="str">
        <f>IF(EQUIPOS_ALQUILER[[#This Row],[HR ACTUALES]]&gt;=EQUIPOS_ALQUILER[[#This Row],[HR DE PROX SERVICIO]],"PROCEDE",IF((EQUIPOS_ALQUILER[[#This Row],[HR ACTUALES]]+35)&gt;=EQUIPOS_ALQUILER[[#This Row],[HR DE PROX SERVICIO]],"PROXIMO","NO PROCEDE"))</f>
        <v>NO PROCEDE</v>
      </c>
      <c r="O6" s="537">
        <f>COUNTIF(EQUIPOS_ALQUILER[SERIE],EQUIPOS_ALQUILER[[#This Row],[SERIE]])</f>
        <v>1</v>
      </c>
      <c r="P6" s="538" t="str">
        <f>IFERROR(INDEX(BDEGENER[],MATCH(B6,BDEGENER[SERIE],0),41)," ")</f>
        <v>OPERATIVO</v>
      </c>
      <c r="Q6" s="536" t="str">
        <f>IF(EQUIPOS[[#This Row],[GA1]]=1,"UNICO","DUPLICADO")</f>
        <v>UNICO</v>
      </c>
      <c r="R6" s="536" t="str">
        <f>IF(EQUIPOS_ALQUILER[[#This Row],[HR ULTIMO SERVICIO]]="NR","OPTIMO",IF(EQUIPOS_ALQUILER[[#This Row],[HR ACTUALES]]="","NO REGISTRA",IF(EQUIPOS_ALQUILER[[#This Row],[HR ULTIMO SERVICIO]]&gt;=EQUIPOS_ALQUILER[[#This Row],[HR ACTUALES]],"ACTUALIZAR","OPTIMO")))</f>
        <v>NO REGISTRA</v>
      </c>
      <c r="S6" s="539">
        <f>EQUIPOS_ALQUILER[[#This Row],[HR DE PROX SERVICIO]]-EQUIPOS_ALQUILER[[#This Row],[HR ACTUALES]]</f>
        <v>1542</v>
      </c>
    </row>
    <row r="7" spans="2:19" ht="15.6" x14ac:dyDescent="0.3">
      <c r="B7" s="540">
        <v>1603596</v>
      </c>
      <c r="C7" s="534" t="str">
        <f>IFERROR(INDEX(BDEGENER[],MATCH(B7,BDEGENER[SERIE],0),26)," ")</f>
        <v>GENERAC</v>
      </c>
      <c r="D7" s="534" t="str">
        <f>IFERROR(INDEX(BDEGENER[],MATCH(B7,BDEGENER[SERIE],0),27)," ")</f>
        <v>VT8 K3</v>
      </c>
      <c r="E7" s="534" t="str">
        <f>IFERROR(INDEX(BDEGENER[],MATCH(B7,BDEGENER[SERIE],0),11)," ")</f>
        <v>MANTTO SAC</v>
      </c>
      <c r="F7" s="534" t="str">
        <f>IFERROR(INDEX(BDEGENER[],MATCH(B7,BDEGENER[SERIE],0),12)," ")</f>
        <v>PUERTO VIEJO - CAÑETE</v>
      </c>
      <c r="G7" s="534" t="s">
        <v>1395</v>
      </c>
      <c r="H7" s="535">
        <f>IFERROR(INDEX(BDEGENER[],MATCH(B7,BDEGENER[SERIE],0),31)," ")</f>
        <v>2004.6</v>
      </c>
      <c r="I7" s="535">
        <f>IFERROR(INDEX(BDEGENER[],MATCH(B7,BDEGENER[SERIE],0),53)," ")</f>
        <v>1817.8</v>
      </c>
      <c r="J7" s="534">
        <f>IFERROR(INDEX(BDEGENER[],MATCH(B7,BDEGENER[SERIE],0),47)," ")</f>
        <v>2</v>
      </c>
      <c r="K7" s="534">
        <f>IFERROR(INDEX(BDEGENER[],MATCH(B7,BDEGENER[SERIE],0),48)," ")</f>
        <v>4</v>
      </c>
      <c r="L7" s="535">
        <v>1575.1</v>
      </c>
      <c r="M7" s="535">
        <f>EQUIPOS_ALQUILER[[#This Row],[HR DE ULTIMO PREVENTIVO]]+300</f>
        <v>2117.8000000000002</v>
      </c>
      <c r="N7" s="536" t="str">
        <f>IF(EQUIPOS_ALQUILER[[#This Row],[HR ACTUALES]]&gt;=EQUIPOS_ALQUILER[[#This Row],[HR DE PROX SERVICIO]],"PROCEDE",IF((EQUIPOS_ALQUILER[[#This Row],[HR ACTUALES]]+35)&gt;=EQUIPOS_ALQUILER[[#This Row],[HR DE PROX SERVICIO]],"PROXIMO","NO PROCEDE"))</f>
        <v>NO PROCEDE</v>
      </c>
      <c r="O7" s="537">
        <f>COUNTIF(EQUIPOS_ALQUILER[SERIE],EQUIPOS_ALQUILER[[#This Row],[SERIE]])</f>
        <v>1</v>
      </c>
      <c r="P7" s="538" t="str">
        <f>IFERROR(INDEX(BDEGENER[],MATCH(B7,BDEGENER[SERIE],0),41)," ")</f>
        <v>OPERATIVO</v>
      </c>
      <c r="Q7" s="536" t="str">
        <f>IF(EQUIPOS[[#This Row],[GA1]]=1,"UNICO","DUPLICADO")</f>
        <v>UNICO</v>
      </c>
      <c r="R7" s="536" t="str">
        <f>IF(EQUIPOS_ALQUILER[[#This Row],[HR ULTIMO SERVICIO]]="NR","OPTIMO",IF(EQUIPOS_ALQUILER[[#This Row],[HR ACTUALES]]="","NO REGISTRA",IF(EQUIPOS_ALQUILER[[#This Row],[HR ULTIMO SERVICIO]]&gt;=EQUIPOS_ALQUILER[[#This Row],[HR ACTUALES]],"ACTUALIZAR","OPTIMO")))</f>
        <v>ACTUALIZAR</v>
      </c>
      <c r="S7" s="539">
        <f>EQUIPOS_ALQUILER[[#This Row],[HR DE PROX SERVICIO]]-EQUIPOS_ALQUILER[[#This Row],[HR ACTUALES]]</f>
        <v>542.70000000000027</v>
      </c>
    </row>
    <row r="8" spans="2:19" ht="15.6" x14ac:dyDescent="0.3">
      <c r="B8" s="540">
        <v>1603597</v>
      </c>
      <c r="C8" s="534" t="str">
        <f>IFERROR(INDEX(BDEGENER[],MATCH(B8,BDEGENER[SERIE],0),26)," ")</f>
        <v>GENERAC</v>
      </c>
      <c r="D8" s="534" t="str">
        <f>IFERROR(INDEX(BDEGENER[],MATCH(B8,BDEGENER[SERIE],0),27)," ")</f>
        <v>VT8 K3</v>
      </c>
      <c r="E8" s="534" t="str">
        <f>IFERROR(INDEX(BDEGENER[],MATCH(B8,BDEGENER[SERIE],0),11)," ")</f>
        <v>INTERNO</v>
      </c>
      <c r="F8" s="534" t="str">
        <f>IFERROR(INDEX(BDEGENER[],MATCH(B8,BDEGENER[SERIE],0),12)," ")</f>
        <v>TALLER EGENER</v>
      </c>
      <c r="G8" s="534"/>
      <c r="H8" s="535">
        <f>IFERROR(INDEX(BDEGENER[],MATCH(B8,BDEGENER[SERIE],0),31)," ")</f>
        <v>1468</v>
      </c>
      <c r="I8" s="535">
        <f>IFERROR(INDEX(BDEGENER[],MATCH(B8,BDEGENER[SERIE],0),53)," ")</f>
        <v>1468</v>
      </c>
      <c r="J8" s="534">
        <f>IFERROR(INDEX(BDEGENER[],MATCH(B8,BDEGENER[SERIE],0),47)," ")</f>
        <v>1</v>
      </c>
      <c r="K8" s="534">
        <f>IFERROR(INDEX(BDEGENER[],MATCH(B8,BDEGENER[SERIE],0),48)," ")</f>
        <v>2</v>
      </c>
      <c r="L8" s="535"/>
      <c r="M8" s="535">
        <f>EQUIPOS_ALQUILER[[#This Row],[HR DE ULTIMO PREVENTIVO]]+300</f>
        <v>1768</v>
      </c>
      <c r="N8" s="536" t="str">
        <f>IF(EQUIPOS_ALQUILER[[#This Row],[HR ACTUALES]]&gt;=EQUIPOS_ALQUILER[[#This Row],[HR DE PROX SERVICIO]],"PROCEDE",IF((EQUIPOS_ALQUILER[[#This Row],[HR ACTUALES]]+35)&gt;=EQUIPOS_ALQUILER[[#This Row],[HR DE PROX SERVICIO]],"PROXIMO","NO PROCEDE"))</f>
        <v>NO PROCEDE</v>
      </c>
      <c r="O8" s="537">
        <f>COUNTIF(EQUIPOS_ALQUILER[SERIE],EQUIPOS_ALQUILER[[#This Row],[SERIE]])</f>
        <v>1</v>
      </c>
      <c r="P8" s="538" t="str">
        <f>IFERROR(INDEX(BDEGENER[],MATCH(B8,BDEGENER[SERIE],0),41)," ")</f>
        <v>OPERATIVO</v>
      </c>
      <c r="Q8" s="536" t="str">
        <f>IF(EQUIPOS[[#This Row],[GA1]]=1,"UNICO","DUPLICADO")</f>
        <v>UNICO</v>
      </c>
      <c r="R8" s="536" t="str">
        <f>IF(EQUIPOS_ALQUILER[[#This Row],[HR ULTIMO SERVICIO]]="NR","OPTIMO",IF(EQUIPOS_ALQUILER[[#This Row],[HR ACTUALES]]="","NO REGISTRA",IF(EQUIPOS_ALQUILER[[#This Row],[HR ULTIMO SERVICIO]]&gt;=EQUIPOS_ALQUILER[[#This Row],[HR ACTUALES]],"ACTUALIZAR","OPTIMO")))</f>
        <v>NO REGISTRA</v>
      </c>
      <c r="S8" s="539">
        <f>EQUIPOS_ALQUILER[[#This Row],[HR DE PROX SERVICIO]]-EQUIPOS_ALQUILER[[#This Row],[HR ACTUALES]]</f>
        <v>1768</v>
      </c>
    </row>
    <row r="9" spans="2:19" ht="15.6" x14ac:dyDescent="0.3">
      <c r="B9" s="540">
        <v>1603600</v>
      </c>
      <c r="C9" s="534" t="str">
        <f>IFERROR(INDEX(BDEGENER[],MATCH(B9,BDEGENER[SERIE],0),26)," ")</f>
        <v>GENERAC</v>
      </c>
      <c r="D9" s="534" t="str">
        <f>IFERROR(INDEX(BDEGENER[],MATCH(B9,BDEGENER[SERIE],0),27)," ")</f>
        <v>VT8 K3</v>
      </c>
      <c r="E9" s="534" t="str">
        <f>IFERROR(INDEX(BDEGENER[],MATCH(B9,BDEGENER[SERIE],0),11)," ")</f>
        <v>PENAL DE ICA</v>
      </c>
      <c r="F9" s="534" t="str">
        <f>IFERROR(INDEX(BDEGENER[],MATCH(B9,BDEGENER[SERIE],0),12)," ")</f>
        <v>PENAL DE ICA</v>
      </c>
      <c r="G9" s="694"/>
      <c r="H9" s="535">
        <f>IFERROR(INDEX(BDEGENER[],MATCH(B9,BDEGENER[SERIE],0),31)," ")</f>
        <v>1493</v>
      </c>
      <c r="I9" s="535">
        <f>IFERROR(INDEX(BDEGENER[],MATCH(B9,BDEGENER[SERIE],0),53)," ")</f>
        <v>1493</v>
      </c>
      <c r="J9" s="534">
        <f>IFERROR(INDEX(BDEGENER[],MATCH(B9,BDEGENER[SERIE],0),47)," ")</f>
        <v>0</v>
      </c>
      <c r="K9" s="534">
        <f>IFERROR(INDEX(BDEGENER[],MATCH(B9,BDEGENER[SERIE],0),48)," ")</f>
        <v>4</v>
      </c>
      <c r="L9" s="535"/>
      <c r="M9" s="535">
        <f>EQUIPOS_ALQUILER[[#This Row],[HR DE ULTIMO PREVENTIVO]]+300</f>
        <v>1793</v>
      </c>
      <c r="N9" s="536" t="str">
        <f>IF(EQUIPOS_ALQUILER[[#This Row],[HR ACTUALES]]&gt;=EQUIPOS_ALQUILER[[#This Row],[HR DE PROX SERVICIO]],"PROCEDE",IF((EQUIPOS_ALQUILER[[#This Row],[HR ACTUALES]]+35)&gt;=EQUIPOS_ALQUILER[[#This Row],[HR DE PROX SERVICIO]],"PROXIMO","NO PROCEDE"))</f>
        <v>NO PROCEDE</v>
      </c>
      <c r="O9" s="537">
        <f>COUNTIF(EQUIPOS_ALQUILER[SERIE],EQUIPOS_ALQUILER[[#This Row],[SERIE]])</f>
        <v>1</v>
      </c>
      <c r="P9" s="538" t="str">
        <f>IFERROR(INDEX(BDEGENER[],MATCH(B9,BDEGENER[SERIE],0),41)," ")</f>
        <v>OPERATIVO</v>
      </c>
      <c r="Q9" s="536" t="str">
        <f>IF(EQUIPOS[[#This Row],[GA1]]=1,"UNICO","DUPLICADO")</f>
        <v>UNICO</v>
      </c>
      <c r="R9" s="536" t="str">
        <f>IF(EQUIPOS_ALQUILER[[#This Row],[HR ULTIMO SERVICIO]]="NR","OPTIMO",IF(EQUIPOS_ALQUILER[[#This Row],[HR ACTUALES]]="","NO REGISTRA",IF(EQUIPOS_ALQUILER[[#This Row],[HR ULTIMO SERVICIO]]&gt;=EQUIPOS_ALQUILER[[#This Row],[HR ACTUALES]],"ACTUALIZAR","OPTIMO")))</f>
        <v>NO REGISTRA</v>
      </c>
      <c r="S9" s="539">
        <f>EQUIPOS_ALQUILER[[#This Row],[HR DE PROX SERVICIO]]-EQUIPOS_ALQUILER[[#This Row],[HR ACTUALES]]</f>
        <v>1793</v>
      </c>
    </row>
    <row r="10" spans="2:19" ht="15.6" x14ac:dyDescent="0.3">
      <c r="B10" s="540" t="s">
        <v>1965</v>
      </c>
      <c r="C10" s="534" t="str">
        <f>IFERROR(INDEX(BDEGENER[],MATCH(B10,BDEGENER[SERIE],0),26)," ")</f>
        <v>CUMMINS</v>
      </c>
      <c r="D10" s="534" t="str">
        <f>IFERROR(INDEX(BDEGENER[],MATCH(B10,BDEGENER[SERIE],0),27)," ")</f>
        <v>EDC-3051</v>
      </c>
      <c r="E10" s="534" t="str">
        <f>IFERROR(INDEX(BDEGENER[],MATCH(B10,BDEGENER[SERIE],0),11)," ")</f>
        <v>Mantenimiento construccion y proyectos grales SAC</v>
      </c>
      <c r="F10" s="534" t="str">
        <f>IFERROR(INDEX(BDEGENER[],MATCH(B10,BDEGENER[SERIE],0),12)," ")</f>
        <v>TALLER EGENER</v>
      </c>
      <c r="G10" s="534" t="s">
        <v>1395</v>
      </c>
      <c r="H10" s="535">
        <f>IFERROR(INDEX(BDEGENER[],MATCH(B10,BDEGENER[SERIE],0),31)," ")</f>
        <v>1648.59</v>
      </c>
      <c r="I10" s="535">
        <f>IFERROR(INDEX(BDEGENER[],MATCH(B10,BDEGENER[SERIE],0),53)," ")</f>
        <v>1525.14</v>
      </c>
      <c r="J10" s="534">
        <f>IFERROR(INDEX(BDEGENER[],MATCH(B10,BDEGENER[SERIE],0),47)," ")</f>
        <v>0</v>
      </c>
      <c r="K10" s="534">
        <f>IFERROR(INDEX(BDEGENER[],MATCH(B10,BDEGENER[SERIE],0),48)," ")</f>
        <v>1</v>
      </c>
      <c r="L10" s="535"/>
      <c r="M10" s="535">
        <f>EQUIPOS_ALQUILER[[#This Row],[HR DE ULTIMO PREVENTIVO]]+300</f>
        <v>1825.14</v>
      </c>
      <c r="N10" s="536" t="str">
        <f>IF(EQUIPOS_ALQUILER[[#This Row],[HR ACTUALES]]&gt;=EQUIPOS_ALQUILER[[#This Row],[HR DE PROX SERVICIO]],"PROCEDE",IF((EQUIPOS_ALQUILER[[#This Row],[HR ACTUALES]]+35)&gt;=EQUIPOS_ALQUILER[[#This Row],[HR DE PROX SERVICIO]],"PROXIMO","NO PROCEDE"))</f>
        <v>NO PROCEDE</v>
      </c>
      <c r="O10" s="537">
        <f>COUNTIF(EQUIPOS_ALQUILER[SERIE],EQUIPOS_ALQUILER[[#This Row],[SERIE]])</f>
        <v>1</v>
      </c>
      <c r="P10" s="538" t="str">
        <f>IFERROR(INDEX(BDEGENER[],MATCH(B10,BDEGENER[SERIE],0),41)," ")</f>
        <v>OPERATIVO</v>
      </c>
      <c r="Q10" s="536" t="str">
        <f>IF(EQUIPOS[[#This Row],[GA1]]=1,"UNICO","DUPLICADO")</f>
        <v>UNICO</v>
      </c>
      <c r="R10" s="536" t="str">
        <f>IF(EQUIPOS_ALQUILER[[#This Row],[HR ULTIMO SERVICIO]]="NR","OPTIMO",IF(EQUIPOS_ALQUILER[[#This Row],[HR ACTUALES]]="","NO REGISTRA",IF(EQUIPOS_ALQUILER[[#This Row],[HR ULTIMO SERVICIO]]&gt;=EQUIPOS_ALQUILER[[#This Row],[HR ACTUALES]],"ACTUALIZAR","OPTIMO")))</f>
        <v>NO REGISTRA</v>
      </c>
      <c r="S10" s="539">
        <f>EQUIPOS_ALQUILER[[#This Row],[HR DE PROX SERVICIO]]-EQUIPOS_ALQUILER[[#This Row],[HR ACTUALES]]</f>
        <v>1825.14</v>
      </c>
    </row>
    <row r="11" spans="2:19" ht="15.6" x14ac:dyDescent="0.3">
      <c r="B11" s="540">
        <v>3003953458</v>
      </c>
      <c r="C11" s="534" t="str">
        <f>IFERROR(INDEX(BDEGENER[],MATCH(B11,BDEGENER[SERIE],0),26)," ")</f>
        <v>GENERAC</v>
      </c>
      <c r="D11" s="534" t="str">
        <f>IFERROR(INDEX(BDEGENER[],MATCH(B11,BDEGENER[SERIE],0),27)," ")</f>
        <v>PLY100</v>
      </c>
      <c r="E11" s="534" t="str">
        <f>IFERROR(INDEX(BDEGENER[],MATCH(B11,BDEGENER[SERIE],0),11)," ")</f>
        <v>CMO Group S.A.</v>
      </c>
      <c r="F11" s="534" t="str">
        <f>IFERROR(INDEX(BDEGENER[],MATCH(B11,BDEGENER[SERIE],0),12)," ")</f>
        <v>TALLER EGENER</v>
      </c>
      <c r="G11" s="534" t="s">
        <v>2032</v>
      </c>
      <c r="H11" s="535">
        <f>IFERROR(INDEX(BDEGENER[],MATCH(B11,BDEGENER[SERIE],0),31)," ")</f>
        <v>927</v>
      </c>
      <c r="I11" s="535">
        <f>IFERROR(INDEX(BDEGENER[],MATCH(B11,BDEGENER[SERIE],0),53)," ")</f>
        <v>918.3</v>
      </c>
      <c r="J11" s="534">
        <f>IFERROR(INDEX(BDEGENER[],MATCH(B11,BDEGENER[SERIE],0),47)," ")</f>
        <v>0</v>
      </c>
      <c r="K11" s="534">
        <f>IFERROR(INDEX(BDEGENER[],MATCH(B11,BDEGENER[SERIE],0),48)," ")</f>
        <v>1</v>
      </c>
      <c r="L11" s="535"/>
      <c r="M11" s="535">
        <f>EQUIPOS_ALQUILER[[#This Row],[HR DE ULTIMO PREVENTIVO]]+300</f>
        <v>1218.3</v>
      </c>
      <c r="N11" s="536" t="str">
        <f>IF(EQUIPOS_ALQUILER[[#This Row],[HR ACTUALES]]&gt;=EQUIPOS_ALQUILER[[#This Row],[HR DE PROX SERVICIO]],"PROCEDE",IF((EQUIPOS_ALQUILER[[#This Row],[HR ACTUALES]]+35)&gt;=EQUIPOS_ALQUILER[[#This Row],[HR DE PROX SERVICIO]],"PROXIMO","NO PROCEDE"))</f>
        <v>NO PROCEDE</v>
      </c>
      <c r="O11" s="537">
        <f>COUNTIF(EQUIPOS_ALQUILER[SERIE],EQUIPOS_ALQUILER[[#This Row],[SERIE]])</f>
        <v>1</v>
      </c>
      <c r="P11" s="538" t="str">
        <f>IFERROR(INDEX(BDEGENER[],MATCH(B11,BDEGENER[SERIE],0),41)," ")</f>
        <v>OPERATIVO</v>
      </c>
      <c r="Q11" s="536" t="str">
        <f>IF(EQUIPOS[[#This Row],[GA1]]=1,"UNICO","DUPLICADO")</f>
        <v>UNICO</v>
      </c>
      <c r="R11" s="536" t="str">
        <f>IF(EQUIPOS_ALQUILER[[#This Row],[HR ULTIMO SERVICIO]]="NR","OPTIMO",IF(EQUIPOS_ALQUILER[[#This Row],[HR ACTUALES]]="","NO REGISTRA",IF(EQUIPOS_ALQUILER[[#This Row],[HR ULTIMO SERVICIO]]&gt;=EQUIPOS_ALQUILER[[#This Row],[HR ACTUALES]],"ACTUALIZAR","OPTIMO")))</f>
        <v>NO REGISTRA</v>
      </c>
      <c r="S11" s="539">
        <f>EQUIPOS_ALQUILER[[#This Row],[HR DE PROX SERVICIO]]-EQUIPOS_ALQUILER[[#This Row],[HR ACTUALES]]</f>
        <v>1218.3</v>
      </c>
    </row>
  </sheetData>
  <mergeCells count="1">
    <mergeCell ref="B2:E3"/>
  </mergeCells>
  <conditionalFormatting sqref="Q4">
    <cfRule type="containsText" dxfId="170" priority="19" operator="containsText" text="DUPLICADO">
      <formula>NOT(ISERROR(SEARCH("DUPLICADO",Q4)))</formula>
    </cfRule>
    <cfRule type="containsText" dxfId="169" priority="20" operator="containsText" text="UNICO">
      <formula>NOT(ISERROR(SEARCH("UNICO",Q4)))</formula>
    </cfRule>
  </conditionalFormatting>
  <conditionalFormatting sqref="N4">
    <cfRule type="containsText" dxfId="168" priority="16" operator="containsText" text="PROXIMO">
      <formula>NOT(ISERROR(SEARCH("PROXIMO",N4)))</formula>
    </cfRule>
    <cfRule type="containsText" dxfId="167" priority="17" operator="containsText" text="NO PROCEDE">
      <formula>NOT(ISERROR(SEARCH("NO PROCEDE",N4)))</formula>
    </cfRule>
    <cfRule type="containsText" dxfId="166" priority="18" operator="containsText" text="PROCEDE">
      <formula>NOT(ISERROR(SEARCH("PROCEDE",N4)))</formula>
    </cfRule>
  </conditionalFormatting>
  <conditionalFormatting sqref="R4">
    <cfRule type="containsText" dxfId="165" priority="13" operator="containsText" text="NO REGISTRA">
      <formula>NOT(ISERROR(SEARCH("NO REGISTRA",R4)))</formula>
    </cfRule>
    <cfRule type="containsText" dxfId="164" priority="14" operator="containsText" text="OPTIMO">
      <formula>NOT(ISERROR(SEARCH("OPTIMO",R4)))</formula>
    </cfRule>
    <cfRule type="containsText" dxfId="163" priority="15" operator="containsText" text="ACTUALIZAR">
      <formula>NOT(ISERROR(SEARCH("ACTUALIZAR",R4)))</formula>
    </cfRule>
  </conditionalFormatting>
  <conditionalFormatting sqref="P4">
    <cfRule type="containsText" dxfId="162" priority="11" operator="containsText" text="NO OPERATIVO">
      <formula>NOT(ISERROR(SEARCH("NO OPERATIVO",P4)))</formula>
    </cfRule>
    <cfRule type="containsText" dxfId="161" priority="12" operator="containsText" text="OPERATIVO">
      <formula>NOT(ISERROR(SEARCH("OPERATIVO",P4)))</formula>
    </cfRule>
  </conditionalFormatting>
  <conditionalFormatting sqref="P5:P11">
    <cfRule type="containsText" dxfId="160" priority="1" operator="containsText" text="NO OPERATIVO">
      <formula>NOT(ISERROR(SEARCH("NO OPERATIVO",P5)))</formula>
    </cfRule>
    <cfRule type="containsText" dxfId="159" priority="2" operator="containsText" text="OPERATIVO">
      <formula>NOT(ISERROR(SEARCH("OPERATIVO",P5)))</formula>
    </cfRule>
  </conditionalFormatting>
  <conditionalFormatting sqref="Q5:Q11">
    <cfRule type="containsText" dxfId="158" priority="9" operator="containsText" text="DUPLICADO">
      <formula>NOT(ISERROR(SEARCH("DUPLICADO",Q5)))</formula>
    </cfRule>
    <cfRule type="containsText" dxfId="157" priority="10" operator="containsText" text="UNICO">
      <formula>NOT(ISERROR(SEARCH("UNICO",Q5)))</formula>
    </cfRule>
  </conditionalFormatting>
  <conditionalFormatting sqref="N5:N11">
    <cfRule type="containsText" dxfId="156" priority="6" operator="containsText" text="PROXIMO">
      <formula>NOT(ISERROR(SEARCH("PROXIMO",N5)))</formula>
    </cfRule>
    <cfRule type="containsText" dxfId="155" priority="7" operator="containsText" text="NO PROCEDE">
      <formula>NOT(ISERROR(SEARCH("NO PROCEDE",N5)))</formula>
    </cfRule>
    <cfRule type="containsText" dxfId="154" priority="8" operator="containsText" text="PROCEDE">
      <formula>NOT(ISERROR(SEARCH("PROCEDE",N5)))</formula>
    </cfRule>
  </conditionalFormatting>
  <conditionalFormatting sqref="R5:R11">
    <cfRule type="containsText" dxfId="153" priority="3" operator="containsText" text="NO REGISTRA">
      <formula>NOT(ISERROR(SEARCH("NO REGISTRA",R5)))</formula>
    </cfRule>
    <cfRule type="containsText" dxfId="152" priority="4" operator="containsText" text="OPTIMO">
      <formula>NOT(ISERROR(SEARCH("OPTIMO",R5)))</formula>
    </cfRule>
    <cfRule type="containsText" dxfId="151" priority="5" operator="containsText" text="ACTUALIZAR">
      <formula>NOT(ISERROR(SEARCH("ACTUALIZAR",R5)))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IrMenuPrincipal">
                <anchor>
                  <from>
                    <xdr:col>4</xdr:col>
                    <xdr:colOff>868680</xdr:colOff>
                    <xdr:row>0</xdr:row>
                    <xdr:rowOff>190500</xdr:rowOff>
                  </from>
                  <to>
                    <xdr:col>5</xdr:col>
                    <xdr:colOff>1318260</xdr:colOff>
                    <xdr:row>2</xdr:row>
                    <xdr:rowOff>83820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6"/>
  <dimension ref="A1:K34"/>
  <sheetViews>
    <sheetView showRowColHeaders="0" zoomScale="80" zoomScaleNormal="80" workbookViewId="0"/>
  </sheetViews>
  <sheetFormatPr baseColWidth="10" defaultColWidth="11.44140625" defaultRowHeight="14.4" x14ac:dyDescent="0.3"/>
  <cols>
    <col min="1" max="1" width="9.109375" style="191" customWidth="1"/>
    <col min="2" max="2" width="12.109375" style="191" customWidth="1"/>
    <col min="3" max="4" width="20.6640625" style="191" customWidth="1"/>
    <col min="5" max="5" width="18.6640625" style="191" customWidth="1"/>
    <col min="6" max="6" width="28.6640625" style="191" customWidth="1"/>
    <col min="7" max="7" width="25.6640625" style="191" customWidth="1"/>
    <col min="8" max="8" width="17.6640625" style="191" customWidth="1"/>
    <col min="9" max="9" width="12.6640625" style="191" customWidth="1"/>
    <col min="10" max="10" width="36.6640625" style="191" customWidth="1"/>
    <col min="11" max="16384" width="11.44140625" style="191"/>
  </cols>
  <sheetData>
    <row r="1" spans="1:11" ht="15" thickBot="1" x14ac:dyDescent="0.35">
      <c r="A1" s="577"/>
      <c r="B1" s="578"/>
      <c r="C1" s="579"/>
      <c r="D1" s="579"/>
      <c r="E1" s="580"/>
      <c r="F1" s="577"/>
      <c r="G1" s="577"/>
      <c r="H1" s="577"/>
      <c r="I1" s="577"/>
      <c r="J1" s="577"/>
      <c r="K1" s="577"/>
    </row>
    <row r="2" spans="1:11" ht="15" thickBot="1" x14ac:dyDescent="0.35">
      <c r="A2" s="577"/>
      <c r="B2" s="581"/>
      <c r="C2" s="1056" t="s">
        <v>1341</v>
      </c>
      <c r="D2" s="1057"/>
      <c r="E2" s="582"/>
      <c r="F2" s="577"/>
      <c r="G2" s="577"/>
      <c r="H2" s="577"/>
      <c r="I2" s="577"/>
      <c r="J2" s="577"/>
      <c r="K2" s="577"/>
    </row>
    <row r="3" spans="1:11" ht="20.100000000000001" customHeight="1" thickBot="1" x14ac:dyDescent="0.35">
      <c r="A3" s="577"/>
      <c r="B3" s="581"/>
      <c r="C3" s="583" t="s">
        <v>940</v>
      </c>
      <c r="D3" s="576"/>
      <c r="E3" s="582"/>
      <c r="F3" s="577"/>
      <c r="G3" s="577"/>
      <c r="H3" s="577"/>
      <c r="I3" s="577"/>
      <c r="J3" s="577"/>
      <c r="K3" s="577"/>
    </row>
    <row r="4" spans="1:11" ht="15" thickBot="1" x14ac:dyDescent="0.35">
      <c r="A4" s="577"/>
      <c r="B4" s="581"/>
      <c r="C4" s="584"/>
      <c r="D4" s="584"/>
      <c r="E4" s="582"/>
      <c r="F4" s="577"/>
      <c r="G4" s="577"/>
      <c r="H4" s="577"/>
      <c r="I4" s="577"/>
      <c r="J4" s="577"/>
      <c r="K4" s="577"/>
    </row>
    <row r="5" spans="1:11" ht="29.4" thickBot="1" x14ac:dyDescent="0.35">
      <c r="A5" s="577"/>
      <c r="B5" s="585" t="s">
        <v>1339</v>
      </c>
      <c r="C5" s="586" t="s">
        <v>7</v>
      </c>
      <c r="D5" s="586" t="s">
        <v>158</v>
      </c>
      <c r="E5" s="586" t="s">
        <v>6</v>
      </c>
      <c r="F5" s="586" t="s">
        <v>1340</v>
      </c>
      <c r="G5" s="586" t="s">
        <v>24</v>
      </c>
      <c r="H5" s="586" t="s">
        <v>4</v>
      </c>
      <c r="I5" s="586" t="s">
        <v>11</v>
      </c>
      <c r="J5" s="236" t="s">
        <v>753</v>
      </c>
      <c r="K5" s="577"/>
    </row>
    <row r="6" spans="1:11" ht="30" customHeight="1" x14ac:dyDescent="0.3">
      <c r="A6" s="577"/>
      <c r="B6" s="587">
        <v>1</v>
      </c>
      <c r="C6" s="588" t="str">
        <f>IFERROR(INDEX(BDEGENER[],MATCH(CONCATENATE($D$3,"F",ACTAS_FECHAS[[#This Row],[N° DE SERVICIO]]),BDEGENER[GA8],0),24),"")</f>
        <v/>
      </c>
      <c r="D6" s="589" t="str">
        <f>IFERROR(INDEX(BDEGENER[],MATCH(CONCATENATE($D$3,"F",ACTAS_FECHAS[[#This Row],[N° DE SERVICIO]]),BDEGENER[GA8],0),11),"")</f>
        <v/>
      </c>
      <c r="E6" s="589" t="str">
        <f>IFERROR(INDEX(BDEGENER[],MATCH(CONCATENATE($D$3,"F",ACTAS_FECHAS[[#This Row],[N° DE SERVICIO]]),BDEGENER[GA8],0),12),"")</f>
        <v/>
      </c>
      <c r="F6" s="590" t="str">
        <f>IFERROR(INDEX(BDEGENER[],MATCH(CONCATENATE($D$3,"F",ACTAS_FECHAS[[#This Row],[N° DE SERVICIO]]),BDEGENER[GA8],0),43),"")</f>
        <v/>
      </c>
      <c r="G6" s="589" t="str">
        <f>IFERROR(INDEX(BDEGENER[],MATCH(CONCATENATE($D$3,"F",ACTAS_FECHAS[[#This Row],[N° DE SERVICIO]]),BDEGENER[GA8],0),49),"")</f>
        <v/>
      </c>
      <c r="H6" s="589" t="str">
        <f>IFERROR(INDEX(BDEGENER[],MATCH(CONCATENATE($D$3,"F",ACTAS_FECHAS[[#This Row],[N° DE SERVICIO]]),BDEGENER[GA8],0),21),"")</f>
        <v/>
      </c>
      <c r="I6" s="588" t="str">
        <f>IFERROR(INDEX(BDEGENER[],MATCH(CONCATENATE($D$3,"F",ACTAS_FECHAS[[#This Row],[N° DE SERVICIO]]),BDEGENER[GA8],0),31),"")</f>
        <v/>
      </c>
      <c r="J6" s="591" t="str">
        <f>IFERROR(INDEX(BDEGENER[],MATCH(CONCATENATE($D$3,"F",ACTAS_FECHAS[[#This Row],[N° DE SERVICIO]]),BDEGENER[GA8],0),42),"")</f>
        <v/>
      </c>
      <c r="K6" s="577"/>
    </row>
    <row r="7" spans="1:11" ht="30" customHeight="1" x14ac:dyDescent="0.3">
      <c r="A7" s="577"/>
      <c r="B7" s="592">
        <v>2</v>
      </c>
      <c r="C7" s="593" t="str">
        <f>IFERROR(INDEX(BDEGENER[],MATCH(CONCATENATE($D$3,"F",ACTAS_FECHAS[[#This Row],[N° DE SERVICIO]]),BDEGENER[GA8],0),24),"")</f>
        <v/>
      </c>
      <c r="D7" s="594" t="str">
        <f>IFERROR(INDEX(BDEGENER[],MATCH(CONCATENATE($D$3,"F",ACTAS_FECHAS[[#This Row],[N° DE SERVICIO]]),BDEGENER[GA8],0),11),"")</f>
        <v/>
      </c>
      <c r="E7" s="594" t="str">
        <f>IFERROR(INDEX(BDEGENER[],MATCH(CONCATENATE($D$3,"F",ACTAS_FECHAS[[#This Row],[N° DE SERVICIO]]),BDEGENER[GA8],0),12),"")</f>
        <v/>
      </c>
      <c r="F7" s="595" t="str">
        <f>IFERROR(INDEX(BDEGENER[],MATCH(CONCATENATE($D$3,"F",ACTAS_FECHAS[[#This Row],[N° DE SERVICIO]]),BDEGENER[GA8],0),43),"")</f>
        <v/>
      </c>
      <c r="G7" s="594" t="str">
        <f>IFERROR(INDEX(BDEGENER[],MATCH(CONCATENATE($D$3,"F",ACTAS_FECHAS[[#This Row],[N° DE SERVICIO]]),BDEGENER[GA8],0),49),"")</f>
        <v/>
      </c>
      <c r="H7" s="594" t="str">
        <f>IFERROR(INDEX(BDEGENER[],MATCH(CONCATENATE($D$3,"F",ACTAS_FECHAS[[#This Row],[N° DE SERVICIO]]),BDEGENER[GA8],0),21),"")</f>
        <v/>
      </c>
      <c r="I7" s="593" t="str">
        <f>IFERROR(INDEX(BDEGENER[],MATCH(CONCATENATE($D$3,"F",ACTAS_FECHAS[[#This Row],[N° DE SERVICIO]]),BDEGENER[GA8],0),31),"")</f>
        <v/>
      </c>
      <c r="J7" s="596" t="str">
        <f>IFERROR(INDEX(BDEGENER[],MATCH(CONCATENATE($D$3,"F",ACTAS_FECHAS[[#This Row],[N° DE SERVICIO]]),BDEGENER[GA8],0),42),"")</f>
        <v/>
      </c>
      <c r="K7" s="577"/>
    </row>
    <row r="8" spans="1:11" ht="30" customHeight="1" x14ac:dyDescent="0.3">
      <c r="A8" s="577"/>
      <c r="B8" s="592">
        <v>3</v>
      </c>
      <c r="C8" s="593" t="str">
        <f>IFERROR(INDEX(BDEGENER[],MATCH(CONCATENATE($D$3,"F",ACTAS_FECHAS[[#This Row],[N° DE SERVICIO]]),BDEGENER[GA8],0),24),"")</f>
        <v/>
      </c>
      <c r="D8" s="594" t="str">
        <f>IFERROR(INDEX(BDEGENER[],MATCH(CONCATENATE($D$3,"F",ACTAS_FECHAS[[#This Row],[N° DE SERVICIO]]),BDEGENER[GA8],0),11),"")</f>
        <v/>
      </c>
      <c r="E8" s="594" t="str">
        <f>IFERROR(INDEX(BDEGENER[],MATCH(CONCATENATE($D$3,"F",ACTAS_FECHAS[[#This Row],[N° DE SERVICIO]]),BDEGENER[GA8],0),12),"")</f>
        <v/>
      </c>
      <c r="F8" s="595" t="str">
        <f>IFERROR(INDEX(BDEGENER[],MATCH(CONCATENATE($D$3,"F",ACTAS_FECHAS[[#This Row],[N° DE SERVICIO]]),BDEGENER[GA8],0),43),"")</f>
        <v/>
      </c>
      <c r="G8" s="594" t="str">
        <f>IFERROR(INDEX(BDEGENER[],MATCH(CONCATENATE($D$3,"F",ACTAS_FECHAS[[#This Row],[N° DE SERVICIO]]),BDEGENER[GA8],0),49),"")</f>
        <v/>
      </c>
      <c r="H8" s="594" t="str">
        <f>IFERROR(INDEX(BDEGENER[],MATCH(CONCATENATE($D$3,"F",ACTAS_FECHAS[[#This Row],[N° DE SERVICIO]]),BDEGENER[GA8],0),21),"")</f>
        <v/>
      </c>
      <c r="I8" s="593" t="str">
        <f>IFERROR(INDEX(BDEGENER[],MATCH(CONCATENATE($D$3,"F",ACTAS_FECHAS[[#This Row],[N° DE SERVICIO]]),BDEGENER[GA8],0),31),"")</f>
        <v/>
      </c>
      <c r="J8" s="596" t="str">
        <f>IFERROR(INDEX(BDEGENER[],MATCH(CONCATENATE($D$3,"F",ACTAS_FECHAS[[#This Row],[N° DE SERVICIO]]),BDEGENER[GA8],0),42),"")</f>
        <v/>
      </c>
      <c r="K8" s="577"/>
    </row>
    <row r="9" spans="1:11" ht="30" customHeight="1" x14ac:dyDescent="0.3">
      <c r="A9" s="577"/>
      <c r="B9" s="592">
        <v>4</v>
      </c>
      <c r="C9" s="593" t="str">
        <f>IFERROR(INDEX(BDEGENER[],MATCH(CONCATENATE($D$3,"F",ACTAS_FECHAS[[#This Row],[N° DE SERVICIO]]),BDEGENER[GA8],0),24),"")</f>
        <v/>
      </c>
      <c r="D9" s="594" t="str">
        <f>IFERROR(INDEX(BDEGENER[],MATCH(CONCATENATE($D$3,"F",ACTAS_FECHAS[[#This Row],[N° DE SERVICIO]]),BDEGENER[GA8],0),11),"")</f>
        <v/>
      </c>
      <c r="E9" s="594" t="str">
        <f>IFERROR(INDEX(BDEGENER[],MATCH(CONCATENATE($D$3,"F",ACTAS_FECHAS[[#This Row],[N° DE SERVICIO]]),BDEGENER[GA8],0),12),"")</f>
        <v/>
      </c>
      <c r="F9" s="595" t="str">
        <f>IFERROR(INDEX(BDEGENER[],MATCH(CONCATENATE($D$3,"F",ACTAS_FECHAS[[#This Row],[N° DE SERVICIO]]),BDEGENER[GA8],0),43),"")</f>
        <v/>
      </c>
      <c r="G9" s="594" t="str">
        <f>IFERROR(INDEX(BDEGENER[],MATCH(CONCATENATE($D$3,"F",ACTAS_FECHAS[[#This Row],[N° DE SERVICIO]]),BDEGENER[GA8],0),49),"")</f>
        <v/>
      </c>
      <c r="H9" s="594" t="str">
        <f>IFERROR(INDEX(BDEGENER[],MATCH(CONCATENATE($D$3,"F",ACTAS_FECHAS[[#This Row],[N° DE SERVICIO]]),BDEGENER[GA8],0),21),"")</f>
        <v/>
      </c>
      <c r="I9" s="593" t="str">
        <f>IFERROR(INDEX(BDEGENER[],MATCH(CONCATENATE($D$3,"F",ACTAS_FECHAS[[#This Row],[N° DE SERVICIO]]),BDEGENER[GA8],0),31),"")</f>
        <v/>
      </c>
      <c r="J9" s="596" t="str">
        <f>IFERROR(INDEX(BDEGENER[],MATCH(CONCATENATE($D$3,"F",ACTAS_FECHAS[[#This Row],[N° DE SERVICIO]]),BDEGENER[GA8],0),42),"")</f>
        <v/>
      </c>
      <c r="K9" s="577"/>
    </row>
    <row r="10" spans="1:11" ht="30" customHeight="1" x14ac:dyDescent="0.3">
      <c r="A10" s="577"/>
      <c r="B10" s="592">
        <v>5</v>
      </c>
      <c r="C10" s="593" t="str">
        <f>IFERROR(INDEX(BDEGENER[],MATCH(CONCATENATE($D$3,"F",ACTAS_FECHAS[[#This Row],[N° DE SERVICIO]]),BDEGENER[GA8],0),24),"")</f>
        <v/>
      </c>
      <c r="D10" s="594" t="str">
        <f>IFERROR(INDEX(BDEGENER[],MATCH(CONCATENATE($D$3,"F",ACTAS_FECHAS[[#This Row],[N° DE SERVICIO]]),BDEGENER[GA8],0),11),"")</f>
        <v/>
      </c>
      <c r="E10" s="594" t="str">
        <f>IFERROR(INDEX(BDEGENER[],MATCH(CONCATENATE($D$3,"F",ACTAS_FECHAS[[#This Row],[N° DE SERVICIO]]),BDEGENER[GA8],0),12),"")</f>
        <v/>
      </c>
      <c r="F10" s="595" t="str">
        <f>IFERROR(INDEX(BDEGENER[],MATCH(CONCATENATE($D$3,"F",ACTAS_FECHAS[[#This Row],[N° DE SERVICIO]]),BDEGENER[GA8],0),43),"")</f>
        <v/>
      </c>
      <c r="G10" s="594" t="str">
        <f>IFERROR(INDEX(BDEGENER[],MATCH(CONCATENATE($D$3,"F",ACTAS_FECHAS[[#This Row],[N° DE SERVICIO]]),BDEGENER[GA8],0),49),"")</f>
        <v/>
      </c>
      <c r="H10" s="594" t="str">
        <f>IFERROR(INDEX(BDEGENER[],MATCH(CONCATENATE($D$3,"F",ACTAS_FECHAS[[#This Row],[N° DE SERVICIO]]),BDEGENER[GA8],0),21),"")</f>
        <v/>
      </c>
      <c r="I10" s="593" t="str">
        <f>IFERROR(INDEX(BDEGENER[],MATCH(CONCATENATE($D$3,"F",ACTAS_FECHAS[[#This Row],[N° DE SERVICIO]]),BDEGENER[GA8],0),31),"")</f>
        <v/>
      </c>
      <c r="J10" s="596" t="str">
        <f>IFERROR(INDEX(BDEGENER[],MATCH(CONCATENATE($D$3,"F",ACTAS_FECHAS[[#This Row],[N° DE SERVICIO]]),BDEGENER[GA8],0),42),"")</f>
        <v/>
      </c>
      <c r="K10" s="577"/>
    </row>
    <row r="11" spans="1:11" ht="30" customHeight="1" x14ac:dyDescent="0.3">
      <c r="A11" s="577"/>
      <c r="B11" s="592">
        <v>6</v>
      </c>
      <c r="C11" s="593" t="str">
        <f>IFERROR(INDEX(BDEGENER[],MATCH(CONCATENATE($D$3,"F",ACTAS_FECHAS[[#This Row],[N° DE SERVICIO]]),BDEGENER[GA8],0),24),"")</f>
        <v/>
      </c>
      <c r="D11" s="594" t="str">
        <f>IFERROR(INDEX(BDEGENER[],MATCH(CONCATENATE($D$3,"F",ACTAS_FECHAS[[#This Row],[N° DE SERVICIO]]),BDEGENER[GA8],0),11),"")</f>
        <v/>
      </c>
      <c r="E11" s="594" t="str">
        <f>IFERROR(INDEX(BDEGENER[],MATCH(CONCATENATE($D$3,"F",ACTAS_FECHAS[[#This Row],[N° DE SERVICIO]]),BDEGENER[GA8],0),12),"")</f>
        <v/>
      </c>
      <c r="F11" s="595" t="str">
        <f>IFERROR(INDEX(BDEGENER[],MATCH(CONCATENATE($D$3,"F",ACTAS_FECHAS[[#This Row],[N° DE SERVICIO]]),BDEGENER[GA8],0),43),"")</f>
        <v/>
      </c>
      <c r="G11" s="594" t="str">
        <f>IFERROR(INDEX(BDEGENER[],MATCH(CONCATENATE($D$3,"F",ACTAS_FECHAS[[#This Row],[N° DE SERVICIO]]),BDEGENER[GA8],0),49),"")</f>
        <v/>
      </c>
      <c r="H11" s="594" t="str">
        <f>IFERROR(INDEX(BDEGENER[],MATCH(CONCATENATE($D$3,"F",ACTAS_FECHAS[[#This Row],[N° DE SERVICIO]]),BDEGENER[GA8],0),21),"")</f>
        <v/>
      </c>
      <c r="I11" s="593" t="str">
        <f>IFERROR(INDEX(BDEGENER[],MATCH(CONCATENATE($D$3,"F",ACTAS_FECHAS[[#This Row],[N° DE SERVICIO]]),BDEGENER[GA8],0),31),"")</f>
        <v/>
      </c>
      <c r="J11" s="596" t="str">
        <f>IFERROR(INDEX(BDEGENER[],MATCH(CONCATENATE($D$3,"F",ACTAS_FECHAS[[#This Row],[N° DE SERVICIO]]),BDEGENER[GA8],0),42),"")</f>
        <v/>
      </c>
      <c r="K11" s="577"/>
    </row>
    <row r="12" spans="1:11" ht="30" customHeight="1" x14ac:dyDescent="0.3">
      <c r="A12" s="577"/>
      <c r="B12" s="592">
        <v>7</v>
      </c>
      <c r="C12" s="593" t="str">
        <f>IFERROR(INDEX(BDEGENER[],MATCH(CONCATENATE($D$3,"F",ACTAS_FECHAS[[#This Row],[N° DE SERVICIO]]),BDEGENER[GA8],0),24),"")</f>
        <v/>
      </c>
      <c r="D12" s="594" t="str">
        <f>IFERROR(INDEX(BDEGENER[],MATCH(CONCATENATE($D$3,"F",ACTAS_FECHAS[[#This Row],[N° DE SERVICIO]]),BDEGENER[GA8],0),11),"")</f>
        <v/>
      </c>
      <c r="E12" s="594" t="str">
        <f>IFERROR(INDEX(BDEGENER[],MATCH(CONCATENATE($D$3,"F",ACTAS_FECHAS[[#This Row],[N° DE SERVICIO]]),BDEGENER[GA8],0),12),"")</f>
        <v/>
      </c>
      <c r="F12" s="595" t="str">
        <f>IFERROR(INDEX(BDEGENER[],MATCH(CONCATENATE($D$3,"F",ACTAS_FECHAS[[#This Row],[N° DE SERVICIO]]),BDEGENER[GA8],0),43),"")</f>
        <v/>
      </c>
      <c r="G12" s="594" t="str">
        <f>IFERROR(INDEX(BDEGENER[],MATCH(CONCATENATE($D$3,"F",ACTAS_FECHAS[[#This Row],[N° DE SERVICIO]]),BDEGENER[GA8],0),49),"")</f>
        <v/>
      </c>
      <c r="H12" s="594" t="str">
        <f>IFERROR(INDEX(BDEGENER[],MATCH(CONCATENATE($D$3,"F",ACTAS_FECHAS[[#This Row],[N° DE SERVICIO]]),BDEGENER[GA8],0),21),"")</f>
        <v/>
      </c>
      <c r="I12" s="593" t="str">
        <f>IFERROR(INDEX(BDEGENER[],MATCH(CONCATENATE($D$3,"F",ACTAS_FECHAS[[#This Row],[N° DE SERVICIO]]),BDEGENER[GA8],0),31),"")</f>
        <v/>
      </c>
      <c r="J12" s="596" t="str">
        <f>IFERROR(INDEX(BDEGENER[],MATCH(CONCATENATE($D$3,"F",ACTAS_FECHAS[[#This Row],[N° DE SERVICIO]]),BDEGENER[GA8],0),42),"")</f>
        <v/>
      </c>
      <c r="K12" s="577"/>
    </row>
    <row r="13" spans="1:11" ht="30" customHeight="1" x14ac:dyDescent="0.3">
      <c r="A13" s="577"/>
      <c r="B13" s="592">
        <v>8</v>
      </c>
      <c r="C13" s="593" t="str">
        <f>IFERROR(INDEX(BDEGENER[],MATCH(CONCATENATE($D$3,"F",ACTAS_FECHAS[[#This Row],[N° DE SERVICIO]]),BDEGENER[GA8],0),24),"")</f>
        <v/>
      </c>
      <c r="D13" s="594" t="str">
        <f>IFERROR(INDEX(BDEGENER[],MATCH(CONCATENATE($D$3,"F",ACTAS_FECHAS[[#This Row],[N° DE SERVICIO]]),BDEGENER[GA8],0),11),"")</f>
        <v/>
      </c>
      <c r="E13" s="594" t="str">
        <f>IFERROR(INDEX(BDEGENER[],MATCH(CONCATENATE($D$3,"F",ACTAS_FECHAS[[#This Row],[N° DE SERVICIO]]),BDEGENER[GA8],0),12),"")</f>
        <v/>
      </c>
      <c r="F13" s="595" t="str">
        <f>IFERROR(INDEX(BDEGENER[],MATCH(CONCATENATE($D$3,"F",ACTAS_FECHAS[[#This Row],[N° DE SERVICIO]]),BDEGENER[GA8],0),43),"")</f>
        <v/>
      </c>
      <c r="G13" s="594" t="str">
        <f>IFERROR(INDEX(BDEGENER[],MATCH(CONCATENATE($D$3,"F",ACTAS_FECHAS[[#This Row],[N° DE SERVICIO]]),BDEGENER[GA8],0),49),"")</f>
        <v/>
      </c>
      <c r="H13" s="594" t="str">
        <f>IFERROR(INDEX(BDEGENER[],MATCH(CONCATENATE($D$3,"F",ACTAS_FECHAS[[#This Row],[N° DE SERVICIO]]),BDEGENER[GA8],0),21),"")</f>
        <v/>
      </c>
      <c r="I13" s="593" t="str">
        <f>IFERROR(INDEX(BDEGENER[],MATCH(CONCATENATE($D$3,"F",ACTAS_FECHAS[[#This Row],[N° DE SERVICIO]]),BDEGENER[GA8],0),31),"")</f>
        <v/>
      </c>
      <c r="J13" s="596" t="str">
        <f>IFERROR(INDEX(BDEGENER[],MATCH(CONCATENATE($D$3,"F",ACTAS_FECHAS[[#This Row],[N° DE SERVICIO]]),BDEGENER[GA8],0),42),"")</f>
        <v/>
      </c>
      <c r="K13" s="577"/>
    </row>
    <row r="14" spans="1:11" ht="30" customHeight="1" x14ac:dyDescent="0.3">
      <c r="A14" s="577"/>
      <c r="B14" s="592">
        <v>9</v>
      </c>
      <c r="C14" s="593" t="str">
        <f>IFERROR(INDEX(BDEGENER[],MATCH(CONCATENATE($D$3,"F",ACTAS_FECHAS[[#This Row],[N° DE SERVICIO]]),BDEGENER[GA8],0),24),"")</f>
        <v/>
      </c>
      <c r="D14" s="594" t="str">
        <f>IFERROR(INDEX(BDEGENER[],MATCH(CONCATENATE($D$3,"F",ACTAS_FECHAS[[#This Row],[N° DE SERVICIO]]),BDEGENER[GA8],0),11),"")</f>
        <v/>
      </c>
      <c r="E14" s="594" t="str">
        <f>IFERROR(INDEX(BDEGENER[],MATCH(CONCATENATE($D$3,"F",ACTAS_FECHAS[[#This Row],[N° DE SERVICIO]]),BDEGENER[GA8],0),12),"")</f>
        <v/>
      </c>
      <c r="F14" s="595" t="str">
        <f>IFERROR(INDEX(BDEGENER[],MATCH(CONCATENATE($D$3,"F",ACTAS_FECHAS[[#This Row],[N° DE SERVICIO]]),BDEGENER[GA8],0),43),"")</f>
        <v/>
      </c>
      <c r="G14" s="594" t="str">
        <f>IFERROR(INDEX(BDEGENER[],MATCH(CONCATENATE($D$3,"F",ACTAS_FECHAS[[#This Row],[N° DE SERVICIO]]),BDEGENER[GA8],0),49),"")</f>
        <v/>
      </c>
      <c r="H14" s="594" t="str">
        <f>IFERROR(INDEX(BDEGENER[],MATCH(CONCATENATE($D$3,"F",ACTAS_FECHAS[[#This Row],[N° DE SERVICIO]]),BDEGENER[GA8],0),21),"")</f>
        <v/>
      </c>
      <c r="I14" s="593" t="str">
        <f>IFERROR(INDEX(BDEGENER[],MATCH(CONCATENATE($D$3,"F",ACTAS_FECHAS[[#This Row],[N° DE SERVICIO]]),BDEGENER[GA8],0),31),"")</f>
        <v/>
      </c>
      <c r="J14" s="596" t="str">
        <f>IFERROR(INDEX(BDEGENER[],MATCH(CONCATENATE($D$3,"F",ACTAS_FECHAS[[#This Row],[N° DE SERVICIO]]),BDEGENER[GA8],0),42),"")</f>
        <v/>
      </c>
      <c r="K14" s="577"/>
    </row>
    <row r="15" spans="1:11" ht="30" customHeight="1" x14ac:dyDescent="0.3">
      <c r="A15" s="577"/>
      <c r="B15" s="592">
        <v>10</v>
      </c>
      <c r="C15" s="593" t="str">
        <f>IFERROR(INDEX(BDEGENER[],MATCH(CONCATENATE($D$3,"F",ACTAS_FECHAS[[#This Row],[N° DE SERVICIO]]),BDEGENER[GA8],0),24),"")</f>
        <v/>
      </c>
      <c r="D15" s="594" t="str">
        <f>IFERROR(INDEX(BDEGENER[],MATCH(CONCATENATE($D$3,"F",ACTAS_FECHAS[[#This Row],[N° DE SERVICIO]]),BDEGENER[GA8],0),11),"")</f>
        <v/>
      </c>
      <c r="E15" s="594" t="str">
        <f>IFERROR(INDEX(BDEGENER[],MATCH(CONCATENATE($D$3,"F",ACTAS_FECHAS[[#This Row],[N° DE SERVICIO]]),BDEGENER[GA8],0),12),"")</f>
        <v/>
      </c>
      <c r="F15" s="595" t="str">
        <f>IFERROR(INDEX(BDEGENER[],MATCH(CONCATENATE($D$3,"F",ACTAS_FECHAS[[#This Row],[N° DE SERVICIO]]),BDEGENER[GA8],0),43),"")</f>
        <v/>
      </c>
      <c r="G15" s="594" t="str">
        <f>IFERROR(INDEX(BDEGENER[],MATCH(CONCATENATE($D$3,"F",ACTAS_FECHAS[[#This Row],[N° DE SERVICIO]]),BDEGENER[GA8],0),49),"")</f>
        <v/>
      </c>
      <c r="H15" s="594" t="str">
        <f>IFERROR(INDEX(BDEGENER[],MATCH(CONCATENATE($D$3,"F",ACTAS_FECHAS[[#This Row],[N° DE SERVICIO]]),BDEGENER[GA8],0),21),"")</f>
        <v/>
      </c>
      <c r="I15" s="593" t="str">
        <f>IFERROR(INDEX(BDEGENER[],MATCH(CONCATENATE($D$3,"F",ACTAS_FECHAS[[#This Row],[N° DE SERVICIO]]),BDEGENER[GA8],0),31),"")</f>
        <v/>
      </c>
      <c r="J15" s="596" t="str">
        <f>IFERROR(INDEX(BDEGENER[],MATCH(CONCATENATE($D$3,"F",ACTAS_FECHAS[[#This Row],[N° DE SERVICIO]]),BDEGENER[GA8],0),42),"")</f>
        <v/>
      </c>
      <c r="K15" s="577"/>
    </row>
    <row r="16" spans="1:11" ht="30" customHeight="1" x14ac:dyDescent="0.3">
      <c r="A16" s="577"/>
      <c r="B16" s="592">
        <v>11</v>
      </c>
      <c r="C16" s="593" t="str">
        <f>IFERROR(INDEX(BDEGENER[],MATCH(CONCATENATE($D$3,"F",ACTAS_FECHAS[[#This Row],[N° DE SERVICIO]]),BDEGENER[GA8],0),24),"")</f>
        <v/>
      </c>
      <c r="D16" s="594" t="str">
        <f>IFERROR(INDEX(BDEGENER[],MATCH(CONCATENATE($D$3,"F",ACTAS_FECHAS[[#This Row],[N° DE SERVICIO]]),BDEGENER[GA8],0),11),"")</f>
        <v/>
      </c>
      <c r="E16" s="594" t="str">
        <f>IFERROR(INDEX(BDEGENER[],MATCH(CONCATENATE($D$3,"F",ACTAS_FECHAS[[#This Row],[N° DE SERVICIO]]),BDEGENER[GA8],0),12),"")</f>
        <v/>
      </c>
      <c r="F16" s="595" t="str">
        <f>IFERROR(INDEX(BDEGENER[],MATCH(CONCATENATE($D$3,"F",ACTAS_FECHAS[[#This Row],[N° DE SERVICIO]]),BDEGENER[GA8],0),43),"")</f>
        <v/>
      </c>
      <c r="G16" s="594" t="str">
        <f>IFERROR(INDEX(BDEGENER[],MATCH(CONCATENATE($D$3,"F",ACTAS_FECHAS[[#This Row],[N° DE SERVICIO]]),BDEGENER[GA8],0),49),"")</f>
        <v/>
      </c>
      <c r="H16" s="594" t="str">
        <f>IFERROR(INDEX(BDEGENER[],MATCH(CONCATENATE($D$3,"F",ACTAS_FECHAS[[#This Row],[N° DE SERVICIO]]),BDEGENER[GA8],0),21),"")</f>
        <v/>
      </c>
      <c r="I16" s="593" t="str">
        <f>IFERROR(INDEX(BDEGENER[],MATCH(CONCATENATE($D$3,"F",ACTAS_FECHAS[[#This Row],[N° DE SERVICIO]]),BDEGENER[GA8],0),31),"")</f>
        <v/>
      </c>
      <c r="J16" s="596" t="str">
        <f>IFERROR(INDEX(BDEGENER[],MATCH(CONCATENATE($D$3,"F",ACTAS_FECHAS[[#This Row],[N° DE SERVICIO]]),BDEGENER[GA8],0),42),"")</f>
        <v/>
      </c>
      <c r="K16" s="577"/>
    </row>
    <row r="17" spans="1:11" ht="30" customHeight="1" x14ac:dyDescent="0.3">
      <c r="A17" s="577"/>
      <c r="B17" s="592">
        <v>12</v>
      </c>
      <c r="C17" s="593" t="str">
        <f>IFERROR(INDEX(BDEGENER[],MATCH(CONCATENATE($D$3,"F",ACTAS_FECHAS[[#This Row],[N° DE SERVICIO]]),BDEGENER[GA8],0),24),"")</f>
        <v/>
      </c>
      <c r="D17" s="594" t="str">
        <f>IFERROR(INDEX(BDEGENER[],MATCH(CONCATENATE($D$3,"F",ACTAS_FECHAS[[#This Row],[N° DE SERVICIO]]),BDEGENER[GA8],0),11),"")</f>
        <v/>
      </c>
      <c r="E17" s="594" t="str">
        <f>IFERROR(INDEX(BDEGENER[],MATCH(CONCATENATE($D$3,"F",ACTAS_FECHAS[[#This Row],[N° DE SERVICIO]]),BDEGENER[GA8],0),12),"")</f>
        <v/>
      </c>
      <c r="F17" s="595" t="str">
        <f>IFERROR(INDEX(BDEGENER[],MATCH(CONCATENATE($D$3,"F",ACTAS_FECHAS[[#This Row],[N° DE SERVICIO]]),BDEGENER[GA8],0),43),"")</f>
        <v/>
      </c>
      <c r="G17" s="594" t="str">
        <f>IFERROR(INDEX(BDEGENER[],MATCH(CONCATENATE($D$3,"F",ACTAS_FECHAS[[#This Row],[N° DE SERVICIO]]),BDEGENER[GA8],0),49),"")</f>
        <v/>
      </c>
      <c r="H17" s="594" t="str">
        <f>IFERROR(INDEX(BDEGENER[],MATCH(CONCATENATE($D$3,"F",ACTAS_FECHAS[[#This Row],[N° DE SERVICIO]]),BDEGENER[GA8],0),21),"")</f>
        <v/>
      </c>
      <c r="I17" s="593" t="str">
        <f>IFERROR(INDEX(BDEGENER[],MATCH(CONCATENATE($D$3,"F",ACTAS_FECHAS[[#This Row],[N° DE SERVICIO]]),BDEGENER[GA8],0),31),"")</f>
        <v/>
      </c>
      <c r="J17" s="596" t="str">
        <f>IFERROR(INDEX(BDEGENER[],MATCH(CONCATENATE($D$3,"F",ACTAS_FECHAS[[#This Row],[N° DE SERVICIO]]),BDEGENER[GA8],0),42),"")</f>
        <v/>
      </c>
      <c r="K17" s="577"/>
    </row>
    <row r="18" spans="1:11" ht="30" customHeight="1" x14ac:dyDescent="0.3">
      <c r="A18" s="577"/>
      <c r="B18" s="592">
        <v>13</v>
      </c>
      <c r="C18" s="593" t="str">
        <f>IFERROR(INDEX(BDEGENER[],MATCH(CONCATENATE($D$3,"F",ACTAS_FECHAS[[#This Row],[N° DE SERVICIO]]),BDEGENER[GA8],0),24),"")</f>
        <v/>
      </c>
      <c r="D18" s="594" t="str">
        <f>IFERROR(INDEX(BDEGENER[],MATCH(CONCATENATE($D$3,"F",ACTAS_FECHAS[[#This Row],[N° DE SERVICIO]]),BDEGENER[GA8],0),11),"")</f>
        <v/>
      </c>
      <c r="E18" s="594" t="str">
        <f>IFERROR(INDEX(BDEGENER[],MATCH(CONCATENATE($D$3,"F",ACTAS_FECHAS[[#This Row],[N° DE SERVICIO]]),BDEGENER[GA8],0),12),"")</f>
        <v/>
      </c>
      <c r="F18" s="595" t="str">
        <f>IFERROR(INDEX(BDEGENER[],MATCH(CONCATENATE($D$3,"F",ACTAS_FECHAS[[#This Row],[N° DE SERVICIO]]),BDEGENER[GA8],0),43),"")</f>
        <v/>
      </c>
      <c r="G18" s="594" t="str">
        <f>IFERROR(INDEX(BDEGENER[],MATCH(CONCATENATE($D$3,"F",ACTAS_FECHAS[[#This Row],[N° DE SERVICIO]]),BDEGENER[GA8],0),49),"")</f>
        <v/>
      </c>
      <c r="H18" s="594" t="str">
        <f>IFERROR(INDEX(BDEGENER[],MATCH(CONCATENATE($D$3,"F",ACTAS_FECHAS[[#This Row],[N° DE SERVICIO]]),BDEGENER[GA8],0),21),"")</f>
        <v/>
      </c>
      <c r="I18" s="593" t="str">
        <f>IFERROR(INDEX(BDEGENER[],MATCH(CONCATENATE($D$3,"F",ACTAS_FECHAS[[#This Row],[N° DE SERVICIO]]),BDEGENER[GA8],0),31),"")</f>
        <v/>
      </c>
      <c r="J18" s="596" t="str">
        <f>IFERROR(INDEX(BDEGENER[],MATCH(CONCATENATE($D$3,"F",ACTAS_FECHAS[[#This Row],[N° DE SERVICIO]]),BDEGENER[GA8],0),42),"")</f>
        <v/>
      </c>
      <c r="K18" s="577"/>
    </row>
    <row r="19" spans="1:11" ht="30" customHeight="1" x14ac:dyDescent="0.3">
      <c r="A19" s="577"/>
      <c r="B19" s="592">
        <v>14</v>
      </c>
      <c r="C19" s="593" t="str">
        <f>IFERROR(INDEX(BDEGENER[],MATCH(CONCATENATE($D$3,"F",ACTAS_FECHAS[[#This Row],[N° DE SERVICIO]]),BDEGENER[GA8],0),24),"")</f>
        <v/>
      </c>
      <c r="D19" s="594" t="str">
        <f>IFERROR(INDEX(BDEGENER[],MATCH(CONCATENATE($D$3,"F",ACTAS_FECHAS[[#This Row],[N° DE SERVICIO]]),BDEGENER[GA8],0),11),"")</f>
        <v/>
      </c>
      <c r="E19" s="594" t="str">
        <f>IFERROR(INDEX(BDEGENER[],MATCH(CONCATENATE($D$3,"F",ACTAS_FECHAS[[#This Row],[N° DE SERVICIO]]),BDEGENER[GA8],0),12),"")</f>
        <v/>
      </c>
      <c r="F19" s="595" t="str">
        <f>IFERROR(INDEX(BDEGENER[],MATCH(CONCATENATE($D$3,"F",ACTAS_FECHAS[[#This Row],[N° DE SERVICIO]]),BDEGENER[GA8],0),43),"")</f>
        <v/>
      </c>
      <c r="G19" s="594" t="str">
        <f>IFERROR(INDEX(BDEGENER[],MATCH(CONCATENATE($D$3,"F",ACTAS_FECHAS[[#This Row],[N° DE SERVICIO]]),BDEGENER[GA8],0),49),"")</f>
        <v/>
      </c>
      <c r="H19" s="594" t="str">
        <f>IFERROR(INDEX(BDEGENER[],MATCH(CONCATENATE($D$3,"F",ACTAS_FECHAS[[#This Row],[N° DE SERVICIO]]),BDEGENER[GA8],0),21),"")</f>
        <v/>
      </c>
      <c r="I19" s="593" t="str">
        <f>IFERROR(INDEX(BDEGENER[],MATCH(CONCATENATE($D$3,"F",ACTAS_FECHAS[[#This Row],[N° DE SERVICIO]]),BDEGENER[GA8],0),31),"")</f>
        <v/>
      </c>
      <c r="J19" s="596" t="str">
        <f>IFERROR(INDEX(BDEGENER[],MATCH(CONCATENATE($D$3,"F",ACTAS_FECHAS[[#This Row],[N° DE SERVICIO]]),BDEGENER[GA8],0),42),"")</f>
        <v/>
      </c>
      <c r="K19" s="577"/>
    </row>
    <row r="20" spans="1:11" ht="30" customHeight="1" x14ac:dyDescent="0.3">
      <c r="A20" s="577"/>
      <c r="B20" s="592">
        <v>15</v>
      </c>
      <c r="C20" s="593" t="str">
        <f>IFERROR(INDEX(BDEGENER[],MATCH(CONCATENATE($D$3,"F",ACTAS_FECHAS[[#This Row],[N° DE SERVICIO]]),BDEGENER[GA8],0),24),"")</f>
        <v/>
      </c>
      <c r="D20" s="594" t="str">
        <f>IFERROR(INDEX(BDEGENER[],MATCH(CONCATENATE($D$3,"F",ACTAS_FECHAS[[#This Row],[N° DE SERVICIO]]),BDEGENER[GA8],0),11),"")</f>
        <v/>
      </c>
      <c r="E20" s="594" t="str">
        <f>IFERROR(INDEX(BDEGENER[],MATCH(CONCATENATE($D$3,"F",ACTAS_FECHAS[[#This Row],[N° DE SERVICIO]]),BDEGENER[GA8],0),12),"")</f>
        <v/>
      </c>
      <c r="F20" s="595" t="str">
        <f>IFERROR(INDEX(BDEGENER[],MATCH(CONCATENATE($D$3,"F",ACTAS_FECHAS[[#This Row],[N° DE SERVICIO]]),BDEGENER[GA8],0),43),"")</f>
        <v/>
      </c>
      <c r="G20" s="594" t="str">
        <f>IFERROR(INDEX(BDEGENER[],MATCH(CONCATENATE($D$3,"F",ACTAS_FECHAS[[#This Row],[N° DE SERVICIO]]),BDEGENER[GA8],0),49),"")</f>
        <v/>
      </c>
      <c r="H20" s="594" t="str">
        <f>IFERROR(INDEX(BDEGENER[],MATCH(CONCATENATE($D$3,"F",ACTAS_FECHAS[[#This Row],[N° DE SERVICIO]]),BDEGENER[GA8],0),21),"")</f>
        <v/>
      </c>
      <c r="I20" s="593" t="str">
        <f>IFERROR(INDEX(BDEGENER[],MATCH(CONCATENATE($D$3,"F",ACTAS_FECHAS[[#This Row],[N° DE SERVICIO]]),BDEGENER[GA8],0),31),"")</f>
        <v/>
      </c>
      <c r="J20" s="596" t="str">
        <f>IFERROR(INDEX(BDEGENER[],MATCH(CONCATENATE($D$3,"F",ACTAS_FECHAS[[#This Row],[N° DE SERVICIO]]),BDEGENER[GA8],0),42),"")</f>
        <v/>
      </c>
      <c r="K20" s="577"/>
    </row>
    <row r="21" spans="1:11" ht="30" customHeight="1" x14ac:dyDescent="0.3">
      <c r="A21" s="577"/>
      <c r="B21" s="592">
        <v>16</v>
      </c>
      <c r="C21" s="593" t="str">
        <f>IFERROR(INDEX(BDEGENER[],MATCH(CONCATENATE($D$3,"F",ACTAS_FECHAS[[#This Row],[N° DE SERVICIO]]),BDEGENER[GA8],0),24),"")</f>
        <v/>
      </c>
      <c r="D21" s="594" t="str">
        <f>IFERROR(INDEX(BDEGENER[],MATCH(CONCATENATE($D$3,"F",ACTAS_FECHAS[[#This Row],[N° DE SERVICIO]]),BDEGENER[GA8],0),11),"")</f>
        <v/>
      </c>
      <c r="E21" s="594" t="str">
        <f>IFERROR(INDEX(BDEGENER[],MATCH(CONCATENATE($D$3,"F",ACTAS_FECHAS[[#This Row],[N° DE SERVICIO]]),BDEGENER[GA8],0),12),"")</f>
        <v/>
      </c>
      <c r="F21" s="595" t="str">
        <f>IFERROR(INDEX(BDEGENER[],MATCH(CONCATENATE($D$3,"F",ACTAS_FECHAS[[#This Row],[N° DE SERVICIO]]),BDEGENER[GA8],0),43),"")</f>
        <v/>
      </c>
      <c r="G21" s="594" t="str">
        <f>IFERROR(INDEX(BDEGENER[],MATCH(CONCATENATE($D$3,"F",ACTAS_FECHAS[[#This Row],[N° DE SERVICIO]]),BDEGENER[GA8],0),49),"")</f>
        <v/>
      </c>
      <c r="H21" s="594" t="str">
        <f>IFERROR(INDEX(BDEGENER[],MATCH(CONCATENATE($D$3,"F",ACTAS_FECHAS[[#This Row],[N° DE SERVICIO]]),BDEGENER[GA8],0),21),"")</f>
        <v/>
      </c>
      <c r="I21" s="593" t="str">
        <f>IFERROR(INDEX(BDEGENER[],MATCH(CONCATENATE($D$3,"F",ACTAS_FECHAS[[#This Row],[N° DE SERVICIO]]),BDEGENER[GA8],0),31),"")</f>
        <v/>
      </c>
      <c r="J21" s="596" t="str">
        <f>IFERROR(INDEX(BDEGENER[],MATCH(CONCATENATE($D$3,"F",ACTAS_FECHAS[[#This Row],[N° DE SERVICIO]]),BDEGENER[GA8],0),42),"")</f>
        <v/>
      </c>
      <c r="K21" s="577"/>
    </row>
    <row r="22" spans="1:11" ht="30" customHeight="1" x14ac:dyDescent="0.3">
      <c r="A22" s="577"/>
      <c r="B22" s="592">
        <v>17</v>
      </c>
      <c r="C22" s="593" t="str">
        <f>IFERROR(INDEX(BDEGENER[],MATCH(CONCATENATE($D$3,"F",ACTAS_FECHAS[[#This Row],[N° DE SERVICIO]]),BDEGENER[GA8],0),24),"")</f>
        <v/>
      </c>
      <c r="D22" s="594" t="str">
        <f>IFERROR(INDEX(BDEGENER[],MATCH(CONCATENATE($D$3,"F",ACTAS_FECHAS[[#This Row],[N° DE SERVICIO]]),BDEGENER[GA8],0),11),"")</f>
        <v/>
      </c>
      <c r="E22" s="594" t="str">
        <f>IFERROR(INDEX(BDEGENER[],MATCH(CONCATENATE($D$3,"F",ACTAS_FECHAS[[#This Row],[N° DE SERVICIO]]),BDEGENER[GA8],0),12),"")</f>
        <v/>
      </c>
      <c r="F22" s="595" t="str">
        <f>IFERROR(INDEX(BDEGENER[],MATCH(CONCATENATE($D$3,"F",ACTAS_FECHAS[[#This Row],[N° DE SERVICIO]]),BDEGENER[GA8],0),43),"")</f>
        <v/>
      </c>
      <c r="G22" s="594" t="str">
        <f>IFERROR(INDEX(BDEGENER[],MATCH(CONCATENATE($D$3,"F",ACTAS_FECHAS[[#This Row],[N° DE SERVICIO]]),BDEGENER[GA8],0),49),"")</f>
        <v/>
      </c>
      <c r="H22" s="594" t="str">
        <f>IFERROR(INDEX(BDEGENER[],MATCH(CONCATENATE($D$3,"F",ACTAS_FECHAS[[#This Row],[N° DE SERVICIO]]),BDEGENER[GA8],0),21),"")</f>
        <v/>
      </c>
      <c r="I22" s="593" t="str">
        <f>IFERROR(INDEX(BDEGENER[],MATCH(CONCATENATE($D$3,"F",ACTAS_FECHAS[[#This Row],[N° DE SERVICIO]]),BDEGENER[GA8],0),31),"")</f>
        <v/>
      </c>
      <c r="J22" s="596" t="str">
        <f>IFERROR(INDEX(BDEGENER[],MATCH(CONCATENATE($D$3,"F",ACTAS_FECHAS[[#This Row],[N° DE SERVICIO]]),BDEGENER[GA8],0),42),"")</f>
        <v/>
      </c>
      <c r="K22" s="577"/>
    </row>
    <row r="23" spans="1:11" ht="30" customHeight="1" x14ac:dyDescent="0.3">
      <c r="A23" s="577"/>
      <c r="B23" s="592">
        <v>18</v>
      </c>
      <c r="C23" s="593" t="str">
        <f>IFERROR(INDEX(BDEGENER[],MATCH(CONCATENATE($D$3,"F",ACTAS_FECHAS[[#This Row],[N° DE SERVICIO]]),BDEGENER[GA8],0),24),"")</f>
        <v/>
      </c>
      <c r="D23" s="594" t="str">
        <f>IFERROR(INDEX(BDEGENER[],MATCH(CONCATENATE($D$3,"F",ACTAS_FECHAS[[#This Row],[N° DE SERVICIO]]),BDEGENER[GA8],0),11),"")</f>
        <v/>
      </c>
      <c r="E23" s="594" t="str">
        <f>IFERROR(INDEX(BDEGENER[],MATCH(CONCATENATE($D$3,"F",ACTAS_FECHAS[[#This Row],[N° DE SERVICIO]]),BDEGENER[GA8],0),12),"")</f>
        <v/>
      </c>
      <c r="F23" s="595" t="str">
        <f>IFERROR(INDEX(BDEGENER[],MATCH(CONCATENATE($D$3,"F",ACTAS_FECHAS[[#This Row],[N° DE SERVICIO]]),BDEGENER[GA8],0),43),"")</f>
        <v/>
      </c>
      <c r="G23" s="594" t="str">
        <f>IFERROR(INDEX(BDEGENER[],MATCH(CONCATENATE($D$3,"F",ACTAS_FECHAS[[#This Row],[N° DE SERVICIO]]),BDEGENER[GA8],0),49),"")</f>
        <v/>
      </c>
      <c r="H23" s="594" t="str">
        <f>IFERROR(INDEX(BDEGENER[],MATCH(CONCATENATE($D$3,"F",ACTAS_FECHAS[[#This Row],[N° DE SERVICIO]]),BDEGENER[GA8],0),21),"")</f>
        <v/>
      </c>
      <c r="I23" s="593" t="str">
        <f>IFERROR(INDEX(BDEGENER[],MATCH(CONCATENATE($D$3,"F",ACTAS_FECHAS[[#This Row],[N° DE SERVICIO]]),BDEGENER[GA8],0),31),"")</f>
        <v/>
      </c>
      <c r="J23" s="596" t="str">
        <f>IFERROR(INDEX(BDEGENER[],MATCH(CONCATENATE($D$3,"F",ACTAS_FECHAS[[#This Row],[N° DE SERVICIO]]),BDEGENER[GA8],0),42),"")</f>
        <v/>
      </c>
      <c r="K23" s="577"/>
    </row>
    <row r="24" spans="1:11" ht="30" customHeight="1" x14ac:dyDescent="0.3">
      <c r="A24" s="577"/>
      <c r="B24" s="592">
        <v>19</v>
      </c>
      <c r="C24" s="593" t="str">
        <f>IFERROR(INDEX(BDEGENER[],MATCH(CONCATENATE($D$3,"F",ACTAS_FECHAS[[#This Row],[N° DE SERVICIO]]),BDEGENER[GA8],0),24),"")</f>
        <v/>
      </c>
      <c r="D24" s="594" t="str">
        <f>IFERROR(INDEX(BDEGENER[],MATCH(CONCATENATE($D$3,"F",ACTAS_FECHAS[[#This Row],[N° DE SERVICIO]]),BDEGENER[GA8],0),11),"")</f>
        <v/>
      </c>
      <c r="E24" s="594" t="str">
        <f>IFERROR(INDEX(BDEGENER[],MATCH(CONCATENATE($D$3,"F",ACTAS_FECHAS[[#This Row],[N° DE SERVICIO]]),BDEGENER[GA8],0),12),"")</f>
        <v/>
      </c>
      <c r="F24" s="595" t="str">
        <f>IFERROR(INDEX(BDEGENER[],MATCH(CONCATENATE($D$3,"F",ACTAS_FECHAS[[#This Row],[N° DE SERVICIO]]),BDEGENER[GA8],0),43),"")</f>
        <v/>
      </c>
      <c r="G24" s="594" t="str">
        <f>IFERROR(INDEX(BDEGENER[],MATCH(CONCATENATE($D$3,"F",ACTAS_FECHAS[[#This Row],[N° DE SERVICIO]]),BDEGENER[GA8],0),49),"")</f>
        <v/>
      </c>
      <c r="H24" s="594" t="str">
        <f>IFERROR(INDEX(BDEGENER[],MATCH(CONCATENATE($D$3,"F",ACTAS_FECHAS[[#This Row],[N° DE SERVICIO]]),BDEGENER[GA8],0),21),"")</f>
        <v/>
      </c>
      <c r="I24" s="593" t="str">
        <f>IFERROR(INDEX(BDEGENER[],MATCH(CONCATENATE($D$3,"F",ACTAS_FECHAS[[#This Row],[N° DE SERVICIO]]),BDEGENER[GA8],0),31),"")</f>
        <v/>
      </c>
      <c r="J24" s="596" t="str">
        <f>IFERROR(INDEX(BDEGENER[],MATCH(CONCATENATE($D$3,"F",ACTAS_FECHAS[[#This Row],[N° DE SERVICIO]]),BDEGENER[GA8],0),42),"")</f>
        <v/>
      </c>
      <c r="K24" s="577"/>
    </row>
    <row r="25" spans="1:11" ht="30" customHeight="1" x14ac:dyDescent="0.3">
      <c r="A25" s="577"/>
      <c r="B25" s="592">
        <v>20</v>
      </c>
      <c r="C25" s="593" t="str">
        <f>IFERROR(INDEX(BDEGENER[],MATCH(CONCATENATE($D$3,"F",ACTAS_FECHAS[[#This Row],[N° DE SERVICIO]]),BDEGENER[GA8],0),24),"")</f>
        <v/>
      </c>
      <c r="D25" s="594" t="str">
        <f>IFERROR(INDEX(BDEGENER[],MATCH(CONCATENATE($D$3,"F",ACTAS_FECHAS[[#This Row],[N° DE SERVICIO]]),BDEGENER[GA8],0),11),"")</f>
        <v/>
      </c>
      <c r="E25" s="594" t="str">
        <f>IFERROR(INDEX(BDEGENER[],MATCH(CONCATENATE($D$3,"F",ACTAS_FECHAS[[#This Row],[N° DE SERVICIO]]),BDEGENER[GA8],0),12),"")</f>
        <v/>
      </c>
      <c r="F25" s="595" t="str">
        <f>IFERROR(INDEX(BDEGENER[],MATCH(CONCATENATE($D$3,"F",ACTAS_FECHAS[[#This Row],[N° DE SERVICIO]]),BDEGENER[GA8],0),43),"")</f>
        <v/>
      </c>
      <c r="G25" s="594" t="str">
        <f>IFERROR(INDEX(BDEGENER[],MATCH(CONCATENATE($D$3,"F",ACTAS_FECHAS[[#This Row],[N° DE SERVICIO]]),BDEGENER[GA8],0),49),"")</f>
        <v/>
      </c>
      <c r="H25" s="594" t="str">
        <f>IFERROR(INDEX(BDEGENER[],MATCH(CONCATENATE($D$3,"F",ACTAS_FECHAS[[#This Row],[N° DE SERVICIO]]),BDEGENER[GA8],0),21),"")</f>
        <v/>
      </c>
      <c r="I25" s="593" t="str">
        <f>IFERROR(INDEX(BDEGENER[],MATCH(CONCATENATE($D$3,"F",ACTAS_FECHAS[[#This Row],[N° DE SERVICIO]]),BDEGENER[GA8],0),31),"")</f>
        <v/>
      </c>
      <c r="J25" s="596" t="str">
        <f>IFERROR(INDEX(BDEGENER[],MATCH(CONCATENATE($D$3,"F",ACTAS_FECHAS[[#This Row],[N° DE SERVICIO]]),BDEGENER[GA8],0),42),"")</f>
        <v/>
      </c>
      <c r="K25" s="577"/>
    </row>
    <row r="26" spans="1:11" ht="30" customHeight="1" x14ac:dyDescent="0.3">
      <c r="A26" s="577"/>
      <c r="B26" s="592">
        <v>21</v>
      </c>
      <c r="C26" s="593" t="str">
        <f>IFERROR(INDEX(BDEGENER[],MATCH(CONCATENATE($D$3,"F",ACTAS_FECHAS[[#This Row],[N° DE SERVICIO]]),BDEGENER[GA8],0),24),"")</f>
        <v/>
      </c>
      <c r="D26" s="594" t="str">
        <f>IFERROR(INDEX(BDEGENER[],MATCH(CONCATENATE($D$3,"F",ACTAS_FECHAS[[#This Row],[N° DE SERVICIO]]),BDEGENER[GA8],0),11),"")</f>
        <v/>
      </c>
      <c r="E26" s="594" t="str">
        <f>IFERROR(INDEX(BDEGENER[],MATCH(CONCATENATE($D$3,"F",ACTAS_FECHAS[[#This Row],[N° DE SERVICIO]]),BDEGENER[GA8],0),12),"")</f>
        <v/>
      </c>
      <c r="F26" s="595" t="str">
        <f>IFERROR(INDEX(BDEGENER[],MATCH(CONCATENATE($D$3,"F",ACTAS_FECHAS[[#This Row],[N° DE SERVICIO]]),BDEGENER[GA8],0),43),"")</f>
        <v/>
      </c>
      <c r="G26" s="594" t="str">
        <f>IFERROR(INDEX(BDEGENER[],MATCH(CONCATENATE($D$3,"F",ACTAS_FECHAS[[#This Row],[N° DE SERVICIO]]),BDEGENER[GA8],0),49),"")</f>
        <v/>
      </c>
      <c r="H26" s="594" t="str">
        <f>IFERROR(INDEX(BDEGENER[],MATCH(CONCATENATE($D$3,"F",ACTAS_FECHAS[[#This Row],[N° DE SERVICIO]]),BDEGENER[GA8],0),21),"")</f>
        <v/>
      </c>
      <c r="I26" s="593" t="str">
        <f>IFERROR(INDEX(BDEGENER[],MATCH(CONCATENATE($D$3,"F",ACTAS_FECHAS[[#This Row],[N° DE SERVICIO]]),BDEGENER[GA8],0),31),"")</f>
        <v/>
      </c>
      <c r="J26" s="596" t="str">
        <f>IFERROR(INDEX(BDEGENER[],MATCH(CONCATENATE($D$3,"F",ACTAS_FECHAS[[#This Row],[N° DE SERVICIO]]),BDEGENER[GA8],0),42),"")</f>
        <v/>
      </c>
      <c r="K26" s="577"/>
    </row>
    <row r="27" spans="1:11" ht="30" customHeight="1" x14ac:dyDescent="0.3">
      <c r="A27" s="577"/>
      <c r="B27" s="592">
        <v>22</v>
      </c>
      <c r="C27" s="593" t="str">
        <f>IFERROR(INDEX(BDEGENER[],MATCH(CONCATENATE($D$3,"F",ACTAS_FECHAS[[#This Row],[N° DE SERVICIO]]),BDEGENER[GA8],0),24),"")</f>
        <v/>
      </c>
      <c r="D27" s="594" t="str">
        <f>IFERROR(INDEX(BDEGENER[],MATCH(CONCATENATE($D$3,"F",ACTAS_FECHAS[[#This Row],[N° DE SERVICIO]]),BDEGENER[GA8],0),11),"")</f>
        <v/>
      </c>
      <c r="E27" s="594" t="str">
        <f>IFERROR(INDEX(BDEGENER[],MATCH(CONCATENATE($D$3,"F",ACTAS_FECHAS[[#This Row],[N° DE SERVICIO]]),BDEGENER[GA8],0),12),"")</f>
        <v/>
      </c>
      <c r="F27" s="595" t="str">
        <f>IFERROR(INDEX(BDEGENER[],MATCH(CONCATENATE($D$3,"F",ACTAS_FECHAS[[#This Row],[N° DE SERVICIO]]),BDEGENER[GA8],0),43),"")</f>
        <v/>
      </c>
      <c r="G27" s="594" t="str">
        <f>IFERROR(INDEX(BDEGENER[],MATCH(CONCATENATE($D$3,"F",ACTAS_FECHAS[[#This Row],[N° DE SERVICIO]]),BDEGENER[GA8],0),49),"")</f>
        <v/>
      </c>
      <c r="H27" s="594" t="str">
        <f>IFERROR(INDEX(BDEGENER[],MATCH(CONCATENATE($D$3,"F",ACTAS_FECHAS[[#This Row],[N° DE SERVICIO]]),BDEGENER[GA8],0),21),"")</f>
        <v/>
      </c>
      <c r="I27" s="593" t="str">
        <f>IFERROR(INDEX(BDEGENER[],MATCH(CONCATENATE($D$3,"F",ACTAS_FECHAS[[#This Row],[N° DE SERVICIO]]),BDEGENER[GA8],0),31),"")</f>
        <v/>
      </c>
      <c r="J27" s="596" t="str">
        <f>IFERROR(INDEX(BDEGENER[],MATCH(CONCATENATE($D$3,"F",ACTAS_FECHAS[[#This Row],[N° DE SERVICIO]]),BDEGENER[GA8],0),42),"")</f>
        <v/>
      </c>
      <c r="K27" s="577"/>
    </row>
    <row r="28" spans="1:11" ht="30" customHeight="1" x14ac:dyDescent="0.3">
      <c r="A28" s="577"/>
      <c r="B28" s="592">
        <v>23</v>
      </c>
      <c r="C28" s="593" t="str">
        <f>IFERROR(INDEX(BDEGENER[],MATCH(CONCATENATE($D$3,"F",ACTAS_FECHAS[[#This Row],[N° DE SERVICIO]]),BDEGENER[GA8],0),24),"")</f>
        <v/>
      </c>
      <c r="D28" s="594" t="str">
        <f>IFERROR(INDEX(BDEGENER[],MATCH(CONCATENATE($D$3,"F",ACTAS_FECHAS[[#This Row],[N° DE SERVICIO]]),BDEGENER[GA8],0),11),"")</f>
        <v/>
      </c>
      <c r="E28" s="594" t="str">
        <f>IFERROR(INDEX(BDEGENER[],MATCH(CONCATENATE($D$3,"F",ACTAS_FECHAS[[#This Row],[N° DE SERVICIO]]),BDEGENER[GA8],0),12),"")</f>
        <v/>
      </c>
      <c r="F28" s="595" t="str">
        <f>IFERROR(INDEX(BDEGENER[],MATCH(CONCATENATE($D$3,"F",ACTAS_FECHAS[[#This Row],[N° DE SERVICIO]]),BDEGENER[GA8],0),43),"")</f>
        <v/>
      </c>
      <c r="G28" s="594" t="str">
        <f>IFERROR(INDEX(BDEGENER[],MATCH(CONCATENATE($D$3,"F",ACTAS_FECHAS[[#This Row],[N° DE SERVICIO]]),BDEGENER[GA8],0),49),"")</f>
        <v/>
      </c>
      <c r="H28" s="594" t="str">
        <f>IFERROR(INDEX(BDEGENER[],MATCH(CONCATENATE($D$3,"F",ACTAS_FECHAS[[#This Row],[N° DE SERVICIO]]),BDEGENER[GA8],0),21),"")</f>
        <v/>
      </c>
      <c r="I28" s="593" t="str">
        <f>IFERROR(INDEX(BDEGENER[],MATCH(CONCATENATE($D$3,"F",ACTAS_FECHAS[[#This Row],[N° DE SERVICIO]]),BDEGENER[GA8],0),31),"")</f>
        <v/>
      </c>
      <c r="J28" s="596" t="str">
        <f>IFERROR(INDEX(BDEGENER[],MATCH(CONCATENATE($D$3,"F",ACTAS_FECHAS[[#This Row],[N° DE SERVICIO]]),BDEGENER[GA8],0),42),"")</f>
        <v/>
      </c>
      <c r="K28" s="577"/>
    </row>
    <row r="29" spans="1:11" ht="30" customHeight="1" x14ac:dyDescent="0.3">
      <c r="A29" s="577"/>
      <c r="B29" s="592">
        <v>24</v>
      </c>
      <c r="C29" s="593" t="str">
        <f>IFERROR(INDEX(BDEGENER[],MATCH(CONCATENATE($D$3,"F",ACTAS_FECHAS[[#This Row],[N° DE SERVICIO]]),BDEGENER[GA8],0),24),"")</f>
        <v/>
      </c>
      <c r="D29" s="594" t="str">
        <f>IFERROR(INDEX(BDEGENER[],MATCH(CONCATENATE($D$3,"F",ACTAS_FECHAS[[#This Row],[N° DE SERVICIO]]),BDEGENER[GA8],0),11),"")</f>
        <v/>
      </c>
      <c r="E29" s="594" t="str">
        <f>IFERROR(INDEX(BDEGENER[],MATCH(CONCATENATE($D$3,"F",ACTAS_FECHAS[[#This Row],[N° DE SERVICIO]]),BDEGENER[GA8],0),12),"")</f>
        <v/>
      </c>
      <c r="F29" s="595" t="str">
        <f>IFERROR(INDEX(BDEGENER[],MATCH(CONCATENATE($D$3,"F",ACTAS_FECHAS[[#This Row],[N° DE SERVICIO]]),BDEGENER[GA8],0),43),"")</f>
        <v/>
      </c>
      <c r="G29" s="594" t="str">
        <f>IFERROR(INDEX(BDEGENER[],MATCH(CONCATENATE($D$3,"F",ACTAS_FECHAS[[#This Row],[N° DE SERVICIO]]),BDEGENER[GA8],0),49),"")</f>
        <v/>
      </c>
      <c r="H29" s="594" t="str">
        <f>IFERROR(INDEX(BDEGENER[],MATCH(CONCATENATE($D$3,"F",ACTAS_FECHAS[[#This Row],[N° DE SERVICIO]]),BDEGENER[GA8],0),21),"")</f>
        <v/>
      </c>
      <c r="I29" s="593" t="str">
        <f>IFERROR(INDEX(BDEGENER[],MATCH(CONCATENATE($D$3,"F",ACTAS_FECHAS[[#This Row],[N° DE SERVICIO]]),BDEGENER[GA8],0),31),"")</f>
        <v/>
      </c>
      <c r="J29" s="596" t="str">
        <f>IFERROR(INDEX(BDEGENER[],MATCH(CONCATENATE($D$3,"F",ACTAS_FECHAS[[#This Row],[N° DE SERVICIO]]),BDEGENER[GA8],0),42),"")</f>
        <v/>
      </c>
      <c r="K29" s="577"/>
    </row>
    <row r="30" spans="1:11" x14ac:dyDescent="0.3">
      <c r="A30" s="577"/>
      <c r="B30" s="577"/>
      <c r="C30" s="577"/>
      <c r="D30" s="577"/>
      <c r="E30" s="577"/>
      <c r="F30" s="577"/>
      <c r="G30" s="577"/>
      <c r="H30" s="577"/>
      <c r="I30" s="577"/>
      <c r="J30" s="577"/>
      <c r="K30" s="577"/>
    </row>
    <row r="31" spans="1:11" x14ac:dyDescent="0.3">
      <c r="A31" s="577"/>
      <c r="B31" s="577"/>
      <c r="C31" s="577"/>
      <c r="D31" s="577"/>
      <c r="E31" s="577"/>
      <c r="F31" s="577"/>
      <c r="G31" s="577"/>
      <c r="H31" s="577"/>
      <c r="I31" s="577"/>
      <c r="J31" s="577"/>
      <c r="K31" s="577"/>
    </row>
    <row r="32" spans="1:11" x14ac:dyDescent="0.3">
      <c r="A32" s="577"/>
      <c r="B32" s="577"/>
      <c r="C32" s="577"/>
      <c r="D32" s="577"/>
      <c r="E32" s="577"/>
      <c r="F32" s="577"/>
      <c r="G32" s="577"/>
      <c r="H32" s="577"/>
      <c r="I32" s="577"/>
      <c r="J32" s="577"/>
      <c r="K32" s="577"/>
    </row>
    <row r="33" spans="1:11" x14ac:dyDescent="0.3">
      <c r="A33" s="577"/>
      <c r="B33" s="577"/>
      <c r="C33" s="577"/>
      <c r="D33" s="577"/>
      <c r="E33" s="577"/>
      <c r="F33" s="577"/>
      <c r="G33" s="577"/>
      <c r="H33" s="577"/>
      <c r="I33" s="577"/>
      <c r="J33" s="577"/>
      <c r="K33" s="577"/>
    </row>
    <row r="34" spans="1:11" x14ac:dyDescent="0.3">
      <c r="A34" s="577"/>
      <c r="B34" s="577"/>
      <c r="C34" s="577"/>
      <c r="D34" s="577"/>
      <c r="E34" s="577"/>
      <c r="F34" s="577"/>
      <c r="G34" s="577"/>
      <c r="H34" s="577"/>
      <c r="I34" s="577"/>
      <c r="J34" s="577"/>
      <c r="K34" s="577"/>
    </row>
  </sheetData>
  <sheetProtection algorithmName="SHA-512" hashValue="5uV47RUOJ81W/Cf2YLvz0wrChOSfu+9ObCXgGVuBDMnantF6TzCRH4n1eGr126vN8V3BdHr8Q3Azy0X/zDbbIg==" saltValue="SLCYfjj7/zFfelsJ/I+/aw==" spinCount="100000" sheet="1" objects="1" scenarios="1" sort="0" autoFilter="0"/>
  <mergeCells count="1">
    <mergeCell ref="C2:D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2" r:id="rId3" name="Button 2">
              <controlPr defaultSize="0" print="0" autoFill="0" autoPict="0" macro="[0]!IrMenuPrincipal">
                <anchor>
                  <from>
                    <xdr:col>5</xdr:col>
                    <xdr:colOff>312420</xdr:colOff>
                    <xdr:row>1</xdr:row>
                    <xdr:rowOff>83820</xdr:rowOff>
                  </from>
                  <to>
                    <xdr:col>5</xdr:col>
                    <xdr:colOff>1775460</xdr:colOff>
                    <xdr:row>2</xdr:row>
                    <xdr:rowOff>228600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rgb="FFFFFF00"/>
  </sheetPr>
  <dimension ref="A1:J46"/>
  <sheetViews>
    <sheetView topLeftCell="A25" zoomScale="80" zoomScaleNormal="80" workbookViewId="0">
      <selection activeCell="C24" sqref="C24"/>
    </sheetView>
  </sheetViews>
  <sheetFormatPr baseColWidth="10" defaultColWidth="0" defaultRowHeight="14.4" zeroHeight="1" x14ac:dyDescent="0.3"/>
  <cols>
    <col min="1" max="1" width="2.6640625" style="28" customWidth="1"/>
    <col min="2" max="2" width="25.88671875" style="28" customWidth="1"/>
    <col min="3" max="3" width="36.33203125" style="28" customWidth="1"/>
    <col min="4" max="4" width="26" style="28" customWidth="1"/>
    <col min="5" max="5" width="22.5546875" style="28" customWidth="1"/>
    <col min="6" max="6" width="6.5546875" style="28" customWidth="1"/>
    <col min="7" max="7" width="9.5546875" style="28" customWidth="1"/>
    <col min="8" max="8" width="8.44140625" style="28" customWidth="1"/>
    <col min="9" max="9" width="9.44140625" style="28" customWidth="1"/>
    <col min="10" max="10" width="7" style="28" customWidth="1"/>
    <col min="11" max="16384" width="11.44140625" style="28" hidden="1"/>
  </cols>
  <sheetData>
    <row r="1" spans="2:7" ht="15" thickBot="1" x14ac:dyDescent="0.35"/>
    <row r="2" spans="2:7" x14ac:dyDescent="0.3">
      <c r="B2" s="1067"/>
      <c r="C2" s="1068"/>
      <c r="D2" s="1068"/>
      <c r="E2" s="1069"/>
      <c r="F2" s="318"/>
    </row>
    <row r="3" spans="2:7" x14ac:dyDescent="0.3">
      <c r="B3" s="1070"/>
      <c r="C3" s="1071"/>
      <c r="D3" s="1071"/>
      <c r="E3" s="1072"/>
      <c r="F3" s="318"/>
    </row>
    <row r="4" spans="2:7" x14ac:dyDescent="0.3">
      <c r="B4" s="1070"/>
      <c r="C4" s="1071"/>
      <c r="D4" s="1071"/>
      <c r="E4" s="1072"/>
      <c r="F4" s="318"/>
    </row>
    <row r="5" spans="2:7" x14ac:dyDescent="0.3">
      <c r="B5" s="1070"/>
      <c r="C5" s="1071"/>
      <c r="D5" s="1071"/>
      <c r="E5" s="1072"/>
      <c r="F5" s="318"/>
    </row>
    <row r="6" spans="2:7" ht="15" thickBot="1" x14ac:dyDescent="0.35">
      <c r="B6" s="1073"/>
      <c r="C6" s="1074"/>
      <c r="D6" s="1074"/>
      <c r="E6" s="1075"/>
      <c r="F6" s="318"/>
    </row>
    <row r="7" spans="2:7" ht="16.2" thickBot="1" x14ac:dyDescent="0.35">
      <c r="B7" s="1082"/>
      <c r="C7" s="1083"/>
      <c r="D7" s="1076"/>
      <c r="E7" s="1087"/>
    </row>
    <row r="8" spans="2:7" ht="15" thickBot="1" x14ac:dyDescent="0.35">
      <c r="B8" s="1084" t="s">
        <v>159</v>
      </c>
      <c r="C8" s="1084"/>
      <c r="D8" s="1077"/>
      <c r="E8" s="1088"/>
      <c r="F8" s="49"/>
    </row>
    <row r="9" spans="2:7" x14ac:dyDescent="0.3">
      <c r="B9" s="1085"/>
      <c r="C9" s="1085"/>
      <c r="D9" s="48" t="str">
        <f>CONCATENATE(C7,"/",C8,"/",C9)</f>
        <v>//</v>
      </c>
      <c r="E9" s="1088"/>
    </row>
    <row r="10" spans="2:7" ht="15" thickBot="1" x14ac:dyDescent="0.35">
      <c r="B10" s="1086"/>
      <c r="C10" s="1086"/>
      <c r="D10" s="757"/>
      <c r="E10" s="1088"/>
      <c r="F10" s="49"/>
    </row>
    <row r="11" spans="2:7" ht="60" customHeight="1" thickBot="1" x14ac:dyDescent="0.35">
      <c r="B11" s="1078"/>
      <c r="C11" s="1079"/>
      <c r="D11" s="758"/>
      <c r="E11" s="1088"/>
      <c r="G11" s="49"/>
    </row>
    <row r="12" spans="2:7" ht="15" customHeight="1" x14ac:dyDescent="0.3">
      <c r="B12" s="61" t="s">
        <v>158</v>
      </c>
      <c r="C12" s="1133"/>
      <c r="D12" s="758"/>
      <c r="E12" s="750"/>
    </row>
    <row r="13" spans="2:7" ht="15" customHeight="1" x14ac:dyDescent="0.3">
      <c r="B13" s="50" t="s">
        <v>6</v>
      </c>
      <c r="C13" s="1135"/>
      <c r="D13" s="758"/>
      <c r="E13" s="750"/>
    </row>
    <row r="14" spans="2:7" ht="15" customHeight="1" x14ac:dyDescent="0.3">
      <c r="B14" s="50" t="s">
        <v>5</v>
      </c>
      <c r="C14" s="1134" t="str">
        <f>IFERROR(INDEX(BDEGENER[],MATCH(C13,BDEGENER[SEDE],0),13),"")</f>
        <v/>
      </c>
      <c r="D14" s="758"/>
      <c r="E14" s="750"/>
    </row>
    <row r="15" spans="2:7" ht="15" customHeight="1" x14ac:dyDescent="0.3">
      <c r="B15" s="1080" t="s">
        <v>242</v>
      </c>
      <c r="C15" s="1081"/>
      <c r="D15" s="758"/>
      <c r="E15" s="750"/>
    </row>
    <row r="16" spans="2:7" ht="15" customHeight="1" x14ac:dyDescent="0.3">
      <c r="B16" s="50" t="s">
        <v>26</v>
      </c>
      <c r="C16" s="1136"/>
      <c r="D16" s="758"/>
      <c r="E16" s="750"/>
    </row>
    <row r="17" spans="2:6" ht="15" customHeight="1" thickBot="1" x14ac:dyDescent="0.35">
      <c r="B17" s="52" t="s">
        <v>27</v>
      </c>
      <c r="C17" s="1137"/>
      <c r="D17" s="758"/>
      <c r="E17" s="750"/>
    </row>
    <row r="18" spans="2:6" ht="15.6" x14ac:dyDescent="0.3">
      <c r="B18" s="1058" t="s">
        <v>870</v>
      </c>
      <c r="C18" s="1059"/>
      <c r="D18" s="758"/>
      <c r="E18" s="750"/>
    </row>
    <row r="19" spans="2:6" ht="18" customHeight="1" x14ac:dyDescent="0.3">
      <c r="B19" s="58" t="s">
        <v>24</v>
      </c>
      <c r="C19" s="1136"/>
      <c r="D19" s="758"/>
      <c r="E19" s="750"/>
    </row>
    <row r="20" spans="2:6" ht="65.099999999999994" customHeight="1" x14ac:dyDescent="0.3">
      <c r="B20" s="59" t="s">
        <v>872</v>
      </c>
      <c r="C20" s="1138"/>
      <c r="D20" s="758"/>
      <c r="E20" s="750"/>
    </row>
    <row r="21" spans="2:6" ht="65.099999999999994" customHeight="1" x14ac:dyDescent="0.3">
      <c r="B21" s="59" t="s">
        <v>871</v>
      </c>
      <c r="C21" s="1138"/>
      <c r="D21" s="758"/>
      <c r="E21" s="750"/>
    </row>
    <row r="22" spans="2:6" ht="65.099999999999994" customHeight="1" x14ac:dyDescent="0.3">
      <c r="B22" s="58" t="s">
        <v>2</v>
      </c>
      <c r="C22" s="1138"/>
      <c r="D22" s="758"/>
      <c r="E22" s="750"/>
    </row>
    <row r="23" spans="2:6" ht="65.099999999999994" customHeight="1" x14ac:dyDescent="0.3">
      <c r="B23" s="58" t="s">
        <v>3</v>
      </c>
      <c r="C23" s="1138"/>
      <c r="D23" s="758"/>
      <c r="E23" s="750"/>
    </row>
    <row r="24" spans="2:6" ht="15" thickBot="1" x14ac:dyDescent="0.35">
      <c r="B24" s="60" t="s">
        <v>4</v>
      </c>
      <c r="C24" s="55"/>
      <c r="D24" s="759"/>
      <c r="E24" s="750"/>
    </row>
    <row r="25" spans="2:6" ht="15" customHeight="1" thickBot="1" x14ac:dyDescent="0.35">
      <c r="B25" s="1062" t="s">
        <v>909</v>
      </c>
      <c r="C25" s="1063"/>
      <c r="D25" s="1063"/>
      <c r="E25" s="1064"/>
      <c r="F25" s="319"/>
    </row>
    <row r="26" spans="2:6" ht="15" customHeight="1" x14ac:dyDescent="0.3">
      <c r="B26" s="1065" t="s">
        <v>910</v>
      </c>
      <c r="C26" s="1066"/>
      <c r="D26" s="1065" t="s">
        <v>945</v>
      </c>
      <c r="E26" s="1066"/>
      <c r="F26" s="320"/>
    </row>
    <row r="27" spans="2:6" ht="20.100000000000001" customHeight="1" x14ac:dyDescent="0.3">
      <c r="B27" s="69" t="s">
        <v>7</v>
      </c>
      <c r="C27" s="213"/>
      <c r="D27" s="1060" t="s">
        <v>874</v>
      </c>
      <c r="E27" s="1061"/>
      <c r="F27" s="320"/>
    </row>
    <row r="28" spans="2:6" ht="15" customHeight="1" x14ac:dyDescent="0.3">
      <c r="B28" s="50" t="s">
        <v>754</v>
      </c>
      <c r="C28" s="73" t="str">
        <f>IFERROR(INDEX(BDEGENER[],MATCH(C27,BDEGENER[SERIE],0),22),"NR")</f>
        <v>NR</v>
      </c>
      <c r="D28" s="50" t="s">
        <v>17</v>
      </c>
      <c r="E28" s="74" t="str">
        <f>IFERROR(INDEX(BDEGENER[],MATCH(C27,BDEGENER[SERIE],0),34),"")</f>
        <v/>
      </c>
      <c r="F28" s="321"/>
    </row>
    <row r="29" spans="2:6" ht="15" customHeight="1" x14ac:dyDescent="0.3">
      <c r="B29" s="50" t="s">
        <v>916</v>
      </c>
      <c r="C29" s="73" t="str">
        <f>IFERROR(INDEX(BDEGENER[],MATCH(C27,BDEGENER[SERIE],0),23),"NR")</f>
        <v>NR</v>
      </c>
      <c r="D29" s="50" t="s">
        <v>18</v>
      </c>
      <c r="E29" s="74" t="str">
        <f>IFERROR(INDEX(BDEGENER[],MATCH(C27,BDEGENER[SERIE],0),35),"")</f>
        <v/>
      </c>
      <c r="F29" s="321"/>
    </row>
    <row r="30" spans="2:6" ht="15" customHeight="1" x14ac:dyDescent="0.3">
      <c r="B30" s="50" t="s">
        <v>8</v>
      </c>
      <c r="C30" s="73" t="str">
        <f>IFERROR(INDEX(BDEGENER[],MATCH(C27,BDEGENER[SERIE],0),25),"")</f>
        <v/>
      </c>
      <c r="D30" s="1060" t="s">
        <v>875</v>
      </c>
      <c r="E30" s="1061"/>
      <c r="F30" s="320"/>
    </row>
    <row r="31" spans="2:6" ht="15" customHeight="1" x14ac:dyDescent="0.3">
      <c r="B31" s="50" t="s">
        <v>9</v>
      </c>
      <c r="C31" s="73" t="str">
        <f>IFERROR(INDEX(BDEGENER[],MATCH(C27,BDEGENER[SERIE],0),26),"")</f>
        <v/>
      </c>
      <c r="D31" s="50" t="s">
        <v>920</v>
      </c>
      <c r="E31" s="74" t="str">
        <f>IFERROR(INDEX(BDEGENER[],MATCH(C27,BDEGENER[SERIE],0),36),"")</f>
        <v/>
      </c>
      <c r="F31" s="321"/>
    </row>
    <row r="32" spans="2:6" ht="15" customHeight="1" x14ac:dyDescent="0.3">
      <c r="B32" s="50" t="s">
        <v>10</v>
      </c>
      <c r="C32" s="73" t="str">
        <f>IFERROR(INDEX(BDEGENER[],MATCH(C27,BDEGENER[SERIE],0),27),"")</f>
        <v/>
      </c>
      <c r="D32" s="50" t="s">
        <v>20</v>
      </c>
      <c r="E32" s="800" t="str">
        <f>IFERROR(INDEX(BDEGENER[],MATCH(C27,BDEGENER[SERIE],0),37),"")</f>
        <v/>
      </c>
      <c r="F32" s="321"/>
    </row>
    <row r="33" spans="2:6" ht="15" customHeight="1" x14ac:dyDescent="0.3">
      <c r="B33" s="50" t="s">
        <v>12</v>
      </c>
      <c r="C33" s="73" t="str">
        <f>IFERROR(INDEX(BDEGENER[],MATCH(C27,BDEGENER[SERIE],0),28),"")</f>
        <v/>
      </c>
      <c r="D33" s="1060" t="s">
        <v>919</v>
      </c>
      <c r="E33" s="1061"/>
      <c r="F33" s="320"/>
    </row>
    <row r="34" spans="2:6" ht="15" customHeight="1" x14ac:dyDescent="0.3">
      <c r="B34" s="50" t="s">
        <v>13</v>
      </c>
      <c r="C34" s="54"/>
      <c r="D34" s="50" t="s">
        <v>21</v>
      </c>
      <c r="E34" s="51"/>
      <c r="F34" s="321"/>
    </row>
    <row r="35" spans="2:6" ht="15" customHeight="1" x14ac:dyDescent="0.3">
      <c r="B35" s="50" t="s">
        <v>14</v>
      </c>
      <c r="C35" s="54"/>
      <c r="D35" s="50" t="s">
        <v>2718</v>
      </c>
      <c r="E35" s="51"/>
      <c r="F35" s="321"/>
    </row>
    <row r="36" spans="2:6" ht="15" customHeight="1" thickBot="1" x14ac:dyDescent="0.35">
      <c r="B36" s="50" t="s">
        <v>15</v>
      </c>
      <c r="C36" s="73" t="str">
        <f>IFERROR(INDEX(BDEGENER[],MATCH(C27,BDEGENER[SERIE],0),32),"")</f>
        <v/>
      </c>
      <c r="D36" s="57" t="s">
        <v>23</v>
      </c>
      <c r="E36" s="53"/>
      <c r="F36" s="321"/>
    </row>
    <row r="37" spans="2:6" ht="15" customHeight="1" thickBot="1" x14ac:dyDescent="0.35">
      <c r="B37" s="57" t="s">
        <v>16</v>
      </c>
      <c r="C37" s="315" t="str">
        <f>IFERROR(INDEX(BDEGENER[],MATCH(C27,BDEGENER[SERIE],0),33),"")</f>
        <v/>
      </c>
      <c r="D37" s="649" t="s">
        <v>25</v>
      </c>
      <c r="E37" s="56"/>
      <c r="F37" s="321"/>
    </row>
    <row r="38" spans="2:6" ht="15" customHeight="1" thickBot="1" x14ac:dyDescent="0.35">
      <c r="B38" s="314" t="s">
        <v>11</v>
      </c>
      <c r="C38" s="316"/>
      <c r="D38" s="647" t="s">
        <v>1542</v>
      </c>
      <c r="E38" s="648"/>
      <c r="F38" s="321"/>
    </row>
    <row r="39" spans="2:6" ht="15" thickBot="1" x14ac:dyDescent="0.35">
      <c r="B39" s="317" t="s">
        <v>1543</v>
      </c>
      <c r="C39" s="646" t="str">
        <f>IFERROR(INDEX(BDEGENER[],MATCH(C27,BDEGENER[SERIE],0),61),"NR")</f>
        <v>NR</v>
      </c>
      <c r="D39" s="314" t="s">
        <v>1906</v>
      </c>
      <c r="E39" s="56"/>
    </row>
    <row r="40" spans="2:6" x14ac:dyDescent="0.3"/>
    <row r="41" spans="2:6" x14ac:dyDescent="0.3"/>
    <row r="42" spans="2:6" ht="14.25" hidden="1" customHeight="1" x14ac:dyDescent="0.3"/>
    <row r="46" spans="2:6" ht="10.5" hidden="1" customHeight="1" x14ac:dyDescent="0.3"/>
  </sheetData>
  <mergeCells count="14">
    <mergeCell ref="B2:E6"/>
    <mergeCell ref="D7:D8"/>
    <mergeCell ref="B11:C11"/>
    <mergeCell ref="B15:C15"/>
    <mergeCell ref="B7:C7"/>
    <mergeCell ref="B8:C10"/>
    <mergeCell ref="E7:E11"/>
    <mergeCell ref="B18:C18"/>
    <mergeCell ref="D33:E33"/>
    <mergeCell ref="B25:E25"/>
    <mergeCell ref="B26:C26"/>
    <mergeCell ref="D26:E26"/>
    <mergeCell ref="D27:E27"/>
    <mergeCell ref="D30:E30"/>
  </mergeCells>
  <dataValidations count="2">
    <dataValidation type="list" allowBlank="1" showInputMessage="1" showErrorMessage="1" sqref="C24" xr:uid="{00000000-0002-0000-0E00-000000000000}">
      <formula1>TECNICO</formula1>
    </dataValidation>
    <dataValidation allowBlank="1" showDropDown="1" showInputMessage="1" showErrorMessage="1" sqref="C27" xr:uid="{00000000-0002-0000-0E00-000001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HOY">
                <anchor moveWithCells="1">
                  <from>
                    <xdr:col>3</xdr:col>
                    <xdr:colOff>373380</xdr:colOff>
                    <xdr:row>6</xdr:row>
                    <xdr:rowOff>22860</xdr:rowOff>
                  </from>
                  <to>
                    <xdr:col>3</xdr:col>
                    <xdr:colOff>1508760</xdr:colOff>
                    <xdr:row>7</xdr:row>
                    <xdr:rowOff>152400</xdr:rowOff>
                  </to>
                </anchor>
              </controlPr>
            </control>
          </mc:Choice>
        </mc:AlternateContent>
        <mc:AlternateContent xmlns:mc="http://schemas.openxmlformats.org/markup-compatibility/2006">
          <mc:Choice Requires="x14">
            <control shapeId="2062" r:id="rId5" name="Button 14">
              <controlPr defaultSize="0" print="0" autoFill="0" autoPict="0" macro="[0]!RegistrarEnBD">
                <anchor>
                  <from>
                    <xdr:col>3</xdr:col>
                    <xdr:colOff>1226820</xdr:colOff>
                    <xdr:row>12</xdr:row>
                    <xdr:rowOff>175260</xdr:rowOff>
                  </from>
                  <to>
                    <xdr:col>4</xdr:col>
                    <xdr:colOff>1295400</xdr:colOff>
                    <xdr:row>14</xdr:row>
                    <xdr:rowOff>137160</xdr:rowOff>
                  </to>
                </anchor>
              </controlPr>
            </control>
          </mc:Choice>
        </mc:AlternateContent>
        <mc:AlternateContent xmlns:mc="http://schemas.openxmlformats.org/markup-compatibility/2006">
          <mc:Choice Requires="x14">
            <control shapeId="2064" r:id="rId6" name="Button 16">
              <controlPr defaultSize="0" print="0" autoFill="0" autoPict="0" macro="[0]!LimpiarRegistro">
                <anchor>
                  <from>
                    <xdr:col>3</xdr:col>
                    <xdr:colOff>1211580</xdr:colOff>
                    <xdr:row>15</xdr:row>
                    <xdr:rowOff>76200</xdr:rowOff>
                  </from>
                  <to>
                    <xdr:col>4</xdr:col>
                    <xdr:colOff>1295400</xdr:colOff>
                    <xdr:row>17</xdr:row>
                    <xdr:rowOff>45720</xdr:rowOff>
                  </to>
                </anchor>
              </controlPr>
            </control>
          </mc:Choice>
        </mc:AlternateContent>
        <mc:AlternateContent xmlns:mc="http://schemas.openxmlformats.org/markup-compatibility/2006">
          <mc:Choice Requires="x14">
            <control shapeId="2065" r:id="rId7" name="Button 17">
              <controlPr defaultSize="0" print="0" autoFill="0" autoPict="0" macro="[0]!IrMenuPrincipal">
                <anchor>
                  <from>
                    <xdr:col>3</xdr:col>
                    <xdr:colOff>1242060</xdr:colOff>
                    <xdr:row>17</xdr:row>
                    <xdr:rowOff>144780</xdr:rowOff>
                  </from>
                  <to>
                    <xdr:col>4</xdr:col>
                    <xdr:colOff>1303020</xdr:colOff>
                    <xdr:row>19</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E00-000002000000}">
          <x14:formula1>
            <xm:f>Hoja5!$H$5:$H$10</xm:f>
          </x14:formula1>
          <xm:sqref>C19</xm:sqref>
        </x14:dataValidation>
        <x14:dataValidation type="list" allowBlank="1" showInputMessage="1" showErrorMessage="1" xr:uid="{00000000-0002-0000-0E00-000003000000}">
          <x14:formula1>
            <xm:f>Hoja5!$J$5:$J$8</xm:f>
          </x14:formula1>
          <xm:sqref>C29</xm:sqref>
        </x14:dataValidation>
        <x14:dataValidation type="list" allowBlank="1" showInputMessage="1" showErrorMessage="1" xr:uid="{00000000-0002-0000-0E00-000004000000}">
          <x14:formula1>
            <xm:f>Hoja5!$I$5:$I$11</xm:f>
          </x14:formula1>
          <xm:sqref>C28</xm:sqref>
        </x14:dataValidation>
        <x14:dataValidation type="list" allowBlank="1" showInputMessage="1" showErrorMessage="1" xr:uid="{00000000-0002-0000-0E00-000005000000}">
          <x14:formula1>
            <xm:f>Hoja5!$G$5:$G$6</xm:f>
          </x14:formula1>
          <xm:sqref>E37</xm:sqref>
        </x14:dataValidation>
        <x14:dataValidation type="list" allowBlank="1" showInputMessage="1" showErrorMessage="1" xr:uid="{00000000-0002-0000-0E00-000006000000}">
          <x14:formula1>
            <xm:f>Hoja5!$K$5:$K$7</xm:f>
          </x14:formula1>
          <xm:sqref>C39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2"/>
  <dimension ref="A1:BK1153"/>
  <sheetViews>
    <sheetView zoomScale="80" zoomScaleNormal="80" workbookViewId="0">
      <pane xSplit="12" ySplit="6" topLeftCell="X7" activePane="bottomRight" state="frozen"/>
      <selection pane="topRight" activeCell="M1" sqref="M1"/>
      <selection pane="bottomLeft" activeCell="A7" sqref="A7"/>
      <selection pane="bottomRight" activeCell="AG168" sqref="AG168"/>
    </sheetView>
  </sheetViews>
  <sheetFormatPr baseColWidth="10" defaultColWidth="11.44140625" defaultRowHeight="14.4" x14ac:dyDescent="0.3"/>
  <cols>
    <col min="1" max="1" width="9.33203125" style="1" customWidth="1"/>
    <col min="2" max="9" width="10.6640625" style="1" hidden="1" customWidth="1"/>
    <col min="10" max="10" width="10.6640625" style="7" hidden="1" customWidth="1"/>
    <col min="11" max="11" width="15.6640625" style="1" customWidth="1"/>
    <col min="12" max="12" width="22" style="176" customWidth="1"/>
    <col min="13" max="13" width="20.6640625" style="1" customWidth="1"/>
    <col min="14" max="14" width="25.6640625" style="1" customWidth="1"/>
    <col min="15" max="16" width="20.6640625" style="1" customWidth="1"/>
    <col min="17" max="17" width="25.6640625" style="1" customWidth="1"/>
    <col min="18" max="18" width="31.88671875" style="1" customWidth="1"/>
    <col min="19" max="19" width="45.6640625" style="1" customWidth="1"/>
    <col min="20" max="20" width="36.5546875" style="1" customWidth="1"/>
    <col min="21" max="21" width="30.6640625" style="1" customWidth="1"/>
    <col min="22" max="22" width="14.6640625" style="13" customWidth="1"/>
    <col min="23" max="23" width="20.6640625" style="1" customWidth="1"/>
    <col min="24" max="24" width="18.109375" style="1" customWidth="1"/>
    <col min="25" max="25" width="20.6640625" style="1" customWidth="1"/>
    <col min="26" max="26" width="22.5546875" style="1" customWidth="1"/>
    <col min="27" max="27" width="22.88671875" style="1" customWidth="1"/>
    <col min="28" max="28" width="21.33203125" style="1" customWidth="1"/>
    <col min="29" max="29" width="25" style="1" customWidth="1"/>
    <col min="30" max="31" width="12.6640625" style="1" customWidth="1"/>
    <col min="32" max="32" width="12.6640625" style="176" customWidth="1"/>
    <col min="33" max="33" width="16.6640625" style="1" customWidth="1"/>
    <col min="34" max="34" width="18.6640625" style="1" customWidth="1"/>
    <col min="35" max="35" width="20.6640625" style="220" customWidth="1"/>
    <col min="36" max="36" width="20.6640625" style="1" customWidth="1"/>
    <col min="37" max="37" width="20.6640625" style="220" customWidth="1"/>
    <col min="38" max="38" width="20.6640625" style="1" customWidth="1"/>
    <col min="39" max="41" width="14.6640625" style="1" customWidth="1"/>
    <col min="42" max="42" width="15.6640625" style="1" customWidth="1"/>
    <col min="43" max="43" width="33.6640625" style="1" customWidth="1"/>
    <col min="44" max="46" width="22.6640625" style="1" customWidth="1"/>
    <col min="47" max="47" width="30.6640625" style="1" customWidth="1"/>
    <col min="48" max="49" width="15.6640625" style="1" customWidth="1"/>
    <col min="50" max="50" width="18" style="1" customWidth="1"/>
    <col min="51" max="51" width="16.44140625" style="1" customWidth="1"/>
    <col min="52" max="52" width="17.88671875" style="1" customWidth="1"/>
    <col min="53" max="54" width="11.44140625" style="220"/>
    <col min="55" max="55" width="14.6640625" style="1" customWidth="1"/>
    <col min="56" max="56" width="17.88671875" style="1" customWidth="1"/>
    <col min="57" max="57" width="16.44140625" style="1" customWidth="1"/>
    <col min="58" max="58" width="13.109375" style="220" customWidth="1"/>
    <col min="59" max="59" width="16.6640625" style="1" customWidth="1"/>
    <col min="60" max="60" width="21.33203125" style="220" customWidth="1"/>
    <col min="61" max="61" width="16" style="322" customWidth="1"/>
    <col min="62" max="62" width="16.6640625" style="220" customWidth="1"/>
    <col min="63" max="63" width="17" style="322" customWidth="1"/>
    <col min="64" max="16384" width="11.44140625" style="1"/>
  </cols>
  <sheetData>
    <row r="1" spans="1:63" x14ac:dyDescent="0.3">
      <c r="V1" s="11"/>
    </row>
    <row r="2" spans="1:63" x14ac:dyDescent="0.3">
      <c r="V2" s="11"/>
    </row>
    <row r="3" spans="1:63" ht="15" thickBot="1" x14ac:dyDescent="0.35">
      <c r="A3" s="42">
        <v>1</v>
      </c>
      <c r="B3" s="42">
        <v>2</v>
      </c>
      <c r="C3" s="42">
        <v>3</v>
      </c>
      <c r="D3" s="42">
        <v>4</v>
      </c>
      <c r="E3" s="42">
        <v>5</v>
      </c>
      <c r="F3" s="42">
        <v>6</v>
      </c>
      <c r="G3" s="42">
        <v>7</v>
      </c>
      <c r="H3" s="42">
        <v>8</v>
      </c>
      <c r="I3" s="42">
        <v>9</v>
      </c>
      <c r="J3" s="42">
        <v>10</v>
      </c>
      <c r="K3" s="42">
        <v>11</v>
      </c>
      <c r="L3" s="177">
        <v>12</v>
      </c>
      <c r="M3" s="42">
        <v>13</v>
      </c>
      <c r="N3" s="42">
        <v>14</v>
      </c>
      <c r="O3" s="42">
        <v>15</v>
      </c>
      <c r="P3" s="42">
        <v>16</v>
      </c>
      <c r="Q3" s="42">
        <v>17</v>
      </c>
      <c r="R3" s="42">
        <v>18</v>
      </c>
      <c r="S3" s="42">
        <v>19</v>
      </c>
      <c r="T3" s="42">
        <v>20</v>
      </c>
      <c r="U3" s="42">
        <v>21</v>
      </c>
      <c r="V3" s="42">
        <v>22</v>
      </c>
      <c r="W3" s="42">
        <v>23</v>
      </c>
      <c r="X3" s="42">
        <v>24</v>
      </c>
      <c r="Y3" s="42">
        <v>25</v>
      </c>
      <c r="Z3" s="42">
        <v>26</v>
      </c>
      <c r="AA3" s="42">
        <v>27</v>
      </c>
      <c r="AB3" s="42">
        <v>28</v>
      </c>
      <c r="AC3" s="42">
        <v>29</v>
      </c>
      <c r="AD3" s="42">
        <v>30</v>
      </c>
      <c r="AE3" s="42">
        <v>31</v>
      </c>
      <c r="AF3" s="177">
        <v>32</v>
      </c>
      <c r="AG3" s="42">
        <v>33</v>
      </c>
      <c r="AH3" s="42">
        <v>34</v>
      </c>
      <c r="AI3" s="221">
        <v>35</v>
      </c>
      <c r="AJ3" s="42">
        <v>36</v>
      </c>
      <c r="AK3" s="221">
        <v>37</v>
      </c>
      <c r="AL3" s="42">
        <v>38</v>
      </c>
      <c r="AM3" s="42">
        <v>39</v>
      </c>
      <c r="AN3" s="42">
        <v>40</v>
      </c>
      <c r="AO3" s="42">
        <v>41</v>
      </c>
      <c r="AP3" s="42">
        <v>42</v>
      </c>
      <c r="AQ3" s="42">
        <v>43</v>
      </c>
      <c r="AR3" s="42">
        <v>44</v>
      </c>
      <c r="AS3" s="42">
        <v>45</v>
      </c>
      <c r="AT3" s="42">
        <v>46</v>
      </c>
      <c r="AU3" s="42">
        <v>47</v>
      </c>
      <c r="AV3" s="42">
        <v>48</v>
      </c>
      <c r="AW3" s="42">
        <v>49</v>
      </c>
      <c r="AX3" s="42">
        <v>50</v>
      </c>
      <c r="AY3" s="42">
        <v>51</v>
      </c>
      <c r="AZ3" s="42">
        <v>52</v>
      </c>
      <c r="BA3" s="221">
        <v>53</v>
      </c>
      <c r="BB3" s="221">
        <v>54</v>
      </c>
      <c r="BC3" s="42">
        <v>55</v>
      </c>
      <c r="BD3" s="42">
        <v>56</v>
      </c>
      <c r="BE3" s="42">
        <v>57</v>
      </c>
      <c r="BF3" s="221">
        <v>58</v>
      </c>
      <c r="BG3" s="42">
        <v>59</v>
      </c>
      <c r="BH3" s="221">
        <v>60</v>
      </c>
      <c r="BI3" s="645">
        <v>61</v>
      </c>
      <c r="BJ3" s="221">
        <v>62</v>
      </c>
      <c r="BK3" s="645">
        <v>63</v>
      </c>
    </row>
    <row r="4" spans="1:63" ht="16.2" thickBot="1" x14ac:dyDescent="0.35">
      <c r="B4" s="1095"/>
      <c r="C4" s="1096"/>
      <c r="D4" s="1096"/>
      <c r="E4" s="1096"/>
      <c r="F4" s="1096"/>
      <c r="G4" s="1096"/>
      <c r="H4" s="1096"/>
      <c r="I4" s="1096"/>
      <c r="J4" s="1096"/>
      <c r="K4" s="1097"/>
      <c r="L4" s="1107" t="s">
        <v>241</v>
      </c>
      <c r="M4" s="1111"/>
      <c r="N4" s="1108"/>
      <c r="O4" s="1107" t="s">
        <v>242</v>
      </c>
      <c r="P4" s="1108"/>
      <c r="Q4" s="1107" t="s">
        <v>763</v>
      </c>
      <c r="R4" s="1111"/>
      <c r="S4" s="1111"/>
      <c r="T4" s="1111"/>
      <c r="U4" s="1111"/>
      <c r="V4" s="1108"/>
      <c r="W4" s="1104"/>
      <c r="X4" s="1105"/>
      <c r="Y4" s="1105"/>
      <c r="Z4" s="1105"/>
      <c r="AA4" s="1105"/>
      <c r="AB4" s="1105"/>
      <c r="AC4" s="1105"/>
      <c r="AD4" s="1105"/>
      <c r="AE4" s="1105"/>
      <c r="AF4" s="1105"/>
      <c r="AG4" s="1105"/>
      <c r="AH4" s="1105"/>
      <c r="AI4" s="1105"/>
      <c r="AJ4" s="1105"/>
      <c r="AK4" s="1105"/>
      <c r="AL4" s="1105"/>
      <c r="AM4" s="1105"/>
      <c r="AN4" s="1105"/>
      <c r="AO4" s="1106"/>
      <c r="AP4" s="1091" t="s">
        <v>876</v>
      </c>
      <c r="AQ4" s="1092"/>
      <c r="AR4" s="1089" t="s">
        <v>877</v>
      </c>
      <c r="AS4" s="1090"/>
      <c r="AT4" s="1090"/>
      <c r="AU4" s="1090"/>
      <c r="AV4" s="1090"/>
      <c r="AW4" s="1090"/>
      <c r="AX4" s="1090"/>
      <c r="AY4" s="1090"/>
      <c r="AZ4" s="1090"/>
      <c r="BA4" s="1090"/>
      <c r="BB4" s="1090"/>
      <c r="BC4" s="1090"/>
      <c r="BD4" s="1090"/>
      <c r="BE4" s="1090"/>
      <c r="BF4" s="1090"/>
      <c r="BG4" s="1090"/>
      <c r="BH4" s="1090"/>
      <c r="BI4" s="1090"/>
      <c r="BJ4" s="1090"/>
      <c r="BK4" s="1090"/>
    </row>
    <row r="5" spans="1:63" ht="16.5" customHeight="1" thickBot="1" x14ac:dyDescent="0.35">
      <c r="B5" s="1098"/>
      <c r="C5" s="1099"/>
      <c r="D5" s="1099"/>
      <c r="E5" s="1099"/>
      <c r="F5" s="1099"/>
      <c r="G5" s="1099"/>
      <c r="H5" s="1099"/>
      <c r="I5" s="1099"/>
      <c r="J5" s="1099"/>
      <c r="K5" s="1100"/>
      <c r="L5" s="1109"/>
      <c r="M5" s="1112"/>
      <c r="N5" s="1110"/>
      <c r="O5" s="1109"/>
      <c r="P5" s="1110"/>
      <c r="Q5" s="1109"/>
      <c r="R5" s="1112"/>
      <c r="S5" s="1112"/>
      <c r="T5" s="1112"/>
      <c r="U5" s="1112"/>
      <c r="V5" s="1110"/>
      <c r="W5" s="1101" t="s">
        <v>873</v>
      </c>
      <c r="X5" s="1102"/>
      <c r="Y5" s="1102"/>
      <c r="Z5" s="1102"/>
      <c r="AA5" s="1102"/>
      <c r="AB5" s="1102"/>
      <c r="AC5" s="1102"/>
      <c r="AD5" s="1102"/>
      <c r="AE5" s="1102"/>
      <c r="AF5" s="1102"/>
      <c r="AG5" s="1102"/>
      <c r="AH5" s="1103"/>
      <c r="AI5" s="1101" t="s">
        <v>874</v>
      </c>
      <c r="AJ5" s="1103"/>
      <c r="AK5" s="1101" t="s">
        <v>875</v>
      </c>
      <c r="AL5" s="1103"/>
      <c r="AM5" s="1101" t="s">
        <v>29</v>
      </c>
      <c r="AN5" s="1102"/>
      <c r="AO5" s="1103"/>
      <c r="AP5" s="1093"/>
      <c r="AQ5" s="1094"/>
      <c r="AR5" s="1089"/>
      <c r="AS5" s="1090"/>
      <c r="AT5" s="1090"/>
      <c r="AU5" s="1090"/>
      <c r="AV5" s="1090"/>
      <c r="AW5" s="1090"/>
      <c r="AX5" s="1090"/>
      <c r="AY5" s="1090"/>
      <c r="AZ5" s="1090"/>
      <c r="BA5" s="1090"/>
      <c r="BB5" s="1090"/>
      <c r="BC5" s="1090"/>
      <c r="BD5" s="1090"/>
      <c r="BE5" s="1090"/>
      <c r="BF5" s="1090"/>
      <c r="BG5" s="1090"/>
      <c r="BH5" s="1090"/>
      <c r="BI5" s="1090"/>
      <c r="BJ5" s="1090"/>
      <c r="BK5" s="1090"/>
    </row>
    <row r="6" spans="1:63" ht="32.1" customHeight="1" x14ac:dyDescent="0.3">
      <c r="B6" s="2" t="s">
        <v>753</v>
      </c>
      <c r="C6" s="2" t="s">
        <v>755</v>
      </c>
      <c r="D6" s="2" t="s">
        <v>756</v>
      </c>
      <c r="E6" s="2" t="s">
        <v>757</v>
      </c>
      <c r="F6" s="2" t="s">
        <v>758</v>
      </c>
      <c r="G6" s="2" t="s">
        <v>759</v>
      </c>
      <c r="H6" s="2" t="s">
        <v>760</v>
      </c>
      <c r="I6" s="2" t="s">
        <v>761</v>
      </c>
      <c r="J6" s="2" t="s">
        <v>762</v>
      </c>
      <c r="K6" s="2" t="s">
        <v>0</v>
      </c>
      <c r="L6" s="178" t="s">
        <v>158</v>
      </c>
      <c r="M6" s="2" t="s">
        <v>6</v>
      </c>
      <c r="N6" s="2" t="s">
        <v>5</v>
      </c>
      <c r="O6" s="2" t="s">
        <v>26</v>
      </c>
      <c r="P6" s="2" t="s">
        <v>27</v>
      </c>
      <c r="Q6" s="2" t="s">
        <v>24</v>
      </c>
      <c r="R6" s="2" t="s">
        <v>111</v>
      </c>
      <c r="S6" s="39" t="s">
        <v>1</v>
      </c>
      <c r="T6" s="2" t="s">
        <v>2</v>
      </c>
      <c r="U6" s="2" t="s">
        <v>3</v>
      </c>
      <c r="V6" s="2" t="s">
        <v>4</v>
      </c>
      <c r="W6" s="2" t="s">
        <v>754</v>
      </c>
      <c r="X6" s="17" t="s">
        <v>916</v>
      </c>
      <c r="Y6" s="128" t="s">
        <v>7</v>
      </c>
      <c r="Z6" s="2" t="s">
        <v>8</v>
      </c>
      <c r="AA6" s="2" t="s">
        <v>9</v>
      </c>
      <c r="AB6" s="2" t="s">
        <v>10</v>
      </c>
      <c r="AC6" s="2" t="s">
        <v>12</v>
      </c>
      <c r="AD6" s="2" t="s">
        <v>13</v>
      </c>
      <c r="AE6" s="2" t="s">
        <v>14</v>
      </c>
      <c r="AF6" s="554" t="s">
        <v>11</v>
      </c>
      <c r="AG6" s="2" t="s">
        <v>15</v>
      </c>
      <c r="AH6" s="2" t="s">
        <v>16</v>
      </c>
      <c r="AI6" s="2" t="s">
        <v>17</v>
      </c>
      <c r="AJ6" s="2" t="s">
        <v>18</v>
      </c>
      <c r="AK6" s="2" t="s">
        <v>19</v>
      </c>
      <c r="AL6" s="2" t="s">
        <v>20</v>
      </c>
      <c r="AM6" s="2" t="s">
        <v>21</v>
      </c>
      <c r="AN6" s="2" t="s">
        <v>22</v>
      </c>
      <c r="AO6" s="2" t="s">
        <v>23</v>
      </c>
      <c r="AP6" s="2" t="s">
        <v>25</v>
      </c>
      <c r="AQ6" s="128" t="s">
        <v>28</v>
      </c>
      <c r="AR6" s="2" t="s">
        <v>32</v>
      </c>
      <c r="AS6" s="2" t="s">
        <v>30</v>
      </c>
      <c r="AT6" s="2" t="s">
        <v>31</v>
      </c>
      <c r="AU6" s="2" t="s">
        <v>29</v>
      </c>
      <c r="AV6" s="2" t="s">
        <v>925</v>
      </c>
      <c r="AW6" s="2" t="s">
        <v>926</v>
      </c>
      <c r="AX6" s="2" t="s">
        <v>927</v>
      </c>
      <c r="AY6" s="2" t="s">
        <v>935</v>
      </c>
      <c r="AZ6" s="2" t="s">
        <v>936</v>
      </c>
      <c r="BA6" s="2" t="s">
        <v>937</v>
      </c>
      <c r="BB6" s="2" t="s">
        <v>938</v>
      </c>
      <c r="BC6" s="133" t="s">
        <v>1114</v>
      </c>
      <c r="BD6" s="2" t="s">
        <v>941</v>
      </c>
      <c r="BE6" s="2" t="s">
        <v>942</v>
      </c>
      <c r="BF6" s="2" t="s">
        <v>1109</v>
      </c>
      <c r="BG6" s="313" t="s">
        <v>1342</v>
      </c>
      <c r="BH6" s="2" t="s">
        <v>1343</v>
      </c>
      <c r="BI6" s="323" t="s">
        <v>1542</v>
      </c>
      <c r="BJ6" s="2" t="s">
        <v>1543</v>
      </c>
      <c r="BK6" s="735" t="s">
        <v>1906</v>
      </c>
    </row>
    <row r="7" spans="1:63" ht="69" hidden="1" x14ac:dyDescent="0.3">
      <c r="B7" s="2"/>
      <c r="C7" s="2"/>
      <c r="D7" s="2"/>
      <c r="E7" s="2"/>
      <c r="F7" s="2"/>
      <c r="G7" s="2"/>
      <c r="H7" s="2"/>
      <c r="I7" s="2"/>
      <c r="J7" s="685"/>
      <c r="K7" s="763">
        <v>44205</v>
      </c>
      <c r="L7" s="761" t="s">
        <v>181</v>
      </c>
      <c r="M7" s="761" t="s">
        <v>185</v>
      </c>
      <c r="N7" s="761" t="s">
        <v>183</v>
      </c>
      <c r="O7" s="761">
        <v>45000925048</v>
      </c>
      <c r="P7" s="761" t="s">
        <v>3943</v>
      </c>
      <c r="Q7" s="761" t="s">
        <v>37</v>
      </c>
      <c r="R7" s="761" t="s">
        <v>1782</v>
      </c>
      <c r="S7" s="765" t="s">
        <v>3087</v>
      </c>
      <c r="T7" s="761" t="s">
        <v>3944</v>
      </c>
      <c r="U7" s="761" t="s">
        <v>3932</v>
      </c>
      <c r="V7" s="761" t="s">
        <v>146</v>
      </c>
      <c r="W7" s="761" t="s">
        <v>914</v>
      </c>
      <c r="X7" s="689" t="s">
        <v>918</v>
      </c>
      <c r="Y7" s="766">
        <v>3004290366</v>
      </c>
      <c r="Z7" s="791"/>
      <c r="AA7" s="761" t="s">
        <v>33</v>
      </c>
      <c r="AB7" s="761" t="s">
        <v>34</v>
      </c>
      <c r="AC7" s="761" t="s">
        <v>230</v>
      </c>
      <c r="AD7" s="761" t="s">
        <v>1110</v>
      </c>
      <c r="AE7" s="761">
        <v>60</v>
      </c>
      <c r="AF7" s="764">
        <v>2629.6</v>
      </c>
      <c r="AG7" s="761" t="s">
        <v>243</v>
      </c>
      <c r="AH7" s="761" t="s">
        <v>220</v>
      </c>
      <c r="AI7" s="761" t="s">
        <v>33</v>
      </c>
      <c r="AJ7" s="761">
        <v>3004295604</v>
      </c>
      <c r="AK7" s="761" t="s">
        <v>33</v>
      </c>
      <c r="AL7" s="761">
        <v>10631290</v>
      </c>
      <c r="AM7" s="761" t="s">
        <v>1121</v>
      </c>
      <c r="AN7" s="761" t="s">
        <v>1122</v>
      </c>
      <c r="AO7" s="761" t="s">
        <v>1095</v>
      </c>
      <c r="AP7" s="761" t="s">
        <v>240</v>
      </c>
      <c r="AQ7" s="769" t="str">
        <f>CONCATENATE("REG-",BDEGENER[[#This Row],[FECHA DE SERVICIO]],"-",BDEGENER[[#This Row],[SERIE]],"-",BDEGENER[[#This Row],[HORAS]])</f>
        <v>REG-44205-3004290366-2629,6</v>
      </c>
      <c r="AR7" s="761" t="str">
        <f>CONCATENATE("MARCA: ",BDEGENER[[#This Row],[MARCA]],"
 MODELO: ",BDEGENER[[#This Row],[MODELO]])</f>
        <v>MARCA: GENERAC
 MODELO: PG090</v>
      </c>
      <c r="AS7" s="761" t="str">
        <f>CONCATENATE("MARCA: ",BDEGENER[[#This Row],[MARCA DE MOTOR]],"
SERIE: ",BDEGENER[[#This Row],[SERIE DE MOTOR]])</f>
        <v>MARCA: GENERAC
SERIE: 3004295604</v>
      </c>
      <c r="AT7" s="761" t="str">
        <f>CONCATENATE("MARCA: ",BDEGENER[[#This Row],[MARCA ALTERNADOR ]],"
SERIE: ",BDEGENER[[#This Row],[SERIE DE ALTERNADOR]])</f>
        <v>MARCA: GENERAC
SERIE: 10631290</v>
      </c>
      <c r="AU7" s="761" t="str">
        <f>CONCATENATE("HORAS: ",BDEGENER[[#This Row],[HORAS]],"
KW-HR: ",BDEGENER[[#This Row],[KW-HORA]],"
VOLT.BATERIA: ",BDEGENER[[#This Row],[VOLTAJE DE BATERIA]],"
TEMPERATURA: ",BDEGENER[[#This Row],[TEMPERATURA DE AGUA]],"
PRES. ACEITE: ",BDEGENER[[#This Row],[PRESION DE ACEITE]])</f>
        <v>HORAS: 2629,6
KW-HR: 29313,9
VOLT.BATERIA: 13.7 V
TEMPERATURA: 195 °F
PRES. ACEITE: 54 PSI</v>
      </c>
      <c r="AV7" s="761">
        <f>COUNTIFS(Q7:Q2007,"MANTENIMIENTO CORRECTIVO",Y7:Y2007,BDEGENER[[#This Row],[SERIE]])</f>
        <v>2</v>
      </c>
      <c r="AW7" s="761">
        <f>COUNTIFS(Q7:Q2007,"MANTENIMIENTO PREVENTIVO",Y7:Y2007,BDEGENER[[#This Row],[SERIE]])</f>
        <v>7</v>
      </c>
      <c r="AX7" s="761"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7" s="761">
        <f>COUNTIFS(BDEGENER[SERIE],BDEGENER[[#This Row],[SERIE]],BDEGENER[TIPO DE SERVICIO],"MANTENIMIENTO PREVENTIVO")</f>
        <v>7</v>
      </c>
      <c r="AZ7" s="761" t="str">
        <f>CONCATENATE("MANTENIMIENTO PREVENTIVO N°",BDEGENER[[#This Row],[GA1]])</f>
        <v>MANTENIMIENTO PREVENTIVO N°7</v>
      </c>
      <c r="BA7" s="761">
        <f>IF(BDEGENER[[#This Row],[SERVICIO]]=BDEGENER[[#This Row],[GA2]],BDEGENER[[#This Row],[HORAS]],"0")</f>
        <v>2629.6</v>
      </c>
      <c r="BB7" s="761">
        <f>SUMIF(BDEGENER[SERIE],BDEGENER[[#This Row],[SERIE]],BDEGENER[GA3])</f>
        <v>2629.6</v>
      </c>
      <c r="BC7" s="761" t="str">
        <f>CONCATENATE("MANT",COUNTIF($Y$7:Y7,Y7))</f>
        <v>MANT1</v>
      </c>
      <c r="BD7" s="761" t="str">
        <f>CONCATENATE(BDEGENER[[#This Row],[SERIE]],BDEGENER[[#This Row],[GA5]])</f>
        <v>3004290366MANT1</v>
      </c>
      <c r="BE7" s="761" t="str">
        <f>CONCATENATE(BDEGENER[[#This Row],[CODIGO PATRIMONIAL]],BDEGENER[[#This Row],[GA5]])</f>
        <v>MANT1</v>
      </c>
      <c r="BF7" s="761">
        <f>COUNTIF(BDEGENER[SERIE],BDEGENER[[#This Row],[SERIE]])</f>
        <v>14</v>
      </c>
      <c r="BG7" s="761" t="str">
        <f>CONCATENATE("F",COUNTIF($K$7:K7,K7))</f>
        <v>F1</v>
      </c>
      <c r="BH7" s="761" t="str">
        <f>CONCATENATE(BDEGENER[[#This Row],[FECHA DE SERVICIO]],BDEGENER[[#This Row],[N° DE REGISTROS DEL DIA]])</f>
        <v>44205F1</v>
      </c>
      <c r="BI7" s="764">
        <v>29313.9</v>
      </c>
      <c r="BJ7" s="761" t="s">
        <v>1544</v>
      </c>
      <c r="BK7" s="762" t="s">
        <v>853</v>
      </c>
    </row>
    <row r="8" spans="1:63" ht="69" hidden="1" x14ac:dyDescent="0.3">
      <c r="B8" s="2"/>
      <c r="C8" s="2"/>
      <c r="D8" s="2"/>
      <c r="E8" s="2"/>
      <c r="F8" s="2"/>
      <c r="G8" s="2"/>
      <c r="H8" s="2"/>
      <c r="I8" s="2"/>
      <c r="J8" s="685"/>
      <c r="K8" s="682">
        <v>44203</v>
      </c>
      <c r="L8" s="683" t="s">
        <v>181</v>
      </c>
      <c r="M8" s="683" t="s">
        <v>184</v>
      </c>
      <c r="N8" s="683" t="s">
        <v>183</v>
      </c>
      <c r="O8" s="683">
        <v>4500925048</v>
      </c>
      <c r="P8" s="683" t="s">
        <v>3945</v>
      </c>
      <c r="Q8" s="683" t="s">
        <v>37</v>
      </c>
      <c r="R8" s="683" t="s">
        <v>1782</v>
      </c>
      <c r="S8" s="686" t="s">
        <v>3952</v>
      </c>
      <c r="T8" s="683" t="s">
        <v>3953</v>
      </c>
      <c r="U8" s="683" t="s">
        <v>3932</v>
      </c>
      <c r="V8" s="683" t="s">
        <v>146</v>
      </c>
      <c r="W8" s="683" t="s">
        <v>914</v>
      </c>
      <c r="X8" s="691" t="s">
        <v>918</v>
      </c>
      <c r="Y8" s="687">
        <v>3004418790</v>
      </c>
      <c r="Z8" s="692"/>
      <c r="AA8" s="683" t="s">
        <v>33</v>
      </c>
      <c r="AB8" s="683" t="s">
        <v>34</v>
      </c>
      <c r="AC8" s="683" t="s">
        <v>230</v>
      </c>
      <c r="AD8" s="683" t="s">
        <v>1110</v>
      </c>
      <c r="AE8" s="683">
        <v>60</v>
      </c>
      <c r="AF8" s="684">
        <v>2579.3000000000002</v>
      </c>
      <c r="AG8" s="683" t="s">
        <v>243</v>
      </c>
      <c r="AH8" s="683" t="s">
        <v>220</v>
      </c>
      <c r="AI8" s="683" t="s">
        <v>33</v>
      </c>
      <c r="AJ8" s="683">
        <v>3005413982</v>
      </c>
      <c r="AK8" s="683" t="s">
        <v>33</v>
      </c>
      <c r="AL8" s="683">
        <v>107745310</v>
      </c>
      <c r="AM8" s="683" t="s">
        <v>1121</v>
      </c>
      <c r="AN8" s="683" t="s">
        <v>1352</v>
      </c>
      <c r="AO8" s="683" t="s">
        <v>1095</v>
      </c>
      <c r="AP8" s="683" t="s">
        <v>240</v>
      </c>
      <c r="AQ8" s="688" t="str">
        <f>CONCATENATE("REG-",BDEGENER[[#This Row],[FECHA DE SERVICIO]],"-",BDEGENER[[#This Row],[SERIE]],"-",BDEGENER[[#This Row],[HORAS]])</f>
        <v>REG-44203-3004418790-2579,3</v>
      </c>
      <c r="AR8" s="683" t="str">
        <f>CONCATENATE("MARCA: ",BDEGENER[[#This Row],[MARCA]],"
 MODELO: ",BDEGENER[[#This Row],[MODELO]])</f>
        <v>MARCA: GENERAC
 MODELO: PG090</v>
      </c>
      <c r="AS8" s="683" t="str">
        <f>CONCATENATE("MARCA: ",BDEGENER[[#This Row],[MARCA DE MOTOR]],"
SERIE: ",BDEGENER[[#This Row],[SERIE DE MOTOR]])</f>
        <v>MARCA: GENERAC
SERIE: 3005413982</v>
      </c>
      <c r="AT8" s="683" t="str">
        <f>CONCATENATE("MARCA: ",BDEGENER[[#This Row],[MARCA ALTERNADOR ]],"
SERIE: ",BDEGENER[[#This Row],[SERIE DE ALTERNADOR]])</f>
        <v>MARCA: GENERAC
SERIE: 107745310</v>
      </c>
      <c r="AU8" s="683" t="str">
        <f>CONCATENATE("HORAS: ",BDEGENER[[#This Row],[HORAS]],"
KW-HR: ",BDEGENER[[#This Row],[KW-HORA]],"
VOLT.BATERIA: ",BDEGENER[[#This Row],[VOLTAJE DE BATERIA]],"
TEMPERATURA: ",BDEGENER[[#This Row],[TEMPERATURA DE AGUA]],"
PRES. ACEITE: ",BDEGENER[[#This Row],[PRESION DE ACEITE]])</f>
        <v>HORAS: 2579,3
KW-HR: 58496,3
VOLT.BATERIA: 13.7 V
TEMPERATURA: 196 °F
PRES. ACEITE: 54 PSI</v>
      </c>
      <c r="AV8" s="683">
        <f>COUNTIFS(Q8:Q2008,"MANTENIMIENTO CORRECTIVO",Y8:Y2008,BDEGENER[[#This Row],[SERIE]])</f>
        <v>2</v>
      </c>
      <c r="AW8" s="683">
        <f>COUNTIFS(Q8:Q2008,"MANTENIMIENTO PREVENTIVO",Y8:Y2008,BDEGENER[[#This Row],[SERIE]])</f>
        <v>8</v>
      </c>
      <c r="AX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8" s="683">
        <f>COUNTIFS(BDEGENER[SERIE],BDEGENER[[#This Row],[SERIE]],BDEGENER[TIPO DE SERVICIO],"MANTENIMIENTO PREVENTIVO")</f>
        <v>8</v>
      </c>
      <c r="AZ8" s="683" t="str">
        <f>CONCATENATE("MANTENIMIENTO PREVENTIVO N°",BDEGENER[[#This Row],[GA1]])</f>
        <v>MANTENIMIENTO PREVENTIVO N°8</v>
      </c>
      <c r="BA8" s="683">
        <f>IF(BDEGENER[[#This Row],[SERVICIO]]=BDEGENER[[#This Row],[GA2]],BDEGENER[[#This Row],[HORAS]],"0")</f>
        <v>2579.3000000000002</v>
      </c>
      <c r="BB8" s="683">
        <f>SUMIF(BDEGENER[SERIE],BDEGENER[[#This Row],[SERIE]],BDEGENER[GA3])</f>
        <v>2579.3000000000002</v>
      </c>
      <c r="BC8" s="683" t="str">
        <f>CONCATENATE("MANT",COUNTIF($Y$7:Y8,Y8))</f>
        <v>MANT1</v>
      </c>
      <c r="BD8" s="683" t="str">
        <f>CONCATENATE(BDEGENER[[#This Row],[SERIE]],BDEGENER[[#This Row],[GA5]])</f>
        <v>3004418790MANT1</v>
      </c>
      <c r="BE8" s="683" t="str">
        <f>CONCATENATE(BDEGENER[[#This Row],[CODIGO PATRIMONIAL]],BDEGENER[[#This Row],[GA5]])</f>
        <v>MANT1</v>
      </c>
      <c r="BF8" s="683">
        <f>COUNTIF(BDEGENER[SERIE],BDEGENER[[#This Row],[SERIE]])</f>
        <v>14</v>
      </c>
      <c r="BG8" s="683" t="str">
        <f>CONCATENATE("F",COUNTIF($K$7:K8,K8))</f>
        <v>F1</v>
      </c>
      <c r="BH8" s="683" t="str">
        <f>CONCATENATE(BDEGENER[[#This Row],[FECHA DE SERVICIO]],BDEGENER[[#This Row],[N° DE REGISTROS DEL DIA]])</f>
        <v>44203F1</v>
      </c>
      <c r="BI8" s="684">
        <v>58496.3</v>
      </c>
      <c r="BJ8" s="683" t="s">
        <v>1544</v>
      </c>
      <c r="BK8" s="762" t="s">
        <v>2166</v>
      </c>
    </row>
    <row r="9" spans="1:63" ht="69" hidden="1" x14ac:dyDescent="0.3">
      <c r="B9" s="2"/>
      <c r="C9" s="2"/>
      <c r="D9" s="2"/>
      <c r="E9" s="2"/>
      <c r="F9" s="2"/>
      <c r="G9" s="2"/>
      <c r="H9" s="2"/>
      <c r="I9" s="2"/>
      <c r="J9" s="685"/>
      <c r="K9" s="682">
        <v>44203</v>
      </c>
      <c r="L9" s="683" t="s">
        <v>181</v>
      </c>
      <c r="M9" s="683" t="s">
        <v>187</v>
      </c>
      <c r="N9" s="683" t="s">
        <v>183</v>
      </c>
      <c r="O9" s="683">
        <v>4500925048</v>
      </c>
      <c r="P9" s="683" t="s">
        <v>3945</v>
      </c>
      <c r="Q9" s="683" t="s">
        <v>37</v>
      </c>
      <c r="R9" s="683" t="s">
        <v>1782</v>
      </c>
      <c r="S9" s="686" t="s">
        <v>3087</v>
      </c>
      <c r="T9" s="683" t="s">
        <v>3951</v>
      </c>
      <c r="U9" s="683" t="s">
        <v>3948</v>
      </c>
      <c r="V9" s="683" t="s">
        <v>146</v>
      </c>
      <c r="W9" s="683" t="s">
        <v>914</v>
      </c>
      <c r="X9" s="691" t="s">
        <v>918</v>
      </c>
      <c r="Y9" s="687">
        <v>3004337429</v>
      </c>
      <c r="Z9" s="692"/>
      <c r="AA9" s="683" t="s">
        <v>33</v>
      </c>
      <c r="AB9" s="683" t="s">
        <v>34</v>
      </c>
      <c r="AC9" s="683" t="s">
        <v>230</v>
      </c>
      <c r="AD9" s="683" t="s">
        <v>1110</v>
      </c>
      <c r="AE9" s="683">
        <v>60</v>
      </c>
      <c r="AF9" s="684">
        <v>2207.6999999999998</v>
      </c>
      <c r="AG9" s="683" t="s">
        <v>243</v>
      </c>
      <c r="AH9" s="683" t="s">
        <v>220</v>
      </c>
      <c r="AI9" s="683" t="s">
        <v>33</v>
      </c>
      <c r="AJ9" s="683">
        <v>3004346833</v>
      </c>
      <c r="AK9" s="683" t="s">
        <v>33</v>
      </c>
      <c r="AL9" s="683">
        <v>106303570</v>
      </c>
      <c r="AM9" s="683" t="s">
        <v>1121</v>
      </c>
      <c r="AN9" s="683" t="s">
        <v>1352</v>
      </c>
      <c r="AO9" s="683" t="s">
        <v>1349</v>
      </c>
      <c r="AP9" s="683" t="s">
        <v>240</v>
      </c>
      <c r="AQ9" s="688" t="str">
        <f>CONCATENATE("REG-",BDEGENER[[#This Row],[FECHA DE SERVICIO]],"-",BDEGENER[[#This Row],[SERIE]],"-",BDEGENER[[#This Row],[HORAS]])</f>
        <v>REG-44203-3004337429-2207,7</v>
      </c>
      <c r="AR9" s="683" t="str">
        <f>CONCATENATE("MARCA: ",BDEGENER[[#This Row],[MARCA]],"
 MODELO: ",BDEGENER[[#This Row],[MODELO]])</f>
        <v>MARCA: GENERAC
 MODELO: PG090</v>
      </c>
      <c r="AS9" s="683" t="str">
        <f>CONCATENATE("MARCA: ",BDEGENER[[#This Row],[MARCA DE MOTOR]],"
SERIE: ",BDEGENER[[#This Row],[SERIE DE MOTOR]])</f>
        <v>MARCA: GENERAC
SERIE: 3004346833</v>
      </c>
      <c r="AT9" s="683" t="str">
        <f>CONCATENATE("MARCA: ",BDEGENER[[#This Row],[MARCA ALTERNADOR ]],"
SERIE: ",BDEGENER[[#This Row],[SERIE DE ALTERNADOR]])</f>
        <v>MARCA: GENERAC
SERIE: 106303570</v>
      </c>
      <c r="AU9" s="683" t="str">
        <f>CONCATENATE("HORAS: ",BDEGENER[[#This Row],[HORAS]],"
KW-HR: ",BDEGENER[[#This Row],[KW-HORA]],"
VOLT.BATERIA: ",BDEGENER[[#This Row],[VOLTAJE DE BATERIA]],"
TEMPERATURA: ",BDEGENER[[#This Row],[TEMPERATURA DE AGUA]],"
PRES. ACEITE: ",BDEGENER[[#This Row],[PRESION DE ACEITE]])</f>
        <v>HORAS: 2207,7
KW-HR: 61413
VOLT.BATERIA: 13.7 V
TEMPERATURA: 196 °F
PRES. ACEITE: 56 PSI</v>
      </c>
      <c r="AV9" s="683">
        <f>COUNTIFS(Q9:Q2009,"MANTENIMIENTO CORRECTIVO",Y9:Y2009,BDEGENER[[#This Row],[SERIE]])</f>
        <v>1</v>
      </c>
      <c r="AW9" s="683">
        <f>COUNTIFS(Q9:Q2009,"MANTENIMIENTO PREVENTIVO",Y9:Y2009,BDEGENER[[#This Row],[SERIE]])</f>
        <v>7</v>
      </c>
      <c r="AX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9" s="683">
        <f>COUNTIFS(BDEGENER[SERIE],BDEGENER[[#This Row],[SERIE]],BDEGENER[TIPO DE SERVICIO],"MANTENIMIENTO PREVENTIVO")</f>
        <v>7</v>
      </c>
      <c r="AZ9" s="683" t="str">
        <f>CONCATENATE("MANTENIMIENTO PREVENTIVO N°",BDEGENER[[#This Row],[GA1]])</f>
        <v>MANTENIMIENTO PREVENTIVO N°7</v>
      </c>
      <c r="BA9" s="683">
        <f>IF(BDEGENER[[#This Row],[SERVICIO]]=BDEGENER[[#This Row],[GA2]],BDEGENER[[#This Row],[HORAS]],"0")</f>
        <v>2207.6999999999998</v>
      </c>
      <c r="BB9" s="683">
        <f>SUMIF(BDEGENER[SERIE],BDEGENER[[#This Row],[SERIE]],BDEGENER[GA3])</f>
        <v>2207.6999999999998</v>
      </c>
      <c r="BC9" s="683" t="str">
        <f>CONCATENATE("MANT",COUNTIF($Y$7:Y9,Y9))</f>
        <v>MANT1</v>
      </c>
      <c r="BD9" s="683" t="str">
        <f>CONCATENATE(BDEGENER[[#This Row],[SERIE]],BDEGENER[[#This Row],[GA5]])</f>
        <v>3004337429MANT1</v>
      </c>
      <c r="BE9" s="683" t="str">
        <f>CONCATENATE(BDEGENER[[#This Row],[CODIGO PATRIMONIAL]],BDEGENER[[#This Row],[GA5]])</f>
        <v>MANT1</v>
      </c>
      <c r="BF9" s="683">
        <f>COUNTIF(BDEGENER[SERIE],BDEGENER[[#This Row],[SERIE]])</f>
        <v>9</v>
      </c>
      <c r="BG9" s="683" t="str">
        <f>CONCATENATE("F",COUNTIF($K$7:K9,K9))</f>
        <v>F2</v>
      </c>
      <c r="BH9" s="683" t="str">
        <f>CONCATENATE(BDEGENER[[#This Row],[FECHA DE SERVICIO]],BDEGENER[[#This Row],[N° DE REGISTROS DEL DIA]])</f>
        <v>44203F2</v>
      </c>
      <c r="BI9" s="684">
        <v>61413</v>
      </c>
      <c r="BJ9" s="683" t="s">
        <v>1544</v>
      </c>
      <c r="BK9" s="762" t="s">
        <v>2860</v>
      </c>
    </row>
    <row r="10" spans="1:63" ht="69" hidden="1" x14ac:dyDescent="0.3">
      <c r="B10" s="2"/>
      <c r="C10" s="2"/>
      <c r="D10" s="2"/>
      <c r="E10" s="2"/>
      <c r="F10" s="2"/>
      <c r="G10" s="2"/>
      <c r="H10" s="2"/>
      <c r="I10" s="2"/>
      <c r="J10" s="685"/>
      <c r="K10" s="682">
        <v>44203</v>
      </c>
      <c r="L10" s="683" t="s">
        <v>181</v>
      </c>
      <c r="M10" s="683" t="s">
        <v>182</v>
      </c>
      <c r="N10" s="683" t="s">
        <v>183</v>
      </c>
      <c r="O10" s="683">
        <v>4500925048</v>
      </c>
      <c r="P10" s="683" t="s">
        <v>3949</v>
      </c>
      <c r="Q10" s="683" t="s">
        <v>37</v>
      </c>
      <c r="R10" s="683" t="s">
        <v>1782</v>
      </c>
      <c r="S10" s="686" t="s">
        <v>3950</v>
      </c>
      <c r="T10" s="683" t="s">
        <v>2546</v>
      </c>
      <c r="U10" s="683" t="s">
        <v>3948</v>
      </c>
      <c r="V10" s="683" t="s">
        <v>146</v>
      </c>
      <c r="W10" s="683" t="s">
        <v>914</v>
      </c>
      <c r="X10" s="691" t="s">
        <v>918</v>
      </c>
      <c r="Y10" s="687">
        <v>3004256777</v>
      </c>
      <c r="Z10" s="692"/>
      <c r="AA10" s="683" t="s">
        <v>33</v>
      </c>
      <c r="AB10" s="683" t="s">
        <v>34</v>
      </c>
      <c r="AC10" s="683" t="s">
        <v>230</v>
      </c>
      <c r="AD10" s="683" t="s">
        <v>1110</v>
      </c>
      <c r="AE10" s="683">
        <v>60</v>
      </c>
      <c r="AF10" s="684">
        <v>2804.7</v>
      </c>
      <c r="AG10" s="683" t="s">
        <v>243</v>
      </c>
      <c r="AH10" s="683" t="s">
        <v>220</v>
      </c>
      <c r="AI10" s="683" t="s">
        <v>33</v>
      </c>
      <c r="AJ10" s="683">
        <v>3003930235</v>
      </c>
      <c r="AK10" s="683" t="s">
        <v>33</v>
      </c>
      <c r="AL10" s="683">
        <v>10630250</v>
      </c>
      <c r="AM10" s="683" t="s">
        <v>1377</v>
      </c>
      <c r="AN10" s="683" t="s">
        <v>1143</v>
      </c>
      <c r="AO10" s="683" t="s">
        <v>1103</v>
      </c>
      <c r="AP10" s="683" t="s">
        <v>240</v>
      </c>
      <c r="AQ10" s="688" t="str">
        <f>CONCATENATE("REG-",BDEGENER[[#This Row],[FECHA DE SERVICIO]],"-",BDEGENER[[#This Row],[SERIE]],"-",BDEGENER[[#This Row],[HORAS]])</f>
        <v>REG-44203-3004256777-2804,7</v>
      </c>
      <c r="AR10" s="683" t="str">
        <f>CONCATENATE("MARCA: ",BDEGENER[[#This Row],[MARCA]],"
 MODELO: ",BDEGENER[[#This Row],[MODELO]])</f>
        <v>MARCA: GENERAC
 MODELO: PG090</v>
      </c>
      <c r="AS10" s="683" t="str">
        <f>CONCATENATE("MARCA: ",BDEGENER[[#This Row],[MARCA DE MOTOR]],"
SERIE: ",BDEGENER[[#This Row],[SERIE DE MOTOR]])</f>
        <v>MARCA: GENERAC
SERIE: 3003930235</v>
      </c>
      <c r="AT10" s="683" t="str">
        <f>CONCATENATE("MARCA: ",BDEGENER[[#This Row],[MARCA ALTERNADOR ]],"
SERIE: ",BDEGENER[[#This Row],[SERIE DE ALTERNADOR]])</f>
        <v>MARCA: GENERAC
SERIE: 10630250</v>
      </c>
      <c r="AU10" s="683" t="str">
        <f>CONCATENATE("HORAS: ",BDEGENER[[#This Row],[HORAS]],"
KW-HR: ",BDEGENER[[#This Row],[KW-HORA]],"
VOLT.BATERIA: ",BDEGENER[[#This Row],[VOLTAJE DE BATERIA]],"
TEMPERATURA: ",BDEGENER[[#This Row],[TEMPERATURA DE AGUA]],"
PRES. ACEITE: ",BDEGENER[[#This Row],[PRESION DE ACEITE]])</f>
        <v>HORAS: 2804,7
KW-HR: 64444,1
VOLT.BATERIA: 13.8 V
TEMPERATURA: 197 °F
PRES. ACEITE: 52 PSI</v>
      </c>
      <c r="AV10" s="683">
        <f>COUNTIFS(Q10:Q2010,"MANTENIMIENTO CORRECTIVO",Y10:Y2010,BDEGENER[[#This Row],[SERIE]])</f>
        <v>6</v>
      </c>
      <c r="AW10" s="683">
        <f>COUNTIFS(Q10:Q2010,"MANTENIMIENTO PREVENTIVO",Y10:Y2010,BDEGENER[[#This Row],[SERIE]])</f>
        <v>9</v>
      </c>
      <c r="AX1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10" s="683">
        <f>COUNTIFS(BDEGENER[SERIE],BDEGENER[[#This Row],[SERIE]],BDEGENER[TIPO DE SERVICIO],"MANTENIMIENTO PREVENTIVO")</f>
        <v>9</v>
      </c>
      <c r="AZ10" s="683" t="str">
        <f>CONCATENATE("MANTENIMIENTO PREVENTIVO N°",BDEGENER[[#This Row],[GA1]])</f>
        <v>MANTENIMIENTO PREVENTIVO N°9</v>
      </c>
      <c r="BA10" s="683">
        <f>IF(BDEGENER[[#This Row],[SERVICIO]]=BDEGENER[[#This Row],[GA2]],BDEGENER[[#This Row],[HORAS]],"0")</f>
        <v>2804.7</v>
      </c>
      <c r="BB10" s="683">
        <f>SUMIF(BDEGENER[SERIE],BDEGENER[[#This Row],[SERIE]],BDEGENER[GA3])</f>
        <v>2804.7</v>
      </c>
      <c r="BC10" s="761" t="str">
        <f>CONCATENATE("MANT",COUNTIF($Y$7:Y10,Y10))</f>
        <v>MANT1</v>
      </c>
      <c r="BD10" s="683" t="str">
        <f>CONCATENATE(BDEGENER[[#This Row],[SERIE]],BDEGENER[[#This Row],[GA5]])</f>
        <v>3004256777MANT1</v>
      </c>
      <c r="BE10" s="683" t="str">
        <f>CONCATENATE(BDEGENER[[#This Row],[CODIGO PATRIMONIAL]],BDEGENER[[#This Row],[GA5]])</f>
        <v>MANT1</v>
      </c>
      <c r="BF10" s="683">
        <f>COUNTIF(BDEGENER[SERIE],BDEGENER[[#This Row],[SERIE]])</f>
        <v>16</v>
      </c>
      <c r="BG10" s="761" t="str">
        <f>CONCATENATE("F",COUNTIF($K$7:K10,K10))</f>
        <v>F3</v>
      </c>
      <c r="BH10" s="683" t="str">
        <f>CONCATENATE(BDEGENER[[#This Row],[FECHA DE SERVICIO]],BDEGENER[[#This Row],[N° DE REGISTROS DEL DIA]])</f>
        <v>44203F3</v>
      </c>
      <c r="BI10" s="684">
        <v>64444.1</v>
      </c>
      <c r="BJ10" s="683" t="s">
        <v>1544</v>
      </c>
      <c r="BK10" s="762"/>
    </row>
    <row r="11" spans="1:63" ht="69" hidden="1" x14ac:dyDescent="0.3">
      <c r="B11" s="2"/>
      <c r="C11" s="2"/>
      <c r="D11" s="2"/>
      <c r="E11" s="2"/>
      <c r="F11" s="2"/>
      <c r="G11" s="2"/>
      <c r="H11" s="2"/>
      <c r="I11" s="2"/>
      <c r="J11" s="685"/>
      <c r="K11" s="682">
        <v>44203</v>
      </c>
      <c r="L11" s="683" t="s">
        <v>181</v>
      </c>
      <c r="M11" s="683" t="s">
        <v>187</v>
      </c>
      <c r="N11" s="683" t="s">
        <v>183</v>
      </c>
      <c r="O11" s="683">
        <v>4500925048</v>
      </c>
      <c r="P11" s="683" t="s">
        <v>3945</v>
      </c>
      <c r="Q11" s="683" t="s">
        <v>37</v>
      </c>
      <c r="R11" s="683" t="s">
        <v>1782</v>
      </c>
      <c r="S11" s="686" t="s">
        <v>3946</v>
      </c>
      <c r="T11" s="683" t="s">
        <v>3947</v>
      </c>
      <c r="U11" s="683" t="s">
        <v>3948</v>
      </c>
      <c r="V11" s="683" t="s">
        <v>146</v>
      </c>
      <c r="W11" s="683" t="s">
        <v>914</v>
      </c>
      <c r="X11" s="691" t="s">
        <v>918</v>
      </c>
      <c r="Y11" s="687">
        <v>3004214491</v>
      </c>
      <c r="Z11" s="692"/>
      <c r="AA11" s="683" t="s">
        <v>33</v>
      </c>
      <c r="AB11" s="683" t="s">
        <v>34</v>
      </c>
      <c r="AC11" s="683" t="s">
        <v>230</v>
      </c>
      <c r="AD11" s="683" t="s">
        <v>1110</v>
      </c>
      <c r="AE11" s="683">
        <v>60</v>
      </c>
      <c r="AF11" s="684">
        <v>2751</v>
      </c>
      <c r="AG11" s="683" t="s">
        <v>243</v>
      </c>
      <c r="AH11" s="683" t="s">
        <v>244</v>
      </c>
      <c r="AI11" s="683" t="s">
        <v>33</v>
      </c>
      <c r="AJ11" s="683">
        <v>3004133600</v>
      </c>
      <c r="AK11" s="683" t="s">
        <v>33</v>
      </c>
      <c r="AL11" s="683">
        <v>1063014</v>
      </c>
      <c r="AM11" s="683" t="s">
        <v>1121</v>
      </c>
      <c r="AN11" s="683" t="s">
        <v>1122</v>
      </c>
      <c r="AO11" s="683" t="s">
        <v>1349</v>
      </c>
      <c r="AP11" s="683" t="s">
        <v>240</v>
      </c>
      <c r="AQ11" s="688" t="str">
        <f>CONCATENATE("REG-",BDEGENER[[#This Row],[FECHA DE SERVICIO]],"-",BDEGENER[[#This Row],[SERIE]],"-",BDEGENER[[#This Row],[HORAS]])</f>
        <v>REG-44203-3004214491-2751</v>
      </c>
      <c r="AR11" s="683" t="str">
        <f>CONCATENATE("MARCA: ",BDEGENER[[#This Row],[MARCA]],"
 MODELO: ",BDEGENER[[#This Row],[MODELO]])</f>
        <v>MARCA: GENERAC
 MODELO: PG090</v>
      </c>
      <c r="AS11" s="683" t="str">
        <f>CONCATENATE("MARCA: ",BDEGENER[[#This Row],[MARCA DE MOTOR]],"
SERIE: ",BDEGENER[[#This Row],[SERIE DE MOTOR]])</f>
        <v>MARCA: GENERAC
SERIE: 3004133600</v>
      </c>
      <c r="AT11" s="683" t="str">
        <f>CONCATENATE("MARCA: ",BDEGENER[[#This Row],[MARCA ALTERNADOR ]],"
SERIE: ",BDEGENER[[#This Row],[SERIE DE ALTERNADOR]])</f>
        <v>MARCA: GENERAC
SERIE: 1063014</v>
      </c>
      <c r="AU11" s="683" t="str">
        <f>CONCATENATE("HORAS: ",BDEGENER[[#This Row],[HORAS]],"
KW-HR: ",BDEGENER[[#This Row],[KW-HORA]],"
VOLT.BATERIA: ",BDEGENER[[#This Row],[VOLTAJE DE BATERIA]],"
TEMPERATURA: ",BDEGENER[[#This Row],[TEMPERATURA DE AGUA]],"
PRES. ACEITE: ",BDEGENER[[#This Row],[PRESION DE ACEITE]])</f>
        <v>HORAS: 2751
KW-HR: 53590
VOLT.BATERIA: 13.7 V
TEMPERATURA: 195 °F
PRES. ACEITE: 56 PSI</v>
      </c>
      <c r="AV11" s="683">
        <f>COUNTIFS(Q11:Q2011,"MANTENIMIENTO CORRECTIVO",Y11:Y2011,BDEGENER[[#This Row],[SERIE]])</f>
        <v>6</v>
      </c>
      <c r="AW11" s="683">
        <f>COUNTIFS(Q11:Q2011,"MANTENIMIENTO PREVENTIVO",Y11:Y2011,BDEGENER[[#This Row],[SERIE]])</f>
        <v>9</v>
      </c>
      <c r="AX1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11" s="683">
        <f>COUNTIFS(BDEGENER[SERIE],BDEGENER[[#This Row],[SERIE]],BDEGENER[TIPO DE SERVICIO],"MANTENIMIENTO PREVENTIVO")</f>
        <v>9</v>
      </c>
      <c r="AZ11" s="683" t="str">
        <f>CONCATENATE("MANTENIMIENTO PREVENTIVO N°",BDEGENER[[#This Row],[GA1]])</f>
        <v>MANTENIMIENTO PREVENTIVO N°9</v>
      </c>
      <c r="BA11" s="683">
        <f>IF(BDEGENER[[#This Row],[SERVICIO]]=BDEGENER[[#This Row],[GA2]],BDEGENER[[#This Row],[HORAS]],"0")</f>
        <v>2751</v>
      </c>
      <c r="BB11" s="683">
        <f>SUMIF(BDEGENER[SERIE],BDEGENER[[#This Row],[SERIE]],BDEGENER[GA3])</f>
        <v>2751</v>
      </c>
      <c r="BC11" s="683" t="str">
        <f>CONCATENATE("MANT",COUNTIF($Y$7:Y11,Y11))</f>
        <v>MANT1</v>
      </c>
      <c r="BD11" s="683" t="str">
        <f>CONCATENATE(BDEGENER[[#This Row],[SERIE]],BDEGENER[[#This Row],[GA5]])</f>
        <v>3004214491MANT1</v>
      </c>
      <c r="BE11" s="683" t="str">
        <f>CONCATENATE(BDEGENER[[#This Row],[CODIGO PATRIMONIAL]],BDEGENER[[#This Row],[GA5]])</f>
        <v>MANT1</v>
      </c>
      <c r="BF11" s="683">
        <f>COUNTIF(BDEGENER[SERIE],BDEGENER[[#This Row],[SERIE]])</f>
        <v>18</v>
      </c>
      <c r="BG11" s="683" t="str">
        <f>CONCATENATE("F",COUNTIF($K$7:K11,K11))</f>
        <v>F4</v>
      </c>
      <c r="BH11" s="683" t="str">
        <f>CONCATENATE(BDEGENER[[#This Row],[FECHA DE SERVICIO]],BDEGENER[[#This Row],[N° DE REGISTROS DEL DIA]])</f>
        <v>44203F4</v>
      </c>
      <c r="BI11" s="684">
        <v>53590</v>
      </c>
      <c r="BJ11" s="683" t="s">
        <v>1544</v>
      </c>
      <c r="BK11" s="762" t="s">
        <v>2114</v>
      </c>
    </row>
    <row r="12" spans="1:63" ht="69" hidden="1" x14ac:dyDescent="0.3">
      <c r="B12" s="2"/>
      <c r="C12" s="2"/>
      <c r="D12" s="2"/>
      <c r="E12" s="2"/>
      <c r="F12" s="2"/>
      <c r="G12" s="2"/>
      <c r="H12" s="2"/>
      <c r="I12" s="2"/>
      <c r="J12" s="685"/>
      <c r="K12" s="682">
        <v>44200</v>
      </c>
      <c r="L12" s="683" t="s">
        <v>181</v>
      </c>
      <c r="M12" s="683" t="s">
        <v>184</v>
      </c>
      <c r="N12" s="683" t="s">
        <v>183</v>
      </c>
      <c r="O12" s="683">
        <v>4500925048</v>
      </c>
      <c r="P12" s="683"/>
      <c r="Q12" s="683" t="s">
        <v>37</v>
      </c>
      <c r="R12" s="683" t="s">
        <v>1782</v>
      </c>
      <c r="S12" s="686" t="s">
        <v>3950</v>
      </c>
      <c r="T12" s="683" t="s">
        <v>3955</v>
      </c>
      <c r="U12" s="683" t="s">
        <v>3957</v>
      </c>
      <c r="V12" s="683" t="s">
        <v>146</v>
      </c>
      <c r="W12" s="683" t="s">
        <v>914</v>
      </c>
      <c r="X12" s="691" t="s">
        <v>918</v>
      </c>
      <c r="Y12" s="687">
        <v>3004336197</v>
      </c>
      <c r="Z12" s="692"/>
      <c r="AA12" s="683" t="s">
        <v>33</v>
      </c>
      <c r="AB12" s="683" t="s">
        <v>34</v>
      </c>
      <c r="AC12" s="683" t="s">
        <v>230</v>
      </c>
      <c r="AD12" s="683" t="s">
        <v>1110</v>
      </c>
      <c r="AE12" s="683">
        <v>60</v>
      </c>
      <c r="AF12" s="684">
        <v>2922.3</v>
      </c>
      <c r="AG12" s="683" t="s">
        <v>243</v>
      </c>
      <c r="AH12" s="683" t="s">
        <v>220</v>
      </c>
      <c r="AI12" s="683" t="s">
        <v>33</v>
      </c>
      <c r="AJ12" s="683">
        <v>3004309062</v>
      </c>
      <c r="AK12" s="683" t="s">
        <v>33</v>
      </c>
      <c r="AL12" s="683">
        <v>10650720</v>
      </c>
      <c r="AM12" s="683" t="s">
        <v>1121</v>
      </c>
      <c r="AN12" s="683" t="s">
        <v>1352</v>
      </c>
      <c r="AO12" s="683" t="s">
        <v>1144</v>
      </c>
      <c r="AP12" s="683" t="s">
        <v>240</v>
      </c>
      <c r="AQ12" s="688" t="str">
        <f>CONCATENATE("REG-",BDEGENER[[#This Row],[FECHA DE SERVICIO]],"-",BDEGENER[[#This Row],[SERIE]],"-",BDEGENER[[#This Row],[HORAS]])</f>
        <v>REG-44200-3004336197-2922,3</v>
      </c>
      <c r="AR12" s="683" t="str">
        <f>CONCATENATE("MARCA: ",BDEGENER[[#This Row],[MARCA]],"
 MODELO: ",BDEGENER[[#This Row],[MODELO]])</f>
        <v>MARCA: GENERAC
 MODELO: PG090</v>
      </c>
      <c r="AS12" s="683" t="str">
        <f>CONCATENATE("MARCA: ",BDEGENER[[#This Row],[MARCA DE MOTOR]],"
SERIE: ",BDEGENER[[#This Row],[SERIE DE MOTOR]])</f>
        <v>MARCA: GENERAC
SERIE: 3004309062</v>
      </c>
      <c r="AT12" s="683" t="str">
        <f>CONCATENATE("MARCA: ",BDEGENER[[#This Row],[MARCA ALTERNADOR ]],"
SERIE: ",BDEGENER[[#This Row],[SERIE DE ALTERNADOR]])</f>
        <v>MARCA: GENERAC
SERIE: 10650720</v>
      </c>
      <c r="AU12" s="683" t="str">
        <f>CONCATENATE("HORAS: ",BDEGENER[[#This Row],[HORAS]],"
KW-HR: ",BDEGENER[[#This Row],[KW-HORA]],"
VOLT.BATERIA: ",BDEGENER[[#This Row],[VOLTAJE DE BATERIA]],"
TEMPERATURA: ",BDEGENER[[#This Row],[TEMPERATURA DE AGUA]],"
PRES. ACEITE: ",BDEGENER[[#This Row],[PRESION DE ACEITE]])</f>
        <v>HORAS: 2922,3
KW-HR: 72099
VOLT.BATERIA: 13.7 V
TEMPERATURA: 196 °F
PRES. ACEITE: 59 PSI</v>
      </c>
      <c r="AV12" s="683">
        <f>COUNTIFS(Q12:Q2012,"MANTENIMIENTO CORRECTIVO",Y12:Y2012,BDEGENER[[#This Row],[SERIE]])</f>
        <v>5</v>
      </c>
      <c r="AW12" s="683">
        <f>COUNTIFS(Q12:Q2012,"MANTENIMIENTO PREVENTIVO",Y12:Y2012,BDEGENER[[#This Row],[SERIE]])</f>
        <v>9</v>
      </c>
      <c r="AX1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12" s="683">
        <f>COUNTIFS(BDEGENER[SERIE],BDEGENER[[#This Row],[SERIE]],BDEGENER[TIPO DE SERVICIO],"MANTENIMIENTO PREVENTIVO")</f>
        <v>9</v>
      </c>
      <c r="AZ12" s="683" t="str">
        <f>CONCATENATE("MANTENIMIENTO PREVENTIVO N°",BDEGENER[[#This Row],[GA1]])</f>
        <v>MANTENIMIENTO PREVENTIVO N°9</v>
      </c>
      <c r="BA12" s="683">
        <f>IF(BDEGENER[[#This Row],[SERVICIO]]=BDEGENER[[#This Row],[GA2]],BDEGENER[[#This Row],[HORAS]],"0")</f>
        <v>2922.3</v>
      </c>
      <c r="BB12" s="683">
        <f>SUMIF(BDEGENER[SERIE],BDEGENER[[#This Row],[SERIE]],BDEGENER[GA3])</f>
        <v>2922.3</v>
      </c>
      <c r="BC12" s="683" t="str">
        <f>CONCATENATE("MANT",COUNTIF($Y$7:Y12,Y12))</f>
        <v>MANT1</v>
      </c>
      <c r="BD12" s="683" t="str">
        <f>CONCATENATE(BDEGENER[[#This Row],[SERIE]],BDEGENER[[#This Row],[GA5]])</f>
        <v>3004336197MANT1</v>
      </c>
      <c r="BE12" s="683" t="str">
        <f>CONCATENATE(BDEGENER[[#This Row],[CODIGO PATRIMONIAL]],BDEGENER[[#This Row],[GA5]])</f>
        <v>MANT1</v>
      </c>
      <c r="BF12" s="683">
        <f>COUNTIF(BDEGENER[SERIE],BDEGENER[[#This Row],[SERIE]])</f>
        <v>17</v>
      </c>
      <c r="BG12" s="683" t="str">
        <f>CONCATENATE("F",COUNTIF($K$7:K12,K12))</f>
        <v>F1</v>
      </c>
      <c r="BH12" s="683" t="str">
        <f>CONCATENATE(BDEGENER[[#This Row],[FECHA DE SERVICIO]],BDEGENER[[#This Row],[N° DE REGISTROS DEL DIA]])</f>
        <v>44200F1</v>
      </c>
      <c r="BI12" s="684">
        <v>72099</v>
      </c>
      <c r="BJ12" s="683" t="s">
        <v>1544</v>
      </c>
      <c r="BK12" s="762" t="s">
        <v>2165</v>
      </c>
    </row>
    <row r="13" spans="1:63" ht="69" hidden="1" x14ac:dyDescent="0.3">
      <c r="B13" s="2"/>
      <c r="C13" s="2"/>
      <c r="D13" s="2"/>
      <c r="E13" s="2"/>
      <c r="F13" s="2"/>
      <c r="G13" s="2"/>
      <c r="H13" s="2"/>
      <c r="I13" s="2"/>
      <c r="J13" s="685"/>
      <c r="K13" s="682">
        <v>44200</v>
      </c>
      <c r="L13" s="683" t="s">
        <v>181</v>
      </c>
      <c r="M13" s="683" t="s">
        <v>190</v>
      </c>
      <c r="N13" s="683" t="s">
        <v>183</v>
      </c>
      <c r="O13" s="683">
        <v>4500873022</v>
      </c>
      <c r="P13" s="683" t="s">
        <v>3934</v>
      </c>
      <c r="Q13" s="683" t="s">
        <v>37</v>
      </c>
      <c r="R13" s="683" t="s">
        <v>1782</v>
      </c>
      <c r="S13" s="686" t="s">
        <v>3954</v>
      </c>
      <c r="T13" s="683" t="s">
        <v>3955</v>
      </c>
      <c r="U13" s="683" t="s">
        <v>3956</v>
      </c>
      <c r="V13" s="683" t="s">
        <v>146</v>
      </c>
      <c r="W13" s="683" t="s">
        <v>914</v>
      </c>
      <c r="X13" s="691" t="s">
        <v>918</v>
      </c>
      <c r="Y13" s="687">
        <v>3004416582</v>
      </c>
      <c r="Z13" s="692"/>
      <c r="AA13" s="683" t="s">
        <v>33</v>
      </c>
      <c r="AB13" s="683" t="s">
        <v>34</v>
      </c>
      <c r="AC13" s="683" t="s">
        <v>230</v>
      </c>
      <c r="AD13" s="683" t="s">
        <v>1110</v>
      </c>
      <c r="AE13" s="683">
        <v>60</v>
      </c>
      <c r="AF13" s="684">
        <v>2342.3000000000002</v>
      </c>
      <c r="AG13" s="683" t="s">
        <v>243</v>
      </c>
      <c r="AH13" s="683" t="s">
        <v>220</v>
      </c>
      <c r="AI13" s="683" t="s">
        <v>33</v>
      </c>
      <c r="AJ13" s="683">
        <v>3004309061</v>
      </c>
      <c r="AK13" s="683" t="s">
        <v>33</v>
      </c>
      <c r="AL13" s="683">
        <v>107748830</v>
      </c>
      <c r="AM13" s="683" t="s">
        <v>1121</v>
      </c>
      <c r="AN13" s="683" t="s">
        <v>1143</v>
      </c>
      <c r="AO13" s="683" t="s">
        <v>1095</v>
      </c>
      <c r="AP13" s="683" t="s">
        <v>240</v>
      </c>
      <c r="AQ13" s="688" t="str">
        <f>CONCATENATE("REG-",BDEGENER[[#This Row],[FECHA DE SERVICIO]],"-",BDEGENER[[#This Row],[SERIE]],"-",BDEGENER[[#This Row],[HORAS]])</f>
        <v>REG-44200-3004416582-2342,3</v>
      </c>
      <c r="AR13" s="683" t="str">
        <f>CONCATENATE("MARCA: ",BDEGENER[[#This Row],[MARCA]],"
 MODELO: ",BDEGENER[[#This Row],[MODELO]])</f>
        <v>MARCA: GENERAC
 MODELO: PG090</v>
      </c>
      <c r="AS13" s="683" t="str">
        <f>CONCATENATE("MARCA: ",BDEGENER[[#This Row],[MARCA DE MOTOR]],"
SERIE: ",BDEGENER[[#This Row],[SERIE DE MOTOR]])</f>
        <v>MARCA: GENERAC
SERIE: 3004309061</v>
      </c>
      <c r="AT13" s="683" t="str">
        <f>CONCATENATE("MARCA: ",BDEGENER[[#This Row],[MARCA ALTERNADOR ]],"
SERIE: ",BDEGENER[[#This Row],[SERIE DE ALTERNADOR]])</f>
        <v>MARCA: GENERAC
SERIE: 107748830</v>
      </c>
      <c r="AU13" s="683" t="str">
        <f>CONCATENATE("HORAS: ",BDEGENER[[#This Row],[HORAS]],"
KW-HR: ",BDEGENER[[#This Row],[KW-HORA]],"
VOLT.BATERIA: ",BDEGENER[[#This Row],[VOLTAJE DE BATERIA]],"
TEMPERATURA: ",BDEGENER[[#This Row],[TEMPERATURA DE AGUA]],"
PRES. ACEITE: ",BDEGENER[[#This Row],[PRESION DE ACEITE]])</f>
        <v>HORAS: 2342,3
KW-HR: 63105,3
VOLT.BATERIA: 13.7 V
TEMPERATURA: 197 °F
PRES. ACEITE: 54 PSI</v>
      </c>
      <c r="AV13" s="683">
        <f>COUNTIFS(Q13:Q2013,"MANTENIMIENTO CORRECTIVO",Y13:Y2013,BDEGENER[[#This Row],[SERIE]])</f>
        <v>3</v>
      </c>
      <c r="AW13" s="683">
        <f>COUNTIFS(Q13:Q2013,"MANTENIMIENTO PREVENTIVO",Y13:Y2013,BDEGENER[[#This Row],[SERIE]])</f>
        <v>7</v>
      </c>
      <c r="AX1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3" s="683">
        <f>COUNTIFS(BDEGENER[SERIE],BDEGENER[[#This Row],[SERIE]],BDEGENER[TIPO DE SERVICIO],"MANTENIMIENTO PREVENTIVO")</f>
        <v>7</v>
      </c>
      <c r="AZ13" s="683" t="str">
        <f>CONCATENATE("MANTENIMIENTO PREVENTIVO N°",BDEGENER[[#This Row],[GA1]])</f>
        <v>MANTENIMIENTO PREVENTIVO N°7</v>
      </c>
      <c r="BA13" s="683">
        <f>IF(BDEGENER[[#This Row],[SERVICIO]]=BDEGENER[[#This Row],[GA2]],BDEGENER[[#This Row],[HORAS]],"0")</f>
        <v>2342.3000000000002</v>
      </c>
      <c r="BB13" s="683">
        <f>SUMIF(BDEGENER[SERIE],BDEGENER[[#This Row],[SERIE]],BDEGENER[GA3])</f>
        <v>2342.3000000000002</v>
      </c>
      <c r="BC13" s="761" t="str">
        <f>CONCATENATE("MANT",COUNTIF($Y$7:Y13,Y13))</f>
        <v>MANT1</v>
      </c>
      <c r="BD13" s="683" t="str">
        <f>CONCATENATE(BDEGENER[[#This Row],[SERIE]],BDEGENER[[#This Row],[GA5]])</f>
        <v>3004416582MANT1</v>
      </c>
      <c r="BE13" s="683" t="str">
        <f>CONCATENATE(BDEGENER[[#This Row],[CODIGO PATRIMONIAL]],BDEGENER[[#This Row],[GA5]])</f>
        <v>MANT1</v>
      </c>
      <c r="BF13" s="683">
        <f>COUNTIF(BDEGENER[SERIE],BDEGENER[[#This Row],[SERIE]])</f>
        <v>11</v>
      </c>
      <c r="BG13" s="761" t="str">
        <f>CONCATENATE("F",COUNTIF($K$7:K13,K13))</f>
        <v>F2</v>
      </c>
      <c r="BH13" s="683" t="str">
        <f>CONCATENATE(BDEGENER[[#This Row],[FECHA DE SERVICIO]],BDEGENER[[#This Row],[N° DE REGISTROS DEL DIA]])</f>
        <v>44200F2</v>
      </c>
      <c r="BI13" s="684">
        <v>63105.3</v>
      </c>
      <c r="BJ13" s="683" t="s">
        <v>1544</v>
      </c>
      <c r="BK13" s="762" t="s">
        <v>2165</v>
      </c>
    </row>
    <row r="14" spans="1:63" ht="69" hidden="1" x14ac:dyDescent="0.3">
      <c r="B14" s="2"/>
      <c r="C14" s="2"/>
      <c r="D14" s="2"/>
      <c r="E14" s="2"/>
      <c r="F14" s="2"/>
      <c r="G14" s="2"/>
      <c r="H14" s="2"/>
      <c r="I14" s="2"/>
      <c r="J14" s="685"/>
      <c r="K14" s="682">
        <v>44200</v>
      </c>
      <c r="L14" s="683" t="s">
        <v>181</v>
      </c>
      <c r="M14" s="683" t="s">
        <v>188</v>
      </c>
      <c r="N14" s="683" t="s">
        <v>183</v>
      </c>
      <c r="O14" s="683">
        <v>4500873022</v>
      </c>
      <c r="P14" s="683" t="s">
        <v>3934</v>
      </c>
      <c r="Q14" s="683" t="s">
        <v>37</v>
      </c>
      <c r="R14" s="683" t="s">
        <v>1782</v>
      </c>
      <c r="S14" s="686" t="s">
        <v>3941</v>
      </c>
      <c r="T14" s="683" t="s">
        <v>3942</v>
      </c>
      <c r="U14" s="683" t="s">
        <v>3932</v>
      </c>
      <c r="V14" s="683" t="s">
        <v>146</v>
      </c>
      <c r="W14" s="683" t="s">
        <v>914</v>
      </c>
      <c r="X14" s="691" t="s">
        <v>918</v>
      </c>
      <c r="Y14" s="687">
        <v>3004331707</v>
      </c>
      <c r="Z14" s="692"/>
      <c r="AA14" s="683" t="s">
        <v>33</v>
      </c>
      <c r="AB14" s="683" t="s">
        <v>34</v>
      </c>
      <c r="AC14" s="683" t="s">
        <v>230</v>
      </c>
      <c r="AD14" s="683" t="s">
        <v>1110</v>
      </c>
      <c r="AE14" s="683">
        <v>60</v>
      </c>
      <c r="AF14" s="684">
        <v>938</v>
      </c>
      <c r="AG14" s="683" t="s">
        <v>243</v>
      </c>
      <c r="AH14" s="683" t="s">
        <v>220</v>
      </c>
      <c r="AI14" s="683" t="s">
        <v>33</v>
      </c>
      <c r="AJ14" s="683">
        <v>3004308222</v>
      </c>
      <c r="AK14" s="683" t="s">
        <v>33</v>
      </c>
      <c r="AL14" s="683">
        <v>106304910</v>
      </c>
      <c r="AM14" s="683" t="s">
        <v>1377</v>
      </c>
      <c r="AN14" s="683" t="s">
        <v>1122</v>
      </c>
      <c r="AO14" s="683" t="s">
        <v>247</v>
      </c>
      <c r="AP14" s="683" t="s">
        <v>240</v>
      </c>
      <c r="AQ14" s="688" t="str">
        <f>CONCATENATE("REG-",BDEGENER[[#This Row],[FECHA DE SERVICIO]],"-",BDEGENER[[#This Row],[SERIE]],"-",BDEGENER[[#This Row],[HORAS]])</f>
        <v>REG-44200-3004331707-938</v>
      </c>
      <c r="AR14" s="683" t="str">
        <f>CONCATENATE("MARCA: ",BDEGENER[[#This Row],[MARCA]],"
 MODELO: ",BDEGENER[[#This Row],[MODELO]])</f>
        <v>MARCA: GENERAC
 MODELO: PG090</v>
      </c>
      <c r="AS14" s="683" t="str">
        <f>CONCATENATE("MARCA: ",BDEGENER[[#This Row],[MARCA DE MOTOR]],"
SERIE: ",BDEGENER[[#This Row],[SERIE DE MOTOR]])</f>
        <v>MARCA: GENERAC
SERIE: 3004308222</v>
      </c>
      <c r="AT14" s="683" t="str">
        <f>CONCATENATE("MARCA: ",BDEGENER[[#This Row],[MARCA ALTERNADOR ]],"
SERIE: ",BDEGENER[[#This Row],[SERIE DE ALTERNADOR]])</f>
        <v>MARCA: GENERAC
SERIE: 106304910</v>
      </c>
      <c r="AU14" s="683" t="str">
        <f>CONCATENATE("HORAS: ",BDEGENER[[#This Row],[HORAS]],"
KW-HR: ",BDEGENER[[#This Row],[KW-HORA]],"
VOLT.BATERIA: ",BDEGENER[[#This Row],[VOLTAJE DE BATERIA]],"
TEMPERATURA: ",BDEGENER[[#This Row],[TEMPERATURA DE AGUA]],"
PRES. ACEITE: ",BDEGENER[[#This Row],[PRESION DE ACEITE]])</f>
        <v>HORAS: 938
KW-HR: 21037,1
VOLT.BATERIA: 13.8 V
TEMPERATURA: 195 °F
PRES. ACEITE: 55 PSI</v>
      </c>
      <c r="AV14" s="683">
        <f>COUNTIFS(Q14:Q2014,"MANTENIMIENTO CORRECTIVO",Y14:Y2014,BDEGENER[[#This Row],[SERIE]])</f>
        <v>1</v>
      </c>
      <c r="AW14" s="683">
        <f>COUNTIFS(Q14:Q2014,"MANTENIMIENTO PREVENTIVO",Y14:Y2014,BDEGENER[[#This Row],[SERIE]])</f>
        <v>3</v>
      </c>
      <c r="AX1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4" s="683">
        <f>COUNTIFS(BDEGENER[SERIE],BDEGENER[[#This Row],[SERIE]],BDEGENER[TIPO DE SERVICIO],"MANTENIMIENTO PREVENTIVO")</f>
        <v>3</v>
      </c>
      <c r="AZ14" s="683" t="str">
        <f>CONCATENATE("MANTENIMIENTO PREVENTIVO N°",BDEGENER[[#This Row],[GA1]])</f>
        <v>MANTENIMIENTO PREVENTIVO N°3</v>
      </c>
      <c r="BA14" s="683">
        <f>IF(BDEGENER[[#This Row],[SERVICIO]]=BDEGENER[[#This Row],[GA2]],BDEGENER[[#This Row],[HORAS]],"0")</f>
        <v>938</v>
      </c>
      <c r="BB14" s="683">
        <f>SUMIF(BDEGENER[SERIE],BDEGENER[[#This Row],[SERIE]],BDEGENER[GA3])</f>
        <v>938</v>
      </c>
      <c r="BC14" s="683" t="str">
        <f>CONCATENATE("MANT",COUNTIF($Y$7:Y14,Y14))</f>
        <v>MANT1</v>
      </c>
      <c r="BD14" s="683" t="str">
        <f>CONCATENATE(BDEGENER[[#This Row],[SERIE]],BDEGENER[[#This Row],[GA5]])</f>
        <v>3004331707MANT1</v>
      </c>
      <c r="BE14" s="683" t="str">
        <f>CONCATENATE(BDEGENER[[#This Row],[CODIGO PATRIMONIAL]],BDEGENER[[#This Row],[GA5]])</f>
        <v>MANT1</v>
      </c>
      <c r="BF14" s="683">
        <f>COUNTIF(BDEGENER[SERIE],BDEGENER[[#This Row],[SERIE]])</f>
        <v>8</v>
      </c>
      <c r="BG14" s="683" t="str">
        <f>CONCATENATE("F",COUNTIF($K$7:K14,K14))</f>
        <v>F3</v>
      </c>
      <c r="BH14" s="683" t="str">
        <f>CONCATENATE(BDEGENER[[#This Row],[FECHA DE SERVICIO]],BDEGENER[[#This Row],[N° DE REGISTROS DEL DIA]])</f>
        <v>44200F3</v>
      </c>
      <c r="BI14" s="684">
        <v>21037.1</v>
      </c>
      <c r="BJ14" s="683" t="s">
        <v>1544</v>
      </c>
      <c r="BK14" s="762" t="s">
        <v>3188</v>
      </c>
    </row>
    <row r="15" spans="1:63" ht="69" hidden="1" x14ac:dyDescent="0.3">
      <c r="B15" s="2"/>
      <c r="C15" s="2"/>
      <c r="D15" s="2"/>
      <c r="E15" s="2"/>
      <c r="F15" s="2"/>
      <c r="G15" s="2"/>
      <c r="H15" s="2"/>
      <c r="I15" s="2"/>
      <c r="J15" s="685"/>
      <c r="K15" s="682">
        <v>44200</v>
      </c>
      <c r="L15" s="683" t="s">
        <v>181</v>
      </c>
      <c r="M15" s="683" t="s">
        <v>188</v>
      </c>
      <c r="N15" s="683" t="s">
        <v>183</v>
      </c>
      <c r="O15" s="683">
        <v>4500925048</v>
      </c>
      <c r="P15" s="683" t="s">
        <v>3934</v>
      </c>
      <c r="Q15" s="683" t="s">
        <v>37</v>
      </c>
      <c r="R15" s="683" t="s">
        <v>1782</v>
      </c>
      <c r="S15" s="686" t="s">
        <v>3938</v>
      </c>
      <c r="T15" s="683" t="s">
        <v>3939</v>
      </c>
      <c r="U15" s="683" t="s">
        <v>3940</v>
      </c>
      <c r="V15" s="683" t="s">
        <v>146</v>
      </c>
      <c r="W15" s="683" t="s">
        <v>914</v>
      </c>
      <c r="X15" s="691" t="s">
        <v>918</v>
      </c>
      <c r="Y15" s="687">
        <v>3004381437</v>
      </c>
      <c r="Z15" s="692"/>
      <c r="AA15" s="683" t="s">
        <v>33</v>
      </c>
      <c r="AB15" s="683" t="s">
        <v>34</v>
      </c>
      <c r="AC15" s="683" t="s">
        <v>230</v>
      </c>
      <c r="AD15" s="683" t="s">
        <v>1110</v>
      </c>
      <c r="AE15" s="683">
        <v>60</v>
      </c>
      <c r="AF15" s="684">
        <v>2359.6</v>
      </c>
      <c r="AG15" s="683" t="s">
        <v>243</v>
      </c>
      <c r="AH15" s="683" t="s">
        <v>220</v>
      </c>
      <c r="AI15" s="683" t="s">
        <v>33</v>
      </c>
      <c r="AJ15" s="683">
        <v>3004346804</v>
      </c>
      <c r="AK15" s="683" t="s">
        <v>33</v>
      </c>
      <c r="AL15" s="683">
        <v>10630963</v>
      </c>
      <c r="AM15" s="683" t="s">
        <v>1121</v>
      </c>
      <c r="AN15" s="683" t="s">
        <v>1352</v>
      </c>
      <c r="AO15" s="683" t="s">
        <v>247</v>
      </c>
      <c r="AP15" s="683" t="s">
        <v>240</v>
      </c>
      <c r="AQ15" s="688" t="str">
        <f>CONCATENATE("REG-",BDEGENER[[#This Row],[FECHA DE SERVICIO]],"-",BDEGENER[[#This Row],[SERIE]],"-",BDEGENER[[#This Row],[HORAS]])</f>
        <v>REG-44200-3004381437-2359,6</v>
      </c>
      <c r="AR15" s="683" t="str">
        <f>CONCATENATE("MARCA: ",BDEGENER[[#This Row],[MARCA]],"
 MODELO: ",BDEGENER[[#This Row],[MODELO]])</f>
        <v>MARCA: GENERAC
 MODELO: PG090</v>
      </c>
      <c r="AS15" s="683" t="str">
        <f>CONCATENATE("MARCA: ",BDEGENER[[#This Row],[MARCA DE MOTOR]],"
SERIE: ",BDEGENER[[#This Row],[SERIE DE MOTOR]])</f>
        <v>MARCA: GENERAC
SERIE: 3004346804</v>
      </c>
      <c r="AT15" s="683" t="str">
        <f>CONCATENATE("MARCA: ",BDEGENER[[#This Row],[MARCA ALTERNADOR ]],"
SERIE: ",BDEGENER[[#This Row],[SERIE DE ALTERNADOR]])</f>
        <v>MARCA: GENERAC
SERIE: 10630963</v>
      </c>
      <c r="AU15" s="683" t="str">
        <f>CONCATENATE("HORAS: ",BDEGENER[[#This Row],[HORAS]],"
KW-HR: ",BDEGENER[[#This Row],[KW-HORA]],"
VOLT.BATERIA: ",BDEGENER[[#This Row],[VOLTAJE DE BATERIA]],"
TEMPERATURA: ",BDEGENER[[#This Row],[TEMPERATURA DE AGUA]],"
PRES. ACEITE: ",BDEGENER[[#This Row],[PRESION DE ACEITE]])</f>
        <v>HORAS: 2359,6
KW-HR: 48249,2
VOLT.BATERIA: 13.7 V
TEMPERATURA: 196 °F
PRES. ACEITE: 55 PSI</v>
      </c>
      <c r="AV15" s="683">
        <f>COUNTIFS(Q15:Q2015,"MANTENIMIENTO CORRECTIVO",Y15:Y2015,BDEGENER[[#This Row],[SERIE]])</f>
        <v>3</v>
      </c>
      <c r="AW15" s="683">
        <f>COUNTIFS(Q15:Q2015,"MANTENIMIENTO PREVENTIVO",Y15:Y2015,BDEGENER[[#This Row],[SERIE]])</f>
        <v>8</v>
      </c>
      <c r="AX1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5" s="683">
        <f>COUNTIFS(BDEGENER[SERIE],BDEGENER[[#This Row],[SERIE]],BDEGENER[TIPO DE SERVICIO],"MANTENIMIENTO PREVENTIVO")</f>
        <v>8</v>
      </c>
      <c r="AZ15" s="683" t="str">
        <f>CONCATENATE("MANTENIMIENTO PREVENTIVO N°",BDEGENER[[#This Row],[GA1]])</f>
        <v>MANTENIMIENTO PREVENTIVO N°8</v>
      </c>
      <c r="BA15" s="683">
        <f>IF(BDEGENER[[#This Row],[SERVICIO]]=BDEGENER[[#This Row],[GA2]],BDEGENER[[#This Row],[HORAS]],"0")</f>
        <v>2359.6</v>
      </c>
      <c r="BB15" s="683">
        <f>SUMIF(BDEGENER[SERIE],BDEGENER[[#This Row],[SERIE]],BDEGENER[GA3])</f>
        <v>2359.6</v>
      </c>
      <c r="BC15" s="683" t="str">
        <f>CONCATENATE("MANT",COUNTIF($Y$7:Y15,Y15))</f>
        <v>MANT1</v>
      </c>
      <c r="BD15" s="683" t="str">
        <f>CONCATENATE(BDEGENER[[#This Row],[SERIE]],BDEGENER[[#This Row],[GA5]])</f>
        <v>3004381437MANT1</v>
      </c>
      <c r="BE15" s="683" t="str">
        <f>CONCATENATE(BDEGENER[[#This Row],[CODIGO PATRIMONIAL]],BDEGENER[[#This Row],[GA5]])</f>
        <v>MANT1</v>
      </c>
      <c r="BF15" s="683">
        <f>COUNTIF(BDEGENER[SERIE],BDEGENER[[#This Row],[SERIE]])</f>
        <v>12</v>
      </c>
      <c r="BG15" s="683" t="str">
        <f>CONCATENATE("F",COUNTIF($K$7:K15,K15))</f>
        <v>F4</v>
      </c>
      <c r="BH15" s="683" t="str">
        <f>CONCATENATE(BDEGENER[[#This Row],[FECHA DE SERVICIO]],BDEGENER[[#This Row],[N° DE REGISTROS DEL DIA]])</f>
        <v>44200F4</v>
      </c>
      <c r="BI15" s="684">
        <v>48249.2</v>
      </c>
      <c r="BJ15" s="683" t="s">
        <v>1544</v>
      </c>
      <c r="BK15" s="762" t="s">
        <v>232</v>
      </c>
    </row>
    <row r="16" spans="1:63" ht="69" hidden="1" x14ac:dyDescent="0.3">
      <c r="B16" s="2"/>
      <c r="C16" s="2"/>
      <c r="D16" s="2"/>
      <c r="E16" s="2"/>
      <c r="F16" s="2"/>
      <c r="G16" s="2"/>
      <c r="H16" s="2"/>
      <c r="I16" s="2"/>
      <c r="J16" s="685"/>
      <c r="K16" s="682">
        <v>44200</v>
      </c>
      <c r="L16" s="683" t="s">
        <v>181</v>
      </c>
      <c r="M16" s="683" t="s">
        <v>188</v>
      </c>
      <c r="N16" s="683" t="s">
        <v>183</v>
      </c>
      <c r="O16" s="683">
        <v>4500873022</v>
      </c>
      <c r="P16" s="683" t="s">
        <v>3934</v>
      </c>
      <c r="Q16" s="683" t="s">
        <v>37</v>
      </c>
      <c r="R16" s="683" t="s">
        <v>1782</v>
      </c>
      <c r="S16" s="686" t="s">
        <v>3935</v>
      </c>
      <c r="T16" s="683" t="s">
        <v>3936</v>
      </c>
      <c r="U16" s="683" t="s">
        <v>3937</v>
      </c>
      <c r="V16" s="683" t="s">
        <v>146</v>
      </c>
      <c r="W16" s="683" t="s">
        <v>914</v>
      </c>
      <c r="X16" s="691" t="s">
        <v>918</v>
      </c>
      <c r="Y16" s="687">
        <v>3004290369</v>
      </c>
      <c r="Z16" s="692"/>
      <c r="AA16" s="683" t="s">
        <v>33</v>
      </c>
      <c r="AB16" s="683" t="s">
        <v>34</v>
      </c>
      <c r="AC16" s="683" t="s">
        <v>230</v>
      </c>
      <c r="AD16" s="683" t="s">
        <v>1110</v>
      </c>
      <c r="AE16" s="683">
        <v>60</v>
      </c>
      <c r="AF16" s="684">
        <v>2294</v>
      </c>
      <c r="AG16" s="683" t="s">
        <v>243</v>
      </c>
      <c r="AH16" s="683" t="s">
        <v>220</v>
      </c>
      <c r="AI16" s="683" t="s">
        <v>33</v>
      </c>
      <c r="AJ16" s="683">
        <v>3004308219</v>
      </c>
      <c r="AK16" s="683" t="s">
        <v>33</v>
      </c>
      <c r="AL16" s="683">
        <v>1063018</v>
      </c>
      <c r="AM16" s="683" t="s">
        <v>1377</v>
      </c>
      <c r="AN16" s="683" t="s">
        <v>246</v>
      </c>
      <c r="AO16" s="683" t="s">
        <v>1318</v>
      </c>
      <c r="AP16" s="683" t="s">
        <v>240</v>
      </c>
      <c r="AQ16" s="688" t="str">
        <f>CONCATENATE("REG-",BDEGENER[[#This Row],[FECHA DE SERVICIO]],"-",BDEGENER[[#This Row],[SERIE]],"-",BDEGENER[[#This Row],[HORAS]])</f>
        <v>REG-44200-3004290369-2294</v>
      </c>
      <c r="AR16" s="683" t="str">
        <f>CONCATENATE("MARCA: ",BDEGENER[[#This Row],[MARCA]],"
 MODELO: ",BDEGENER[[#This Row],[MODELO]])</f>
        <v>MARCA: GENERAC
 MODELO: PG090</v>
      </c>
      <c r="AS16" s="683" t="str">
        <f>CONCATENATE("MARCA: ",BDEGENER[[#This Row],[MARCA DE MOTOR]],"
SERIE: ",BDEGENER[[#This Row],[SERIE DE MOTOR]])</f>
        <v>MARCA: GENERAC
SERIE: 3004308219</v>
      </c>
      <c r="AT16" s="683" t="str">
        <f>CONCATENATE("MARCA: ",BDEGENER[[#This Row],[MARCA ALTERNADOR ]],"
SERIE: ",BDEGENER[[#This Row],[SERIE DE ALTERNADOR]])</f>
        <v>MARCA: GENERAC
SERIE: 1063018</v>
      </c>
      <c r="AU16" s="683" t="str">
        <f>CONCATENATE("HORAS: ",BDEGENER[[#This Row],[HORAS]],"
KW-HR: ",BDEGENER[[#This Row],[KW-HORA]],"
VOLT.BATERIA: ",BDEGENER[[#This Row],[VOLTAJE DE BATERIA]],"
TEMPERATURA: ",BDEGENER[[#This Row],[TEMPERATURA DE AGUA]],"
PRES. ACEITE: ",BDEGENER[[#This Row],[PRESION DE ACEITE]])</f>
        <v>HORAS: 2294
KW-HR: 54759,7
VOLT.BATERIA: 13.8 V
TEMPERATURA: 198 °F
PRES. ACEITE: 58 PSI</v>
      </c>
      <c r="AV16" s="683">
        <f>COUNTIFS(Q16:Q2016,"MANTENIMIENTO CORRECTIVO",Y16:Y2016,BDEGENER[[#This Row],[SERIE]])</f>
        <v>2</v>
      </c>
      <c r="AW16" s="683">
        <f>COUNTIFS(Q16:Q2016,"MANTENIMIENTO PREVENTIVO",Y16:Y2016,BDEGENER[[#This Row],[SERIE]])</f>
        <v>7</v>
      </c>
      <c r="AX1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6" s="683">
        <f>COUNTIFS(BDEGENER[SERIE],BDEGENER[[#This Row],[SERIE]],BDEGENER[TIPO DE SERVICIO],"MANTENIMIENTO PREVENTIVO")</f>
        <v>7</v>
      </c>
      <c r="AZ16" s="683" t="str">
        <f>CONCATENATE("MANTENIMIENTO PREVENTIVO N°",BDEGENER[[#This Row],[GA1]])</f>
        <v>MANTENIMIENTO PREVENTIVO N°7</v>
      </c>
      <c r="BA16" s="683">
        <f>IF(BDEGENER[[#This Row],[SERVICIO]]=BDEGENER[[#This Row],[GA2]],BDEGENER[[#This Row],[HORAS]],"0")</f>
        <v>2294</v>
      </c>
      <c r="BB16" s="683">
        <f>SUMIF(BDEGENER[SERIE],BDEGENER[[#This Row],[SERIE]],BDEGENER[GA3])</f>
        <v>2294</v>
      </c>
      <c r="BC16" s="761" t="str">
        <f>CONCATENATE("MANT",COUNTIF($Y$7:Y16,Y16))</f>
        <v>MANT1</v>
      </c>
      <c r="BD16" s="683" t="str">
        <f>CONCATENATE(BDEGENER[[#This Row],[SERIE]],BDEGENER[[#This Row],[GA5]])</f>
        <v>3004290369MANT1</v>
      </c>
      <c r="BE16" s="683" t="str">
        <f>CONCATENATE(BDEGENER[[#This Row],[CODIGO PATRIMONIAL]],BDEGENER[[#This Row],[GA5]])</f>
        <v>MANT1</v>
      </c>
      <c r="BF16" s="683">
        <f>COUNTIF(BDEGENER[SERIE],BDEGENER[[#This Row],[SERIE]])</f>
        <v>11</v>
      </c>
      <c r="BG16" s="761" t="str">
        <f>CONCATENATE("F",COUNTIF($K$7:K16,K16))</f>
        <v>F5</v>
      </c>
      <c r="BH16" s="683" t="str">
        <f>CONCATENATE(BDEGENER[[#This Row],[FECHA DE SERVICIO]],BDEGENER[[#This Row],[N° DE REGISTROS DEL DIA]])</f>
        <v>44200F5</v>
      </c>
      <c r="BI16" s="684">
        <v>54759.7</v>
      </c>
      <c r="BJ16" s="683" t="s">
        <v>1544</v>
      </c>
      <c r="BK16" s="762" t="s">
        <v>2515</v>
      </c>
    </row>
    <row r="17" spans="2:63" ht="69" hidden="1" x14ac:dyDescent="0.3">
      <c r="B17" s="2"/>
      <c r="C17" s="2"/>
      <c r="D17" s="2"/>
      <c r="E17" s="2"/>
      <c r="F17" s="2"/>
      <c r="G17" s="2"/>
      <c r="H17" s="2"/>
      <c r="I17" s="2"/>
      <c r="J17" s="685"/>
      <c r="K17" s="682">
        <v>44200</v>
      </c>
      <c r="L17" s="683" t="s">
        <v>181</v>
      </c>
      <c r="M17" s="683" t="s">
        <v>185</v>
      </c>
      <c r="N17" s="683" t="s">
        <v>183</v>
      </c>
      <c r="O17" s="683"/>
      <c r="P17" s="683" t="s">
        <v>3933</v>
      </c>
      <c r="Q17" s="683" t="s">
        <v>107</v>
      </c>
      <c r="R17" s="683" t="s">
        <v>1782</v>
      </c>
      <c r="S17" s="686" t="s">
        <v>3930</v>
      </c>
      <c r="T17" s="683" t="s">
        <v>3931</v>
      </c>
      <c r="U17" s="683" t="s">
        <v>3932</v>
      </c>
      <c r="V17" s="683" t="s">
        <v>146</v>
      </c>
      <c r="W17" s="683" t="s">
        <v>914</v>
      </c>
      <c r="X17" s="691" t="s">
        <v>918</v>
      </c>
      <c r="Y17" s="687">
        <v>3004290365</v>
      </c>
      <c r="Z17" s="692"/>
      <c r="AA17" s="683" t="s">
        <v>33</v>
      </c>
      <c r="AB17" s="683" t="s">
        <v>34</v>
      </c>
      <c r="AC17" s="683" t="s">
        <v>230</v>
      </c>
      <c r="AD17" s="683" t="s">
        <v>1110</v>
      </c>
      <c r="AE17" s="683">
        <v>60</v>
      </c>
      <c r="AF17" s="684">
        <v>1931.8</v>
      </c>
      <c r="AG17" s="683" t="s">
        <v>243</v>
      </c>
      <c r="AH17" s="683" t="s">
        <v>220</v>
      </c>
      <c r="AI17" s="683" t="s">
        <v>33</v>
      </c>
      <c r="AJ17" s="683">
        <v>3004301039</v>
      </c>
      <c r="AK17" s="683" t="s">
        <v>33</v>
      </c>
      <c r="AL17" s="683">
        <v>1063018</v>
      </c>
      <c r="AM17" s="683" t="s">
        <v>1377</v>
      </c>
      <c r="AN17" s="683" t="s">
        <v>1143</v>
      </c>
      <c r="AO17" s="683" t="s">
        <v>1318</v>
      </c>
      <c r="AP17" s="683" t="s">
        <v>240</v>
      </c>
      <c r="AQ17" s="688" t="str">
        <f>CONCATENATE("REG-",BDEGENER[[#This Row],[FECHA DE SERVICIO]],"-",BDEGENER[[#This Row],[SERIE]],"-",BDEGENER[[#This Row],[HORAS]])</f>
        <v>REG-44200-3004290365-1931,8</v>
      </c>
      <c r="AR17" s="683" t="str">
        <f>CONCATENATE("MARCA: ",BDEGENER[[#This Row],[MARCA]],"
 MODELO: ",BDEGENER[[#This Row],[MODELO]])</f>
        <v>MARCA: GENERAC
 MODELO: PG090</v>
      </c>
      <c r="AS17" s="683" t="str">
        <f>CONCATENATE("MARCA: ",BDEGENER[[#This Row],[MARCA DE MOTOR]],"
SERIE: ",BDEGENER[[#This Row],[SERIE DE MOTOR]])</f>
        <v>MARCA: GENERAC
SERIE: 3004301039</v>
      </c>
      <c r="AT17" s="683" t="str">
        <f>CONCATENATE("MARCA: ",BDEGENER[[#This Row],[MARCA ALTERNADOR ]],"
SERIE: ",BDEGENER[[#This Row],[SERIE DE ALTERNADOR]])</f>
        <v>MARCA: GENERAC
SERIE: 1063018</v>
      </c>
      <c r="AU17" s="683" t="str">
        <f>CONCATENATE("HORAS: ",BDEGENER[[#This Row],[HORAS]],"
KW-HR: ",BDEGENER[[#This Row],[KW-HORA]],"
VOLT.BATERIA: ",BDEGENER[[#This Row],[VOLTAJE DE BATERIA]],"
TEMPERATURA: ",BDEGENER[[#This Row],[TEMPERATURA DE AGUA]],"
PRES. ACEITE: ",BDEGENER[[#This Row],[PRESION DE ACEITE]])</f>
        <v>HORAS: 1931,8
KW-HR: 49589,9
VOLT.BATERIA: 13.8 V
TEMPERATURA: 197 °F
PRES. ACEITE: 58 PSI</v>
      </c>
      <c r="AV17" s="683">
        <f>COUNTIFS(Q17:Q2017,"MANTENIMIENTO CORRECTIVO",Y17:Y2017,BDEGENER[[#This Row],[SERIE]])</f>
        <v>6</v>
      </c>
      <c r="AW17" s="683">
        <f>COUNTIFS(Q17:Q2017,"MANTENIMIENTO PREVENTIVO",Y17:Y2017,BDEGENER[[#This Row],[SERIE]])</f>
        <v>5</v>
      </c>
      <c r="AX1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N°6</v>
      </c>
      <c r="AY17" s="683">
        <f>COUNTIFS(BDEGENER[SERIE],BDEGENER[[#This Row],[SERIE]],BDEGENER[TIPO DE SERVICIO],"MANTENIMIENTO PREVENTIVO")</f>
        <v>5</v>
      </c>
      <c r="AZ17" s="683" t="str">
        <f>CONCATENATE("MANTENIMIENTO PREVENTIVO N°",BDEGENER[[#This Row],[GA1]])</f>
        <v>MANTENIMIENTO PREVENTIVO N°5</v>
      </c>
      <c r="BA17" s="683" t="str">
        <f>IF(BDEGENER[[#This Row],[SERVICIO]]=BDEGENER[[#This Row],[GA2]],BDEGENER[[#This Row],[HORAS]],"0")</f>
        <v>0</v>
      </c>
      <c r="BB17" s="683">
        <f>SUMIF(BDEGENER[SERIE],BDEGENER[[#This Row],[SERIE]],BDEGENER[GA3])</f>
        <v>1700.2</v>
      </c>
      <c r="BC17" s="683" t="str">
        <f>CONCATENATE("MANT",COUNTIF($Y$7:Y17,Y17))</f>
        <v>MANT1</v>
      </c>
      <c r="BD17" s="683" t="str">
        <f>CONCATENATE(BDEGENER[[#This Row],[SERIE]],BDEGENER[[#This Row],[GA5]])</f>
        <v>3004290365MANT1</v>
      </c>
      <c r="BE17" s="683" t="str">
        <f>CONCATENATE(BDEGENER[[#This Row],[CODIGO PATRIMONIAL]],BDEGENER[[#This Row],[GA5]])</f>
        <v>MANT1</v>
      </c>
      <c r="BF17" s="683">
        <f>COUNTIF(BDEGENER[SERIE],BDEGENER[[#This Row],[SERIE]])</f>
        <v>15</v>
      </c>
      <c r="BG17" s="683" t="str">
        <f>CONCATENATE("F",COUNTIF($K$7:K17,K17))</f>
        <v>F6</v>
      </c>
      <c r="BH17" s="683" t="str">
        <f>CONCATENATE(BDEGENER[[#This Row],[FECHA DE SERVICIO]],BDEGENER[[#This Row],[N° DE REGISTROS DEL DIA]])</f>
        <v>44200F6</v>
      </c>
      <c r="BI17" s="684">
        <v>49589.9</v>
      </c>
      <c r="BJ17" s="683" t="s">
        <v>1544</v>
      </c>
      <c r="BK17" s="762" t="s">
        <v>232</v>
      </c>
    </row>
    <row r="18" spans="2:63" ht="69" hidden="1" x14ac:dyDescent="0.3">
      <c r="B18" s="2"/>
      <c r="C18" s="2"/>
      <c r="D18" s="2"/>
      <c r="E18" s="2"/>
      <c r="F18" s="2"/>
      <c r="G18" s="2"/>
      <c r="H18" s="2"/>
      <c r="I18" s="2"/>
      <c r="J18" s="685"/>
      <c r="K18" s="682">
        <v>44195</v>
      </c>
      <c r="L18" s="683" t="s">
        <v>248</v>
      </c>
      <c r="M18" s="683" t="s">
        <v>1224</v>
      </c>
      <c r="N18" s="683" t="s">
        <v>1319</v>
      </c>
      <c r="O18" s="683"/>
      <c r="P18" s="683" t="s">
        <v>3921</v>
      </c>
      <c r="Q18" s="683" t="s">
        <v>37</v>
      </c>
      <c r="R18" s="683" t="s">
        <v>1782</v>
      </c>
      <c r="S18" s="686" t="s">
        <v>3922</v>
      </c>
      <c r="T18" s="683" t="s">
        <v>3923</v>
      </c>
      <c r="U18" s="683" t="s">
        <v>2235</v>
      </c>
      <c r="V18" s="683" t="s">
        <v>147</v>
      </c>
      <c r="W18" s="683" t="s">
        <v>914</v>
      </c>
      <c r="X18" s="691" t="s">
        <v>918</v>
      </c>
      <c r="Y18" s="687">
        <v>3004999911</v>
      </c>
      <c r="Z18" s="692">
        <v>24543</v>
      </c>
      <c r="AA18" s="683" t="s">
        <v>33</v>
      </c>
      <c r="AB18" s="683" t="s">
        <v>1728</v>
      </c>
      <c r="AC18" s="683" t="s">
        <v>528</v>
      </c>
      <c r="AD18" s="683" t="s">
        <v>1123</v>
      </c>
      <c r="AE18" s="683">
        <v>60</v>
      </c>
      <c r="AF18" s="684">
        <v>3510.8</v>
      </c>
      <c r="AG18" s="683" t="s">
        <v>243</v>
      </c>
      <c r="AH18" s="683" t="s">
        <v>220</v>
      </c>
      <c r="AI18" s="683" t="s">
        <v>1495</v>
      </c>
      <c r="AJ18" s="683" t="s">
        <v>1496</v>
      </c>
      <c r="AK18" s="683" t="s">
        <v>33</v>
      </c>
      <c r="AL18" s="683">
        <v>139546230</v>
      </c>
      <c r="AM18" s="683" t="s">
        <v>1121</v>
      </c>
      <c r="AN18" s="683" t="s">
        <v>1430</v>
      </c>
      <c r="AO18" s="683" t="s">
        <v>1443</v>
      </c>
      <c r="AP18" s="683" t="s">
        <v>240</v>
      </c>
      <c r="AQ18" s="688" t="str">
        <f>CONCATENATE("REG-",BDEGENER[[#This Row],[FECHA DE SERVICIO]],"-",BDEGENER[[#This Row],[SERIE]],"-",BDEGENER[[#This Row],[HORAS]])</f>
        <v>REG-44195-3004999911-3510,8</v>
      </c>
      <c r="AR18" s="683" t="str">
        <f>CONCATENATE("MARCA: ",BDEGENER[[#This Row],[MARCA]],"
 MODELO: ",BDEGENER[[#This Row],[MODELO]])</f>
        <v>MARCA: GENERAC
 MODELO: PG054</v>
      </c>
      <c r="AS18" s="683" t="str">
        <f>CONCATENATE("MARCA: ",BDEGENER[[#This Row],[MARCA DE MOTOR]],"
SERIE: ",BDEGENER[[#This Row],[SERIE DE MOTOR]])</f>
        <v>MARCA: FORD
SERIE: GP680AA</v>
      </c>
      <c r="AT18" s="683" t="str">
        <f>CONCATENATE("MARCA: ",BDEGENER[[#This Row],[MARCA ALTERNADOR ]],"
SERIE: ",BDEGENER[[#This Row],[SERIE DE ALTERNADOR]])</f>
        <v>MARCA: GENERAC
SERIE: 139546230</v>
      </c>
      <c r="AU18" s="683" t="str">
        <f>CONCATENATE("HORAS: ",BDEGENER[[#This Row],[HORAS]],"
KW-HR: ",BDEGENER[[#This Row],[KW-HORA]],"
VOLT.BATERIA: ",BDEGENER[[#This Row],[VOLTAJE DE BATERIA]],"
TEMPERATURA: ",BDEGENER[[#This Row],[TEMPERATURA DE AGUA]],"
PRES. ACEITE: ",BDEGENER[[#This Row],[PRESION DE ACEITE]])</f>
        <v>HORAS: 3510,8
KW-HR: 85716,8
VOLT.BATERIA: 13.7 V
TEMPERATURA: 182 °F
PRES. ACEITE: 80 PSI</v>
      </c>
      <c r="AV18" s="683">
        <f>COUNTIFS(Q18:Q2018,"MANTENIMIENTO CORRECTIVO",Y18:Y2018,BDEGENER[[#This Row],[SERIE]])</f>
        <v>0</v>
      </c>
      <c r="AW18" s="683">
        <f>COUNTIFS(Q18:Q2018,"MANTENIMIENTO PREVENTIVO",Y18:Y2018,BDEGENER[[#This Row],[SERIE]])</f>
        <v>12</v>
      </c>
      <c r="AX1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N°12</v>
      </c>
      <c r="AY18" s="683">
        <f>COUNTIFS(BDEGENER[SERIE],BDEGENER[[#This Row],[SERIE]],BDEGENER[TIPO DE SERVICIO],"MANTENIMIENTO PREVENTIVO")</f>
        <v>12</v>
      </c>
      <c r="AZ18" s="683" t="str">
        <f>CONCATENATE("MANTENIMIENTO PREVENTIVO N°",BDEGENER[[#This Row],[GA1]])</f>
        <v>MANTENIMIENTO PREVENTIVO N°12</v>
      </c>
      <c r="BA18" s="683">
        <f>IF(BDEGENER[[#This Row],[SERVICIO]]=BDEGENER[[#This Row],[GA2]],BDEGENER[[#This Row],[HORAS]],"0")</f>
        <v>3510.8</v>
      </c>
      <c r="BB18" s="683">
        <f>SUMIF(BDEGENER[SERIE],BDEGENER[[#This Row],[SERIE]],BDEGENER[GA3])</f>
        <v>3510.8</v>
      </c>
      <c r="BC18" s="683" t="str">
        <f>CONCATENATE("MANT",COUNTIF($Y$7:Y18,Y18))</f>
        <v>MANT1</v>
      </c>
      <c r="BD18" s="683" t="str">
        <f>CONCATENATE(BDEGENER[[#This Row],[SERIE]],BDEGENER[[#This Row],[GA5]])</f>
        <v>3004999911MANT1</v>
      </c>
      <c r="BE18" s="683" t="str">
        <f>CONCATENATE(BDEGENER[[#This Row],[CODIGO PATRIMONIAL]],BDEGENER[[#This Row],[GA5]])</f>
        <v>24543MANT1</v>
      </c>
      <c r="BF18" s="683">
        <f>COUNTIF(BDEGENER[SERIE],BDEGENER[[#This Row],[SERIE]])</f>
        <v>14</v>
      </c>
      <c r="BG18" s="683" t="str">
        <f>CONCATENATE("F",COUNTIF($K$7:K18,K18))</f>
        <v>F1</v>
      </c>
      <c r="BH18" s="683" t="str">
        <f>CONCATENATE(BDEGENER[[#This Row],[FECHA DE SERVICIO]],BDEGENER[[#This Row],[N° DE REGISTROS DEL DIA]])</f>
        <v>44195F1</v>
      </c>
      <c r="BI18" s="684">
        <v>85716.800000000003</v>
      </c>
      <c r="BJ18" s="683" t="s">
        <v>1544</v>
      </c>
      <c r="BK18" s="762" t="s">
        <v>2261</v>
      </c>
    </row>
    <row r="19" spans="2:63" ht="69" hidden="1" x14ac:dyDescent="0.3">
      <c r="B19" s="2"/>
      <c r="C19" s="2"/>
      <c r="D19" s="2"/>
      <c r="E19" s="2"/>
      <c r="F19" s="2"/>
      <c r="G19" s="2"/>
      <c r="H19" s="2"/>
      <c r="I19" s="2"/>
      <c r="J19" s="685"/>
      <c r="K19" s="682">
        <v>44192</v>
      </c>
      <c r="L19" s="683" t="s">
        <v>181</v>
      </c>
      <c r="M19" s="683" t="s">
        <v>1395</v>
      </c>
      <c r="N19" s="683" t="s">
        <v>1547</v>
      </c>
      <c r="O19" s="683"/>
      <c r="P19" s="683" t="s">
        <v>3926</v>
      </c>
      <c r="Q19" s="683" t="s">
        <v>2021</v>
      </c>
      <c r="R19" s="683" t="s">
        <v>1782</v>
      </c>
      <c r="S19" s="686" t="s">
        <v>3927</v>
      </c>
      <c r="T19" s="683" t="s">
        <v>3928</v>
      </c>
      <c r="U19" s="683" t="s">
        <v>3929</v>
      </c>
      <c r="V19" s="683" t="s">
        <v>479</v>
      </c>
      <c r="W19" s="683" t="s">
        <v>914</v>
      </c>
      <c r="X19" s="691" t="s">
        <v>918</v>
      </c>
      <c r="Y19" s="687">
        <v>3004290368</v>
      </c>
      <c r="Z19" s="692"/>
      <c r="AA19" s="683" t="s">
        <v>33</v>
      </c>
      <c r="AB19" s="683" t="s">
        <v>34</v>
      </c>
      <c r="AC19" s="683" t="s">
        <v>230</v>
      </c>
      <c r="AD19" s="683"/>
      <c r="AE19" s="683"/>
      <c r="AF19" s="684" t="s">
        <v>177</v>
      </c>
      <c r="AG19" s="683" t="s">
        <v>243</v>
      </c>
      <c r="AH19" s="683" t="s">
        <v>220</v>
      </c>
      <c r="AI19" s="683" t="s">
        <v>33</v>
      </c>
      <c r="AJ19" s="683">
        <v>3004034816</v>
      </c>
      <c r="AK19" s="683" t="s">
        <v>33</v>
      </c>
      <c r="AL19" s="683">
        <v>106312930</v>
      </c>
      <c r="AM19" s="683"/>
      <c r="AN19" s="683"/>
      <c r="AO19" s="683"/>
      <c r="AP19" s="683" t="s">
        <v>240</v>
      </c>
      <c r="AQ19" s="688" t="str">
        <f>CONCATENATE("REG-",BDEGENER[[#This Row],[FECHA DE SERVICIO]],"-",BDEGENER[[#This Row],[SERIE]],"-",BDEGENER[[#This Row],[HORAS]])</f>
        <v>REG-44192-3004290368-NR</v>
      </c>
      <c r="AR19" s="683" t="str">
        <f>CONCATENATE("MARCA: ",BDEGENER[[#This Row],[MARCA]],"
 MODELO: ",BDEGENER[[#This Row],[MODELO]])</f>
        <v>MARCA: GENERAC
 MODELO: PG090</v>
      </c>
      <c r="AS19" s="683" t="str">
        <f>CONCATENATE("MARCA: ",BDEGENER[[#This Row],[MARCA DE MOTOR]],"
SERIE: ",BDEGENER[[#This Row],[SERIE DE MOTOR]])</f>
        <v>MARCA: GENERAC
SERIE: 3004034816</v>
      </c>
      <c r="AT19" s="683" t="str">
        <f>CONCATENATE("MARCA: ",BDEGENER[[#This Row],[MARCA ALTERNADOR ]],"
SERIE: ",BDEGENER[[#This Row],[SERIE DE ALTERNADOR]])</f>
        <v>MARCA: GENERAC
SERIE: 106312930</v>
      </c>
      <c r="AU19" s="683"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19" s="683">
        <f>COUNTIFS(Q19:Q2019,"MANTENIMIENTO CORRECTIVO",Y19:Y2019,BDEGENER[[#This Row],[SERIE]])</f>
        <v>3</v>
      </c>
      <c r="AW19" s="683">
        <f>COUNTIFS(Q19:Q2019,"MANTENIMIENTO PREVENTIVO",Y19:Y2019,BDEGENER[[#This Row],[SERIE]])</f>
        <v>6</v>
      </c>
      <c r="AX1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19" s="683">
        <f>COUNTIFS(BDEGENER[SERIE],BDEGENER[[#This Row],[SERIE]],BDEGENER[TIPO DE SERVICIO],"MANTENIMIENTO PREVENTIVO")</f>
        <v>6</v>
      </c>
      <c r="AZ19" s="683" t="str">
        <f>CONCATENATE("MANTENIMIENTO PREVENTIVO N°",BDEGENER[[#This Row],[GA1]])</f>
        <v>MANTENIMIENTO PREVENTIVO N°6</v>
      </c>
      <c r="BA19" s="683" t="str">
        <f>IF(BDEGENER[[#This Row],[SERVICIO]]=BDEGENER[[#This Row],[GA2]],BDEGENER[[#This Row],[HORAS]],"0")</f>
        <v>0</v>
      </c>
      <c r="BB19" s="683">
        <f>SUMIF(BDEGENER[SERIE],BDEGENER[[#This Row],[SERIE]],BDEGENER[GA3])</f>
        <v>2259.3000000000002</v>
      </c>
      <c r="BC19" s="761" t="str">
        <f>CONCATENATE("MANT",COUNTIF($Y$7:Y19,Y19))</f>
        <v>MANT1</v>
      </c>
      <c r="BD19" s="683" t="str">
        <f>CONCATENATE(BDEGENER[[#This Row],[SERIE]],BDEGENER[[#This Row],[GA5]])</f>
        <v>3004290368MANT1</v>
      </c>
      <c r="BE19" s="683" t="str">
        <f>CONCATENATE(BDEGENER[[#This Row],[CODIGO PATRIMONIAL]],BDEGENER[[#This Row],[GA5]])</f>
        <v>MANT1</v>
      </c>
      <c r="BF19" s="683">
        <f>COUNTIF(BDEGENER[SERIE],BDEGENER[[#This Row],[SERIE]])</f>
        <v>15</v>
      </c>
      <c r="BG19" s="761" t="str">
        <f>CONCATENATE("F",COUNTIF($K$7:K19,K19))</f>
        <v>F1</v>
      </c>
      <c r="BH19" s="683" t="str">
        <f>CONCATENATE(BDEGENER[[#This Row],[FECHA DE SERVICIO]],BDEGENER[[#This Row],[N° DE REGISTROS DEL DIA]])</f>
        <v>44192F1</v>
      </c>
      <c r="BI19" s="684"/>
      <c r="BJ19" s="683" t="s">
        <v>1544</v>
      </c>
      <c r="BK19" s="762"/>
    </row>
    <row r="20" spans="2:63" ht="69" hidden="1" x14ac:dyDescent="0.3">
      <c r="B20" s="2"/>
      <c r="C20" s="2"/>
      <c r="D20" s="2"/>
      <c r="E20" s="2"/>
      <c r="F20" s="2"/>
      <c r="G20" s="2"/>
      <c r="H20" s="2"/>
      <c r="I20" s="2"/>
      <c r="J20" s="685"/>
      <c r="K20" s="682">
        <v>44188</v>
      </c>
      <c r="L20" s="683" t="s">
        <v>561</v>
      </c>
      <c r="M20" s="683" t="s">
        <v>2450</v>
      </c>
      <c r="N20" s="683" t="s">
        <v>584</v>
      </c>
      <c r="O20" s="683"/>
      <c r="P20" s="683" t="s">
        <v>3887</v>
      </c>
      <c r="Q20" s="683" t="s">
        <v>37</v>
      </c>
      <c r="R20" s="683" t="s">
        <v>1782</v>
      </c>
      <c r="S20" s="686" t="s">
        <v>3702</v>
      </c>
      <c r="T20" s="683" t="s">
        <v>3888</v>
      </c>
      <c r="U20" s="683" t="s">
        <v>2484</v>
      </c>
      <c r="V20" s="683" t="s">
        <v>3842</v>
      </c>
      <c r="W20" s="683" t="s">
        <v>913</v>
      </c>
      <c r="X20" s="691" t="s">
        <v>918</v>
      </c>
      <c r="Y20" s="687">
        <v>3003940357</v>
      </c>
      <c r="Z20" s="692" t="s">
        <v>2612</v>
      </c>
      <c r="AA20" s="683" t="s">
        <v>33</v>
      </c>
      <c r="AB20" s="683" t="s">
        <v>217</v>
      </c>
      <c r="AC20" s="683" t="s">
        <v>749</v>
      </c>
      <c r="AD20" s="683" t="s">
        <v>1123</v>
      </c>
      <c r="AE20" s="683">
        <v>60</v>
      </c>
      <c r="AF20" s="684">
        <v>6263.3</v>
      </c>
      <c r="AG20" s="683" t="s">
        <v>243</v>
      </c>
      <c r="AH20" s="683" t="s">
        <v>1803</v>
      </c>
      <c r="AI20" s="683" t="s">
        <v>2553</v>
      </c>
      <c r="AJ20" s="683" t="s">
        <v>2816</v>
      </c>
      <c r="AK20" s="683" t="s">
        <v>33</v>
      </c>
      <c r="AL20" s="683">
        <v>20181104</v>
      </c>
      <c r="AM20" s="683" t="s">
        <v>1121</v>
      </c>
      <c r="AN20" s="683"/>
      <c r="AO20" s="683"/>
      <c r="AP20" s="683" t="s">
        <v>240</v>
      </c>
      <c r="AQ20" s="688" t="str">
        <f>CONCATENATE("REG-",BDEGENER[[#This Row],[FECHA DE SERVICIO]],"-",BDEGENER[[#This Row],[SERIE]],"-",BDEGENER[[#This Row],[HORAS]])</f>
        <v>REG-44188-3003940357-6263,3</v>
      </c>
      <c r="AR20" s="683" t="str">
        <f>CONCATENATE("MARCA: ",BDEGENER[[#This Row],[MARCA]],"
 MODELO: ",BDEGENER[[#This Row],[MODELO]])</f>
        <v>MARCA: GENERAC
 MODELO: RG022</v>
      </c>
      <c r="AS20" s="683" t="str">
        <f>CONCATENATE("MARCA: ",BDEGENER[[#This Row],[MARCA DE MOTOR]],"
SERIE: ",BDEGENER[[#This Row],[SERIE DE MOTOR]])</f>
        <v>MARCA: MITSUBISHI
SERIE: 4G6454M/SXG1014</v>
      </c>
      <c r="AT20" s="683" t="str">
        <f>CONCATENATE("MARCA: ",BDEGENER[[#This Row],[MARCA ALTERNADOR ]],"
SERIE: ",BDEGENER[[#This Row],[SERIE DE ALTERNADOR]])</f>
        <v>MARCA: GENERAC
SERIE: 20181104</v>
      </c>
      <c r="AU20" s="683" t="str">
        <f>CONCATENATE("HORAS: ",BDEGENER[[#This Row],[HORAS]],"
KW-HR: ",BDEGENER[[#This Row],[KW-HORA]],"
VOLT.BATERIA: ",BDEGENER[[#This Row],[VOLTAJE DE BATERIA]],"
TEMPERATURA: ",BDEGENER[[#This Row],[TEMPERATURA DE AGUA]],"
PRES. ACEITE: ",BDEGENER[[#This Row],[PRESION DE ACEITE]])</f>
        <v xml:space="preserve">HORAS: 6263,3
KW-HR: 
VOLT.BATERIA: 13.7 V
TEMPERATURA: 
PRES. ACEITE: </v>
      </c>
      <c r="AV20" s="683">
        <f>COUNTIFS(Q20:Q2020,"MANTENIMIENTO CORRECTIVO",Y20:Y2020,BDEGENER[[#This Row],[SERIE]])</f>
        <v>3</v>
      </c>
      <c r="AW20" s="683">
        <f>COUNTIFS(Q20:Q2020,"MANTENIMIENTO PREVENTIVO",Y20:Y2020,BDEGENER[[#This Row],[SERIE]])</f>
        <v>12</v>
      </c>
      <c r="AX2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N°12</v>
      </c>
      <c r="AY20" s="683">
        <f>COUNTIFS(BDEGENER[SERIE],BDEGENER[[#This Row],[SERIE]],BDEGENER[TIPO DE SERVICIO],"MANTENIMIENTO PREVENTIVO")</f>
        <v>12</v>
      </c>
      <c r="AZ20" s="683" t="str">
        <f>CONCATENATE("MANTENIMIENTO PREVENTIVO N°",BDEGENER[[#This Row],[GA1]])</f>
        <v>MANTENIMIENTO PREVENTIVO N°12</v>
      </c>
      <c r="BA20" s="683">
        <f>IF(BDEGENER[[#This Row],[SERVICIO]]=BDEGENER[[#This Row],[GA2]],BDEGENER[[#This Row],[HORAS]],"0")</f>
        <v>6263.3</v>
      </c>
      <c r="BB20" s="683">
        <f>SUMIF(BDEGENER[SERIE],BDEGENER[[#This Row],[SERIE]],BDEGENER[GA3])</f>
        <v>6263.3</v>
      </c>
      <c r="BC20" s="683" t="str">
        <f>CONCATENATE("MANT",COUNTIF($Y$7:Y20,Y20))</f>
        <v>MANT1</v>
      </c>
      <c r="BD20" s="683" t="str">
        <f>CONCATENATE(BDEGENER[[#This Row],[SERIE]],BDEGENER[[#This Row],[GA5]])</f>
        <v>3003940357MANT1</v>
      </c>
      <c r="BE20" s="683" t="str">
        <f>CONCATENATE(BDEGENER[[#This Row],[CODIGO PATRIMONIAL]],BDEGENER[[#This Row],[GA5]])</f>
        <v>NOR-GEG-0014MANT1</v>
      </c>
      <c r="BF20" s="683">
        <f>COUNTIF(BDEGENER[SERIE],BDEGENER[[#This Row],[SERIE]])</f>
        <v>16</v>
      </c>
      <c r="BG20" s="683" t="str">
        <f>CONCATENATE("F",COUNTIF($K$7:K20,K20))</f>
        <v>F1</v>
      </c>
      <c r="BH20" s="683" t="str">
        <f>CONCATENATE(BDEGENER[[#This Row],[FECHA DE SERVICIO]],BDEGENER[[#This Row],[N° DE REGISTROS DEL DIA]])</f>
        <v>44188F1</v>
      </c>
      <c r="BI20" s="684"/>
      <c r="BJ20" s="683" t="s">
        <v>1544</v>
      </c>
      <c r="BK20" s="762"/>
    </row>
    <row r="21" spans="2:63" ht="69" hidden="1" x14ac:dyDescent="0.3">
      <c r="B21" s="2"/>
      <c r="C21" s="2"/>
      <c r="D21" s="2"/>
      <c r="E21" s="2"/>
      <c r="F21" s="2"/>
      <c r="G21" s="2"/>
      <c r="H21" s="2"/>
      <c r="I21" s="2"/>
      <c r="J21" s="685"/>
      <c r="K21" s="682">
        <v>44188</v>
      </c>
      <c r="L21" s="683" t="s">
        <v>561</v>
      </c>
      <c r="M21" s="683" t="s">
        <v>588</v>
      </c>
      <c r="N21" s="683" t="s">
        <v>589</v>
      </c>
      <c r="O21" s="683"/>
      <c r="P21" s="683" t="s">
        <v>3845</v>
      </c>
      <c r="Q21" s="683" t="s">
        <v>37</v>
      </c>
      <c r="R21" s="683" t="s">
        <v>1782</v>
      </c>
      <c r="S21" s="686" t="s">
        <v>3846</v>
      </c>
      <c r="T21" s="683" t="s">
        <v>2546</v>
      </c>
      <c r="U21" s="683" t="s">
        <v>3466</v>
      </c>
      <c r="V21" s="683" t="s">
        <v>3842</v>
      </c>
      <c r="W21" s="683" t="s">
        <v>914</v>
      </c>
      <c r="X21" s="691" t="s">
        <v>918</v>
      </c>
      <c r="Y21" s="687">
        <v>3003566699</v>
      </c>
      <c r="Z21" s="692" t="s">
        <v>2619</v>
      </c>
      <c r="AA21" s="683" t="s">
        <v>33</v>
      </c>
      <c r="AB21" s="683" t="s">
        <v>34</v>
      </c>
      <c r="AC21" s="683" t="s">
        <v>230</v>
      </c>
      <c r="AD21" s="683" t="s">
        <v>1123</v>
      </c>
      <c r="AE21" s="683">
        <v>60</v>
      </c>
      <c r="AF21" s="684">
        <v>8154.7</v>
      </c>
      <c r="AG21" s="683" t="s">
        <v>243</v>
      </c>
      <c r="AH21" s="683" t="s">
        <v>244</v>
      </c>
      <c r="AI21" s="683" t="s">
        <v>33</v>
      </c>
      <c r="AJ21" s="683">
        <v>3003412044</v>
      </c>
      <c r="AK21" s="683" t="s">
        <v>33</v>
      </c>
      <c r="AL21" s="683">
        <v>811745</v>
      </c>
      <c r="AM21" s="683" t="s">
        <v>1094</v>
      </c>
      <c r="AN21" s="683" t="s">
        <v>3660</v>
      </c>
      <c r="AO21" s="683" t="s">
        <v>1427</v>
      </c>
      <c r="AP21" s="683" t="s">
        <v>240</v>
      </c>
      <c r="AQ21" s="688" t="str">
        <f>CONCATENATE("REG-",BDEGENER[[#This Row],[FECHA DE SERVICIO]],"-",BDEGENER[[#This Row],[SERIE]],"-",BDEGENER[[#This Row],[HORAS]])</f>
        <v>REG-44188-3003566699-8154,7</v>
      </c>
      <c r="AR21" s="683" t="str">
        <f>CONCATENATE("MARCA: ",BDEGENER[[#This Row],[MARCA]],"
 MODELO: ",BDEGENER[[#This Row],[MODELO]])</f>
        <v>MARCA: GENERAC
 MODELO: PG090</v>
      </c>
      <c r="AS21" s="683" t="str">
        <f>CONCATENATE("MARCA: ",BDEGENER[[#This Row],[MARCA DE MOTOR]],"
SERIE: ",BDEGENER[[#This Row],[SERIE DE MOTOR]])</f>
        <v>MARCA: GENERAC
SERIE: 3003412044</v>
      </c>
      <c r="AT21" s="683" t="str">
        <f>CONCATENATE("MARCA: ",BDEGENER[[#This Row],[MARCA ALTERNADOR ]],"
SERIE: ",BDEGENER[[#This Row],[SERIE DE ALTERNADOR]])</f>
        <v>MARCA: GENERAC
SERIE: 811745</v>
      </c>
      <c r="AU21" s="683" t="str">
        <f>CONCATENATE("HORAS: ",BDEGENER[[#This Row],[HORAS]],"
KW-HR: ",BDEGENER[[#This Row],[KW-HORA]],"
VOLT.BATERIA: ",BDEGENER[[#This Row],[VOLTAJE DE BATERIA]],"
TEMPERATURA: ",BDEGENER[[#This Row],[TEMPERATURA DE AGUA]],"
PRES. ACEITE: ",BDEGENER[[#This Row],[PRESION DE ACEITE]])</f>
        <v>HORAS: 8154,7
KW-HR: 197925,6
VOLT.BATERIA: 13.5 V
TEMPERATURA: 166 °F
PRES. ACEITE: 60 PSI</v>
      </c>
      <c r="AV21" s="683">
        <f>COUNTIFS(Q21:Q2021,"MANTENIMIENTO CORRECTIVO",Y21:Y2021,BDEGENER[[#This Row],[SERIE]])</f>
        <v>4</v>
      </c>
      <c r="AW21" s="683">
        <f>COUNTIFS(Q21:Q2021,"MANTENIMIENTO PREVENTIVO",Y21:Y2021,BDEGENER[[#This Row],[SERIE]])</f>
        <v>12</v>
      </c>
      <c r="AX2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N°12</v>
      </c>
      <c r="AY21" s="683">
        <f>COUNTIFS(BDEGENER[SERIE],BDEGENER[[#This Row],[SERIE]],BDEGENER[TIPO DE SERVICIO],"MANTENIMIENTO PREVENTIVO")</f>
        <v>12</v>
      </c>
      <c r="AZ21" s="683" t="str">
        <f>CONCATENATE("MANTENIMIENTO PREVENTIVO N°",BDEGENER[[#This Row],[GA1]])</f>
        <v>MANTENIMIENTO PREVENTIVO N°12</v>
      </c>
      <c r="BA21" s="683">
        <f>IF(BDEGENER[[#This Row],[SERVICIO]]=BDEGENER[[#This Row],[GA2]],BDEGENER[[#This Row],[HORAS]],"0")</f>
        <v>8154.7</v>
      </c>
      <c r="BB21" s="683">
        <f>SUMIF(BDEGENER[SERIE],BDEGENER[[#This Row],[SERIE]],BDEGENER[GA3])</f>
        <v>8154.7</v>
      </c>
      <c r="BC21" s="683" t="str">
        <f>CONCATENATE("MANT",COUNTIF($Y$7:Y21,Y21))</f>
        <v>MANT1</v>
      </c>
      <c r="BD21" s="683" t="str">
        <f>CONCATENATE(BDEGENER[[#This Row],[SERIE]],BDEGENER[[#This Row],[GA5]])</f>
        <v>3003566699MANT1</v>
      </c>
      <c r="BE21" s="683" t="str">
        <f>CONCATENATE(BDEGENER[[#This Row],[CODIGO PATRIMONIAL]],BDEGENER[[#This Row],[GA5]])</f>
        <v>NOR-GEG-0021MANT1</v>
      </c>
      <c r="BF21" s="683">
        <f>COUNTIF(BDEGENER[SERIE],BDEGENER[[#This Row],[SERIE]])</f>
        <v>17</v>
      </c>
      <c r="BG21" s="683" t="str">
        <f>CONCATENATE("F",COUNTIF($K$7:K21,K21))</f>
        <v>F2</v>
      </c>
      <c r="BH21" s="683" t="str">
        <f>CONCATENATE(BDEGENER[[#This Row],[FECHA DE SERVICIO]],BDEGENER[[#This Row],[N° DE REGISTROS DEL DIA]])</f>
        <v>44188F2</v>
      </c>
      <c r="BI21" s="684">
        <v>197925.6</v>
      </c>
      <c r="BJ21" s="683" t="s">
        <v>1544</v>
      </c>
      <c r="BK21" s="762"/>
    </row>
    <row r="22" spans="2:63" ht="69" hidden="1" x14ac:dyDescent="0.3">
      <c r="B22" s="2"/>
      <c r="C22" s="2"/>
      <c r="D22" s="2"/>
      <c r="E22" s="2"/>
      <c r="F22" s="2"/>
      <c r="G22" s="2"/>
      <c r="H22" s="2"/>
      <c r="I22" s="2"/>
      <c r="J22" s="685"/>
      <c r="K22" s="682">
        <v>44188</v>
      </c>
      <c r="L22" s="683" t="s">
        <v>248</v>
      </c>
      <c r="M22" s="683" t="s">
        <v>2078</v>
      </c>
      <c r="N22" s="683" t="s">
        <v>1319</v>
      </c>
      <c r="O22" s="683"/>
      <c r="P22" s="683" t="s">
        <v>3843</v>
      </c>
      <c r="Q22" s="683" t="s">
        <v>37</v>
      </c>
      <c r="R22" s="683" t="s">
        <v>1782</v>
      </c>
      <c r="S22" s="686" t="s">
        <v>3087</v>
      </c>
      <c r="T22" s="683" t="s">
        <v>3844</v>
      </c>
      <c r="U22" s="683" t="s">
        <v>2488</v>
      </c>
      <c r="V22" s="683" t="s">
        <v>3842</v>
      </c>
      <c r="W22" s="683" t="s">
        <v>914</v>
      </c>
      <c r="X22" s="691" t="s">
        <v>918</v>
      </c>
      <c r="Y22" s="687">
        <v>3005005010</v>
      </c>
      <c r="Z22" s="692">
        <v>24547</v>
      </c>
      <c r="AA22" s="683" t="s">
        <v>33</v>
      </c>
      <c r="AB22" s="683" t="s">
        <v>34</v>
      </c>
      <c r="AC22" s="683" t="s">
        <v>230</v>
      </c>
      <c r="AD22" s="683" t="s">
        <v>1123</v>
      </c>
      <c r="AE22" s="683">
        <v>60</v>
      </c>
      <c r="AF22" s="684">
        <v>2557.3000000000002</v>
      </c>
      <c r="AG22" s="683" t="s">
        <v>243</v>
      </c>
      <c r="AH22" s="683" t="s">
        <v>220</v>
      </c>
      <c r="AI22" s="683" t="s">
        <v>33</v>
      </c>
      <c r="AJ22" s="683">
        <v>3005065416</v>
      </c>
      <c r="AK22" s="683" t="s">
        <v>33</v>
      </c>
      <c r="AL22" s="683">
        <v>139546230</v>
      </c>
      <c r="AM22" s="683" t="s">
        <v>2319</v>
      </c>
      <c r="AN22" s="683" t="s">
        <v>246</v>
      </c>
      <c r="AO22" s="683" t="s">
        <v>1146</v>
      </c>
      <c r="AP22" s="683" t="s">
        <v>240</v>
      </c>
      <c r="AQ22" s="688" t="str">
        <f>CONCATENATE("REG-",BDEGENER[[#This Row],[FECHA DE SERVICIO]],"-",BDEGENER[[#This Row],[SERIE]],"-",BDEGENER[[#This Row],[HORAS]])</f>
        <v>REG-44188-3005005010-2557,3</v>
      </c>
      <c r="AR22" s="683" t="str">
        <f>CONCATENATE("MARCA: ",BDEGENER[[#This Row],[MARCA]],"
 MODELO: ",BDEGENER[[#This Row],[MODELO]])</f>
        <v>MARCA: GENERAC
 MODELO: PG090</v>
      </c>
      <c r="AS22" s="683" t="str">
        <f>CONCATENATE("MARCA: ",BDEGENER[[#This Row],[MARCA DE MOTOR]],"
SERIE: ",BDEGENER[[#This Row],[SERIE DE MOTOR]])</f>
        <v>MARCA: GENERAC
SERIE: 3005065416</v>
      </c>
      <c r="AT22" s="683" t="str">
        <f>CONCATENATE("MARCA: ",BDEGENER[[#This Row],[MARCA ALTERNADOR ]],"
SERIE: ",BDEGENER[[#This Row],[SERIE DE ALTERNADOR]])</f>
        <v>MARCA: GENERAC
SERIE: 139546230</v>
      </c>
      <c r="AU22" s="683" t="str">
        <f>CONCATENATE("HORAS: ",BDEGENER[[#This Row],[HORAS]],"
KW-HR: ",BDEGENER[[#This Row],[KW-HORA]],"
VOLT.BATERIA: ",BDEGENER[[#This Row],[VOLTAJE DE BATERIA]],"
TEMPERATURA: ",BDEGENER[[#This Row],[TEMPERATURA DE AGUA]],"
PRES. ACEITE: ",BDEGENER[[#This Row],[PRESION DE ACEITE]])</f>
        <v>HORAS: 2557,3
KW-HR: 80131,7
VOLT.BATERIA: 14.3 V
TEMPERATURA: 198 °F
PRES. ACEITE: 62 PSI</v>
      </c>
      <c r="AV22" s="683">
        <f>COUNTIFS(Q22:Q2022,"MANTENIMIENTO CORRECTIVO",Y22:Y2022,BDEGENER[[#This Row],[SERIE]])</f>
        <v>1</v>
      </c>
      <c r="AW22" s="683">
        <f>COUNTIFS(Q22:Q2022,"MANTENIMIENTO PREVENTIVO",Y22:Y2022,BDEGENER[[#This Row],[SERIE]])</f>
        <v>9</v>
      </c>
      <c r="AX2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22" s="683">
        <f>COUNTIFS(BDEGENER[SERIE],BDEGENER[[#This Row],[SERIE]],BDEGENER[TIPO DE SERVICIO],"MANTENIMIENTO PREVENTIVO")</f>
        <v>9</v>
      </c>
      <c r="AZ22" s="683" t="str">
        <f>CONCATENATE("MANTENIMIENTO PREVENTIVO N°",BDEGENER[[#This Row],[GA1]])</f>
        <v>MANTENIMIENTO PREVENTIVO N°9</v>
      </c>
      <c r="BA22" s="683">
        <f>IF(BDEGENER[[#This Row],[SERVICIO]]=BDEGENER[[#This Row],[GA2]],BDEGENER[[#This Row],[HORAS]],"0")</f>
        <v>2557.3000000000002</v>
      </c>
      <c r="BB22" s="683">
        <f>SUMIF(BDEGENER[SERIE],BDEGENER[[#This Row],[SERIE]],BDEGENER[GA3])</f>
        <v>2557.3000000000002</v>
      </c>
      <c r="BC22" s="761" t="str">
        <f>CONCATENATE("MANT",COUNTIF($Y$7:Y22,Y22))</f>
        <v>MANT1</v>
      </c>
      <c r="BD22" s="683" t="str">
        <f>CONCATENATE(BDEGENER[[#This Row],[SERIE]],BDEGENER[[#This Row],[GA5]])</f>
        <v>3005005010MANT1</v>
      </c>
      <c r="BE22" s="683" t="str">
        <f>CONCATENATE(BDEGENER[[#This Row],[CODIGO PATRIMONIAL]],BDEGENER[[#This Row],[GA5]])</f>
        <v>24547MANT1</v>
      </c>
      <c r="BF22" s="683">
        <f>COUNTIF(BDEGENER[SERIE],BDEGENER[[#This Row],[SERIE]])</f>
        <v>14</v>
      </c>
      <c r="BG22" s="761" t="str">
        <f>CONCATENATE("F",COUNTIF($K$7:K22,K22))</f>
        <v>F3</v>
      </c>
      <c r="BH22" s="683" t="str">
        <f>CONCATENATE(BDEGENER[[#This Row],[FECHA DE SERVICIO]],BDEGENER[[#This Row],[N° DE REGISTROS DEL DIA]])</f>
        <v>44188F3</v>
      </c>
      <c r="BI22" s="684">
        <v>80131.7</v>
      </c>
      <c r="BJ22" s="683" t="s">
        <v>1544</v>
      </c>
      <c r="BK22" s="762"/>
    </row>
    <row r="23" spans="2:63" ht="69" hidden="1" x14ac:dyDescent="0.3">
      <c r="B23" s="2"/>
      <c r="C23" s="2"/>
      <c r="D23" s="2"/>
      <c r="E23" s="2"/>
      <c r="F23" s="2"/>
      <c r="G23" s="2"/>
      <c r="H23" s="2"/>
      <c r="I23" s="2"/>
      <c r="J23" s="685"/>
      <c r="K23" s="682">
        <v>44188</v>
      </c>
      <c r="L23" s="683" t="s">
        <v>561</v>
      </c>
      <c r="M23" s="683" t="s">
        <v>2451</v>
      </c>
      <c r="N23" s="683" t="s">
        <v>584</v>
      </c>
      <c r="O23" s="683"/>
      <c r="P23" s="683" t="s">
        <v>3838</v>
      </c>
      <c r="Q23" s="683" t="s">
        <v>37</v>
      </c>
      <c r="R23" s="683" t="s">
        <v>1782</v>
      </c>
      <c r="S23" s="686" t="s">
        <v>3839</v>
      </c>
      <c r="T23" s="683" t="s">
        <v>3840</v>
      </c>
      <c r="U23" s="683" t="s">
        <v>3841</v>
      </c>
      <c r="V23" s="683" t="s">
        <v>3842</v>
      </c>
      <c r="W23" s="683" t="s">
        <v>913</v>
      </c>
      <c r="X23" s="691" t="s">
        <v>918</v>
      </c>
      <c r="Y23" s="687">
        <v>3003987064</v>
      </c>
      <c r="Z23" s="692" t="s">
        <v>2614</v>
      </c>
      <c r="AA23" s="683" t="s">
        <v>33</v>
      </c>
      <c r="AB23" s="683" t="s">
        <v>217</v>
      </c>
      <c r="AC23" s="683" t="s">
        <v>749</v>
      </c>
      <c r="AD23" s="683" t="s">
        <v>1123</v>
      </c>
      <c r="AE23" s="683">
        <v>60</v>
      </c>
      <c r="AF23" s="684">
        <v>6420.8</v>
      </c>
      <c r="AG23" s="683" t="s">
        <v>243</v>
      </c>
      <c r="AH23" s="683" t="s">
        <v>1803</v>
      </c>
      <c r="AI23" s="683" t="s">
        <v>2553</v>
      </c>
      <c r="AJ23" s="683"/>
      <c r="AK23" s="683" t="s">
        <v>33</v>
      </c>
      <c r="AL23" s="683"/>
      <c r="AM23" s="683" t="s">
        <v>1142</v>
      </c>
      <c r="AN23" s="683"/>
      <c r="AO23" s="683"/>
      <c r="AP23" s="683" t="s">
        <v>240</v>
      </c>
      <c r="AQ23" s="688" t="str">
        <f>CONCATENATE("REG-",BDEGENER[[#This Row],[FECHA DE SERVICIO]],"-",BDEGENER[[#This Row],[SERIE]],"-",BDEGENER[[#This Row],[HORAS]])</f>
        <v>REG-44188-3003987064-6420,8</v>
      </c>
      <c r="AR23" s="683" t="str">
        <f>CONCATENATE("MARCA: ",BDEGENER[[#This Row],[MARCA]],"
 MODELO: ",BDEGENER[[#This Row],[MODELO]])</f>
        <v>MARCA: GENERAC
 MODELO: RG022</v>
      </c>
      <c r="AS23" s="683" t="str">
        <f>CONCATENATE("MARCA: ",BDEGENER[[#This Row],[MARCA DE MOTOR]],"
SERIE: ",BDEGENER[[#This Row],[SERIE DE MOTOR]])</f>
        <v xml:space="preserve">MARCA: MITSUBISHI
SERIE: </v>
      </c>
      <c r="AT23" s="683" t="str">
        <f>CONCATENATE("MARCA: ",BDEGENER[[#This Row],[MARCA ALTERNADOR ]],"
SERIE: ",BDEGENER[[#This Row],[SERIE DE ALTERNADOR]])</f>
        <v xml:space="preserve">MARCA: GENERAC
SERIE: </v>
      </c>
      <c r="AU23" s="683" t="str">
        <f>CONCATENATE("HORAS: ",BDEGENER[[#This Row],[HORAS]],"
KW-HR: ",BDEGENER[[#This Row],[KW-HORA]],"
VOLT.BATERIA: ",BDEGENER[[#This Row],[VOLTAJE DE BATERIA]],"
TEMPERATURA: ",BDEGENER[[#This Row],[TEMPERATURA DE AGUA]],"
PRES. ACEITE: ",BDEGENER[[#This Row],[PRESION DE ACEITE]])</f>
        <v xml:space="preserve">HORAS: 6420,8
KW-HR: 
VOLT.BATERIA: 14.4 V
TEMPERATURA: 
PRES. ACEITE: </v>
      </c>
      <c r="AV23" s="683">
        <f>COUNTIFS(Q23:Q2023,"MANTENIMIENTO CORRECTIVO",Y23:Y2023,BDEGENER[[#This Row],[SERIE]])</f>
        <v>1</v>
      </c>
      <c r="AW23" s="683">
        <f>COUNTIFS(Q23:Q2023,"MANTENIMIENTO PREVENTIVO",Y23:Y2023,BDEGENER[[#This Row],[SERIE]])</f>
        <v>11</v>
      </c>
      <c r="AX2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N°11</v>
      </c>
      <c r="AY23" s="683">
        <f>COUNTIFS(BDEGENER[SERIE],BDEGENER[[#This Row],[SERIE]],BDEGENER[TIPO DE SERVICIO],"MANTENIMIENTO PREVENTIVO")</f>
        <v>11</v>
      </c>
      <c r="AZ23" s="683" t="str">
        <f>CONCATENATE("MANTENIMIENTO PREVENTIVO N°",BDEGENER[[#This Row],[GA1]])</f>
        <v>MANTENIMIENTO PREVENTIVO N°11</v>
      </c>
      <c r="BA23" s="683">
        <f>IF(BDEGENER[[#This Row],[SERVICIO]]=BDEGENER[[#This Row],[GA2]],BDEGENER[[#This Row],[HORAS]],"0")</f>
        <v>6420.8</v>
      </c>
      <c r="BB23" s="683">
        <f>SUMIF(BDEGENER[SERIE],BDEGENER[[#This Row],[SERIE]],BDEGENER[GA3])</f>
        <v>6420.8</v>
      </c>
      <c r="BC23" s="683" t="str">
        <f>CONCATENATE("MANT",COUNTIF($Y$7:Y23,Y23))</f>
        <v>MANT1</v>
      </c>
      <c r="BD23" s="683" t="str">
        <f>CONCATENATE(BDEGENER[[#This Row],[SERIE]],BDEGENER[[#This Row],[GA5]])</f>
        <v>3003987064MANT1</v>
      </c>
      <c r="BE23" s="683" t="str">
        <f>CONCATENATE(BDEGENER[[#This Row],[CODIGO PATRIMONIAL]],BDEGENER[[#This Row],[GA5]])</f>
        <v>NOR-GEG-0016MANT1</v>
      </c>
      <c r="BF23" s="683">
        <f>COUNTIF(BDEGENER[SERIE],BDEGENER[[#This Row],[SERIE]])</f>
        <v>12</v>
      </c>
      <c r="BG23" s="683" t="str">
        <f>CONCATENATE("F",COUNTIF($K$7:K23,K23))</f>
        <v>F4</v>
      </c>
      <c r="BH23" s="683" t="str">
        <f>CONCATENATE(BDEGENER[[#This Row],[FECHA DE SERVICIO]],BDEGENER[[#This Row],[N° DE REGISTROS DEL DIA]])</f>
        <v>44188F4</v>
      </c>
      <c r="BI23" s="684"/>
      <c r="BJ23" s="683" t="s">
        <v>1544</v>
      </c>
      <c r="BK23" s="762"/>
    </row>
    <row r="24" spans="2:63" ht="69" hidden="1" x14ac:dyDescent="0.3">
      <c r="B24" s="2"/>
      <c r="C24" s="2"/>
      <c r="D24" s="2"/>
      <c r="E24" s="2"/>
      <c r="F24" s="2"/>
      <c r="G24" s="2"/>
      <c r="H24" s="2"/>
      <c r="I24" s="2"/>
      <c r="J24" s="685"/>
      <c r="K24" s="682">
        <v>44186</v>
      </c>
      <c r="L24" s="683" t="s">
        <v>181</v>
      </c>
      <c r="M24" s="683" t="s">
        <v>182</v>
      </c>
      <c r="N24" s="683" t="s">
        <v>183</v>
      </c>
      <c r="O24" s="683">
        <v>4500925048</v>
      </c>
      <c r="P24" s="683" t="s">
        <v>3831</v>
      </c>
      <c r="Q24" s="683" t="s">
        <v>37</v>
      </c>
      <c r="R24" s="683" t="s">
        <v>1782</v>
      </c>
      <c r="S24" s="686" t="s">
        <v>3833</v>
      </c>
      <c r="T24" s="683" t="s">
        <v>3834</v>
      </c>
      <c r="U24" s="683" t="s">
        <v>3832</v>
      </c>
      <c r="V24" s="683" t="s">
        <v>146</v>
      </c>
      <c r="W24" s="683" t="s">
        <v>914</v>
      </c>
      <c r="X24" s="691" t="s">
        <v>918</v>
      </c>
      <c r="Y24" s="687">
        <v>3004381435</v>
      </c>
      <c r="Z24" s="692"/>
      <c r="AA24" s="683" t="s">
        <v>33</v>
      </c>
      <c r="AB24" s="683" t="s">
        <v>34</v>
      </c>
      <c r="AC24" s="683" t="s">
        <v>230</v>
      </c>
      <c r="AD24" s="683" t="s">
        <v>1110</v>
      </c>
      <c r="AE24" s="683">
        <v>60</v>
      </c>
      <c r="AF24" s="684">
        <v>2141.3000000000002</v>
      </c>
      <c r="AG24" s="683" t="s">
        <v>243</v>
      </c>
      <c r="AH24" s="683" t="s">
        <v>220</v>
      </c>
      <c r="AI24" s="683" t="s">
        <v>33</v>
      </c>
      <c r="AJ24" s="683">
        <v>3004346796</v>
      </c>
      <c r="AK24" s="683" t="s">
        <v>33</v>
      </c>
      <c r="AL24" s="683">
        <v>10630960</v>
      </c>
      <c r="AM24" s="683" t="s">
        <v>1377</v>
      </c>
      <c r="AN24" s="683" t="s">
        <v>1122</v>
      </c>
      <c r="AO24" s="683" t="s">
        <v>247</v>
      </c>
      <c r="AP24" s="683" t="s">
        <v>240</v>
      </c>
      <c r="AQ24" s="688" t="str">
        <f>CONCATENATE("REG-",BDEGENER[[#This Row],[FECHA DE SERVICIO]],"-",BDEGENER[[#This Row],[SERIE]],"-",BDEGENER[[#This Row],[HORAS]])</f>
        <v>REG-44186-3004381435-2141,3</v>
      </c>
      <c r="AR24" s="683" t="str">
        <f>CONCATENATE("MARCA: ",BDEGENER[[#This Row],[MARCA]],"
 MODELO: ",BDEGENER[[#This Row],[MODELO]])</f>
        <v>MARCA: GENERAC
 MODELO: PG090</v>
      </c>
      <c r="AS24" s="683" t="str">
        <f>CONCATENATE("MARCA: ",BDEGENER[[#This Row],[MARCA DE MOTOR]],"
SERIE: ",BDEGENER[[#This Row],[SERIE DE MOTOR]])</f>
        <v>MARCA: GENERAC
SERIE: 3004346796</v>
      </c>
      <c r="AT24" s="683" t="str">
        <f>CONCATENATE("MARCA: ",BDEGENER[[#This Row],[MARCA ALTERNADOR ]],"
SERIE: ",BDEGENER[[#This Row],[SERIE DE ALTERNADOR]])</f>
        <v>MARCA: GENERAC
SERIE: 10630960</v>
      </c>
      <c r="AU24" s="683" t="str">
        <f>CONCATENATE("HORAS: ",BDEGENER[[#This Row],[HORAS]],"
KW-HR: ",BDEGENER[[#This Row],[KW-HORA]],"
VOLT.BATERIA: ",BDEGENER[[#This Row],[VOLTAJE DE BATERIA]],"
TEMPERATURA: ",BDEGENER[[#This Row],[TEMPERATURA DE AGUA]],"
PRES. ACEITE: ",BDEGENER[[#This Row],[PRESION DE ACEITE]])</f>
        <v>HORAS: 2141,3
KW-HR: 40713,3
VOLT.BATERIA: 13.8 V
TEMPERATURA: 195 °F
PRES. ACEITE: 55 PSI</v>
      </c>
      <c r="AV24" s="683">
        <f>COUNTIFS(Q24:Q2024,"MANTENIMIENTO CORRECTIVO",Y24:Y2024,BDEGENER[[#This Row],[SERIE]])</f>
        <v>3</v>
      </c>
      <c r="AW24" s="683">
        <f>COUNTIFS(Q24:Q2024,"MANTENIMIENTO PREVENTIVO",Y24:Y2024,BDEGENER[[#This Row],[SERIE]])</f>
        <v>8</v>
      </c>
      <c r="AX2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24" s="683">
        <f>COUNTIFS(BDEGENER[SERIE],BDEGENER[[#This Row],[SERIE]],BDEGENER[TIPO DE SERVICIO],"MANTENIMIENTO PREVENTIVO")</f>
        <v>8</v>
      </c>
      <c r="AZ24" s="683" t="str">
        <f>CONCATENATE("MANTENIMIENTO PREVENTIVO N°",BDEGENER[[#This Row],[GA1]])</f>
        <v>MANTENIMIENTO PREVENTIVO N°8</v>
      </c>
      <c r="BA24" s="683">
        <f>IF(BDEGENER[[#This Row],[SERVICIO]]=BDEGENER[[#This Row],[GA2]],BDEGENER[[#This Row],[HORAS]],"0")</f>
        <v>2141.3000000000002</v>
      </c>
      <c r="BB24" s="683">
        <f>SUMIF(BDEGENER[SERIE],BDEGENER[[#This Row],[SERIE]],BDEGENER[GA3])</f>
        <v>2141.3000000000002</v>
      </c>
      <c r="BC24" s="683" t="str">
        <f>CONCATENATE("MANT",COUNTIF($Y$7:Y24,Y24))</f>
        <v>MANT1</v>
      </c>
      <c r="BD24" s="683" t="str">
        <f>CONCATENATE(BDEGENER[[#This Row],[SERIE]],BDEGENER[[#This Row],[GA5]])</f>
        <v>3004381435MANT1</v>
      </c>
      <c r="BE24" s="683" t="str">
        <f>CONCATENATE(BDEGENER[[#This Row],[CODIGO PATRIMONIAL]],BDEGENER[[#This Row],[GA5]])</f>
        <v>MANT1</v>
      </c>
      <c r="BF24" s="683">
        <f>COUNTIF(BDEGENER[SERIE],BDEGENER[[#This Row],[SERIE]])</f>
        <v>13</v>
      </c>
      <c r="BG24" s="683" t="str">
        <f>CONCATENATE("F",COUNTIF($K$7:K24,K24))</f>
        <v>F1</v>
      </c>
      <c r="BH24" s="683" t="str">
        <f>CONCATENATE(BDEGENER[[#This Row],[FECHA DE SERVICIO]],BDEGENER[[#This Row],[N° DE REGISTROS DEL DIA]])</f>
        <v>44186F1</v>
      </c>
      <c r="BI24" s="684">
        <v>40713.300000000003</v>
      </c>
      <c r="BJ24" s="683" t="s">
        <v>1544</v>
      </c>
      <c r="BK24" s="762" t="s">
        <v>2114</v>
      </c>
    </row>
    <row r="25" spans="2:63" ht="69" hidden="1" x14ac:dyDescent="0.3">
      <c r="B25" s="2"/>
      <c r="C25" s="2"/>
      <c r="D25" s="2"/>
      <c r="E25" s="2"/>
      <c r="F25" s="2"/>
      <c r="G25" s="2"/>
      <c r="H25" s="2"/>
      <c r="I25" s="2"/>
      <c r="J25" s="685"/>
      <c r="K25" s="682">
        <v>44186</v>
      </c>
      <c r="L25" s="683" t="s">
        <v>181</v>
      </c>
      <c r="M25" s="683" t="s">
        <v>190</v>
      </c>
      <c r="N25" s="683" t="s">
        <v>183</v>
      </c>
      <c r="O25" s="683">
        <v>4500954301</v>
      </c>
      <c r="P25" s="683" t="s">
        <v>3829</v>
      </c>
      <c r="Q25" s="683" t="s">
        <v>37</v>
      </c>
      <c r="R25" s="683" t="s">
        <v>1782</v>
      </c>
      <c r="S25" s="686" t="s">
        <v>3087</v>
      </c>
      <c r="T25" s="683" t="s">
        <v>3830</v>
      </c>
      <c r="U25" s="683" t="s">
        <v>3559</v>
      </c>
      <c r="V25" s="683" t="s">
        <v>146</v>
      </c>
      <c r="W25" s="683" t="s">
        <v>914</v>
      </c>
      <c r="X25" s="691" t="s">
        <v>918</v>
      </c>
      <c r="Y25" s="687">
        <v>3004381438</v>
      </c>
      <c r="Z25" s="692"/>
      <c r="AA25" s="683" t="s">
        <v>33</v>
      </c>
      <c r="AB25" s="683" t="s">
        <v>34</v>
      </c>
      <c r="AC25" s="683" t="s">
        <v>230</v>
      </c>
      <c r="AD25" s="683" t="s">
        <v>1110</v>
      </c>
      <c r="AE25" s="683">
        <v>60</v>
      </c>
      <c r="AF25" s="684">
        <v>3227.9</v>
      </c>
      <c r="AG25" s="683" t="s">
        <v>243</v>
      </c>
      <c r="AH25" s="683" t="s">
        <v>220</v>
      </c>
      <c r="AI25" s="683" t="s">
        <v>33</v>
      </c>
      <c r="AJ25" s="683">
        <v>3004333873</v>
      </c>
      <c r="AK25" s="683" t="s">
        <v>33</v>
      </c>
      <c r="AL25" s="683">
        <v>106309650</v>
      </c>
      <c r="AM25" s="683" t="s">
        <v>1121</v>
      </c>
      <c r="AN25" s="683" t="s">
        <v>246</v>
      </c>
      <c r="AO25" s="683" t="s">
        <v>1095</v>
      </c>
      <c r="AP25" s="683" t="s">
        <v>240</v>
      </c>
      <c r="AQ25" s="688" t="str">
        <f>CONCATENATE("REG-",BDEGENER[[#This Row],[FECHA DE SERVICIO]],"-",BDEGENER[[#This Row],[SERIE]],"-",BDEGENER[[#This Row],[HORAS]])</f>
        <v>REG-44186-3004381438-3227,9</v>
      </c>
      <c r="AR25" s="683" t="str">
        <f>CONCATENATE("MARCA: ",BDEGENER[[#This Row],[MARCA]],"
 MODELO: ",BDEGENER[[#This Row],[MODELO]])</f>
        <v>MARCA: GENERAC
 MODELO: PG090</v>
      </c>
      <c r="AS25" s="683" t="str">
        <f>CONCATENATE("MARCA: ",BDEGENER[[#This Row],[MARCA DE MOTOR]],"
SERIE: ",BDEGENER[[#This Row],[SERIE DE MOTOR]])</f>
        <v>MARCA: GENERAC
SERIE: 3004333873</v>
      </c>
      <c r="AT25" s="683" t="str">
        <f>CONCATENATE("MARCA: ",BDEGENER[[#This Row],[MARCA ALTERNADOR ]],"
SERIE: ",BDEGENER[[#This Row],[SERIE DE ALTERNADOR]])</f>
        <v>MARCA: GENERAC
SERIE: 106309650</v>
      </c>
      <c r="AU25" s="683" t="str">
        <f>CONCATENATE("HORAS: ",BDEGENER[[#This Row],[HORAS]],"
KW-HR: ",BDEGENER[[#This Row],[KW-HORA]],"
VOLT.BATERIA: ",BDEGENER[[#This Row],[VOLTAJE DE BATERIA]],"
TEMPERATURA: ",BDEGENER[[#This Row],[TEMPERATURA DE AGUA]],"
PRES. ACEITE: ",BDEGENER[[#This Row],[PRESION DE ACEITE]])</f>
        <v>HORAS: 3227,9
KW-HR: 72301,3
VOLT.BATERIA: 13.7 V
TEMPERATURA: 198 °F
PRES. ACEITE: 54 PSI</v>
      </c>
      <c r="AV25" s="683">
        <f>COUNTIFS(Q25:Q2025,"MANTENIMIENTO CORRECTIVO",Y25:Y2025,BDEGENER[[#This Row],[SERIE]])</f>
        <v>1</v>
      </c>
      <c r="AW25" s="683">
        <f>COUNTIFS(Q25:Q2025,"MANTENIMIENTO PREVENTIVO",Y25:Y2025,BDEGENER[[#This Row],[SERIE]])</f>
        <v>10</v>
      </c>
      <c r="AX2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N°10</v>
      </c>
      <c r="AY25" s="683">
        <f>COUNTIFS(BDEGENER[SERIE],BDEGENER[[#This Row],[SERIE]],BDEGENER[TIPO DE SERVICIO],"MANTENIMIENTO PREVENTIVO")</f>
        <v>10</v>
      </c>
      <c r="AZ25" s="683" t="str">
        <f>CONCATENATE("MANTENIMIENTO PREVENTIVO N°",BDEGENER[[#This Row],[GA1]])</f>
        <v>MANTENIMIENTO PREVENTIVO N°10</v>
      </c>
      <c r="BA25" s="683">
        <f>IF(BDEGENER[[#This Row],[SERVICIO]]=BDEGENER[[#This Row],[GA2]],BDEGENER[[#This Row],[HORAS]],"0")</f>
        <v>3227.9</v>
      </c>
      <c r="BB25" s="683">
        <f>SUMIF(BDEGENER[SERIE],BDEGENER[[#This Row],[SERIE]],BDEGENER[GA3])</f>
        <v>3227.9</v>
      </c>
      <c r="BC25" s="761" t="str">
        <f>CONCATENATE("MANT",COUNTIF($Y$7:Y25,Y25))</f>
        <v>MANT1</v>
      </c>
      <c r="BD25" s="683" t="str">
        <f>CONCATENATE(BDEGENER[[#This Row],[SERIE]],BDEGENER[[#This Row],[GA5]])</f>
        <v>3004381438MANT1</v>
      </c>
      <c r="BE25" s="683" t="str">
        <f>CONCATENATE(BDEGENER[[#This Row],[CODIGO PATRIMONIAL]],BDEGENER[[#This Row],[GA5]])</f>
        <v>MANT1</v>
      </c>
      <c r="BF25" s="683">
        <f>COUNTIF(BDEGENER[SERIE],BDEGENER[[#This Row],[SERIE]])</f>
        <v>13</v>
      </c>
      <c r="BG25" s="761" t="str">
        <f>CONCATENATE("F",COUNTIF($K$7:K25,K25))</f>
        <v>F2</v>
      </c>
      <c r="BH25" s="683" t="str">
        <f>CONCATENATE(BDEGENER[[#This Row],[FECHA DE SERVICIO]],BDEGENER[[#This Row],[N° DE REGISTROS DEL DIA]])</f>
        <v>44186F2</v>
      </c>
      <c r="BI25" s="684">
        <v>72301.3</v>
      </c>
      <c r="BJ25" s="683" t="s">
        <v>1544</v>
      </c>
      <c r="BK25" s="762" t="s">
        <v>232</v>
      </c>
    </row>
    <row r="26" spans="2:63" ht="69" hidden="1" x14ac:dyDescent="0.3">
      <c r="B26" s="2"/>
      <c r="C26" s="2"/>
      <c r="D26" s="2"/>
      <c r="E26" s="2"/>
      <c r="F26" s="2"/>
      <c r="G26" s="2"/>
      <c r="H26" s="2"/>
      <c r="I26" s="2"/>
      <c r="J26" s="685"/>
      <c r="K26" s="682">
        <v>44183</v>
      </c>
      <c r="L26" s="683" t="s">
        <v>181</v>
      </c>
      <c r="M26" s="683" t="s">
        <v>185</v>
      </c>
      <c r="N26" s="683" t="s">
        <v>183</v>
      </c>
      <c r="O26" s="683"/>
      <c r="P26" s="683"/>
      <c r="Q26" s="683" t="s">
        <v>2037</v>
      </c>
      <c r="R26" s="683" t="s">
        <v>1782</v>
      </c>
      <c r="S26" s="686" t="s">
        <v>3870</v>
      </c>
      <c r="T26" s="683" t="s">
        <v>3871</v>
      </c>
      <c r="U26" s="683"/>
      <c r="V26" s="683" t="s">
        <v>146</v>
      </c>
      <c r="W26" s="683" t="s">
        <v>914</v>
      </c>
      <c r="X26" s="691" t="s">
        <v>918</v>
      </c>
      <c r="Y26" s="687">
        <v>3004290365</v>
      </c>
      <c r="Z26" s="692"/>
      <c r="AA26" s="683" t="s">
        <v>33</v>
      </c>
      <c r="AB26" s="683" t="s">
        <v>34</v>
      </c>
      <c r="AC26" s="683" t="s">
        <v>230</v>
      </c>
      <c r="AD26" s="683"/>
      <c r="AE26" s="683"/>
      <c r="AF26" s="684">
        <v>1850</v>
      </c>
      <c r="AG26" s="683" t="s">
        <v>243</v>
      </c>
      <c r="AH26" s="683" t="s">
        <v>220</v>
      </c>
      <c r="AI26" s="683" t="s">
        <v>33</v>
      </c>
      <c r="AJ26" s="683">
        <v>3004301039</v>
      </c>
      <c r="AK26" s="683" t="s">
        <v>33</v>
      </c>
      <c r="AL26" s="683">
        <v>1063018</v>
      </c>
      <c r="AM26" s="683"/>
      <c r="AN26" s="683"/>
      <c r="AO26" s="683"/>
      <c r="AP26" s="683" t="s">
        <v>240</v>
      </c>
      <c r="AQ26" s="688" t="str">
        <f>CONCATENATE("REG-",BDEGENER[[#This Row],[FECHA DE SERVICIO]],"-",BDEGENER[[#This Row],[SERIE]],"-",BDEGENER[[#This Row],[HORAS]])</f>
        <v>REG-44183-3004290365-1850</v>
      </c>
      <c r="AR26" s="683" t="str">
        <f>CONCATENATE("MARCA: ",BDEGENER[[#This Row],[MARCA]],"
 MODELO: ",BDEGENER[[#This Row],[MODELO]])</f>
        <v>MARCA: GENERAC
 MODELO: PG090</v>
      </c>
      <c r="AS26" s="683" t="str">
        <f>CONCATENATE("MARCA: ",BDEGENER[[#This Row],[MARCA DE MOTOR]],"
SERIE: ",BDEGENER[[#This Row],[SERIE DE MOTOR]])</f>
        <v>MARCA: GENERAC
SERIE: 3004301039</v>
      </c>
      <c r="AT26" s="683" t="str">
        <f>CONCATENATE("MARCA: ",BDEGENER[[#This Row],[MARCA ALTERNADOR ]],"
SERIE: ",BDEGENER[[#This Row],[SERIE DE ALTERNADOR]])</f>
        <v>MARCA: GENERAC
SERIE: 1063018</v>
      </c>
      <c r="AU26" s="683" t="str">
        <f>CONCATENATE("HORAS: ",BDEGENER[[#This Row],[HORAS]],"
KW-HR: ",BDEGENER[[#This Row],[KW-HORA]],"
VOLT.BATERIA: ",BDEGENER[[#This Row],[VOLTAJE DE BATERIA]],"
TEMPERATURA: ",BDEGENER[[#This Row],[TEMPERATURA DE AGUA]],"
PRES. ACEITE: ",BDEGENER[[#This Row],[PRESION DE ACEITE]])</f>
        <v xml:space="preserve">HORAS: 1850
KW-HR: 45796,8
VOLT.BATERIA: 
TEMPERATURA: 
PRES. ACEITE: </v>
      </c>
      <c r="AV26" s="683">
        <f>COUNTIFS(Q26:Q2026,"MANTENIMIENTO CORRECTIVO",Y26:Y2026,BDEGENER[[#This Row],[SERIE]])</f>
        <v>5</v>
      </c>
      <c r="AW26" s="683">
        <f>COUNTIFS(Q26:Q2026,"MANTENIMIENTO PREVENTIVO",Y26:Y2026,BDEGENER[[#This Row],[SERIE]])</f>
        <v>5</v>
      </c>
      <c r="AX2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26" s="683">
        <f>COUNTIFS(BDEGENER[SERIE],BDEGENER[[#This Row],[SERIE]],BDEGENER[TIPO DE SERVICIO],"MANTENIMIENTO PREVENTIVO")</f>
        <v>5</v>
      </c>
      <c r="AZ26" s="683" t="str">
        <f>CONCATENATE("MANTENIMIENTO PREVENTIVO N°",BDEGENER[[#This Row],[GA1]])</f>
        <v>MANTENIMIENTO PREVENTIVO N°5</v>
      </c>
      <c r="BA26" s="683" t="str">
        <f>IF(BDEGENER[[#This Row],[SERVICIO]]=BDEGENER[[#This Row],[GA2]],BDEGENER[[#This Row],[HORAS]],"0")</f>
        <v>0</v>
      </c>
      <c r="BB26" s="683">
        <f>SUMIF(BDEGENER[SERIE],BDEGENER[[#This Row],[SERIE]],BDEGENER[GA3])</f>
        <v>1700.2</v>
      </c>
      <c r="BC26" s="683" t="str">
        <f>CONCATENATE("MANT",COUNTIF($Y$7:Y26,Y26))</f>
        <v>MANT2</v>
      </c>
      <c r="BD26" s="683" t="str">
        <f>CONCATENATE(BDEGENER[[#This Row],[SERIE]],BDEGENER[[#This Row],[GA5]])</f>
        <v>3004290365MANT2</v>
      </c>
      <c r="BE26" s="683" t="str">
        <f>CONCATENATE(BDEGENER[[#This Row],[CODIGO PATRIMONIAL]],BDEGENER[[#This Row],[GA5]])</f>
        <v>MANT2</v>
      </c>
      <c r="BF26" s="683">
        <f>COUNTIF(BDEGENER[SERIE],BDEGENER[[#This Row],[SERIE]])</f>
        <v>15</v>
      </c>
      <c r="BG26" s="683" t="str">
        <f>CONCATENATE("F",COUNTIF($K$7:K26,K26))</f>
        <v>F1</v>
      </c>
      <c r="BH26" s="683" t="str">
        <f>CONCATENATE(BDEGENER[[#This Row],[FECHA DE SERVICIO]],BDEGENER[[#This Row],[N° DE REGISTROS DEL DIA]])</f>
        <v>44183F1</v>
      </c>
      <c r="BI26" s="684">
        <v>45796.800000000003</v>
      </c>
      <c r="BJ26" s="683" t="s">
        <v>1544</v>
      </c>
      <c r="BK26" s="762"/>
    </row>
    <row r="27" spans="2:63" ht="69" hidden="1" x14ac:dyDescent="0.3">
      <c r="B27" s="2"/>
      <c r="C27" s="2"/>
      <c r="D27" s="2"/>
      <c r="E27" s="2"/>
      <c r="F27" s="2"/>
      <c r="G27" s="2"/>
      <c r="H27" s="2"/>
      <c r="I27" s="2"/>
      <c r="J27" s="685"/>
      <c r="K27" s="682">
        <v>44183</v>
      </c>
      <c r="L27" s="683" t="s">
        <v>791</v>
      </c>
      <c r="M27" s="683" t="s">
        <v>1174</v>
      </c>
      <c r="N27" s="683" t="s">
        <v>793</v>
      </c>
      <c r="O27" s="683"/>
      <c r="P27" s="683"/>
      <c r="Q27" s="683" t="s">
        <v>107</v>
      </c>
      <c r="R27" s="683" t="s">
        <v>1782</v>
      </c>
      <c r="S27" s="686" t="s">
        <v>3865</v>
      </c>
      <c r="T27" s="683" t="s">
        <v>3866</v>
      </c>
      <c r="U27" s="683" t="s">
        <v>3867</v>
      </c>
      <c r="V27" s="683" t="s">
        <v>150</v>
      </c>
      <c r="W27" s="683" t="s">
        <v>914</v>
      </c>
      <c r="X27" s="691" t="s">
        <v>917</v>
      </c>
      <c r="Y27" s="687" t="s">
        <v>835</v>
      </c>
      <c r="Z27" s="692"/>
      <c r="AA27" s="683" t="s">
        <v>841</v>
      </c>
      <c r="AB27" s="683" t="s">
        <v>1171</v>
      </c>
      <c r="AC27" s="683" t="s">
        <v>852</v>
      </c>
      <c r="AD27" s="683"/>
      <c r="AE27" s="683"/>
      <c r="AF27" s="684">
        <v>2759</v>
      </c>
      <c r="AG27" s="683" t="s">
        <v>1412</v>
      </c>
      <c r="AH27" s="683"/>
      <c r="AI27" s="683" t="s">
        <v>841</v>
      </c>
      <c r="AJ27" s="683" t="s">
        <v>839</v>
      </c>
      <c r="AK27" s="683" t="s">
        <v>841</v>
      </c>
      <c r="AL27" s="683" t="s">
        <v>835</v>
      </c>
      <c r="AM27" s="683"/>
      <c r="AN27" s="683"/>
      <c r="AO27" s="683"/>
      <c r="AP27" s="683" t="s">
        <v>240</v>
      </c>
      <c r="AQ27" s="688" t="str">
        <f>CONCATENATE("REG-",BDEGENER[[#This Row],[FECHA DE SERVICIO]],"-",BDEGENER[[#This Row],[SERIE]],"-",BDEGENER[[#This Row],[HORAS]])</f>
        <v>REG-44183-6JA02716-2759</v>
      </c>
      <c r="AR27" s="683" t="str">
        <f>CONCATENATE("MARCA: ",BDEGENER[[#This Row],[MARCA]],"
 MODELO: ",BDEGENER[[#This Row],[MODELO]])</f>
        <v>MARCA: CATERPILLAR
 MODELO: SR4</v>
      </c>
      <c r="AS27" s="683" t="str">
        <f>CONCATENATE("MARCA: ",BDEGENER[[#This Row],[MARCA DE MOTOR]],"
SERIE: ",BDEGENER[[#This Row],[SERIE DE MOTOR]])</f>
        <v>MARCA: CATERPILLAR
SERIE: 3DAD4134</v>
      </c>
      <c r="AT27" s="683" t="str">
        <f>CONCATENATE("MARCA: ",BDEGENER[[#This Row],[MARCA ALTERNADOR ]],"
SERIE: ",BDEGENER[[#This Row],[SERIE DE ALTERNADOR]])</f>
        <v>MARCA: CATERPILLAR
SERIE: 6JA02716</v>
      </c>
      <c r="AU27" s="683" t="str">
        <f>CONCATENATE("HORAS: ",BDEGENER[[#This Row],[HORAS]],"
KW-HR: ",BDEGENER[[#This Row],[KW-HORA]],"
VOLT.BATERIA: ",BDEGENER[[#This Row],[VOLTAJE DE BATERIA]],"
TEMPERATURA: ",BDEGENER[[#This Row],[TEMPERATURA DE AGUA]],"
PRES. ACEITE: ",BDEGENER[[#This Row],[PRESION DE ACEITE]])</f>
        <v xml:space="preserve">HORAS: 2759
KW-HR: 
VOLT.BATERIA: 
TEMPERATURA: 
PRES. ACEITE: </v>
      </c>
      <c r="AV27" s="683">
        <f>COUNTIFS(Q27:Q2027,"MANTENIMIENTO CORRECTIVO",Y27:Y2027,BDEGENER[[#This Row],[SERIE]])</f>
        <v>2</v>
      </c>
      <c r="AW27" s="683">
        <f>COUNTIFS(Q27:Q2027,"MANTENIMIENTO PREVENTIVO",Y27:Y2027,BDEGENER[[#This Row],[SERIE]])</f>
        <v>4</v>
      </c>
      <c r="AX2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27" s="683">
        <f>COUNTIFS(BDEGENER[SERIE],BDEGENER[[#This Row],[SERIE]],BDEGENER[TIPO DE SERVICIO],"MANTENIMIENTO PREVENTIVO")</f>
        <v>4</v>
      </c>
      <c r="AZ27" s="683" t="str">
        <f>CONCATENATE("MANTENIMIENTO PREVENTIVO N°",BDEGENER[[#This Row],[GA1]])</f>
        <v>MANTENIMIENTO PREVENTIVO N°4</v>
      </c>
      <c r="BA27" s="683" t="str">
        <f>IF(BDEGENER[[#This Row],[SERVICIO]]=BDEGENER[[#This Row],[GA2]],BDEGENER[[#This Row],[HORAS]],"0")</f>
        <v>0</v>
      </c>
      <c r="BB27" s="683">
        <f>SUMIF(BDEGENER[SERIE],BDEGENER[[#This Row],[SERIE]],BDEGENER[GA3])</f>
        <v>2751</v>
      </c>
      <c r="BC27" s="683" t="str">
        <f>CONCATENATE("MANT",COUNTIF($Y$7:Y27,Y27))</f>
        <v>MANT1</v>
      </c>
      <c r="BD27" s="683" t="str">
        <f>CONCATENATE(BDEGENER[[#This Row],[SERIE]],BDEGENER[[#This Row],[GA5]])</f>
        <v>6JA02716MANT1</v>
      </c>
      <c r="BE27" s="683" t="str">
        <f>CONCATENATE(BDEGENER[[#This Row],[CODIGO PATRIMONIAL]],BDEGENER[[#This Row],[GA5]])</f>
        <v>MANT1</v>
      </c>
      <c r="BF27" s="683">
        <f>COUNTIF(BDEGENER[SERIE],BDEGENER[[#This Row],[SERIE]])</f>
        <v>7</v>
      </c>
      <c r="BG27" s="683" t="str">
        <f>CONCATENATE("F",COUNTIF($K$7:K27,K27))</f>
        <v>F2</v>
      </c>
      <c r="BH27" s="683" t="str">
        <f>CONCATENATE(BDEGENER[[#This Row],[FECHA DE SERVICIO]],BDEGENER[[#This Row],[N° DE REGISTROS DEL DIA]])</f>
        <v>44183F2</v>
      </c>
      <c r="BI27" s="684"/>
      <c r="BJ27" s="683" t="s">
        <v>1544</v>
      </c>
      <c r="BK27" s="762"/>
    </row>
    <row r="28" spans="2:63" ht="69" hidden="1" x14ac:dyDescent="0.3">
      <c r="B28" s="2"/>
      <c r="C28" s="2"/>
      <c r="D28" s="2"/>
      <c r="E28" s="2"/>
      <c r="F28" s="2"/>
      <c r="G28" s="2"/>
      <c r="H28" s="2"/>
      <c r="I28" s="2"/>
      <c r="J28" s="685"/>
      <c r="K28" s="682">
        <v>44183</v>
      </c>
      <c r="L28" s="683" t="s">
        <v>561</v>
      </c>
      <c r="M28" s="683" t="s">
        <v>2558</v>
      </c>
      <c r="N28" s="683" t="s">
        <v>586</v>
      </c>
      <c r="O28" s="683"/>
      <c r="P28" s="683" t="s">
        <v>3854</v>
      </c>
      <c r="Q28" s="683" t="s">
        <v>37</v>
      </c>
      <c r="R28" s="683" t="s">
        <v>1782</v>
      </c>
      <c r="S28" s="686" t="s">
        <v>3855</v>
      </c>
      <c r="T28" s="683" t="s">
        <v>2546</v>
      </c>
      <c r="U28" s="683" t="s">
        <v>3856</v>
      </c>
      <c r="V28" s="683" t="s">
        <v>147</v>
      </c>
      <c r="W28" s="683" t="s">
        <v>914</v>
      </c>
      <c r="X28" s="691" t="s">
        <v>918</v>
      </c>
      <c r="Y28" s="687">
        <v>3003932245</v>
      </c>
      <c r="Z28" s="692" t="s">
        <v>2617</v>
      </c>
      <c r="AA28" s="683" t="s">
        <v>33</v>
      </c>
      <c r="AB28" s="683" t="s">
        <v>34</v>
      </c>
      <c r="AC28" s="683" t="s">
        <v>235</v>
      </c>
      <c r="AD28" s="683" t="s">
        <v>1123</v>
      </c>
      <c r="AE28" s="683">
        <v>60</v>
      </c>
      <c r="AF28" s="684">
        <v>6582.8</v>
      </c>
      <c r="AG28" s="683" t="s">
        <v>243</v>
      </c>
      <c r="AH28" s="683" t="s">
        <v>220</v>
      </c>
      <c r="AI28" s="683" t="s">
        <v>33</v>
      </c>
      <c r="AJ28" s="683">
        <v>3003963173</v>
      </c>
      <c r="AK28" s="683" t="s">
        <v>33</v>
      </c>
      <c r="AL28" s="683"/>
      <c r="AM28" s="683" t="s">
        <v>245</v>
      </c>
      <c r="AN28" s="683" t="s">
        <v>1357</v>
      </c>
      <c r="AO28" s="683" t="s">
        <v>1427</v>
      </c>
      <c r="AP28" s="683" t="s">
        <v>240</v>
      </c>
      <c r="AQ28" s="688" t="str">
        <f>CONCATENATE("REG-",BDEGENER[[#This Row],[FECHA DE SERVICIO]],"-",BDEGENER[[#This Row],[SERIE]],"-",BDEGENER[[#This Row],[HORAS]])</f>
        <v>REG-44183-3003932245-6582,8</v>
      </c>
      <c r="AR28" s="683" t="str">
        <f>CONCATENATE("MARCA: ",BDEGENER[[#This Row],[MARCA]],"
 MODELO: ",BDEGENER[[#This Row],[MODELO]])</f>
        <v>MARCA: GENERAC
 MODELO: PG090</v>
      </c>
      <c r="AS28" s="683" t="str">
        <f>CONCATENATE("MARCA: ",BDEGENER[[#This Row],[MARCA DE MOTOR]],"
SERIE: ",BDEGENER[[#This Row],[SERIE DE MOTOR]])</f>
        <v>MARCA: GENERAC
SERIE: 3003963173</v>
      </c>
      <c r="AT28" s="683" t="str">
        <f>CONCATENATE("MARCA: ",BDEGENER[[#This Row],[MARCA ALTERNADOR ]],"
SERIE: ",BDEGENER[[#This Row],[SERIE DE ALTERNADOR]])</f>
        <v xml:space="preserve">MARCA: GENERAC
SERIE: </v>
      </c>
      <c r="AU28" s="683" t="str">
        <f>CONCATENATE("HORAS: ",BDEGENER[[#This Row],[HORAS]],"
KW-HR: ",BDEGENER[[#This Row],[KW-HORA]],"
VOLT.BATERIA: ",BDEGENER[[#This Row],[VOLTAJE DE BATERIA]],"
TEMPERATURA: ",BDEGENER[[#This Row],[TEMPERATURA DE AGUA]],"
PRES. ACEITE: ",BDEGENER[[#This Row],[PRESION DE ACEITE]])</f>
        <v>HORAS: 6582,8
KW-HR: 189573,7
VOLT.BATERIA: 13.6 V
TEMPERATURA: 145 °F
PRES. ACEITE: 60 PSI</v>
      </c>
      <c r="AV28" s="683">
        <f>COUNTIFS(Q28:Q2028,"MANTENIMIENTO CORRECTIVO",Y28:Y2028,BDEGENER[[#This Row],[SERIE]])</f>
        <v>1</v>
      </c>
      <c r="AW28" s="683">
        <f>COUNTIFS(Q28:Q2028,"MANTENIMIENTO PREVENTIVO",Y28:Y2028,BDEGENER[[#This Row],[SERIE]])</f>
        <v>9</v>
      </c>
      <c r="AX2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28" s="683">
        <f>COUNTIFS(BDEGENER[SERIE],BDEGENER[[#This Row],[SERIE]],BDEGENER[TIPO DE SERVICIO],"MANTENIMIENTO PREVENTIVO")</f>
        <v>9</v>
      </c>
      <c r="AZ28" s="683" t="str">
        <f>CONCATENATE("MANTENIMIENTO PREVENTIVO N°",BDEGENER[[#This Row],[GA1]])</f>
        <v>MANTENIMIENTO PREVENTIVO N°9</v>
      </c>
      <c r="BA28" s="683">
        <f>IF(BDEGENER[[#This Row],[SERVICIO]]=BDEGENER[[#This Row],[GA2]],BDEGENER[[#This Row],[HORAS]],"0")</f>
        <v>6582.8</v>
      </c>
      <c r="BB28" s="683">
        <f>SUMIF(BDEGENER[SERIE],BDEGENER[[#This Row],[SERIE]],BDEGENER[GA3])</f>
        <v>6582.8</v>
      </c>
      <c r="BC28" s="761" t="str">
        <f>CONCATENATE("MANT",COUNTIF($Y$7:Y28,Y28))</f>
        <v>MANT1</v>
      </c>
      <c r="BD28" s="683" t="str">
        <f>CONCATENATE(BDEGENER[[#This Row],[SERIE]],BDEGENER[[#This Row],[GA5]])</f>
        <v>3003932245MANT1</v>
      </c>
      <c r="BE28" s="683" t="str">
        <f>CONCATENATE(BDEGENER[[#This Row],[CODIGO PATRIMONIAL]],BDEGENER[[#This Row],[GA5]])</f>
        <v>NOR-GEG-0019MANT1</v>
      </c>
      <c r="BF28" s="683">
        <f>COUNTIF(BDEGENER[SERIE],BDEGENER[[#This Row],[SERIE]])</f>
        <v>10</v>
      </c>
      <c r="BG28" s="761" t="str">
        <f>CONCATENATE("F",COUNTIF($K$7:K28,K28))</f>
        <v>F3</v>
      </c>
      <c r="BH28" s="683" t="str">
        <f>CONCATENATE(BDEGENER[[#This Row],[FECHA DE SERVICIO]],BDEGENER[[#This Row],[N° DE REGISTROS DEL DIA]])</f>
        <v>44183F3</v>
      </c>
      <c r="BI28" s="684">
        <v>189573.7</v>
      </c>
      <c r="BJ28" s="683" t="s">
        <v>1544</v>
      </c>
      <c r="BK28" s="762" t="s">
        <v>752</v>
      </c>
    </row>
    <row r="29" spans="2:63" ht="69" hidden="1" x14ac:dyDescent="0.3">
      <c r="B29" s="2"/>
      <c r="C29" s="2"/>
      <c r="D29" s="2"/>
      <c r="E29" s="2"/>
      <c r="F29" s="2"/>
      <c r="G29" s="2"/>
      <c r="H29" s="2"/>
      <c r="I29" s="2"/>
      <c r="J29" s="685"/>
      <c r="K29" s="682">
        <v>44182</v>
      </c>
      <c r="L29" s="683" t="s">
        <v>561</v>
      </c>
      <c r="M29" s="683" t="s">
        <v>2450</v>
      </c>
      <c r="N29" s="683" t="s">
        <v>584</v>
      </c>
      <c r="O29" s="683"/>
      <c r="P29" s="683" t="s">
        <v>3835</v>
      </c>
      <c r="Q29" s="683" t="s">
        <v>37</v>
      </c>
      <c r="R29" s="683" t="s">
        <v>1782</v>
      </c>
      <c r="S29" s="686" t="s">
        <v>3860</v>
      </c>
      <c r="T29" s="683" t="s">
        <v>3861</v>
      </c>
      <c r="U29" s="683" t="s">
        <v>3862</v>
      </c>
      <c r="V29" s="683" t="s">
        <v>147</v>
      </c>
      <c r="W29" s="683" t="s">
        <v>914</v>
      </c>
      <c r="X29" s="691" t="s">
        <v>918</v>
      </c>
      <c r="Y29" s="687">
        <v>3004327723</v>
      </c>
      <c r="Z29" s="692"/>
      <c r="AA29" s="683" t="s">
        <v>33</v>
      </c>
      <c r="AB29" s="683" t="s">
        <v>34</v>
      </c>
      <c r="AC29" s="683" t="s">
        <v>230</v>
      </c>
      <c r="AD29" s="683" t="s">
        <v>1123</v>
      </c>
      <c r="AE29" s="683">
        <v>60</v>
      </c>
      <c r="AF29" s="684">
        <v>6883.3</v>
      </c>
      <c r="AG29" s="683" t="s">
        <v>243</v>
      </c>
      <c r="AH29" s="683" t="s">
        <v>220</v>
      </c>
      <c r="AI29" s="683" t="s">
        <v>33</v>
      </c>
      <c r="AJ29" s="683">
        <v>3004346813</v>
      </c>
      <c r="AK29" s="683" t="s">
        <v>33</v>
      </c>
      <c r="AL29" s="683">
        <v>106302070</v>
      </c>
      <c r="AM29" s="683" t="s">
        <v>245</v>
      </c>
      <c r="AN29" s="683" t="s">
        <v>3749</v>
      </c>
      <c r="AO29" s="683" t="s">
        <v>1381</v>
      </c>
      <c r="AP29" s="683" t="s">
        <v>240</v>
      </c>
      <c r="AQ29" s="688" t="str">
        <f>CONCATENATE("REG-",BDEGENER[[#This Row],[FECHA DE SERVICIO]],"-",BDEGENER[[#This Row],[SERIE]],"-",BDEGENER[[#This Row],[HORAS]])</f>
        <v>REG-44182-3004327723-6883,3</v>
      </c>
      <c r="AR29" s="683" t="str">
        <f>CONCATENATE("MARCA: ",BDEGENER[[#This Row],[MARCA]],"
 MODELO: ",BDEGENER[[#This Row],[MODELO]])</f>
        <v>MARCA: GENERAC
 MODELO: PG090</v>
      </c>
      <c r="AS29" s="683" t="str">
        <f>CONCATENATE("MARCA: ",BDEGENER[[#This Row],[MARCA DE MOTOR]],"
SERIE: ",BDEGENER[[#This Row],[SERIE DE MOTOR]])</f>
        <v>MARCA: GENERAC
SERIE: 3004346813</v>
      </c>
      <c r="AT29" s="683" t="str">
        <f>CONCATENATE("MARCA: ",BDEGENER[[#This Row],[MARCA ALTERNADOR ]],"
SERIE: ",BDEGENER[[#This Row],[SERIE DE ALTERNADOR]])</f>
        <v>MARCA: GENERAC
SERIE: 106302070</v>
      </c>
      <c r="AU29" s="683" t="str">
        <f>CONCATENATE("HORAS: ",BDEGENER[[#This Row],[HORAS]],"
KW-HR: ",BDEGENER[[#This Row],[KW-HORA]],"
VOLT.BATERIA: ",BDEGENER[[#This Row],[VOLTAJE DE BATERIA]],"
TEMPERATURA: ",BDEGENER[[#This Row],[TEMPERATURA DE AGUA]],"
PRES. ACEITE: ",BDEGENER[[#This Row],[PRESION DE ACEITE]])</f>
        <v>HORAS: 6883,3
KW-HR: 99246,6
VOLT.BATERIA: 13.6 V
TEMPERATURA: 149 °F
PRES. ACEITE: 66 PSI</v>
      </c>
      <c r="AV29" s="683">
        <f>COUNTIFS(Q29:Q2029,"MANTENIMIENTO CORRECTIVO",Y29:Y2029,BDEGENER[[#This Row],[SERIE]])</f>
        <v>1</v>
      </c>
      <c r="AW29" s="683">
        <f>COUNTIFS(Q29:Q2029,"MANTENIMIENTO PREVENTIVO",Y29:Y2029,BDEGENER[[#This Row],[SERIE]])</f>
        <v>8</v>
      </c>
      <c r="AX2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29" s="683">
        <f>COUNTIFS(BDEGENER[SERIE],BDEGENER[[#This Row],[SERIE]],BDEGENER[TIPO DE SERVICIO],"MANTENIMIENTO PREVENTIVO")</f>
        <v>8</v>
      </c>
      <c r="AZ29" s="683" t="str">
        <f>CONCATENATE("MANTENIMIENTO PREVENTIVO N°",BDEGENER[[#This Row],[GA1]])</f>
        <v>MANTENIMIENTO PREVENTIVO N°8</v>
      </c>
      <c r="BA29" s="683">
        <f>IF(BDEGENER[[#This Row],[SERVICIO]]=BDEGENER[[#This Row],[GA2]],BDEGENER[[#This Row],[HORAS]],"0")</f>
        <v>6883.3</v>
      </c>
      <c r="BB29" s="683">
        <f>SUMIF(BDEGENER[SERIE],BDEGENER[[#This Row],[SERIE]],BDEGENER[GA3])</f>
        <v>6883.3</v>
      </c>
      <c r="BC29" s="683" t="str">
        <f>CONCATENATE("MANT",COUNTIF($Y$7:Y29,Y29))</f>
        <v>MANT1</v>
      </c>
      <c r="BD29" s="683" t="str">
        <f>CONCATENATE(BDEGENER[[#This Row],[SERIE]],BDEGENER[[#This Row],[GA5]])</f>
        <v>3004327723MANT1</v>
      </c>
      <c r="BE29" s="683" t="str">
        <f>CONCATENATE(BDEGENER[[#This Row],[CODIGO PATRIMONIAL]],BDEGENER[[#This Row],[GA5]])</f>
        <v>MANT1</v>
      </c>
      <c r="BF29" s="683">
        <f>COUNTIF(BDEGENER[SERIE],BDEGENER[[#This Row],[SERIE]])</f>
        <v>11</v>
      </c>
      <c r="BG29" s="683" t="str">
        <f>CONCATENATE("F",COUNTIF($K$7:K29,K29))</f>
        <v>F1</v>
      </c>
      <c r="BH29" s="683" t="str">
        <f>CONCATENATE(BDEGENER[[#This Row],[FECHA DE SERVICIO]],BDEGENER[[#This Row],[N° DE REGISTROS DEL DIA]])</f>
        <v>44182F1</v>
      </c>
      <c r="BI29" s="684">
        <v>99246.6</v>
      </c>
      <c r="BJ29" s="683" t="s">
        <v>1544</v>
      </c>
      <c r="BK29" s="762" t="s">
        <v>2267</v>
      </c>
    </row>
    <row r="30" spans="2:63" ht="69" hidden="1" x14ac:dyDescent="0.3">
      <c r="B30" s="2"/>
      <c r="C30" s="2"/>
      <c r="D30" s="2"/>
      <c r="E30" s="2"/>
      <c r="F30" s="2"/>
      <c r="G30" s="2"/>
      <c r="H30" s="2"/>
      <c r="I30" s="2"/>
      <c r="J30" s="685"/>
      <c r="K30" s="682">
        <v>44182</v>
      </c>
      <c r="L30" s="683" t="s">
        <v>561</v>
      </c>
      <c r="M30" s="683" t="s">
        <v>2451</v>
      </c>
      <c r="N30" s="683" t="s">
        <v>584</v>
      </c>
      <c r="O30" s="683"/>
      <c r="P30" s="683" t="s">
        <v>3857</v>
      </c>
      <c r="Q30" s="683" t="s">
        <v>107</v>
      </c>
      <c r="R30" s="683" t="s">
        <v>1782</v>
      </c>
      <c r="S30" s="686" t="s">
        <v>3858</v>
      </c>
      <c r="T30" s="683" t="s">
        <v>2546</v>
      </c>
      <c r="U30" s="683" t="s">
        <v>3859</v>
      </c>
      <c r="V30" s="683" t="s">
        <v>147</v>
      </c>
      <c r="W30" s="683" t="s">
        <v>913</v>
      </c>
      <c r="X30" s="691" t="s">
        <v>918</v>
      </c>
      <c r="Y30" s="687">
        <v>3003987064</v>
      </c>
      <c r="Z30" s="692" t="s">
        <v>2614</v>
      </c>
      <c r="AA30" s="683" t="s">
        <v>33</v>
      </c>
      <c r="AB30" s="683" t="s">
        <v>217</v>
      </c>
      <c r="AC30" s="683" t="s">
        <v>749</v>
      </c>
      <c r="AD30" s="683" t="s">
        <v>1123</v>
      </c>
      <c r="AE30" s="683"/>
      <c r="AF30" s="684">
        <v>6312.3</v>
      </c>
      <c r="AG30" s="683" t="s">
        <v>243</v>
      </c>
      <c r="AH30" s="683" t="s">
        <v>1803</v>
      </c>
      <c r="AI30" s="683" t="s">
        <v>2553</v>
      </c>
      <c r="AJ30" s="683"/>
      <c r="AK30" s="683" t="s">
        <v>33</v>
      </c>
      <c r="AL30" s="683"/>
      <c r="AM30" s="683" t="s">
        <v>1142</v>
      </c>
      <c r="AN30" s="683" t="s">
        <v>2504</v>
      </c>
      <c r="AO30" s="683"/>
      <c r="AP30" s="683" t="s">
        <v>240</v>
      </c>
      <c r="AQ30" s="688" t="str">
        <f>CONCATENATE("REG-",BDEGENER[[#This Row],[FECHA DE SERVICIO]],"-",BDEGENER[[#This Row],[SERIE]],"-",BDEGENER[[#This Row],[HORAS]])</f>
        <v>REG-44182-3003987064-6312,3</v>
      </c>
      <c r="AR30" s="683" t="str">
        <f>CONCATENATE("MARCA: ",BDEGENER[[#This Row],[MARCA]],"
 MODELO: ",BDEGENER[[#This Row],[MODELO]])</f>
        <v>MARCA: GENERAC
 MODELO: RG022</v>
      </c>
      <c r="AS30" s="683" t="str">
        <f>CONCATENATE("MARCA: ",BDEGENER[[#This Row],[MARCA DE MOTOR]],"
SERIE: ",BDEGENER[[#This Row],[SERIE DE MOTOR]])</f>
        <v xml:space="preserve">MARCA: MITSUBISHI
SERIE: </v>
      </c>
      <c r="AT30" s="683" t="str">
        <f>CONCATENATE("MARCA: ",BDEGENER[[#This Row],[MARCA ALTERNADOR ]],"
SERIE: ",BDEGENER[[#This Row],[SERIE DE ALTERNADOR]])</f>
        <v xml:space="preserve">MARCA: GENERAC
SERIE: </v>
      </c>
      <c r="AU30" s="683" t="str">
        <f>CONCATENATE("HORAS: ",BDEGENER[[#This Row],[HORAS]],"
KW-HR: ",BDEGENER[[#This Row],[KW-HORA]],"
VOLT.BATERIA: ",BDEGENER[[#This Row],[VOLTAJE DE BATERIA]],"
TEMPERATURA: ",BDEGENER[[#This Row],[TEMPERATURA DE AGUA]],"
PRES. ACEITE: ",BDEGENER[[#This Row],[PRESION DE ACEITE]])</f>
        <v xml:space="preserve">HORAS: 6312,3
KW-HR: 
VOLT.BATERIA: 14.4 V
TEMPERATURA: 86 °C
PRES. ACEITE: </v>
      </c>
      <c r="AV30" s="683">
        <f>COUNTIFS(Q30:Q2030,"MANTENIMIENTO CORRECTIVO",Y30:Y2030,BDEGENER[[#This Row],[SERIE]])</f>
        <v>1</v>
      </c>
      <c r="AW30" s="683">
        <f>COUNTIFS(Q30:Q2030,"MANTENIMIENTO PREVENTIVO",Y30:Y2030,BDEGENER[[#This Row],[SERIE]])</f>
        <v>10</v>
      </c>
      <c r="AX3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30" s="683">
        <f>COUNTIFS(BDEGENER[SERIE],BDEGENER[[#This Row],[SERIE]],BDEGENER[TIPO DE SERVICIO],"MANTENIMIENTO PREVENTIVO")</f>
        <v>11</v>
      </c>
      <c r="AZ30" s="683" t="str">
        <f>CONCATENATE("MANTENIMIENTO PREVENTIVO N°",BDEGENER[[#This Row],[GA1]])</f>
        <v>MANTENIMIENTO PREVENTIVO N°11</v>
      </c>
      <c r="BA30" s="683" t="str">
        <f>IF(BDEGENER[[#This Row],[SERVICIO]]=BDEGENER[[#This Row],[GA2]],BDEGENER[[#This Row],[HORAS]],"0")</f>
        <v>0</v>
      </c>
      <c r="BB30" s="683">
        <f>SUMIF(BDEGENER[SERIE],BDEGENER[[#This Row],[SERIE]],BDEGENER[GA3])</f>
        <v>6420.8</v>
      </c>
      <c r="BC30" s="683" t="str">
        <f>CONCATENATE("MANT",COUNTIF($Y$7:Y30,Y30))</f>
        <v>MANT2</v>
      </c>
      <c r="BD30" s="683" t="str">
        <f>CONCATENATE(BDEGENER[[#This Row],[SERIE]],BDEGENER[[#This Row],[GA5]])</f>
        <v>3003987064MANT2</v>
      </c>
      <c r="BE30" s="683" t="str">
        <f>CONCATENATE(BDEGENER[[#This Row],[CODIGO PATRIMONIAL]],BDEGENER[[#This Row],[GA5]])</f>
        <v>NOR-GEG-0016MANT2</v>
      </c>
      <c r="BF30" s="683">
        <f>COUNTIF(BDEGENER[SERIE],BDEGENER[[#This Row],[SERIE]])</f>
        <v>12</v>
      </c>
      <c r="BG30" s="683" t="str">
        <f>CONCATENATE("F",COUNTIF($K$7:K30,K30))</f>
        <v>F2</v>
      </c>
      <c r="BH30" s="683" t="str">
        <f>CONCATENATE(BDEGENER[[#This Row],[FECHA DE SERVICIO]],BDEGENER[[#This Row],[N° DE REGISTROS DEL DIA]])</f>
        <v>44182F2</v>
      </c>
      <c r="BI30" s="684"/>
      <c r="BJ30" s="683" t="s">
        <v>1544</v>
      </c>
      <c r="BK30" s="762"/>
    </row>
    <row r="31" spans="2:63" ht="69" hidden="1" x14ac:dyDescent="0.3">
      <c r="B31" s="2"/>
      <c r="C31" s="2"/>
      <c r="D31" s="2"/>
      <c r="E31" s="2"/>
      <c r="F31" s="2"/>
      <c r="G31" s="2"/>
      <c r="H31" s="2"/>
      <c r="I31" s="2"/>
      <c r="J31" s="685"/>
      <c r="K31" s="682">
        <v>44182</v>
      </c>
      <c r="L31" s="683" t="s">
        <v>561</v>
      </c>
      <c r="M31" s="683" t="s">
        <v>2450</v>
      </c>
      <c r="N31" s="683" t="s">
        <v>584</v>
      </c>
      <c r="O31" s="683"/>
      <c r="P31" s="683"/>
      <c r="Q31" s="683" t="s">
        <v>107</v>
      </c>
      <c r="R31" s="683" t="s">
        <v>1782</v>
      </c>
      <c r="S31" s="686" t="s">
        <v>3851</v>
      </c>
      <c r="T31" s="683" t="s">
        <v>3852</v>
      </c>
      <c r="U31" s="683" t="s">
        <v>3853</v>
      </c>
      <c r="V31" s="683" t="s">
        <v>147</v>
      </c>
      <c r="W31" s="683" t="s">
        <v>913</v>
      </c>
      <c r="X31" s="691" t="s">
        <v>918</v>
      </c>
      <c r="Y31" s="687">
        <v>3003940357</v>
      </c>
      <c r="Z31" s="692" t="s">
        <v>2612</v>
      </c>
      <c r="AA31" s="683" t="s">
        <v>33</v>
      </c>
      <c r="AB31" s="683" t="s">
        <v>217</v>
      </c>
      <c r="AC31" s="683" t="s">
        <v>749</v>
      </c>
      <c r="AD31" s="683"/>
      <c r="AE31" s="683"/>
      <c r="AF31" s="684">
        <v>6078.1</v>
      </c>
      <c r="AG31" s="683" t="s">
        <v>243</v>
      </c>
      <c r="AH31" s="683" t="s">
        <v>1803</v>
      </c>
      <c r="AI31" s="683" t="s">
        <v>2553</v>
      </c>
      <c r="AJ31" s="683" t="s">
        <v>2816</v>
      </c>
      <c r="AK31" s="683" t="s">
        <v>33</v>
      </c>
      <c r="AL31" s="683">
        <v>20181104</v>
      </c>
      <c r="AM31" s="683"/>
      <c r="AN31" s="683"/>
      <c r="AO31" s="683"/>
      <c r="AP31" s="683" t="s">
        <v>240</v>
      </c>
      <c r="AQ31" s="744" t="str">
        <f>CONCATENATE("REG-",BDEGENER[[#This Row],[FECHA DE SERVICIO]],"-",BDEGENER[[#This Row],[SERIE]],"-",BDEGENER[[#This Row],[HORAS]])</f>
        <v>REG-44182-3003940357-6078,1</v>
      </c>
      <c r="AR31" s="683" t="str">
        <f>CONCATENATE("MARCA: ",BDEGENER[[#This Row],[MARCA]],"
 MODELO: ",BDEGENER[[#This Row],[MODELO]])</f>
        <v>MARCA: GENERAC
 MODELO: RG022</v>
      </c>
      <c r="AS31" s="683" t="str">
        <f>CONCATENATE("MARCA: ",BDEGENER[[#This Row],[MARCA DE MOTOR]],"
SERIE: ",BDEGENER[[#This Row],[SERIE DE MOTOR]])</f>
        <v>MARCA: MITSUBISHI
SERIE: 4G6454M/SXG1014</v>
      </c>
      <c r="AT31" s="683" t="str">
        <f>CONCATENATE("MARCA: ",BDEGENER[[#This Row],[MARCA ALTERNADOR ]],"
SERIE: ",BDEGENER[[#This Row],[SERIE DE ALTERNADOR]])</f>
        <v>MARCA: GENERAC
SERIE: 20181104</v>
      </c>
      <c r="AU31" s="683" t="str">
        <f>CONCATENATE("HORAS: ",BDEGENER[[#This Row],[HORAS]],"
KW-HR: ",BDEGENER[[#This Row],[KW-HORA]],"
VOLT.BATERIA: ",BDEGENER[[#This Row],[VOLTAJE DE BATERIA]],"
TEMPERATURA: ",BDEGENER[[#This Row],[TEMPERATURA DE AGUA]],"
PRES. ACEITE: ",BDEGENER[[#This Row],[PRESION DE ACEITE]])</f>
        <v xml:space="preserve">HORAS: 6078,1
KW-HR: 
VOLT.BATERIA: 
TEMPERATURA: 
PRES. ACEITE: </v>
      </c>
      <c r="AV31" s="683">
        <f>COUNTIFS(Q31:Q2031,"MANTENIMIENTO CORRECTIVO",Y31:Y2031,BDEGENER[[#This Row],[SERIE]])</f>
        <v>3</v>
      </c>
      <c r="AW31" s="683">
        <f>COUNTIFS(Q31:Q2031,"MANTENIMIENTO PREVENTIVO",Y31:Y2031,BDEGENER[[#This Row],[SERIE]])</f>
        <v>11</v>
      </c>
      <c r="AX3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31" s="683">
        <f>COUNTIFS(BDEGENER[SERIE],BDEGENER[[#This Row],[SERIE]],BDEGENER[TIPO DE SERVICIO],"MANTENIMIENTO PREVENTIVO")</f>
        <v>12</v>
      </c>
      <c r="AZ31" s="683" t="str">
        <f>CONCATENATE("MANTENIMIENTO PREVENTIVO N°",BDEGENER[[#This Row],[GA1]])</f>
        <v>MANTENIMIENTO PREVENTIVO N°12</v>
      </c>
      <c r="BA31" s="683" t="str">
        <f>IF(BDEGENER[[#This Row],[SERVICIO]]=BDEGENER[[#This Row],[GA2]],BDEGENER[[#This Row],[HORAS]],"0")</f>
        <v>0</v>
      </c>
      <c r="BB31" s="683">
        <f>SUMIF(BDEGENER[SERIE],BDEGENER[[#This Row],[SERIE]],BDEGENER[GA3])</f>
        <v>6263.3</v>
      </c>
      <c r="BC31" s="761" t="str">
        <f>CONCATENATE("MANT",COUNTIF($Y$7:Y31,Y31))</f>
        <v>MANT2</v>
      </c>
      <c r="BD31" s="683" t="str">
        <f>CONCATENATE(BDEGENER[[#This Row],[SERIE]],BDEGENER[[#This Row],[GA5]])</f>
        <v>3003940357MANT2</v>
      </c>
      <c r="BE31" s="683" t="str">
        <f>CONCATENATE(BDEGENER[[#This Row],[CODIGO PATRIMONIAL]],BDEGENER[[#This Row],[GA5]])</f>
        <v>NOR-GEG-0014MANT2</v>
      </c>
      <c r="BF31" s="683">
        <f>COUNTIF(BDEGENER[SERIE],BDEGENER[[#This Row],[SERIE]])</f>
        <v>16</v>
      </c>
      <c r="BG31" s="761" t="str">
        <f>CONCATENATE("F",COUNTIF($K$7:K31,K31))</f>
        <v>F3</v>
      </c>
      <c r="BH31" s="683" t="str">
        <f>CONCATENATE(BDEGENER[[#This Row],[FECHA DE SERVICIO]],BDEGENER[[#This Row],[N° DE REGISTROS DEL DIA]])</f>
        <v>44182F3</v>
      </c>
      <c r="BI31" s="684"/>
      <c r="BJ31" s="683" t="s">
        <v>1544</v>
      </c>
      <c r="BK31" s="762"/>
    </row>
    <row r="32" spans="2:63" ht="69" hidden="1" x14ac:dyDescent="0.3">
      <c r="B32" s="2"/>
      <c r="C32" s="2"/>
      <c r="D32" s="2"/>
      <c r="E32" s="2"/>
      <c r="F32" s="2"/>
      <c r="G32" s="2"/>
      <c r="H32" s="2"/>
      <c r="I32" s="2"/>
      <c r="J32" s="685"/>
      <c r="K32" s="682">
        <v>44182</v>
      </c>
      <c r="L32" s="683" t="s">
        <v>561</v>
      </c>
      <c r="M32" s="683" t="s">
        <v>2450</v>
      </c>
      <c r="N32" s="683" t="s">
        <v>584</v>
      </c>
      <c r="O32" s="683"/>
      <c r="P32" s="688" t="s">
        <v>3835</v>
      </c>
      <c r="Q32" s="683" t="s">
        <v>107</v>
      </c>
      <c r="R32" s="683" t="s">
        <v>1782</v>
      </c>
      <c r="S32" s="686" t="s">
        <v>3836</v>
      </c>
      <c r="T32" s="683" t="s">
        <v>2546</v>
      </c>
      <c r="U32" s="683" t="s">
        <v>3837</v>
      </c>
      <c r="V32" s="683" t="s">
        <v>147</v>
      </c>
      <c r="W32" s="683" t="s">
        <v>914</v>
      </c>
      <c r="X32" s="691" t="s">
        <v>918</v>
      </c>
      <c r="Y32" s="687">
        <v>3003566705</v>
      </c>
      <c r="Z32" s="692" t="s">
        <v>2613</v>
      </c>
      <c r="AA32" s="683" t="s">
        <v>33</v>
      </c>
      <c r="AB32" s="683" t="s">
        <v>34</v>
      </c>
      <c r="AC32" s="683" t="s">
        <v>230</v>
      </c>
      <c r="AD32" s="683" t="s">
        <v>1123</v>
      </c>
      <c r="AE32" s="683">
        <v>60</v>
      </c>
      <c r="AF32" s="684">
        <v>6883.3</v>
      </c>
      <c r="AG32" s="683" t="s">
        <v>243</v>
      </c>
      <c r="AH32" s="683" t="s">
        <v>220</v>
      </c>
      <c r="AI32" s="683" t="s">
        <v>33</v>
      </c>
      <c r="AJ32" s="683">
        <v>3003388541</v>
      </c>
      <c r="AK32" s="683" t="s">
        <v>33</v>
      </c>
      <c r="AL32" s="683"/>
      <c r="AM32" s="683" t="s">
        <v>245</v>
      </c>
      <c r="AN32" s="683" t="s">
        <v>3749</v>
      </c>
      <c r="AO32" s="683" t="s">
        <v>1381</v>
      </c>
      <c r="AP32" s="683" t="s">
        <v>240</v>
      </c>
      <c r="AQ32" s="688" t="str">
        <f>CONCATENATE("REG-",BDEGENER[[#This Row],[FECHA DE SERVICIO]],"-",BDEGENER[[#This Row],[SERIE]],"-",BDEGENER[[#This Row],[HORAS]])</f>
        <v>REG-44182-3003566705-6883,3</v>
      </c>
      <c r="AR32" s="683" t="str">
        <f>CONCATENATE("MARCA: ",BDEGENER[[#This Row],[MARCA]],"
 MODELO: ",BDEGENER[[#This Row],[MODELO]])</f>
        <v>MARCA: GENERAC
 MODELO: PG090</v>
      </c>
      <c r="AS32" s="683" t="str">
        <f>CONCATENATE("MARCA: ",BDEGENER[[#This Row],[MARCA DE MOTOR]],"
SERIE: ",BDEGENER[[#This Row],[SERIE DE MOTOR]])</f>
        <v>MARCA: GENERAC
SERIE: 3003388541</v>
      </c>
      <c r="AT32" s="683" t="str">
        <f>CONCATENATE("MARCA: ",BDEGENER[[#This Row],[MARCA ALTERNADOR ]],"
SERIE: ",BDEGENER[[#This Row],[SERIE DE ALTERNADOR]])</f>
        <v xml:space="preserve">MARCA: GENERAC
SERIE: </v>
      </c>
      <c r="AU32" s="683" t="str">
        <f>CONCATENATE("HORAS: ",BDEGENER[[#This Row],[HORAS]],"
KW-HR: ",BDEGENER[[#This Row],[KW-HORA]],"
VOLT.BATERIA: ",BDEGENER[[#This Row],[VOLTAJE DE BATERIA]],"
TEMPERATURA: ",BDEGENER[[#This Row],[TEMPERATURA DE AGUA]],"
PRES. ACEITE: ",BDEGENER[[#This Row],[PRESION DE ACEITE]])</f>
        <v>HORAS: 6883,3
KW-HR: 99246,6
VOLT.BATERIA: 13.6 V
TEMPERATURA: 149 °F
PRES. ACEITE: 66 PSI</v>
      </c>
      <c r="AV32" s="683">
        <f>COUNTIFS(Q32:Q2032,"MANTENIMIENTO CORRECTIVO",Y32:Y2032,BDEGENER[[#This Row],[SERIE]])</f>
        <v>1</v>
      </c>
      <c r="AW32" s="683">
        <f>COUNTIFS(Q32:Q2032,"MANTENIMIENTO PREVENTIVO",Y32:Y2032,BDEGENER[[#This Row],[SERIE]])</f>
        <v>6</v>
      </c>
      <c r="AX3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32" s="683">
        <f>COUNTIFS(BDEGENER[SERIE],BDEGENER[[#This Row],[SERIE]],BDEGENER[TIPO DE SERVICIO],"MANTENIMIENTO PREVENTIVO")</f>
        <v>6</v>
      </c>
      <c r="AZ32" s="683" t="str">
        <f>CONCATENATE("MANTENIMIENTO PREVENTIVO N°",BDEGENER[[#This Row],[GA1]])</f>
        <v>MANTENIMIENTO PREVENTIVO N°6</v>
      </c>
      <c r="BA32" s="683" t="str">
        <f>IF(BDEGENER[[#This Row],[SERVICIO]]=BDEGENER[[#This Row],[GA2]],BDEGENER[[#This Row],[HORAS]],"0")</f>
        <v>0</v>
      </c>
      <c r="BB32" s="683">
        <f>SUMIF(BDEGENER[SERIE],BDEGENER[[#This Row],[SERIE]],BDEGENER[GA3])</f>
        <v>6247.9</v>
      </c>
      <c r="BC32" s="683" t="str">
        <f>CONCATENATE("MANT",COUNTIF($Y$7:Y32,Y32))</f>
        <v>MANT1</v>
      </c>
      <c r="BD32" s="683" t="str">
        <f>CONCATENATE(BDEGENER[[#This Row],[SERIE]],BDEGENER[[#This Row],[GA5]])</f>
        <v>3003566705MANT1</v>
      </c>
      <c r="BE32" s="683" t="str">
        <f>CONCATENATE(BDEGENER[[#This Row],[CODIGO PATRIMONIAL]],BDEGENER[[#This Row],[GA5]])</f>
        <v>NOR-GEG-0015MANT1</v>
      </c>
      <c r="BF32" s="683">
        <f>COUNTIF(BDEGENER[SERIE],BDEGENER[[#This Row],[SERIE]])</f>
        <v>8</v>
      </c>
      <c r="BG32" s="683" t="str">
        <f>CONCATENATE("F",COUNTIF($K$7:K32,K32))</f>
        <v>F4</v>
      </c>
      <c r="BH32" s="683" t="str">
        <f>CONCATENATE(BDEGENER[[#This Row],[FECHA DE SERVICIO]],BDEGENER[[#This Row],[N° DE REGISTROS DEL DIA]])</f>
        <v>44182F4</v>
      </c>
      <c r="BI32" s="684">
        <v>99246.6</v>
      </c>
      <c r="BJ32" s="683" t="s">
        <v>1544</v>
      </c>
      <c r="BK32" s="762" t="s">
        <v>2267</v>
      </c>
    </row>
    <row r="33" spans="2:63" ht="69" hidden="1" x14ac:dyDescent="0.3">
      <c r="B33" s="2"/>
      <c r="C33" s="2"/>
      <c r="D33" s="2"/>
      <c r="E33" s="2"/>
      <c r="F33" s="2"/>
      <c r="G33" s="2"/>
      <c r="H33" s="2"/>
      <c r="I33" s="2"/>
      <c r="J33" s="685"/>
      <c r="K33" s="682">
        <v>44179</v>
      </c>
      <c r="L33" s="683" t="s">
        <v>181</v>
      </c>
      <c r="M33" s="683" t="s">
        <v>184</v>
      </c>
      <c r="N33" s="683" t="s">
        <v>183</v>
      </c>
      <c r="O33" s="683">
        <v>4500925048</v>
      </c>
      <c r="P33" s="683" t="s">
        <v>3817</v>
      </c>
      <c r="Q33" s="683" t="s">
        <v>37</v>
      </c>
      <c r="R33" s="683" t="s">
        <v>1782</v>
      </c>
      <c r="S33" s="686" t="s">
        <v>3818</v>
      </c>
      <c r="T33" s="683" t="s">
        <v>3819</v>
      </c>
      <c r="U33" s="683" t="s">
        <v>3820</v>
      </c>
      <c r="V33" s="683" t="s">
        <v>146</v>
      </c>
      <c r="W33" s="683" t="s">
        <v>914</v>
      </c>
      <c r="X33" s="691" t="s">
        <v>918</v>
      </c>
      <c r="Y33" s="687">
        <v>3004402508</v>
      </c>
      <c r="Z33" s="692"/>
      <c r="AA33" s="683" t="s">
        <v>33</v>
      </c>
      <c r="AB33" s="683" t="s">
        <v>34</v>
      </c>
      <c r="AC33" s="683" t="s">
        <v>230</v>
      </c>
      <c r="AD33" s="683" t="s">
        <v>1110</v>
      </c>
      <c r="AE33" s="683">
        <v>60</v>
      </c>
      <c r="AF33" s="684">
        <v>2186.3000000000002</v>
      </c>
      <c r="AG33" s="683" t="s">
        <v>243</v>
      </c>
      <c r="AH33" s="683" t="s">
        <v>220</v>
      </c>
      <c r="AI33" s="683" t="s">
        <v>33</v>
      </c>
      <c r="AJ33" s="683">
        <v>3004425773</v>
      </c>
      <c r="AK33" s="683" t="s">
        <v>33</v>
      </c>
      <c r="AL33" s="683">
        <v>106310050</v>
      </c>
      <c r="AM33" s="683" t="s">
        <v>1121</v>
      </c>
      <c r="AN33" s="683" t="s">
        <v>1143</v>
      </c>
      <c r="AO33" s="683" t="s">
        <v>1144</v>
      </c>
      <c r="AP33" s="683" t="s">
        <v>240</v>
      </c>
      <c r="AQ33" s="688" t="str">
        <f>CONCATENATE("REG-",BDEGENER[[#This Row],[FECHA DE SERVICIO]],"-",BDEGENER[[#This Row],[SERIE]],"-",BDEGENER[[#This Row],[HORAS]])</f>
        <v>REG-44179-3004402508-2186,3</v>
      </c>
      <c r="AR33" s="683" t="str">
        <f>CONCATENATE("MARCA: ",BDEGENER[[#This Row],[MARCA]],"
 MODELO: ",BDEGENER[[#This Row],[MODELO]])</f>
        <v>MARCA: GENERAC
 MODELO: PG090</v>
      </c>
      <c r="AS33" s="683" t="str">
        <f>CONCATENATE("MARCA: ",BDEGENER[[#This Row],[MARCA DE MOTOR]],"
SERIE: ",BDEGENER[[#This Row],[SERIE DE MOTOR]])</f>
        <v>MARCA: GENERAC
SERIE: 3004425773</v>
      </c>
      <c r="AT33" s="683" t="str">
        <f>CONCATENATE("MARCA: ",BDEGENER[[#This Row],[MARCA ALTERNADOR ]],"
SERIE: ",BDEGENER[[#This Row],[SERIE DE ALTERNADOR]])</f>
        <v>MARCA: GENERAC
SERIE: 106310050</v>
      </c>
      <c r="AU33" s="683" t="str">
        <f>CONCATENATE("HORAS: ",BDEGENER[[#This Row],[HORAS]],"
KW-HR: ",BDEGENER[[#This Row],[KW-HORA]],"
VOLT.BATERIA: ",BDEGENER[[#This Row],[VOLTAJE DE BATERIA]],"
TEMPERATURA: ",BDEGENER[[#This Row],[TEMPERATURA DE AGUA]],"
PRES. ACEITE: ",BDEGENER[[#This Row],[PRESION DE ACEITE]])</f>
        <v>HORAS: 2186,3
KW-HR: 31751,7
VOLT.BATERIA: 13.7 V
TEMPERATURA: 197 °F
PRES. ACEITE: 59 PSI</v>
      </c>
      <c r="AV33" s="683">
        <f>COUNTIFS(Q33:Q2033,"MANTENIMIENTO CORRECTIVO",Y33:Y2033,BDEGENER[[#This Row],[SERIE]])</f>
        <v>4</v>
      </c>
      <c r="AW33" s="683">
        <f>COUNTIFS(Q33:Q2033,"MANTENIMIENTO PREVENTIVO",Y33:Y2033,BDEGENER[[#This Row],[SERIE]])</f>
        <v>8</v>
      </c>
      <c r="AX3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33" s="683">
        <f>COUNTIFS(BDEGENER[SERIE],BDEGENER[[#This Row],[SERIE]],BDEGENER[TIPO DE SERVICIO],"MANTENIMIENTO PREVENTIVO")</f>
        <v>8</v>
      </c>
      <c r="AZ33" s="683" t="str">
        <f>CONCATENATE("MANTENIMIENTO PREVENTIVO N°",BDEGENER[[#This Row],[GA1]])</f>
        <v>MANTENIMIENTO PREVENTIVO N°8</v>
      </c>
      <c r="BA33" s="683">
        <f>IF(BDEGENER[[#This Row],[SERVICIO]]=BDEGENER[[#This Row],[GA2]],BDEGENER[[#This Row],[HORAS]],"0")</f>
        <v>2186.3000000000002</v>
      </c>
      <c r="BB33" s="683">
        <f>SUMIF(BDEGENER[SERIE],BDEGENER[[#This Row],[SERIE]],BDEGENER[GA3])</f>
        <v>2186.3000000000002</v>
      </c>
      <c r="BC33" s="683" t="str">
        <f>CONCATENATE("MANT",COUNTIF($Y$7:Y33,Y33))</f>
        <v>MANT1</v>
      </c>
      <c r="BD33" s="683" t="str">
        <f>CONCATENATE(BDEGENER[[#This Row],[SERIE]],BDEGENER[[#This Row],[GA5]])</f>
        <v>3004402508MANT1</v>
      </c>
      <c r="BE33" s="683" t="str">
        <f>CONCATENATE(BDEGENER[[#This Row],[CODIGO PATRIMONIAL]],BDEGENER[[#This Row],[GA5]])</f>
        <v>MANT1</v>
      </c>
      <c r="BF33" s="683">
        <f>COUNTIF(BDEGENER[SERIE],BDEGENER[[#This Row],[SERIE]])</f>
        <v>15</v>
      </c>
      <c r="BG33" s="683" t="str">
        <f>CONCATENATE("F",COUNTIF($K$7:K33,K33))</f>
        <v>F1</v>
      </c>
      <c r="BH33" s="683" t="str">
        <f>CONCATENATE(BDEGENER[[#This Row],[FECHA DE SERVICIO]],BDEGENER[[#This Row],[N° DE REGISTROS DEL DIA]])</f>
        <v>44179F1</v>
      </c>
      <c r="BI33" s="684">
        <v>31751.7</v>
      </c>
      <c r="BJ33" s="683" t="s">
        <v>1544</v>
      </c>
      <c r="BK33" s="762" t="s">
        <v>2165</v>
      </c>
    </row>
    <row r="34" spans="2:63" ht="69" hidden="1" x14ac:dyDescent="0.3">
      <c r="B34" s="2"/>
      <c r="C34" s="2"/>
      <c r="D34" s="2"/>
      <c r="E34" s="2"/>
      <c r="F34" s="2"/>
      <c r="G34" s="2"/>
      <c r="H34" s="2"/>
      <c r="I34" s="2"/>
      <c r="J34" s="685"/>
      <c r="K34" s="682">
        <v>44179</v>
      </c>
      <c r="L34" s="683" t="s">
        <v>181</v>
      </c>
      <c r="M34" s="683" t="s">
        <v>188</v>
      </c>
      <c r="N34" s="683" t="s">
        <v>183</v>
      </c>
      <c r="O34" s="683"/>
      <c r="P34" s="683"/>
      <c r="Q34" s="683" t="s">
        <v>2037</v>
      </c>
      <c r="R34" s="683" t="s">
        <v>1782</v>
      </c>
      <c r="S34" s="686" t="s">
        <v>3826</v>
      </c>
      <c r="T34" s="683" t="s">
        <v>3828</v>
      </c>
      <c r="U34" s="683"/>
      <c r="V34" s="683" t="s">
        <v>146</v>
      </c>
      <c r="W34" s="683" t="s">
        <v>914</v>
      </c>
      <c r="X34" s="691" t="s">
        <v>918</v>
      </c>
      <c r="Y34" s="687">
        <v>3004331707</v>
      </c>
      <c r="Z34" s="692"/>
      <c r="AA34" s="683" t="s">
        <v>33</v>
      </c>
      <c r="AB34" s="683" t="s">
        <v>34</v>
      </c>
      <c r="AC34" s="683" t="s">
        <v>230</v>
      </c>
      <c r="AD34" s="683"/>
      <c r="AE34" s="683"/>
      <c r="AF34" s="684">
        <v>841.6</v>
      </c>
      <c r="AG34" s="683" t="s">
        <v>243</v>
      </c>
      <c r="AH34" s="683" t="s">
        <v>220</v>
      </c>
      <c r="AI34" s="683" t="s">
        <v>33</v>
      </c>
      <c r="AJ34" s="683">
        <v>3004308222</v>
      </c>
      <c r="AK34" s="683" t="s">
        <v>33</v>
      </c>
      <c r="AL34" s="683">
        <v>106304910</v>
      </c>
      <c r="AM34" s="683"/>
      <c r="AN34" s="683"/>
      <c r="AO34" s="683"/>
      <c r="AP34" s="683" t="s">
        <v>240</v>
      </c>
      <c r="AQ34" s="688" t="str">
        <f>CONCATENATE("REG-",BDEGENER[[#This Row],[FECHA DE SERVICIO]],"-",BDEGENER[[#This Row],[SERIE]],"-",BDEGENER[[#This Row],[HORAS]])</f>
        <v>REG-44179-3004331707-841,6</v>
      </c>
      <c r="AR34" s="683" t="str">
        <f>CONCATENATE("MARCA: ",BDEGENER[[#This Row],[MARCA]],"
 MODELO: ",BDEGENER[[#This Row],[MODELO]])</f>
        <v>MARCA: GENERAC
 MODELO: PG090</v>
      </c>
      <c r="AS34" s="683" t="str">
        <f>CONCATENATE("MARCA: ",BDEGENER[[#This Row],[MARCA DE MOTOR]],"
SERIE: ",BDEGENER[[#This Row],[SERIE DE MOTOR]])</f>
        <v>MARCA: GENERAC
SERIE: 3004308222</v>
      </c>
      <c r="AT34" s="683" t="str">
        <f>CONCATENATE("MARCA: ",BDEGENER[[#This Row],[MARCA ALTERNADOR ]],"
SERIE: ",BDEGENER[[#This Row],[SERIE DE ALTERNADOR]])</f>
        <v>MARCA: GENERAC
SERIE: 106304910</v>
      </c>
      <c r="AU34" s="683" t="str">
        <f>CONCATENATE("HORAS: ",BDEGENER[[#This Row],[HORAS]],"
KW-HR: ",BDEGENER[[#This Row],[KW-HORA]],"
VOLT.BATERIA: ",BDEGENER[[#This Row],[VOLTAJE DE BATERIA]],"
TEMPERATURA: ",BDEGENER[[#This Row],[TEMPERATURA DE AGUA]],"
PRES. ACEITE: ",BDEGENER[[#This Row],[PRESION DE ACEITE]])</f>
        <v xml:space="preserve">HORAS: 841,6
KW-HR: 17787,9
VOLT.BATERIA: 
TEMPERATURA: 
PRES. ACEITE: </v>
      </c>
      <c r="AV34" s="683">
        <f>COUNTIFS(Q34:Q2034,"MANTENIMIENTO CORRECTIVO",Y34:Y2034,BDEGENER[[#This Row],[SERIE]])</f>
        <v>1</v>
      </c>
      <c r="AW34" s="683">
        <f>COUNTIFS(Q34:Q2034,"MANTENIMIENTO PREVENTIVO",Y34:Y2034,BDEGENER[[#This Row],[SERIE]])</f>
        <v>2</v>
      </c>
      <c r="AX3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34" s="683">
        <f>COUNTIFS(BDEGENER[SERIE],BDEGENER[[#This Row],[SERIE]],BDEGENER[TIPO DE SERVICIO],"MANTENIMIENTO PREVENTIVO")</f>
        <v>3</v>
      </c>
      <c r="AZ34" s="683" t="str">
        <f>CONCATENATE("MANTENIMIENTO PREVENTIVO N°",BDEGENER[[#This Row],[GA1]])</f>
        <v>MANTENIMIENTO PREVENTIVO N°3</v>
      </c>
      <c r="BA34" s="683" t="str">
        <f>IF(BDEGENER[[#This Row],[SERVICIO]]=BDEGENER[[#This Row],[GA2]],BDEGENER[[#This Row],[HORAS]],"0")</f>
        <v>0</v>
      </c>
      <c r="BB34" s="683">
        <f>SUMIF(BDEGENER[SERIE],BDEGENER[[#This Row],[SERIE]],BDEGENER[GA3])</f>
        <v>938</v>
      </c>
      <c r="BC34" s="761" t="str">
        <f>CONCATENATE("MANT",COUNTIF($Y$7:Y34,Y34))</f>
        <v>MANT2</v>
      </c>
      <c r="BD34" s="683" t="str">
        <f>CONCATENATE(BDEGENER[[#This Row],[SERIE]],BDEGENER[[#This Row],[GA5]])</f>
        <v>3004331707MANT2</v>
      </c>
      <c r="BE34" s="683" t="str">
        <f>CONCATENATE(BDEGENER[[#This Row],[CODIGO PATRIMONIAL]],BDEGENER[[#This Row],[GA5]])</f>
        <v>MANT2</v>
      </c>
      <c r="BF34" s="683">
        <f>COUNTIF(BDEGENER[SERIE],BDEGENER[[#This Row],[SERIE]])</f>
        <v>8</v>
      </c>
      <c r="BG34" s="761" t="str">
        <f>CONCATENATE("F",COUNTIF($K$7:K34,K34))</f>
        <v>F2</v>
      </c>
      <c r="BH34" s="683" t="str">
        <f>CONCATENATE(BDEGENER[[#This Row],[FECHA DE SERVICIO]],BDEGENER[[#This Row],[N° DE REGISTROS DEL DIA]])</f>
        <v>44179F2</v>
      </c>
      <c r="BI34" s="684">
        <v>17787.900000000001</v>
      </c>
      <c r="BJ34" s="683" t="s">
        <v>1544</v>
      </c>
      <c r="BK34" s="762"/>
    </row>
    <row r="35" spans="2:63" ht="69" hidden="1" x14ac:dyDescent="0.3">
      <c r="B35" s="2"/>
      <c r="C35" s="2"/>
      <c r="D35" s="2"/>
      <c r="E35" s="2"/>
      <c r="F35" s="2"/>
      <c r="G35" s="2"/>
      <c r="H35" s="2"/>
      <c r="I35" s="2"/>
      <c r="J35" s="685"/>
      <c r="K35" s="682">
        <v>44179</v>
      </c>
      <c r="L35" s="683" t="s">
        <v>181</v>
      </c>
      <c r="M35" s="683" t="s">
        <v>184</v>
      </c>
      <c r="N35" s="683" t="s">
        <v>183</v>
      </c>
      <c r="O35" s="683"/>
      <c r="P35" s="683"/>
      <c r="Q35" s="683" t="s">
        <v>2037</v>
      </c>
      <c r="R35" s="683" t="s">
        <v>1782</v>
      </c>
      <c r="S35" s="686" t="s">
        <v>3826</v>
      </c>
      <c r="T35" s="683" t="s">
        <v>3827</v>
      </c>
      <c r="U35" s="683"/>
      <c r="V35" s="683" t="s">
        <v>146</v>
      </c>
      <c r="W35" s="683" t="s">
        <v>914</v>
      </c>
      <c r="X35" s="691" t="s">
        <v>918</v>
      </c>
      <c r="Y35" s="687">
        <v>3004290364</v>
      </c>
      <c r="Z35" s="692"/>
      <c r="AA35" s="683" t="s">
        <v>33</v>
      </c>
      <c r="AB35" s="683" t="s">
        <v>34</v>
      </c>
      <c r="AC35" s="683" t="s">
        <v>230</v>
      </c>
      <c r="AD35" s="683"/>
      <c r="AE35" s="683"/>
      <c r="AF35" s="684">
        <v>1147.0999999999999</v>
      </c>
      <c r="AG35" s="683" t="s">
        <v>243</v>
      </c>
      <c r="AH35" s="683" t="s">
        <v>220</v>
      </c>
      <c r="AI35" s="683" t="s">
        <v>33</v>
      </c>
      <c r="AJ35" s="683">
        <v>3004301038</v>
      </c>
      <c r="AK35" s="683" t="s">
        <v>33</v>
      </c>
      <c r="AL35" s="683">
        <v>10630180</v>
      </c>
      <c r="AM35" s="683"/>
      <c r="AN35" s="683"/>
      <c r="AO35" s="683"/>
      <c r="AP35" s="683" t="s">
        <v>240</v>
      </c>
      <c r="AQ35" s="688" t="str">
        <f>CONCATENATE("REG-",BDEGENER[[#This Row],[FECHA DE SERVICIO]],"-",BDEGENER[[#This Row],[SERIE]],"-",BDEGENER[[#This Row],[HORAS]])</f>
        <v>REG-44179-3004290364-1147,1</v>
      </c>
      <c r="AR35" s="683" t="str">
        <f>CONCATENATE("MARCA: ",BDEGENER[[#This Row],[MARCA]],"
 MODELO: ",BDEGENER[[#This Row],[MODELO]])</f>
        <v>MARCA: GENERAC
 MODELO: PG090</v>
      </c>
      <c r="AS35" s="683" t="str">
        <f>CONCATENATE("MARCA: ",BDEGENER[[#This Row],[MARCA DE MOTOR]],"
SERIE: ",BDEGENER[[#This Row],[SERIE DE MOTOR]])</f>
        <v>MARCA: GENERAC
SERIE: 3004301038</v>
      </c>
      <c r="AT35" s="683" t="str">
        <f>CONCATENATE("MARCA: ",BDEGENER[[#This Row],[MARCA ALTERNADOR ]],"
SERIE: ",BDEGENER[[#This Row],[SERIE DE ALTERNADOR]])</f>
        <v>MARCA: GENERAC
SERIE: 10630180</v>
      </c>
      <c r="AU35" s="683" t="str">
        <f>CONCATENATE("HORAS: ",BDEGENER[[#This Row],[HORAS]],"
KW-HR: ",BDEGENER[[#This Row],[KW-HORA]],"
VOLT.BATERIA: ",BDEGENER[[#This Row],[VOLTAJE DE BATERIA]],"
TEMPERATURA: ",BDEGENER[[#This Row],[TEMPERATURA DE AGUA]],"
PRES. ACEITE: ",BDEGENER[[#This Row],[PRESION DE ACEITE]])</f>
        <v xml:space="preserve">HORAS: 1147,1
KW-HR: 23187,8
VOLT.BATERIA: 
TEMPERATURA: 
PRES. ACEITE: </v>
      </c>
      <c r="AV35" s="683">
        <f>COUNTIFS(Q35:Q2035,"MANTENIMIENTO CORRECTIVO",Y35:Y2035,BDEGENER[[#This Row],[SERIE]])</f>
        <v>1</v>
      </c>
      <c r="AW35" s="683">
        <f>COUNTIFS(Q35:Q2035,"MANTENIMIENTO PREVENTIVO",Y35:Y2035,BDEGENER[[#This Row],[SERIE]])</f>
        <v>3</v>
      </c>
      <c r="AX3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35" s="683">
        <f>COUNTIFS(BDEGENER[SERIE],BDEGENER[[#This Row],[SERIE]],BDEGENER[TIPO DE SERVICIO],"MANTENIMIENTO PREVENTIVO")</f>
        <v>3</v>
      </c>
      <c r="AZ35" s="683" t="str">
        <f>CONCATENATE("MANTENIMIENTO PREVENTIVO N°",BDEGENER[[#This Row],[GA1]])</f>
        <v>MANTENIMIENTO PREVENTIVO N°3</v>
      </c>
      <c r="BA35" s="683" t="str">
        <f>IF(BDEGENER[[#This Row],[SERVICIO]]=BDEGENER[[#This Row],[GA2]],BDEGENER[[#This Row],[HORAS]],"0")</f>
        <v>0</v>
      </c>
      <c r="BB35" s="683">
        <f>SUMIF(BDEGENER[SERIE],BDEGENER[[#This Row],[SERIE]],BDEGENER[GA3])</f>
        <v>941.5</v>
      </c>
      <c r="BC35" s="683" t="str">
        <f>CONCATENATE("MANT",COUNTIF($Y$7:Y35,Y35))</f>
        <v>MANT1</v>
      </c>
      <c r="BD35" s="683" t="str">
        <f>CONCATENATE(BDEGENER[[#This Row],[SERIE]],BDEGENER[[#This Row],[GA5]])</f>
        <v>3004290364MANT1</v>
      </c>
      <c r="BE35" s="683" t="str">
        <f>CONCATENATE(BDEGENER[[#This Row],[CODIGO PATRIMONIAL]],BDEGENER[[#This Row],[GA5]])</f>
        <v>MANT1</v>
      </c>
      <c r="BF35" s="683">
        <f>COUNTIF(BDEGENER[SERIE],BDEGENER[[#This Row],[SERIE]])</f>
        <v>9</v>
      </c>
      <c r="BG35" s="683" t="str">
        <f>CONCATENATE("F",COUNTIF($K$7:K35,K35))</f>
        <v>F3</v>
      </c>
      <c r="BH35" s="683" t="str">
        <f>CONCATENATE(BDEGENER[[#This Row],[FECHA DE SERVICIO]],BDEGENER[[#This Row],[N° DE REGISTROS DEL DIA]])</f>
        <v>44179F3</v>
      </c>
      <c r="BI35" s="684">
        <v>23187.8</v>
      </c>
      <c r="BJ35" s="683" t="s">
        <v>1544</v>
      </c>
      <c r="BK35" s="762"/>
    </row>
    <row r="36" spans="2:63" ht="69" hidden="1" x14ac:dyDescent="0.3">
      <c r="B36" s="2"/>
      <c r="C36" s="2"/>
      <c r="D36" s="2"/>
      <c r="E36" s="2"/>
      <c r="F36" s="2"/>
      <c r="G36" s="2"/>
      <c r="H36" s="2"/>
      <c r="I36" s="2"/>
      <c r="J36" s="685"/>
      <c r="K36" s="682">
        <v>44179</v>
      </c>
      <c r="L36" s="683" t="s">
        <v>181</v>
      </c>
      <c r="M36" s="683" t="s">
        <v>190</v>
      </c>
      <c r="N36" s="683" t="s">
        <v>183</v>
      </c>
      <c r="O36" s="683"/>
      <c r="P36" s="683" t="s">
        <v>3825</v>
      </c>
      <c r="Q36" s="683" t="s">
        <v>107</v>
      </c>
      <c r="R36" s="683" t="s">
        <v>1782</v>
      </c>
      <c r="S36" s="686" t="s">
        <v>3824</v>
      </c>
      <c r="T36" s="683" t="s">
        <v>2546</v>
      </c>
      <c r="U36" s="683" t="s">
        <v>2488</v>
      </c>
      <c r="V36" s="683" t="s">
        <v>146</v>
      </c>
      <c r="W36" s="683" t="s">
        <v>914</v>
      </c>
      <c r="X36" s="691" t="s">
        <v>918</v>
      </c>
      <c r="Y36" s="687">
        <v>3004327725</v>
      </c>
      <c r="Z36" s="692"/>
      <c r="AA36" s="683" t="s">
        <v>33</v>
      </c>
      <c r="AB36" s="683" t="s">
        <v>34</v>
      </c>
      <c r="AC36" s="683" t="s">
        <v>230</v>
      </c>
      <c r="AD36" s="683" t="s">
        <v>1110</v>
      </c>
      <c r="AE36" s="683">
        <v>60</v>
      </c>
      <c r="AF36" s="684">
        <v>1679.8</v>
      </c>
      <c r="AG36" s="683" t="s">
        <v>243</v>
      </c>
      <c r="AH36" s="683" t="s">
        <v>220</v>
      </c>
      <c r="AI36" s="683" t="s">
        <v>33</v>
      </c>
      <c r="AJ36" s="683">
        <v>3004333865</v>
      </c>
      <c r="AK36" s="683" t="s">
        <v>33</v>
      </c>
      <c r="AL36" s="683">
        <v>1065020</v>
      </c>
      <c r="AM36" s="683" t="s">
        <v>1121</v>
      </c>
      <c r="AN36" s="683" t="s">
        <v>1352</v>
      </c>
      <c r="AO36" s="683" t="s">
        <v>1318</v>
      </c>
      <c r="AP36" s="683" t="s">
        <v>240</v>
      </c>
      <c r="AQ36" s="688" t="str">
        <f>CONCATENATE("REG-",BDEGENER[[#This Row],[FECHA DE SERVICIO]],"-",BDEGENER[[#This Row],[SERIE]],"-",BDEGENER[[#This Row],[HORAS]])</f>
        <v>REG-44179-3004327725-1679,8</v>
      </c>
      <c r="AR36" s="683" t="str">
        <f>CONCATENATE("MARCA: ",BDEGENER[[#This Row],[MARCA]],"
 MODELO: ",BDEGENER[[#This Row],[MODELO]])</f>
        <v>MARCA: GENERAC
 MODELO: PG090</v>
      </c>
      <c r="AS36" s="683" t="str">
        <f>CONCATENATE("MARCA: ",BDEGENER[[#This Row],[MARCA DE MOTOR]],"
SERIE: ",BDEGENER[[#This Row],[SERIE DE MOTOR]])</f>
        <v>MARCA: GENERAC
SERIE: 3004333865</v>
      </c>
      <c r="AT36" s="683" t="str">
        <f>CONCATENATE("MARCA: ",BDEGENER[[#This Row],[MARCA ALTERNADOR ]],"
SERIE: ",BDEGENER[[#This Row],[SERIE DE ALTERNADOR]])</f>
        <v>MARCA: GENERAC
SERIE: 1065020</v>
      </c>
      <c r="AU36" s="683" t="str">
        <f>CONCATENATE("HORAS: ",BDEGENER[[#This Row],[HORAS]],"
KW-HR: ",BDEGENER[[#This Row],[KW-HORA]],"
VOLT.BATERIA: ",BDEGENER[[#This Row],[VOLTAJE DE BATERIA]],"
TEMPERATURA: ",BDEGENER[[#This Row],[TEMPERATURA DE AGUA]],"
PRES. ACEITE: ",BDEGENER[[#This Row],[PRESION DE ACEITE]])</f>
        <v>HORAS: 1679,8
KW-HR: 23167,8
VOLT.BATERIA: 13.7 V
TEMPERATURA: 196 °F
PRES. ACEITE: 58 PSI</v>
      </c>
      <c r="AV36" s="683">
        <f>COUNTIFS(Q36:Q2036,"MANTENIMIENTO CORRECTIVO",Y36:Y2036,BDEGENER[[#This Row],[SERIE]])</f>
        <v>2</v>
      </c>
      <c r="AW36" s="683">
        <f>COUNTIFS(Q36:Q2036,"MANTENIMIENTO PREVENTIVO",Y36:Y2036,BDEGENER[[#This Row],[SERIE]])</f>
        <v>6</v>
      </c>
      <c r="AX3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36" s="683">
        <f>COUNTIFS(BDEGENER[SERIE],BDEGENER[[#This Row],[SERIE]],BDEGENER[TIPO DE SERVICIO],"MANTENIMIENTO PREVENTIVO")</f>
        <v>6</v>
      </c>
      <c r="AZ36" s="683" t="str">
        <f>CONCATENATE("MANTENIMIENTO PREVENTIVO N°",BDEGENER[[#This Row],[GA1]])</f>
        <v>MANTENIMIENTO PREVENTIVO N°6</v>
      </c>
      <c r="BA36" s="683" t="str">
        <f>IF(BDEGENER[[#This Row],[SERVICIO]]=BDEGENER[[#This Row],[GA2]],BDEGENER[[#This Row],[HORAS]],"0")</f>
        <v>0</v>
      </c>
      <c r="BB36" s="683">
        <f>SUMIF(BDEGENER[SERIE],BDEGENER[[#This Row],[SERIE]],BDEGENER[GA3])</f>
        <v>1599.8</v>
      </c>
      <c r="BC36" s="683" t="str">
        <f>CONCATENATE("MANT",COUNTIF($Y$7:Y36,Y36))</f>
        <v>MANT1</v>
      </c>
      <c r="BD36" s="683" t="str">
        <f>CONCATENATE(BDEGENER[[#This Row],[SERIE]],BDEGENER[[#This Row],[GA5]])</f>
        <v>3004327725MANT1</v>
      </c>
      <c r="BE36" s="683" t="str">
        <f>CONCATENATE(BDEGENER[[#This Row],[CODIGO PATRIMONIAL]],BDEGENER[[#This Row],[GA5]])</f>
        <v>MANT1</v>
      </c>
      <c r="BF36" s="683">
        <f>COUNTIF(BDEGENER[SERIE],BDEGENER[[#This Row],[SERIE]])</f>
        <v>13</v>
      </c>
      <c r="BG36" s="683" t="str">
        <f>CONCATENATE("F",COUNTIF($K$7:K36,K36))</f>
        <v>F4</v>
      </c>
      <c r="BH36" s="683" t="str">
        <f>CONCATENATE(BDEGENER[[#This Row],[FECHA DE SERVICIO]],BDEGENER[[#This Row],[N° DE REGISTROS DEL DIA]])</f>
        <v>44179F4</v>
      </c>
      <c r="BI36" s="684">
        <v>23167.8</v>
      </c>
      <c r="BJ36" s="683" t="s">
        <v>1544</v>
      </c>
      <c r="BK36" s="762" t="s">
        <v>853</v>
      </c>
    </row>
    <row r="37" spans="2:63" ht="69" hidden="1" x14ac:dyDescent="0.3">
      <c r="B37" s="2"/>
      <c r="C37" s="2"/>
      <c r="D37" s="2"/>
      <c r="E37" s="2"/>
      <c r="F37" s="2"/>
      <c r="G37" s="2"/>
      <c r="H37" s="2"/>
      <c r="I37" s="2"/>
      <c r="J37" s="685"/>
      <c r="K37" s="682">
        <v>44179</v>
      </c>
      <c r="L37" s="683" t="s">
        <v>181</v>
      </c>
      <c r="M37" s="683" t="s">
        <v>182</v>
      </c>
      <c r="N37" s="683" t="s">
        <v>183</v>
      </c>
      <c r="O37" s="683">
        <v>4500873022</v>
      </c>
      <c r="P37" s="683" t="s">
        <v>3821</v>
      </c>
      <c r="Q37" s="683" t="s">
        <v>37</v>
      </c>
      <c r="R37" s="683" t="s">
        <v>1782</v>
      </c>
      <c r="S37" s="686" t="s">
        <v>3422</v>
      </c>
      <c r="T37" s="683" t="s">
        <v>3822</v>
      </c>
      <c r="U37" s="683" t="s">
        <v>3823</v>
      </c>
      <c r="V37" s="683" t="s">
        <v>146</v>
      </c>
      <c r="W37" s="683" t="s">
        <v>914</v>
      </c>
      <c r="X37" s="691" t="s">
        <v>918</v>
      </c>
      <c r="Y37" s="687">
        <v>3004337427</v>
      </c>
      <c r="Z37" s="692"/>
      <c r="AA37" s="683" t="s">
        <v>33</v>
      </c>
      <c r="AB37" s="683" t="s">
        <v>34</v>
      </c>
      <c r="AC37" s="683" t="s">
        <v>230</v>
      </c>
      <c r="AD37" s="683" t="s">
        <v>1110</v>
      </c>
      <c r="AE37" s="683">
        <v>60</v>
      </c>
      <c r="AF37" s="684">
        <v>1835.7</v>
      </c>
      <c r="AG37" s="683" t="s">
        <v>243</v>
      </c>
      <c r="AH37" s="683" t="s">
        <v>220</v>
      </c>
      <c r="AI37" s="683" t="s">
        <v>33</v>
      </c>
      <c r="AJ37" s="683">
        <v>3004346831</v>
      </c>
      <c r="AK37" s="683" t="s">
        <v>33</v>
      </c>
      <c r="AL37" s="683">
        <v>10630720</v>
      </c>
      <c r="AM37" s="683" t="s">
        <v>1377</v>
      </c>
      <c r="AN37" s="683" t="s">
        <v>246</v>
      </c>
      <c r="AO37" s="683" t="s">
        <v>1101</v>
      </c>
      <c r="AP37" s="683" t="s">
        <v>240</v>
      </c>
      <c r="AQ37" s="688" t="str">
        <f>CONCATENATE("REG-",BDEGENER[[#This Row],[FECHA DE SERVICIO]],"-",BDEGENER[[#This Row],[SERIE]],"-",BDEGENER[[#This Row],[HORAS]])</f>
        <v>REG-44179-3004337427-1835,7</v>
      </c>
      <c r="AR37" s="683" t="str">
        <f>CONCATENATE("MARCA: ",BDEGENER[[#This Row],[MARCA]],"
 MODELO: ",BDEGENER[[#This Row],[MODELO]])</f>
        <v>MARCA: GENERAC
 MODELO: PG090</v>
      </c>
      <c r="AS37" s="683" t="str">
        <f>CONCATENATE("MARCA: ",BDEGENER[[#This Row],[MARCA DE MOTOR]],"
SERIE: ",BDEGENER[[#This Row],[SERIE DE MOTOR]])</f>
        <v>MARCA: GENERAC
SERIE: 3004346831</v>
      </c>
      <c r="AT37" s="683" t="str">
        <f>CONCATENATE("MARCA: ",BDEGENER[[#This Row],[MARCA ALTERNADOR ]],"
SERIE: ",BDEGENER[[#This Row],[SERIE DE ALTERNADOR]])</f>
        <v>MARCA: GENERAC
SERIE: 10630720</v>
      </c>
      <c r="AU37" s="683" t="str">
        <f>CONCATENATE("HORAS: ",BDEGENER[[#This Row],[HORAS]],"
KW-HR: ",BDEGENER[[#This Row],[KW-HORA]],"
VOLT.BATERIA: ",BDEGENER[[#This Row],[VOLTAJE DE BATERIA]],"
TEMPERATURA: ",BDEGENER[[#This Row],[TEMPERATURA DE AGUA]],"
PRES. ACEITE: ",BDEGENER[[#This Row],[PRESION DE ACEITE]])</f>
        <v>HORAS: 1835,7
KW-HR: 45012
VOLT.BATERIA: 13.8 V
TEMPERATURA: 198 °F
PRES. ACEITE: 51 PSI</v>
      </c>
      <c r="AV37" s="683">
        <f>COUNTIFS(Q37:Q2037,"MANTENIMIENTO CORRECTIVO",Y37:Y2037,BDEGENER[[#This Row],[SERIE]])</f>
        <v>2</v>
      </c>
      <c r="AW37" s="683">
        <f>COUNTIFS(Q37:Q2037,"MANTENIMIENTO PREVENTIVO",Y37:Y2037,BDEGENER[[#This Row],[SERIE]])</f>
        <v>6</v>
      </c>
      <c r="AX3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7" s="683">
        <f>COUNTIFS(BDEGENER[SERIE],BDEGENER[[#This Row],[SERIE]],BDEGENER[TIPO DE SERVICIO],"MANTENIMIENTO PREVENTIVO")</f>
        <v>6</v>
      </c>
      <c r="AZ37" s="683" t="str">
        <f>CONCATENATE("MANTENIMIENTO PREVENTIVO N°",BDEGENER[[#This Row],[GA1]])</f>
        <v>MANTENIMIENTO PREVENTIVO N°6</v>
      </c>
      <c r="BA37" s="683">
        <f>IF(BDEGENER[[#This Row],[SERVICIO]]=BDEGENER[[#This Row],[GA2]],BDEGENER[[#This Row],[HORAS]],"0")</f>
        <v>1835.7</v>
      </c>
      <c r="BB37" s="683">
        <f>SUMIF(BDEGENER[SERIE],BDEGENER[[#This Row],[SERIE]],BDEGENER[GA3])</f>
        <v>1835.7</v>
      </c>
      <c r="BC37" s="761" t="str">
        <f>CONCATENATE("MANT",COUNTIF($Y$7:Y37,Y37))</f>
        <v>MANT1</v>
      </c>
      <c r="BD37" s="683" t="str">
        <f>CONCATENATE(BDEGENER[[#This Row],[SERIE]],BDEGENER[[#This Row],[GA5]])</f>
        <v>3004337427MANT1</v>
      </c>
      <c r="BE37" s="683" t="str">
        <f>CONCATENATE(BDEGENER[[#This Row],[CODIGO PATRIMONIAL]],BDEGENER[[#This Row],[GA5]])</f>
        <v>MANT1</v>
      </c>
      <c r="BF37" s="683">
        <f>COUNTIF(BDEGENER[SERIE],BDEGENER[[#This Row],[SERIE]])</f>
        <v>9</v>
      </c>
      <c r="BG37" s="761" t="str">
        <f>CONCATENATE("F",COUNTIF($K$7:K37,K37))</f>
        <v>F5</v>
      </c>
      <c r="BH37" s="683" t="str">
        <f>CONCATENATE(BDEGENER[[#This Row],[FECHA DE SERVICIO]],BDEGENER[[#This Row],[N° DE REGISTROS DEL DIA]])</f>
        <v>44179F5</v>
      </c>
      <c r="BI37" s="684">
        <v>45012</v>
      </c>
      <c r="BJ37" s="683" t="s">
        <v>1544</v>
      </c>
      <c r="BK37" s="762" t="s">
        <v>2414</v>
      </c>
    </row>
    <row r="38" spans="2:63" ht="69" hidden="1" x14ac:dyDescent="0.3">
      <c r="B38" s="2"/>
      <c r="C38" s="2"/>
      <c r="D38" s="2"/>
      <c r="E38" s="2"/>
      <c r="F38" s="2"/>
      <c r="G38" s="2"/>
      <c r="H38" s="2"/>
      <c r="I38" s="2"/>
      <c r="J38" s="685"/>
      <c r="K38" s="682">
        <v>44177</v>
      </c>
      <c r="L38" s="683" t="s">
        <v>561</v>
      </c>
      <c r="M38" s="683" t="s">
        <v>583</v>
      </c>
      <c r="N38" s="683" t="s">
        <v>578</v>
      </c>
      <c r="O38" s="683"/>
      <c r="P38" s="683"/>
      <c r="Q38" s="683" t="s">
        <v>108</v>
      </c>
      <c r="R38" s="683" t="s">
        <v>1782</v>
      </c>
      <c r="S38" s="686" t="s">
        <v>3789</v>
      </c>
      <c r="T38" s="683" t="s">
        <v>3790</v>
      </c>
      <c r="U38" s="683"/>
      <c r="V38" s="683" t="s">
        <v>147</v>
      </c>
      <c r="W38" s="683" t="s">
        <v>913</v>
      </c>
      <c r="X38" s="691" t="s">
        <v>918</v>
      </c>
      <c r="Y38" s="687">
        <v>3004370193</v>
      </c>
      <c r="Z38" s="692" t="s">
        <v>2599</v>
      </c>
      <c r="AA38" s="683" t="s">
        <v>33</v>
      </c>
      <c r="AB38" s="683" t="s">
        <v>217</v>
      </c>
      <c r="AC38" s="683" t="s">
        <v>749</v>
      </c>
      <c r="AD38" s="683"/>
      <c r="AE38" s="683"/>
      <c r="AF38" s="684">
        <v>3777.5</v>
      </c>
      <c r="AG38" s="683" t="s">
        <v>243</v>
      </c>
      <c r="AH38" s="683" t="s">
        <v>1803</v>
      </c>
      <c r="AI38" s="683" t="s">
        <v>2553</v>
      </c>
      <c r="AJ38" s="683" t="s">
        <v>3670</v>
      </c>
      <c r="AK38" s="683" t="s">
        <v>33</v>
      </c>
      <c r="AL38" s="683"/>
      <c r="AM38" s="683"/>
      <c r="AN38" s="683"/>
      <c r="AO38" s="683"/>
      <c r="AP38" s="683" t="s">
        <v>240</v>
      </c>
      <c r="AQ38" s="688" t="str">
        <f>CONCATENATE("REG-",BDEGENER[[#This Row],[FECHA DE SERVICIO]],"-",BDEGENER[[#This Row],[SERIE]],"-",BDEGENER[[#This Row],[HORAS]])</f>
        <v>REG-44177-3004370193-3777,5</v>
      </c>
      <c r="AR38" s="683" t="str">
        <f>CONCATENATE("MARCA: ",BDEGENER[[#This Row],[MARCA]],"
 MODELO: ",BDEGENER[[#This Row],[MODELO]])</f>
        <v>MARCA: GENERAC
 MODELO: RG022</v>
      </c>
      <c r="AS38" s="683" t="str">
        <f>CONCATENATE("MARCA: ",BDEGENER[[#This Row],[MARCA DE MOTOR]],"
SERIE: ",BDEGENER[[#This Row],[SERIE DE MOTOR]])</f>
        <v>MARCA: MITSUBISHI
SERIE: 4G6434M</v>
      </c>
      <c r="AT38" s="683" t="str">
        <f>CONCATENATE("MARCA: ",BDEGENER[[#This Row],[MARCA ALTERNADOR ]],"
SERIE: ",BDEGENER[[#This Row],[SERIE DE ALTERNADOR]])</f>
        <v xml:space="preserve">MARCA: GENERAC
SERIE: </v>
      </c>
      <c r="AU38" s="683" t="str">
        <f>CONCATENATE("HORAS: ",BDEGENER[[#This Row],[HORAS]],"
KW-HR: ",BDEGENER[[#This Row],[KW-HORA]],"
VOLT.BATERIA: ",BDEGENER[[#This Row],[VOLTAJE DE BATERIA]],"
TEMPERATURA: ",BDEGENER[[#This Row],[TEMPERATURA DE AGUA]],"
PRES. ACEITE: ",BDEGENER[[#This Row],[PRESION DE ACEITE]])</f>
        <v xml:space="preserve">HORAS: 3777,5
KW-HR: 
VOLT.BATERIA: 
TEMPERATURA: 
PRES. ACEITE: </v>
      </c>
      <c r="AV38" s="683">
        <f>COUNTIFS(Q38:Q2038,"MANTENIMIENTO CORRECTIVO",Y38:Y2038,BDEGENER[[#This Row],[SERIE]])</f>
        <v>3</v>
      </c>
      <c r="AW38" s="683">
        <f>COUNTIFS(Q38:Q2038,"MANTENIMIENTO PREVENTIVO",Y38:Y2038,BDEGENER[[#This Row],[SERIE]])</f>
        <v>9</v>
      </c>
      <c r="AX3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8" s="683">
        <f>COUNTIFS(BDEGENER[SERIE],BDEGENER[[#This Row],[SERIE]],BDEGENER[TIPO DE SERVICIO],"MANTENIMIENTO PREVENTIVO")</f>
        <v>9</v>
      </c>
      <c r="AZ38" s="683" t="str">
        <f>CONCATENATE("MANTENIMIENTO PREVENTIVO N°",BDEGENER[[#This Row],[GA1]])</f>
        <v>MANTENIMIENTO PREVENTIVO N°9</v>
      </c>
      <c r="BA38" s="683" t="str">
        <f>IF(BDEGENER[[#This Row],[SERVICIO]]=BDEGENER[[#This Row],[GA2]],BDEGENER[[#This Row],[HORAS]],"0")</f>
        <v>0</v>
      </c>
      <c r="BB38" s="683">
        <f>SUMIF(BDEGENER[SERIE],BDEGENER[[#This Row],[SERIE]],BDEGENER[GA3])</f>
        <v>3580.3</v>
      </c>
      <c r="BC38" s="683" t="str">
        <f>CONCATENATE("MANT",COUNTIF($Y$7:Y38,Y38))</f>
        <v>MANT1</v>
      </c>
      <c r="BD38" s="683" t="str">
        <f>CONCATENATE(BDEGENER[[#This Row],[SERIE]],BDEGENER[[#This Row],[GA5]])</f>
        <v>3004370193MANT1</v>
      </c>
      <c r="BE38" s="683" t="str">
        <f>CONCATENATE(BDEGENER[[#This Row],[CODIGO PATRIMONIAL]],BDEGENER[[#This Row],[GA5]])</f>
        <v>SUR-GEG-0003MANT1</v>
      </c>
      <c r="BF38" s="683">
        <f>COUNTIF(BDEGENER[SERIE],BDEGENER[[#This Row],[SERIE]])</f>
        <v>16</v>
      </c>
      <c r="BG38" s="683" t="str">
        <f>CONCATENATE("F",COUNTIF($K$7:K38,K38))</f>
        <v>F1</v>
      </c>
      <c r="BH38" s="683" t="str">
        <f>CONCATENATE(BDEGENER[[#This Row],[FECHA DE SERVICIO]],BDEGENER[[#This Row],[N° DE REGISTROS DEL DIA]])</f>
        <v>44177F1</v>
      </c>
      <c r="BI38" s="684"/>
      <c r="BJ38" s="683" t="s">
        <v>1544</v>
      </c>
      <c r="BK38" s="762"/>
    </row>
    <row r="39" spans="2:63" ht="69" hidden="1" x14ac:dyDescent="0.3">
      <c r="B39" s="2"/>
      <c r="C39" s="2"/>
      <c r="D39" s="2"/>
      <c r="E39" s="2"/>
      <c r="F39" s="2"/>
      <c r="G39" s="2"/>
      <c r="H39" s="2"/>
      <c r="I39" s="2"/>
      <c r="J39" s="685"/>
      <c r="K39" s="682">
        <v>44175</v>
      </c>
      <c r="L39" s="683" t="s">
        <v>1546</v>
      </c>
      <c r="M39" s="683" t="s">
        <v>1395</v>
      </c>
      <c r="N39" s="683" t="s">
        <v>1547</v>
      </c>
      <c r="O39" s="683"/>
      <c r="P39" s="683"/>
      <c r="Q39" s="683" t="s">
        <v>37</v>
      </c>
      <c r="R39" s="683" t="s">
        <v>1782</v>
      </c>
      <c r="S39" s="686" t="s">
        <v>3872</v>
      </c>
      <c r="T39" s="683" t="s">
        <v>3873</v>
      </c>
      <c r="U39" s="683" t="s">
        <v>3874</v>
      </c>
      <c r="V39" s="683" t="s">
        <v>150</v>
      </c>
      <c r="W39" s="683" t="s">
        <v>914</v>
      </c>
      <c r="X39" s="691" t="s">
        <v>917</v>
      </c>
      <c r="Y39" s="687" t="s">
        <v>3875</v>
      </c>
      <c r="Z39" s="692" t="s">
        <v>159</v>
      </c>
      <c r="AA39" s="683" t="s">
        <v>1966</v>
      </c>
      <c r="AB39" s="683" t="s">
        <v>159</v>
      </c>
      <c r="AC39" s="683" t="s">
        <v>1968</v>
      </c>
      <c r="AD39" s="683" t="s">
        <v>1087</v>
      </c>
      <c r="AE39" s="683">
        <v>60</v>
      </c>
      <c r="AF39" s="684">
        <v>54.35</v>
      </c>
      <c r="AG39" s="683" t="s">
        <v>1412</v>
      </c>
      <c r="AH39" s="683" t="s">
        <v>159</v>
      </c>
      <c r="AI39" s="683" t="s">
        <v>1966</v>
      </c>
      <c r="AJ39" s="683" t="s">
        <v>3875</v>
      </c>
      <c r="AK39" s="683" t="s">
        <v>1448</v>
      </c>
      <c r="AL39" s="683" t="s">
        <v>3876</v>
      </c>
      <c r="AM39" s="683" t="s">
        <v>3877</v>
      </c>
      <c r="AN39" s="683" t="s">
        <v>3878</v>
      </c>
      <c r="AO39" s="683" t="s">
        <v>1090</v>
      </c>
      <c r="AP39" s="683" t="s">
        <v>240</v>
      </c>
      <c r="AQ39" s="688" t="str">
        <f>CONCATENATE("REG-",BDEGENER[[#This Row],[FECHA DE SERVICIO]],"-",BDEGENER[[#This Row],[SERIE]],"-",BDEGENER[[#This Row],[HORAS]])</f>
        <v>REG-44175-S010963-54,35</v>
      </c>
      <c r="AR39" s="683" t="str">
        <f>CONCATENATE("MARCA: ",BDEGENER[[#This Row],[MARCA]],"
 MODELO: ",BDEGENER[[#This Row],[MODELO]])</f>
        <v xml:space="preserve">MARCA: CUMMINS
 MODELO: </v>
      </c>
      <c r="AS39" s="683" t="str">
        <f>CONCATENATE("MARCA: ",BDEGENER[[#This Row],[MARCA DE MOTOR]],"
SERIE: ",BDEGENER[[#This Row],[SERIE DE MOTOR]])</f>
        <v>MARCA: CUMMINS
SERIE: S010963</v>
      </c>
      <c r="AT39" s="683" t="str">
        <f>CONCATENATE("MARCA: ",BDEGENER[[#This Row],[MARCA ALTERNADOR ]],"
SERIE: ",BDEGENER[[#This Row],[SERIE DE ALTERNADOR]])</f>
        <v>MARCA: LEROY SOMER
SERIE: 044699001</v>
      </c>
      <c r="AU39" s="683" t="str">
        <f>CONCATENATE("HORAS: ",BDEGENER[[#This Row],[HORAS]],"
KW-HR: ",BDEGENER[[#This Row],[KW-HORA]],"
VOLT.BATERIA: ",BDEGENER[[#This Row],[VOLTAJE DE BATERIA]],"
TEMPERATURA: ",BDEGENER[[#This Row],[TEMPERATURA DE AGUA]],"
PRES. ACEITE: ",BDEGENER[[#This Row],[PRESION DE ACEITE]])</f>
        <v>HORAS: 54,35
KW-HR: 
VOLT.BATERIA: 23.2 V
TEMPERATURA: 61 °C
PRES. ACEITE: 69 PSI</v>
      </c>
      <c r="AV39" s="683">
        <f>COUNTIFS(Q39:Q2039,"MANTENIMIENTO CORRECTIVO",Y39:Y2039,BDEGENER[[#This Row],[SERIE]])</f>
        <v>0</v>
      </c>
      <c r="AW39" s="683">
        <f>COUNTIFS(Q39:Q2039,"MANTENIMIENTO PREVENTIVO",Y39:Y2039,BDEGENER[[#This Row],[SERIE]])</f>
        <v>1</v>
      </c>
      <c r="AX3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39" s="683">
        <f>COUNTIFS(BDEGENER[SERIE],BDEGENER[[#This Row],[SERIE]],BDEGENER[TIPO DE SERVICIO],"MANTENIMIENTO PREVENTIVO")</f>
        <v>1</v>
      </c>
      <c r="AZ39" s="683" t="str">
        <f>CONCATENATE("MANTENIMIENTO PREVENTIVO N°",BDEGENER[[#This Row],[GA1]])</f>
        <v>MANTENIMIENTO PREVENTIVO N°1</v>
      </c>
      <c r="BA39" s="683">
        <f>IF(BDEGENER[[#This Row],[SERVICIO]]=BDEGENER[[#This Row],[GA2]],BDEGENER[[#This Row],[HORAS]],"0")</f>
        <v>54.35</v>
      </c>
      <c r="BB39" s="683">
        <f>SUMIF(BDEGENER[SERIE],BDEGENER[[#This Row],[SERIE]],BDEGENER[GA3])</f>
        <v>54.35</v>
      </c>
      <c r="BC39" s="683" t="str">
        <f>CONCATENATE("MANT",COUNTIF($Y$7:Y39,Y39))</f>
        <v>MANT1</v>
      </c>
      <c r="BD39" s="683" t="str">
        <f>CONCATENATE(BDEGENER[[#This Row],[SERIE]],BDEGENER[[#This Row],[GA5]])</f>
        <v>S010963MANT1</v>
      </c>
      <c r="BE39" s="683" t="str">
        <f>CONCATENATE(BDEGENER[[#This Row],[CODIGO PATRIMONIAL]],BDEGENER[[#This Row],[GA5]])</f>
        <v>MANT1</v>
      </c>
      <c r="BF39" s="683">
        <f>COUNTIF(BDEGENER[SERIE],BDEGENER[[#This Row],[SERIE]])</f>
        <v>1</v>
      </c>
      <c r="BG39" s="683" t="str">
        <f>CONCATENATE("F",COUNTIF($K$7:K39,K39))</f>
        <v>F1</v>
      </c>
      <c r="BH39" s="683" t="str">
        <f>CONCATENATE(BDEGENER[[#This Row],[FECHA DE SERVICIO]],BDEGENER[[#This Row],[N° DE REGISTROS DEL DIA]])</f>
        <v>44175F1</v>
      </c>
      <c r="BI39" s="684"/>
      <c r="BJ39" s="683" t="s">
        <v>1545</v>
      </c>
      <c r="BK39" s="762"/>
    </row>
    <row r="40" spans="2:63" ht="69" hidden="1" x14ac:dyDescent="0.3">
      <c r="B40" s="2"/>
      <c r="C40" s="2"/>
      <c r="D40" s="2"/>
      <c r="E40" s="2"/>
      <c r="F40" s="2"/>
      <c r="G40" s="2"/>
      <c r="H40" s="2"/>
      <c r="I40" s="2"/>
      <c r="J40" s="685"/>
      <c r="K40" s="682">
        <v>44175</v>
      </c>
      <c r="L40" s="683" t="s">
        <v>248</v>
      </c>
      <c r="M40" s="683" t="s">
        <v>1224</v>
      </c>
      <c r="N40" s="683" t="s">
        <v>1319</v>
      </c>
      <c r="O40" s="683"/>
      <c r="P40" s="688" t="s">
        <v>3813</v>
      </c>
      <c r="Q40" s="683" t="s">
        <v>37</v>
      </c>
      <c r="R40" s="683" t="s">
        <v>1782</v>
      </c>
      <c r="S40" s="686" t="s">
        <v>3816</v>
      </c>
      <c r="T40" s="683" t="s">
        <v>3814</v>
      </c>
      <c r="U40" s="683" t="s">
        <v>3815</v>
      </c>
      <c r="V40" s="683" t="s">
        <v>147</v>
      </c>
      <c r="W40" s="683" t="s">
        <v>914</v>
      </c>
      <c r="X40" s="691" t="s">
        <v>918</v>
      </c>
      <c r="Y40" s="687">
        <v>3004999911</v>
      </c>
      <c r="Z40" s="692">
        <v>24543</v>
      </c>
      <c r="AA40" s="683" t="s">
        <v>33</v>
      </c>
      <c r="AB40" s="683" t="s">
        <v>1728</v>
      </c>
      <c r="AC40" s="683" t="s">
        <v>528</v>
      </c>
      <c r="AD40" s="683" t="s">
        <v>1123</v>
      </c>
      <c r="AE40" s="683">
        <v>60</v>
      </c>
      <c r="AF40" s="684">
        <v>3252.4</v>
      </c>
      <c r="AG40" s="683" t="s">
        <v>243</v>
      </c>
      <c r="AH40" s="683" t="s">
        <v>220</v>
      </c>
      <c r="AI40" s="683" t="s">
        <v>1495</v>
      </c>
      <c r="AJ40" s="683" t="s">
        <v>1496</v>
      </c>
      <c r="AK40" s="683" t="s">
        <v>33</v>
      </c>
      <c r="AL40" s="683">
        <v>139546230</v>
      </c>
      <c r="AM40" s="683" t="s">
        <v>1121</v>
      </c>
      <c r="AN40" s="683" t="s">
        <v>2903</v>
      </c>
      <c r="AO40" s="683" t="s">
        <v>1443</v>
      </c>
      <c r="AP40" s="683" t="s">
        <v>240</v>
      </c>
      <c r="AQ40" s="688" t="str">
        <f>CONCATENATE("REG-",BDEGENER[[#This Row],[FECHA DE SERVICIO]],"-",BDEGENER[[#This Row],[SERIE]],"-",BDEGENER[[#This Row],[HORAS]])</f>
        <v>REG-44175-3004999911-3252,4</v>
      </c>
      <c r="AR40" s="683" t="str">
        <f>CONCATENATE("MARCA: ",BDEGENER[[#This Row],[MARCA]],"
 MODELO: ",BDEGENER[[#This Row],[MODELO]])</f>
        <v>MARCA: GENERAC
 MODELO: PG054</v>
      </c>
      <c r="AS40" s="683" t="str">
        <f>CONCATENATE("MARCA: ",BDEGENER[[#This Row],[MARCA DE MOTOR]],"
SERIE: ",BDEGENER[[#This Row],[SERIE DE MOTOR]])</f>
        <v>MARCA: FORD
SERIE: GP680AA</v>
      </c>
      <c r="AT40" s="683" t="str">
        <f>CONCATENATE("MARCA: ",BDEGENER[[#This Row],[MARCA ALTERNADOR ]],"
SERIE: ",BDEGENER[[#This Row],[SERIE DE ALTERNADOR]])</f>
        <v>MARCA: GENERAC
SERIE: 139546230</v>
      </c>
      <c r="AU40" s="683" t="str">
        <f>CONCATENATE("HORAS: ",BDEGENER[[#This Row],[HORAS]],"
KW-HR: ",BDEGENER[[#This Row],[KW-HORA]],"
VOLT.BATERIA: ",BDEGENER[[#This Row],[VOLTAJE DE BATERIA]],"
TEMPERATURA: ",BDEGENER[[#This Row],[TEMPERATURA DE AGUA]],"
PRES. ACEITE: ",BDEGENER[[#This Row],[PRESION DE ACEITE]])</f>
        <v>HORAS: 3252,4
KW-HR: 79878,8
VOLT.BATERIA: 13.7 V
TEMPERATURA: 191 °F
PRES. ACEITE: 80 PSI</v>
      </c>
      <c r="AV40" s="683">
        <f>COUNTIFS(Q40:Q2040,"MANTENIMIENTO CORRECTIVO",Y40:Y2040,BDEGENER[[#This Row],[SERIE]])</f>
        <v>0</v>
      </c>
      <c r="AW40" s="683">
        <f>COUNTIFS(Q40:Q2040,"MANTENIMIENTO PREVENTIVO",Y40:Y2040,BDEGENER[[#This Row],[SERIE]])</f>
        <v>11</v>
      </c>
      <c r="AX4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N°11</v>
      </c>
      <c r="AY40" s="683">
        <f>COUNTIFS(BDEGENER[SERIE],BDEGENER[[#This Row],[SERIE]],BDEGENER[TIPO DE SERVICIO],"MANTENIMIENTO PREVENTIVO")</f>
        <v>12</v>
      </c>
      <c r="AZ40" s="683" t="str">
        <f>CONCATENATE("MANTENIMIENTO PREVENTIVO N°",BDEGENER[[#This Row],[GA1]])</f>
        <v>MANTENIMIENTO PREVENTIVO N°12</v>
      </c>
      <c r="BA40" s="683" t="str">
        <f>IF(BDEGENER[[#This Row],[SERVICIO]]=BDEGENER[[#This Row],[GA2]],BDEGENER[[#This Row],[HORAS]],"0")</f>
        <v>0</v>
      </c>
      <c r="BB40" s="683">
        <f>SUMIF(BDEGENER[SERIE],BDEGENER[[#This Row],[SERIE]],BDEGENER[GA3])</f>
        <v>3510.8</v>
      </c>
      <c r="BC40" s="761" t="str">
        <f>CONCATENATE("MANT",COUNTIF($Y$7:Y40,Y40))</f>
        <v>MANT2</v>
      </c>
      <c r="BD40" s="683" t="str">
        <f>CONCATENATE(BDEGENER[[#This Row],[SERIE]],BDEGENER[[#This Row],[GA5]])</f>
        <v>3004999911MANT2</v>
      </c>
      <c r="BE40" s="683" t="str">
        <f>CONCATENATE(BDEGENER[[#This Row],[CODIGO PATRIMONIAL]],BDEGENER[[#This Row],[GA5]])</f>
        <v>24543MANT2</v>
      </c>
      <c r="BF40" s="683">
        <f>COUNTIF(BDEGENER[SERIE],BDEGENER[[#This Row],[SERIE]])</f>
        <v>14</v>
      </c>
      <c r="BG40" s="761" t="str">
        <f>CONCATENATE("F",COUNTIF($K$7:K40,K40))</f>
        <v>F2</v>
      </c>
      <c r="BH40" s="683" t="str">
        <f>CONCATENATE(BDEGENER[[#This Row],[FECHA DE SERVICIO]],BDEGENER[[#This Row],[N° DE REGISTROS DEL DIA]])</f>
        <v>44175F2</v>
      </c>
      <c r="BI40" s="684">
        <v>79878.8</v>
      </c>
      <c r="BJ40" s="683" t="s">
        <v>1544</v>
      </c>
      <c r="BK40" s="762" t="s">
        <v>853</v>
      </c>
    </row>
    <row r="41" spans="2:63" ht="69" hidden="1" x14ac:dyDescent="0.3">
      <c r="B41" s="2"/>
      <c r="C41" s="2"/>
      <c r="D41" s="2"/>
      <c r="E41" s="2"/>
      <c r="F41" s="2"/>
      <c r="G41" s="2"/>
      <c r="H41" s="2"/>
      <c r="I41" s="2"/>
      <c r="J41" s="685"/>
      <c r="K41" s="682">
        <v>44175</v>
      </c>
      <c r="L41" s="683" t="s">
        <v>561</v>
      </c>
      <c r="M41" s="683" t="s">
        <v>2445</v>
      </c>
      <c r="N41" s="683" t="s">
        <v>2549</v>
      </c>
      <c r="O41" s="683"/>
      <c r="P41" s="688" t="s">
        <v>3809</v>
      </c>
      <c r="Q41" s="683" t="s">
        <v>2037</v>
      </c>
      <c r="R41" s="683" t="s">
        <v>1782</v>
      </c>
      <c r="S41" s="686" t="s">
        <v>3810</v>
      </c>
      <c r="T41" s="683" t="s">
        <v>2546</v>
      </c>
      <c r="U41" s="683" t="s">
        <v>3811</v>
      </c>
      <c r="V41" s="683" t="s">
        <v>332</v>
      </c>
      <c r="W41" s="683" t="s">
        <v>913</v>
      </c>
      <c r="X41" s="691" t="s">
        <v>918</v>
      </c>
      <c r="Y41" s="687">
        <v>3003415536</v>
      </c>
      <c r="Z41" s="692" t="s">
        <v>2604</v>
      </c>
      <c r="AA41" s="683" t="s">
        <v>33</v>
      </c>
      <c r="AB41" s="683" t="s">
        <v>217</v>
      </c>
      <c r="AC41" s="683" t="s">
        <v>749</v>
      </c>
      <c r="AD41" s="683"/>
      <c r="AE41" s="683"/>
      <c r="AF41" s="684">
        <v>5482</v>
      </c>
      <c r="AG41" s="683" t="s">
        <v>243</v>
      </c>
      <c r="AH41" s="683" t="s">
        <v>1803</v>
      </c>
      <c r="AI41" s="683" t="s">
        <v>2553</v>
      </c>
      <c r="AJ41" s="683"/>
      <c r="AK41" s="683" t="s">
        <v>33</v>
      </c>
      <c r="AL41" s="683"/>
      <c r="AM41" s="683"/>
      <c r="AN41" s="683"/>
      <c r="AO41" s="683"/>
      <c r="AP41" s="683" t="s">
        <v>240</v>
      </c>
      <c r="AQ41" s="688" t="str">
        <f>CONCATENATE("REG-",BDEGENER[[#This Row],[FECHA DE SERVICIO]],"-",BDEGENER[[#This Row],[SERIE]],"-",BDEGENER[[#This Row],[HORAS]])</f>
        <v>REG-44175-3003415536-5482</v>
      </c>
      <c r="AR41" s="683" t="str">
        <f>CONCATENATE("MARCA: ",BDEGENER[[#This Row],[MARCA]],"
 MODELO: ",BDEGENER[[#This Row],[MODELO]])</f>
        <v>MARCA: GENERAC
 MODELO: RG022</v>
      </c>
      <c r="AS41" s="683" t="str">
        <f>CONCATENATE("MARCA: ",BDEGENER[[#This Row],[MARCA DE MOTOR]],"
SERIE: ",BDEGENER[[#This Row],[SERIE DE MOTOR]])</f>
        <v xml:space="preserve">MARCA: MITSUBISHI
SERIE: </v>
      </c>
      <c r="AT41" s="683" t="str">
        <f>CONCATENATE("MARCA: ",BDEGENER[[#This Row],[MARCA ALTERNADOR ]],"
SERIE: ",BDEGENER[[#This Row],[SERIE DE ALTERNADOR]])</f>
        <v xml:space="preserve">MARCA: GENERAC
SERIE: </v>
      </c>
      <c r="AU41" s="683" t="str">
        <f>CONCATENATE("HORAS: ",BDEGENER[[#This Row],[HORAS]],"
KW-HR: ",BDEGENER[[#This Row],[KW-HORA]],"
VOLT.BATERIA: ",BDEGENER[[#This Row],[VOLTAJE DE BATERIA]],"
TEMPERATURA: ",BDEGENER[[#This Row],[TEMPERATURA DE AGUA]],"
PRES. ACEITE: ",BDEGENER[[#This Row],[PRESION DE ACEITE]])</f>
        <v xml:space="preserve">HORAS: 5482
KW-HR: 
VOLT.BATERIA: 
TEMPERATURA: 
PRES. ACEITE: </v>
      </c>
      <c r="AV41" s="683">
        <f>COUNTIFS(Q41:Q2041,"MANTENIMIENTO CORRECTIVO",Y41:Y2041,BDEGENER[[#This Row],[SERIE]])</f>
        <v>0</v>
      </c>
      <c r="AW41" s="683">
        <f>COUNTIFS(Q41:Q2041,"MANTENIMIENTO PREVENTIVO",Y41:Y2041,BDEGENER[[#This Row],[SERIE]])</f>
        <v>10</v>
      </c>
      <c r="AX4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41" s="683">
        <f>COUNTIFS(BDEGENER[SERIE],BDEGENER[[#This Row],[SERIE]],BDEGENER[TIPO DE SERVICIO],"MANTENIMIENTO PREVENTIVO")</f>
        <v>10</v>
      </c>
      <c r="AZ41" s="683" t="str">
        <f>CONCATENATE("MANTENIMIENTO PREVENTIVO N°",BDEGENER[[#This Row],[GA1]])</f>
        <v>MANTENIMIENTO PREVENTIVO N°10</v>
      </c>
      <c r="BA41" s="683" t="str">
        <f>IF(BDEGENER[[#This Row],[SERVICIO]]=BDEGENER[[#This Row],[GA2]],BDEGENER[[#This Row],[HORAS]],"0")</f>
        <v>0</v>
      </c>
      <c r="BB41" s="683">
        <f>SUMIF(BDEGENER[SERIE],BDEGENER[[#This Row],[SERIE]],BDEGENER[GA3])</f>
        <v>5559.8</v>
      </c>
      <c r="BC41" s="683" t="str">
        <f>CONCATENATE("MANT",COUNTIF($Y$7:Y41,Y41))</f>
        <v>MANT1</v>
      </c>
      <c r="BD41" s="683" t="str">
        <f>CONCATENATE(BDEGENER[[#This Row],[SERIE]],BDEGENER[[#This Row],[GA5]])</f>
        <v>3003415536MANT1</v>
      </c>
      <c r="BE41" s="683" t="str">
        <f>CONCATENATE(BDEGENER[[#This Row],[CODIGO PATRIMONIAL]],BDEGENER[[#This Row],[GA5]])</f>
        <v>SUR-GEG-0008MANT1</v>
      </c>
      <c r="BF41" s="683">
        <f>COUNTIF(BDEGENER[SERIE],BDEGENER[[#This Row],[SERIE]])</f>
        <v>12</v>
      </c>
      <c r="BG41" s="683" t="str">
        <f>CONCATENATE("F",COUNTIF($K$7:K41,K41))</f>
        <v>F3</v>
      </c>
      <c r="BH41" s="683" t="str">
        <f>CONCATENATE(BDEGENER[[#This Row],[FECHA DE SERVICIO]],BDEGENER[[#This Row],[N° DE REGISTROS DEL DIA]])</f>
        <v>44175F3</v>
      </c>
      <c r="BI41" s="684"/>
      <c r="BJ41" s="683" t="s">
        <v>1544</v>
      </c>
      <c r="BK41" s="762"/>
    </row>
    <row r="42" spans="2:63" ht="69" hidden="1" x14ac:dyDescent="0.3">
      <c r="B42" s="2"/>
      <c r="C42" s="2"/>
      <c r="D42" s="2"/>
      <c r="E42" s="2"/>
      <c r="F42" s="2"/>
      <c r="G42" s="2"/>
      <c r="H42" s="2"/>
      <c r="I42" s="2"/>
      <c r="J42" s="685"/>
      <c r="K42" s="682">
        <v>44174</v>
      </c>
      <c r="L42" s="683" t="s">
        <v>181</v>
      </c>
      <c r="M42" s="683" t="s">
        <v>1395</v>
      </c>
      <c r="N42" s="683" t="s">
        <v>1547</v>
      </c>
      <c r="O42" s="683"/>
      <c r="P42" s="683" t="s">
        <v>3897</v>
      </c>
      <c r="Q42" s="683" t="s">
        <v>2021</v>
      </c>
      <c r="R42" s="683" t="s">
        <v>3898</v>
      </c>
      <c r="S42" s="686" t="s">
        <v>3899</v>
      </c>
      <c r="T42" s="683" t="s">
        <v>1782</v>
      </c>
      <c r="U42" s="683" t="s">
        <v>3900</v>
      </c>
      <c r="V42" s="683" t="s">
        <v>479</v>
      </c>
      <c r="W42" s="683" t="s">
        <v>914</v>
      </c>
      <c r="X42" s="691" t="s">
        <v>918</v>
      </c>
      <c r="Y42" s="687">
        <v>3004290365</v>
      </c>
      <c r="Z42" s="692"/>
      <c r="AA42" s="683" t="s">
        <v>33</v>
      </c>
      <c r="AB42" s="683" t="s">
        <v>34</v>
      </c>
      <c r="AC42" s="683" t="s">
        <v>230</v>
      </c>
      <c r="AD42" s="683"/>
      <c r="AE42" s="683"/>
      <c r="AF42" s="684" t="s">
        <v>177</v>
      </c>
      <c r="AG42" s="683" t="s">
        <v>243</v>
      </c>
      <c r="AH42" s="683" t="s">
        <v>220</v>
      </c>
      <c r="AI42" s="683" t="s">
        <v>33</v>
      </c>
      <c r="AJ42" s="683">
        <v>3004301039</v>
      </c>
      <c r="AK42" s="683" t="s">
        <v>33</v>
      </c>
      <c r="AL42" s="683">
        <v>1063018</v>
      </c>
      <c r="AM42" s="683"/>
      <c r="AN42" s="683"/>
      <c r="AO42" s="683"/>
      <c r="AP42" s="683" t="s">
        <v>240</v>
      </c>
      <c r="AQ42" s="683" t="str">
        <f>CONCATENATE("REG-",BDEGENER[[#This Row],[FECHA DE SERVICIO]],"-",BDEGENER[[#This Row],[SERIE]],"-",BDEGENER[[#This Row],[HORAS]])</f>
        <v>REG-44174-3004290365-NR</v>
      </c>
      <c r="AR42" s="683" t="str">
        <f>CONCATENATE("MARCA: ",BDEGENER[[#This Row],[MARCA]],"
 MODELO: ",BDEGENER[[#This Row],[MODELO]])</f>
        <v>MARCA: GENERAC
 MODELO: PG090</v>
      </c>
      <c r="AS42" s="683" t="str">
        <f>CONCATENATE("MARCA: ",BDEGENER[[#This Row],[MARCA DE MOTOR]],"
SERIE: ",BDEGENER[[#This Row],[SERIE DE MOTOR]])</f>
        <v>MARCA: GENERAC
SERIE: 3004301039</v>
      </c>
      <c r="AT42" s="683" t="str">
        <f>CONCATENATE("MARCA: ",BDEGENER[[#This Row],[MARCA ALTERNADOR ]],"
SERIE: ",BDEGENER[[#This Row],[SERIE DE ALTERNADOR]])</f>
        <v>MARCA: GENERAC
SERIE: 1063018</v>
      </c>
      <c r="AU42" s="683"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42" s="683">
        <f>COUNTIFS(Q42:Q2042,"MANTENIMIENTO CORRECTIVO",Y42:Y2042,BDEGENER[[#This Row],[SERIE]])</f>
        <v>5</v>
      </c>
      <c r="AW42" s="683">
        <f>COUNTIFS(Q42:Q2042,"MANTENIMIENTO PREVENTIVO",Y42:Y2042,BDEGENER[[#This Row],[SERIE]])</f>
        <v>5</v>
      </c>
      <c r="AX4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42" s="683">
        <f>COUNTIFS(BDEGENER[SERIE],BDEGENER[[#This Row],[SERIE]],BDEGENER[TIPO DE SERVICIO],"MANTENIMIENTO PREVENTIVO")</f>
        <v>5</v>
      </c>
      <c r="AZ42" s="683" t="str">
        <f>CONCATENATE("MANTENIMIENTO PREVENTIVO N°",BDEGENER[[#This Row],[GA1]])</f>
        <v>MANTENIMIENTO PREVENTIVO N°5</v>
      </c>
      <c r="BA42" s="683" t="str">
        <f>IF(BDEGENER[[#This Row],[SERVICIO]]=BDEGENER[[#This Row],[GA2]],BDEGENER[[#This Row],[HORAS]],"0")</f>
        <v>0</v>
      </c>
      <c r="BB42" s="683">
        <f>SUMIF(BDEGENER[SERIE],BDEGENER[[#This Row],[SERIE]],BDEGENER[GA3])</f>
        <v>1700.2</v>
      </c>
      <c r="BC42" s="683" t="str">
        <f>CONCATENATE("MANT",COUNTIF($Y$7:Y42,Y42))</f>
        <v>MANT3</v>
      </c>
      <c r="BD42" s="683" t="str">
        <f>CONCATENATE(BDEGENER[[#This Row],[SERIE]],BDEGENER[[#This Row],[GA5]])</f>
        <v>3004290365MANT3</v>
      </c>
      <c r="BE42" s="683" t="str">
        <f>CONCATENATE(BDEGENER[[#This Row],[CODIGO PATRIMONIAL]],BDEGENER[[#This Row],[GA5]])</f>
        <v>MANT3</v>
      </c>
      <c r="BF42" s="683">
        <f>COUNTIF(BDEGENER[SERIE],BDEGENER[[#This Row],[SERIE]])</f>
        <v>15</v>
      </c>
      <c r="BG42" s="683" t="str">
        <f>CONCATENATE("F",COUNTIF($K$7:K42,K42))</f>
        <v>F1</v>
      </c>
      <c r="BH42" s="683" t="str">
        <f>CONCATENATE(BDEGENER[[#This Row],[FECHA DE SERVICIO]],BDEGENER[[#This Row],[N° DE REGISTROS DEL DIA]])</f>
        <v>44174F1</v>
      </c>
      <c r="BI42" s="684"/>
      <c r="BJ42" s="683" t="s">
        <v>1544</v>
      </c>
      <c r="BK42" s="762"/>
    </row>
    <row r="43" spans="2:63" ht="69" hidden="1" x14ac:dyDescent="0.3">
      <c r="B43" s="2"/>
      <c r="C43" s="2"/>
      <c r="D43" s="2"/>
      <c r="E43" s="2"/>
      <c r="F43" s="2"/>
      <c r="G43" s="2"/>
      <c r="H43" s="2"/>
      <c r="I43" s="2"/>
      <c r="J43" s="685"/>
      <c r="K43" s="682">
        <v>44174</v>
      </c>
      <c r="L43" s="683" t="s">
        <v>181</v>
      </c>
      <c r="M43" s="683" t="s">
        <v>1395</v>
      </c>
      <c r="N43" s="683" t="s">
        <v>1547</v>
      </c>
      <c r="O43" s="683"/>
      <c r="P43" s="683" t="s">
        <v>3897</v>
      </c>
      <c r="Q43" s="683" t="s">
        <v>2021</v>
      </c>
      <c r="R43" s="683" t="s">
        <v>3898</v>
      </c>
      <c r="S43" s="686" t="s">
        <v>3899</v>
      </c>
      <c r="T43" s="683" t="s">
        <v>1782</v>
      </c>
      <c r="U43" s="683" t="s">
        <v>3900</v>
      </c>
      <c r="V43" s="683" t="s">
        <v>479</v>
      </c>
      <c r="W43" s="683" t="s">
        <v>914</v>
      </c>
      <c r="X43" s="691" t="s">
        <v>918</v>
      </c>
      <c r="Y43" s="687">
        <v>3004290368</v>
      </c>
      <c r="Z43" s="692"/>
      <c r="AA43" s="683" t="s">
        <v>33</v>
      </c>
      <c r="AB43" s="683" t="s">
        <v>34</v>
      </c>
      <c r="AC43" s="683" t="s">
        <v>230</v>
      </c>
      <c r="AD43" s="683"/>
      <c r="AE43" s="683"/>
      <c r="AF43" s="684" t="s">
        <v>177</v>
      </c>
      <c r="AG43" s="683" t="s">
        <v>243</v>
      </c>
      <c r="AH43" s="683" t="s">
        <v>220</v>
      </c>
      <c r="AI43" s="683" t="s">
        <v>33</v>
      </c>
      <c r="AJ43" s="683">
        <v>3004034816</v>
      </c>
      <c r="AK43" s="683" t="s">
        <v>33</v>
      </c>
      <c r="AL43" s="683">
        <v>106312930</v>
      </c>
      <c r="AM43" s="683"/>
      <c r="AN43" s="683"/>
      <c r="AO43" s="683"/>
      <c r="AP43" s="683" t="s">
        <v>240</v>
      </c>
      <c r="AQ43" s="683" t="str">
        <f>CONCATENATE("REG-",BDEGENER[[#This Row],[FECHA DE SERVICIO]],"-",BDEGENER[[#This Row],[SERIE]],"-",BDEGENER[[#This Row],[HORAS]])</f>
        <v>REG-44174-3004290368-NR</v>
      </c>
      <c r="AR43" s="683" t="str">
        <f>CONCATENATE("MARCA: ",BDEGENER[[#This Row],[MARCA]],"
 MODELO: ",BDEGENER[[#This Row],[MODELO]])</f>
        <v>MARCA: GENERAC
 MODELO: PG090</v>
      </c>
      <c r="AS43" s="683" t="str">
        <f>CONCATENATE("MARCA: ",BDEGENER[[#This Row],[MARCA DE MOTOR]],"
SERIE: ",BDEGENER[[#This Row],[SERIE DE MOTOR]])</f>
        <v>MARCA: GENERAC
SERIE: 3004034816</v>
      </c>
      <c r="AT43" s="683" t="str">
        <f>CONCATENATE("MARCA: ",BDEGENER[[#This Row],[MARCA ALTERNADOR ]],"
SERIE: ",BDEGENER[[#This Row],[SERIE DE ALTERNADOR]])</f>
        <v>MARCA: GENERAC
SERIE: 106312930</v>
      </c>
      <c r="AU43" s="683"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43" s="683">
        <f>COUNTIFS(Q43:Q2043,"MANTENIMIENTO CORRECTIVO",Y43:Y2043,BDEGENER[[#This Row],[SERIE]])</f>
        <v>3</v>
      </c>
      <c r="AW43" s="683">
        <f>COUNTIFS(Q43:Q2043,"MANTENIMIENTO PREVENTIVO",Y43:Y2043,BDEGENER[[#This Row],[SERIE]])</f>
        <v>6</v>
      </c>
      <c r="AX4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43" s="683">
        <f>COUNTIFS(BDEGENER[SERIE],BDEGENER[[#This Row],[SERIE]],BDEGENER[TIPO DE SERVICIO],"MANTENIMIENTO PREVENTIVO")</f>
        <v>6</v>
      </c>
      <c r="AZ43" s="683" t="str">
        <f>CONCATENATE("MANTENIMIENTO PREVENTIVO N°",BDEGENER[[#This Row],[GA1]])</f>
        <v>MANTENIMIENTO PREVENTIVO N°6</v>
      </c>
      <c r="BA43" s="683" t="str">
        <f>IF(BDEGENER[[#This Row],[SERVICIO]]=BDEGENER[[#This Row],[GA2]],BDEGENER[[#This Row],[HORAS]],"0")</f>
        <v>0</v>
      </c>
      <c r="BB43" s="683">
        <f>SUMIF(BDEGENER[SERIE],BDEGENER[[#This Row],[SERIE]],BDEGENER[GA3])</f>
        <v>2259.3000000000002</v>
      </c>
      <c r="BC43" s="761" t="str">
        <f>CONCATENATE("MANT",COUNTIF($Y$7:Y43,Y43))</f>
        <v>MANT2</v>
      </c>
      <c r="BD43" s="683" t="str">
        <f>CONCATENATE(BDEGENER[[#This Row],[SERIE]],BDEGENER[[#This Row],[GA5]])</f>
        <v>3004290368MANT2</v>
      </c>
      <c r="BE43" s="683" t="str">
        <f>CONCATENATE(BDEGENER[[#This Row],[CODIGO PATRIMONIAL]],BDEGENER[[#This Row],[GA5]])</f>
        <v>MANT2</v>
      </c>
      <c r="BF43" s="683">
        <f>COUNTIF(BDEGENER[SERIE],BDEGENER[[#This Row],[SERIE]])</f>
        <v>15</v>
      </c>
      <c r="BG43" s="761" t="str">
        <f>CONCATENATE("F",COUNTIF($K$7:K43,K43))</f>
        <v>F2</v>
      </c>
      <c r="BH43" s="683" t="str">
        <f>CONCATENATE(BDEGENER[[#This Row],[FECHA DE SERVICIO]],BDEGENER[[#This Row],[N° DE REGISTROS DEL DIA]])</f>
        <v>44174F2</v>
      </c>
      <c r="BI43" s="684"/>
      <c r="BJ43" s="683" t="s">
        <v>1544</v>
      </c>
      <c r="BK43" s="762"/>
    </row>
    <row r="44" spans="2:63" ht="69" hidden="1" x14ac:dyDescent="0.3">
      <c r="B44" s="2"/>
      <c r="C44" s="2"/>
      <c r="D44" s="2"/>
      <c r="E44" s="2"/>
      <c r="F44" s="2"/>
      <c r="G44" s="2"/>
      <c r="H44" s="2"/>
      <c r="I44" s="2"/>
      <c r="J44" s="685"/>
      <c r="K44" s="682">
        <v>44174</v>
      </c>
      <c r="L44" s="683" t="s">
        <v>181</v>
      </c>
      <c r="M44" s="683" t="s">
        <v>1395</v>
      </c>
      <c r="N44" s="683" t="s">
        <v>1547</v>
      </c>
      <c r="O44" s="683"/>
      <c r="P44" s="683" t="s">
        <v>3897</v>
      </c>
      <c r="Q44" s="683" t="s">
        <v>2021</v>
      </c>
      <c r="R44" s="683" t="s">
        <v>3898</v>
      </c>
      <c r="S44" s="686" t="s">
        <v>3899</v>
      </c>
      <c r="T44" s="683" t="s">
        <v>1782</v>
      </c>
      <c r="U44" s="683" t="s">
        <v>3900</v>
      </c>
      <c r="V44" s="683" t="s">
        <v>479</v>
      </c>
      <c r="W44" s="683" t="s">
        <v>914</v>
      </c>
      <c r="X44" s="691" t="s">
        <v>918</v>
      </c>
      <c r="Y44" s="687">
        <v>3004290364</v>
      </c>
      <c r="Z44" s="692"/>
      <c r="AA44" s="683" t="s">
        <v>33</v>
      </c>
      <c r="AB44" s="683" t="s">
        <v>34</v>
      </c>
      <c r="AC44" s="683" t="s">
        <v>230</v>
      </c>
      <c r="AD44" s="683"/>
      <c r="AE44" s="683"/>
      <c r="AF44" s="684" t="s">
        <v>177</v>
      </c>
      <c r="AG44" s="683" t="s">
        <v>243</v>
      </c>
      <c r="AH44" s="683" t="s">
        <v>220</v>
      </c>
      <c r="AI44" s="683" t="s">
        <v>33</v>
      </c>
      <c r="AJ44" s="683">
        <v>3004301038</v>
      </c>
      <c r="AK44" s="683" t="s">
        <v>33</v>
      </c>
      <c r="AL44" s="683">
        <v>10630180</v>
      </c>
      <c r="AM44" s="683"/>
      <c r="AN44" s="683"/>
      <c r="AO44" s="683"/>
      <c r="AP44" s="683" t="s">
        <v>240</v>
      </c>
      <c r="AQ44" s="683" t="str">
        <f>CONCATENATE("REG-",BDEGENER[[#This Row],[FECHA DE SERVICIO]],"-",BDEGENER[[#This Row],[SERIE]],"-",BDEGENER[[#This Row],[HORAS]])</f>
        <v>REG-44174-3004290364-NR</v>
      </c>
      <c r="AR44" s="683" t="str">
        <f>CONCATENATE("MARCA: ",BDEGENER[[#This Row],[MARCA]],"
 MODELO: ",BDEGENER[[#This Row],[MODELO]])</f>
        <v>MARCA: GENERAC
 MODELO: PG090</v>
      </c>
      <c r="AS44" s="683" t="str">
        <f>CONCATENATE("MARCA: ",BDEGENER[[#This Row],[MARCA DE MOTOR]],"
SERIE: ",BDEGENER[[#This Row],[SERIE DE MOTOR]])</f>
        <v>MARCA: GENERAC
SERIE: 3004301038</v>
      </c>
      <c r="AT44" s="683" t="str">
        <f>CONCATENATE("MARCA: ",BDEGENER[[#This Row],[MARCA ALTERNADOR ]],"
SERIE: ",BDEGENER[[#This Row],[SERIE DE ALTERNADOR]])</f>
        <v>MARCA: GENERAC
SERIE: 10630180</v>
      </c>
      <c r="AU44" s="683"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44" s="683">
        <f>COUNTIFS(Q44:Q2044,"MANTENIMIENTO CORRECTIVO",Y44:Y2044,BDEGENER[[#This Row],[SERIE]])</f>
        <v>1</v>
      </c>
      <c r="AW44" s="683">
        <f>COUNTIFS(Q44:Q2044,"MANTENIMIENTO PREVENTIVO",Y44:Y2044,BDEGENER[[#This Row],[SERIE]])</f>
        <v>3</v>
      </c>
      <c r="AX4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44" s="683">
        <f>COUNTIFS(BDEGENER[SERIE],BDEGENER[[#This Row],[SERIE]],BDEGENER[TIPO DE SERVICIO],"MANTENIMIENTO PREVENTIVO")</f>
        <v>3</v>
      </c>
      <c r="AZ44" s="683" t="str">
        <f>CONCATENATE("MANTENIMIENTO PREVENTIVO N°",BDEGENER[[#This Row],[GA1]])</f>
        <v>MANTENIMIENTO PREVENTIVO N°3</v>
      </c>
      <c r="BA44" s="683" t="str">
        <f>IF(BDEGENER[[#This Row],[SERVICIO]]=BDEGENER[[#This Row],[GA2]],BDEGENER[[#This Row],[HORAS]],"0")</f>
        <v>0</v>
      </c>
      <c r="BB44" s="683">
        <f>SUMIF(BDEGENER[SERIE],BDEGENER[[#This Row],[SERIE]],BDEGENER[GA3])</f>
        <v>941.5</v>
      </c>
      <c r="BC44" s="683" t="str">
        <f>CONCATENATE("MANT",COUNTIF($Y$7:Y44,Y44))</f>
        <v>MANT2</v>
      </c>
      <c r="BD44" s="683" t="str">
        <f>CONCATENATE(BDEGENER[[#This Row],[SERIE]],BDEGENER[[#This Row],[GA5]])</f>
        <v>3004290364MANT2</v>
      </c>
      <c r="BE44" s="683" t="str">
        <f>CONCATENATE(BDEGENER[[#This Row],[CODIGO PATRIMONIAL]],BDEGENER[[#This Row],[GA5]])</f>
        <v>MANT2</v>
      </c>
      <c r="BF44" s="683">
        <f>COUNTIF(BDEGENER[SERIE],BDEGENER[[#This Row],[SERIE]])</f>
        <v>9</v>
      </c>
      <c r="BG44" s="683" t="str">
        <f>CONCATENATE("F",COUNTIF($K$7:K44,K44))</f>
        <v>F3</v>
      </c>
      <c r="BH44" s="683" t="str">
        <f>CONCATENATE(BDEGENER[[#This Row],[FECHA DE SERVICIO]],BDEGENER[[#This Row],[N° DE REGISTROS DEL DIA]])</f>
        <v>44174F3</v>
      </c>
      <c r="BI44" s="684"/>
      <c r="BJ44" s="683" t="s">
        <v>1544</v>
      </c>
      <c r="BK44" s="762"/>
    </row>
    <row r="45" spans="2:63" ht="69" hidden="1" x14ac:dyDescent="0.3">
      <c r="B45" s="2"/>
      <c r="C45" s="2"/>
      <c r="D45" s="2"/>
      <c r="E45" s="2"/>
      <c r="F45" s="2"/>
      <c r="G45" s="2"/>
      <c r="H45" s="2"/>
      <c r="I45" s="2"/>
      <c r="J45" s="685"/>
      <c r="K45" s="682">
        <v>44172</v>
      </c>
      <c r="L45" s="683" t="s">
        <v>181</v>
      </c>
      <c r="M45" s="683" t="s">
        <v>186</v>
      </c>
      <c r="N45" s="683" t="s">
        <v>1982</v>
      </c>
      <c r="O45" s="683"/>
      <c r="P45" s="683"/>
      <c r="Q45" s="683" t="s">
        <v>107</v>
      </c>
      <c r="R45" s="683" t="s">
        <v>1782</v>
      </c>
      <c r="S45" s="686" t="s">
        <v>3793</v>
      </c>
      <c r="T45" s="683" t="s">
        <v>2546</v>
      </c>
      <c r="U45" s="683" t="s">
        <v>3794</v>
      </c>
      <c r="V45" s="683" t="s">
        <v>150</v>
      </c>
      <c r="W45" s="683" t="s">
        <v>914</v>
      </c>
      <c r="X45" s="691" t="s">
        <v>918</v>
      </c>
      <c r="Y45" s="687">
        <v>3004327724</v>
      </c>
      <c r="Z45" s="692"/>
      <c r="AA45" s="683" t="s">
        <v>33</v>
      </c>
      <c r="AB45" s="683" t="s">
        <v>34</v>
      </c>
      <c r="AC45" s="683" t="s">
        <v>230</v>
      </c>
      <c r="AD45" s="683"/>
      <c r="AE45" s="683"/>
      <c r="AF45" s="684">
        <v>2277.6999999999998</v>
      </c>
      <c r="AG45" s="683" t="s">
        <v>243</v>
      </c>
      <c r="AH45" s="683" t="s">
        <v>220</v>
      </c>
      <c r="AI45" s="683" t="s">
        <v>33</v>
      </c>
      <c r="AJ45" s="683">
        <v>3004333872</v>
      </c>
      <c r="AK45" s="683" t="s">
        <v>33</v>
      </c>
      <c r="AL45" s="683"/>
      <c r="AM45" s="683"/>
      <c r="AN45" s="683"/>
      <c r="AO45" s="683"/>
      <c r="AP45" s="683" t="s">
        <v>240</v>
      </c>
      <c r="AQ45" s="688" t="str">
        <f>CONCATENATE("REG-",BDEGENER[[#This Row],[FECHA DE SERVICIO]],"-",BDEGENER[[#This Row],[SERIE]],"-",BDEGENER[[#This Row],[HORAS]])</f>
        <v>REG-44172-3004327724-2277,7</v>
      </c>
      <c r="AR45" s="683" t="str">
        <f>CONCATENATE("MARCA: ",BDEGENER[[#This Row],[MARCA]],"
 MODELO: ",BDEGENER[[#This Row],[MODELO]])</f>
        <v>MARCA: GENERAC
 MODELO: PG090</v>
      </c>
      <c r="AS45" s="683" t="str">
        <f>CONCATENATE("MARCA: ",BDEGENER[[#This Row],[MARCA DE MOTOR]],"
SERIE: ",BDEGENER[[#This Row],[SERIE DE MOTOR]])</f>
        <v>MARCA: GENERAC
SERIE: 3004333872</v>
      </c>
      <c r="AT45" s="683" t="str">
        <f>CONCATENATE("MARCA: ",BDEGENER[[#This Row],[MARCA ALTERNADOR ]],"
SERIE: ",BDEGENER[[#This Row],[SERIE DE ALTERNADOR]])</f>
        <v xml:space="preserve">MARCA: GENERAC
SERIE: </v>
      </c>
      <c r="AU45" s="683" t="str">
        <f>CONCATENATE("HORAS: ",BDEGENER[[#This Row],[HORAS]],"
KW-HR: ",BDEGENER[[#This Row],[KW-HORA]],"
VOLT.BATERIA: ",BDEGENER[[#This Row],[VOLTAJE DE BATERIA]],"
TEMPERATURA: ",BDEGENER[[#This Row],[TEMPERATURA DE AGUA]],"
PRES. ACEITE: ",BDEGENER[[#This Row],[PRESION DE ACEITE]])</f>
        <v xml:space="preserve">HORAS: 2277,7
KW-HR: 
VOLT.BATERIA: 
TEMPERATURA: 
PRES. ACEITE: </v>
      </c>
      <c r="AV45" s="683">
        <f>COUNTIFS(Q45:Q2045,"MANTENIMIENTO CORRECTIVO",Y45:Y2045,BDEGENER[[#This Row],[SERIE]])</f>
        <v>7</v>
      </c>
      <c r="AW45" s="683">
        <f>COUNTIFS(Q45:Q2045,"MANTENIMIENTO PREVENTIVO",Y45:Y2045,BDEGENER[[#This Row],[SERIE]])</f>
        <v>8</v>
      </c>
      <c r="AX4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N°7</v>
      </c>
      <c r="AY45" s="683">
        <f>COUNTIFS(BDEGENER[SERIE],BDEGENER[[#This Row],[SERIE]],BDEGENER[TIPO DE SERVICIO],"MANTENIMIENTO PREVENTIVO")</f>
        <v>8</v>
      </c>
      <c r="AZ45" s="683" t="str">
        <f>CONCATENATE("MANTENIMIENTO PREVENTIVO N°",BDEGENER[[#This Row],[GA1]])</f>
        <v>MANTENIMIENTO PREVENTIVO N°8</v>
      </c>
      <c r="BA45" s="683" t="str">
        <f>IF(BDEGENER[[#This Row],[SERVICIO]]=BDEGENER[[#This Row],[GA2]],BDEGENER[[#This Row],[HORAS]],"0")</f>
        <v>0</v>
      </c>
      <c r="BB45" s="683">
        <f>SUMIF(BDEGENER[SERIE],BDEGENER[[#This Row],[SERIE]],BDEGENER[GA3])</f>
        <v>2271.8000000000002</v>
      </c>
      <c r="BC45" s="683" t="str">
        <f>CONCATENATE("MANT",COUNTIF($Y$7:Y45,Y45))</f>
        <v>MANT1</v>
      </c>
      <c r="BD45" s="683" t="str">
        <f>CONCATENATE(BDEGENER[[#This Row],[SERIE]],BDEGENER[[#This Row],[GA5]])</f>
        <v>3004327724MANT1</v>
      </c>
      <c r="BE45" s="683" t="str">
        <f>CONCATENATE(BDEGENER[[#This Row],[CODIGO PATRIMONIAL]],BDEGENER[[#This Row],[GA5]])</f>
        <v>MANT1</v>
      </c>
      <c r="BF45" s="683">
        <f>COUNTIF(BDEGENER[SERIE],BDEGENER[[#This Row],[SERIE]])</f>
        <v>17</v>
      </c>
      <c r="BG45" s="683" t="str">
        <f>CONCATENATE("F",COUNTIF($K$7:K45,K45))</f>
        <v>F1</v>
      </c>
      <c r="BH45" s="683" t="str">
        <f>CONCATENATE(BDEGENER[[#This Row],[FECHA DE SERVICIO]],BDEGENER[[#This Row],[N° DE REGISTROS DEL DIA]])</f>
        <v>44172F1</v>
      </c>
      <c r="BI45" s="684"/>
      <c r="BJ45" s="683" t="s">
        <v>1544</v>
      </c>
      <c r="BK45" s="762"/>
    </row>
    <row r="46" spans="2:63" ht="69" hidden="1" x14ac:dyDescent="0.3">
      <c r="B46" s="2"/>
      <c r="C46" s="2"/>
      <c r="D46" s="2"/>
      <c r="E46" s="2"/>
      <c r="F46" s="2"/>
      <c r="G46" s="2"/>
      <c r="H46" s="2"/>
      <c r="I46" s="2"/>
      <c r="J46" s="685"/>
      <c r="K46" s="682">
        <v>44172</v>
      </c>
      <c r="L46" s="683" t="s">
        <v>181</v>
      </c>
      <c r="M46" s="683" t="s">
        <v>186</v>
      </c>
      <c r="N46" s="683" t="s">
        <v>1982</v>
      </c>
      <c r="O46" s="683"/>
      <c r="P46" s="683"/>
      <c r="Q46" s="683" t="s">
        <v>107</v>
      </c>
      <c r="R46" s="683" t="s">
        <v>1782</v>
      </c>
      <c r="S46" s="686" t="s">
        <v>3791</v>
      </c>
      <c r="T46" s="683" t="s">
        <v>2546</v>
      </c>
      <c r="U46" s="683" t="s">
        <v>3792</v>
      </c>
      <c r="V46" s="683" t="s">
        <v>150</v>
      </c>
      <c r="W46" s="683" t="s">
        <v>914</v>
      </c>
      <c r="X46" s="691" t="s">
        <v>918</v>
      </c>
      <c r="Y46" s="687">
        <v>3004337430</v>
      </c>
      <c r="Z46" s="692" t="s">
        <v>192</v>
      </c>
      <c r="AA46" s="683" t="s">
        <v>33</v>
      </c>
      <c r="AB46" s="683" t="s">
        <v>34</v>
      </c>
      <c r="AC46" s="683" t="s">
        <v>230</v>
      </c>
      <c r="AD46" s="683"/>
      <c r="AE46" s="683"/>
      <c r="AF46" s="684">
        <v>671.4</v>
      </c>
      <c r="AG46" s="683" t="s">
        <v>243</v>
      </c>
      <c r="AH46" s="683" t="s">
        <v>220</v>
      </c>
      <c r="AI46" s="683" t="s">
        <v>33</v>
      </c>
      <c r="AJ46" s="683">
        <v>3004346827</v>
      </c>
      <c r="AK46" s="683" t="s">
        <v>33</v>
      </c>
      <c r="AL46" s="683"/>
      <c r="AM46" s="683"/>
      <c r="AN46" s="683"/>
      <c r="AO46" s="683"/>
      <c r="AP46" s="683" t="s">
        <v>240</v>
      </c>
      <c r="AQ46" s="688" t="str">
        <f>CONCATENATE("REG-",BDEGENER[[#This Row],[FECHA DE SERVICIO]],"-",BDEGENER[[#This Row],[SERIE]],"-",BDEGENER[[#This Row],[HORAS]])</f>
        <v>REG-44172-3004337430-671,4</v>
      </c>
      <c r="AR46" s="683" t="str">
        <f>CONCATENATE("MARCA: ",BDEGENER[[#This Row],[MARCA]],"
 MODELO: ",BDEGENER[[#This Row],[MODELO]])</f>
        <v>MARCA: GENERAC
 MODELO: PG090</v>
      </c>
      <c r="AS46" s="683" t="str">
        <f>CONCATENATE("MARCA: ",BDEGENER[[#This Row],[MARCA DE MOTOR]],"
SERIE: ",BDEGENER[[#This Row],[SERIE DE MOTOR]])</f>
        <v>MARCA: GENERAC
SERIE: 3004346827</v>
      </c>
      <c r="AT46" s="683" t="str">
        <f>CONCATENATE("MARCA: ",BDEGENER[[#This Row],[MARCA ALTERNADOR ]],"
SERIE: ",BDEGENER[[#This Row],[SERIE DE ALTERNADOR]])</f>
        <v xml:space="preserve">MARCA: GENERAC
SERIE: </v>
      </c>
      <c r="AU46" s="683" t="str">
        <f>CONCATENATE("HORAS: ",BDEGENER[[#This Row],[HORAS]],"
KW-HR: ",BDEGENER[[#This Row],[KW-HORA]],"
VOLT.BATERIA: ",BDEGENER[[#This Row],[VOLTAJE DE BATERIA]],"
TEMPERATURA: ",BDEGENER[[#This Row],[TEMPERATURA DE AGUA]],"
PRES. ACEITE: ",BDEGENER[[#This Row],[PRESION DE ACEITE]])</f>
        <v xml:space="preserve">HORAS: 671,4
KW-HR: 
VOLT.BATERIA: 
TEMPERATURA: 
PRES. ACEITE: </v>
      </c>
      <c r="AV46" s="683">
        <f>COUNTIFS(Q46:Q2046,"MANTENIMIENTO CORRECTIVO",Y46:Y2046,BDEGENER[[#This Row],[SERIE]])</f>
        <v>3</v>
      </c>
      <c r="AW46" s="683">
        <f>COUNTIFS(Q46:Q2046,"MANTENIMIENTO PREVENTIVO",Y46:Y2046,BDEGENER[[#This Row],[SERIE]])</f>
        <v>3</v>
      </c>
      <c r="AX4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46" s="683">
        <f>COUNTIFS(BDEGENER[SERIE],BDEGENER[[#This Row],[SERIE]],BDEGENER[TIPO DE SERVICIO],"MANTENIMIENTO PREVENTIVO")</f>
        <v>3</v>
      </c>
      <c r="AZ46" s="683" t="str">
        <f>CONCATENATE("MANTENIMIENTO PREVENTIVO N°",BDEGENER[[#This Row],[GA1]])</f>
        <v>MANTENIMIENTO PREVENTIVO N°3</v>
      </c>
      <c r="BA46" s="683" t="str">
        <f>IF(BDEGENER[[#This Row],[SERVICIO]]=BDEGENER[[#This Row],[GA2]],BDEGENER[[#This Row],[HORAS]],"0")</f>
        <v>0</v>
      </c>
      <c r="BB46" s="683">
        <f>SUMIF(BDEGENER[SERIE],BDEGENER[[#This Row],[SERIE]],BDEGENER[GA3])</f>
        <v>596.6</v>
      </c>
      <c r="BC46" s="761" t="str">
        <f>CONCATENATE("MANT",COUNTIF($Y$7:Y46,Y46))</f>
        <v>MANT1</v>
      </c>
      <c r="BD46" s="683" t="str">
        <f>CONCATENATE(BDEGENER[[#This Row],[SERIE]],BDEGENER[[#This Row],[GA5]])</f>
        <v>3004337430MANT1</v>
      </c>
      <c r="BE46" s="683" t="str">
        <f>CONCATENATE(BDEGENER[[#This Row],[CODIGO PATRIMONIAL]],BDEGENER[[#This Row],[GA5]])</f>
        <v xml:space="preserve"> MANT1</v>
      </c>
      <c r="BF46" s="683">
        <f>COUNTIF(BDEGENER[SERIE],BDEGENER[[#This Row],[SERIE]])</f>
        <v>11</v>
      </c>
      <c r="BG46" s="761" t="str">
        <f>CONCATENATE("F",COUNTIF($K$7:K46,K46))</f>
        <v>F2</v>
      </c>
      <c r="BH46" s="683" t="str">
        <f>CONCATENATE(BDEGENER[[#This Row],[FECHA DE SERVICIO]],BDEGENER[[#This Row],[N° DE REGISTROS DEL DIA]])</f>
        <v>44172F2</v>
      </c>
      <c r="BI46" s="684"/>
      <c r="BJ46" s="683" t="s">
        <v>1544</v>
      </c>
      <c r="BK46" s="762"/>
    </row>
    <row r="47" spans="2:63" ht="69" hidden="1" x14ac:dyDescent="0.3">
      <c r="B47" s="2"/>
      <c r="C47" s="2"/>
      <c r="D47" s="2"/>
      <c r="E47" s="2"/>
      <c r="F47" s="2"/>
      <c r="G47" s="2"/>
      <c r="H47" s="2"/>
      <c r="I47" s="2"/>
      <c r="J47" s="685"/>
      <c r="K47" s="682">
        <v>44170</v>
      </c>
      <c r="L47" s="683" t="s">
        <v>764</v>
      </c>
      <c r="M47" s="683" t="s">
        <v>2645</v>
      </c>
      <c r="N47" s="683" t="s">
        <v>2641</v>
      </c>
      <c r="O47" s="683"/>
      <c r="P47" s="683"/>
      <c r="Q47" s="683" t="s">
        <v>107</v>
      </c>
      <c r="R47" s="683" t="s">
        <v>1782</v>
      </c>
      <c r="S47" s="686" t="s">
        <v>3868</v>
      </c>
      <c r="T47" s="683" t="s">
        <v>2546</v>
      </c>
      <c r="U47" s="683" t="s">
        <v>3869</v>
      </c>
      <c r="V47" s="683" t="s">
        <v>150</v>
      </c>
      <c r="W47" s="683" t="s">
        <v>913</v>
      </c>
      <c r="X47" s="691" t="s">
        <v>917</v>
      </c>
      <c r="Y47" s="687" t="s">
        <v>2635</v>
      </c>
      <c r="Z47" s="692" t="s">
        <v>159</v>
      </c>
      <c r="AA47" s="683" t="s">
        <v>2637</v>
      </c>
      <c r="AB47" s="683" t="s">
        <v>782</v>
      </c>
      <c r="AC47" s="683" t="s">
        <v>788</v>
      </c>
      <c r="AD47" s="683"/>
      <c r="AE47" s="683"/>
      <c r="AF47" s="684">
        <v>336.2</v>
      </c>
      <c r="AG47" s="683" t="s">
        <v>243</v>
      </c>
      <c r="AH47" s="683" t="s">
        <v>2638</v>
      </c>
      <c r="AI47" s="683" t="s">
        <v>1966</v>
      </c>
      <c r="AJ47" s="683" t="s">
        <v>2639</v>
      </c>
      <c r="AK47" s="683" t="s">
        <v>2637</v>
      </c>
      <c r="AL47" s="683" t="s">
        <v>2635</v>
      </c>
      <c r="AM47" s="683"/>
      <c r="AN47" s="683"/>
      <c r="AO47" s="683"/>
      <c r="AP47" s="683" t="s">
        <v>240</v>
      </c>
      <c r="AQ47" s="744" t="str">
        <f>CONCATENATE("REG-",BDEGENER[[#This Row],[FECHA DE SERVICIO]],"-",BDEGENER[[#This Row],[SERIE]],"-",BDEGENER[[#This Row],[HORAS]])</f>
        <v>REG-44170-F930510270-336,2</v>
      </c>
      <c r="AR47" s="683" t="str">
        <f>CONCATENATE("MARCA: ",BDEGENER[[#This Row],[MARCA]],"
 MODELO: ",BDEGENER[[#This Row],[MODELO]])</f>
        <v>MARCA: ONAN
 MODELO: 15RDJCL</v>
      </c>
      <c r="AS47" s="683" t="str">
        <f>CONCATENATE("MARCA: ",BDEGENER[[#This Row],[MARCA DE MOTOR]],"
SERIE: ",BDEGENER[[#This Row],[SERIE DE MOTOR]])</f>
        <v>MARCA: CUMMINS
SERIE: 170-2305</v>
      </c>
      <c r="AT47" s="683" t="str">
        <f>CONCATENATE("MARCA: ",BDEGENER[[#This Row],[MARCA ALTERNADOR ]],"
SERIE: ",BDEGENER[[#This Row],[SERIE DE ALTERNADOR]])</f>
        <v>MARCA: ONAN
SERIE: F930510270</v>
      </c>
      <c r="AU47" s="683" t="str">
        <f>CONCATENATE("HORAS: ",BDEGENER[[#This Row],[HORAS]],"
KW-HR: ",BDEGENER[[#This Row],[KW-HORA]],"
VOLT.BATERIA: ",BDEGENER[[#This Row],[VOLTAJE DE BATERIA]],"
TEMPERATURA: ",BDEGENER[[#This Row],[TEMPERATURA DE AGUA]],"
PRES. ACEITE: ",BDEGENER[[#This Row],[PRESION DE ACEITE]])</f>
        <v xml:space="preserve">HORAS: 336,2
KW-HR: 
VOLT.BATERIA: 
TEMPERATURA: 
PRES. ACEITE: </v>
      </c>
      <c r="AV47" s="683">
        <f>COUNTIFS(Q47:Q2047,"MANTENIMIENTO CORRECTIVO",Y47:Y2047,BDEGENER[[#This Row],[SERIE]])</f>
        <v>2</v>
      </c>
      <c r="AW47" s="683">
        <f>COUNTIFS(Q47:Q2047,"MANTENIMIENTO PREVENTIVO",Y47:Y2047,BDEGENER[[#This Row],[SERIE]])</f>
        <v>2</v>
      </c>
      <c r="AX4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47" s="683">
        <f>COUNTIFS(BDEGENER[SERIE],BDEGENER[[#This Row],[SERIE]],BDEGENER[TIPO DE SERVICIO],"MANTENIMIENTO PREVENTIVO")</f>
        <v>2</v>
      </c>
      <c r="AZ47" s="683" t="str">
        <f>CONCATENATE("MANTENIMIENTO PREVENTIVO N°",BDEGENER[[#This Row],[GA1]])</f>
        <v>MANTENIMIENTO PREVENTIVO N°2</v>
      </c>
      <c r="BA47" s="683" t="str">
        <f>IF(BDEGENER[[#This Row],[SERVICIO]]=BDEGENER[[#This Row],[GA2]],BDEGENER[[#This Row],[HORAS]],"0")</f>
        <v>0</v>
      </c>
      <c r="BB47" s="683">
        <f>SUMIF(BDEGENER[SERIE],BDEGENER[[#This Row],[SERIE]],BDEGENER[GA3])</f>
        <v>336.2</v>
      </c>
      <c r="BC47" s="683" t="str">
        <f>CONCATENATE("MANT",COUNTIF($Y$7:Y47,Y47))</f>
        <v>MANT1</v>
      </c>
      <c r="BD47" s="683" t="str">
        <f>CONCATENATE(BDEGENER[[#This Row],[SERIE]],BDEGENER[[#This Row],[GA5]])</f>
        <v>F930510270MANT1</v>
      </c>
      <c r="BE47" s="683" t="str">
        <f>CONCATENATE(BDEGENER[[#This Row],[CODIGO PATRIMONIAL]],BDEGENER[[#This Row],[GA5]])</f>
        <v>MANT1</v>
      </c>
      <c r="BF47" s="683">
        <f>COUNTIF(BDEGENER[SERIE],BDEGENER[[#This Row],[SERIE]])</f>
        <v>4</v>
      </c>
      <c r="BG47" s="683" t="str">
        <f>CONCATENATE("F",COUNTIF($K$7:K47,K47))</f>
        <v>F1</v>
      </c>
      <c r="BH47" s="683" t="str">
        <f>CONCATENATE(BDEGENER[[#This Row],[FECHA DE SERVICIO]],BDEGENER[[#This Row],[N° DE REGISTROS DEL DIA]])</f>
        <v>44170F1</v>
      </c>
      <c r="BI47" s="684"/>
      <c r="BJ47" s="683" t="s">
        <v>1544</v>
      </c>
      <c r="BK47" s="762"/>
    </row>
    <row r="48" spans="2:63" ht="69" hidden="1" x14ac:dyDescent="0.3">
      <c r="B48" s="2"/>
      <c r="C48" s="2"/>
      <c r="D48" s="2"/>
      <c r="E48" s="2"/>
      <c r="F48" s="2"/>
      <c r="G48" s="2"/>
      <c r="H48" s="2"/>
      <c r="I48" s="2"/>
      <c r="J48" s="685"/>
      <c r="K48" s="682">
        <v>44169</v>
      </c>
      <c r="L48" s="683" t="s">
        <v>561</v>
      </c>
      <c r="M48" s="683" t="s">
        <v>2890</v>
      </c>
      <c r="N48" s="683" t="s">
        <v>3093</v>
      </c>
      <c r="O48" s="683"/>
      <c r="P48" s="683" t="s">
        <v>3886</v>
      </c>
      <c r="Q48" s="683" t="s">
        <v>37</v>
      </c>
      <c r="R48" s="683" t="s">
        <v>1782</v>
      </c>
      <c r="S48" s="686" t="s">
        <v>3882</v>
      </c>
      <c r="T48" s="683" t="s">
        <v>2546</v>
      </c>
      <c r="U48" s="683" t="s">
        <v>3841</v>
      </c>
      <c r="V48" s="683" t="s">
        <v>677</v>
      </c>
      <c r="W48" s="683" t="s">
        <v>913</v>
      </c>
      <c r="X48" s="691" t="s">
        <v>918</v>
      </c>
      <c r="Y48" s="687">
        <v>3003415532</v>
      </c>
      <c r="Z48" s="692" t="s">
        <v>2606</v>
      </c>
      <c r="AA48" s="683" t="s">
        <v>33</v>
      </c>
      <c r="AB48" s="683" t="s">
        <v>217</v>
      </c>
      <c r="AC48" s="683" t="s">
        <v>749</v>
      </c>
      <c r="AD48" s="683" t="s">
        <v>1123</v>
      </c>
      <c r="AE48" s="683">
        <v>60</v>
      </c>
      <c r="AF48" s="684">
        <v>5730.6</v>
      </c>
      <c r="AG48" s="683" t="s">
        <v>243</v>
      </c>
      <c r="AH48" s="683" t="s">
        <v>1803</v>
      </c>
      <c r="AI48" s="683" t="s">
        <v>2553</v>
      </c>
      <c r="AJ48" s="683" t="s">
        <v>3343</v>
      </c>
      <c r="AK48" s="683" t="s">
        <v>33</v>
      </c>
      <c r="AL48" s="683"/>
      <c r="AM48" s="683" t="s">
        <v>1347</v>
      </c>
      <c r="AN48" s="683"/>
      <c r="AO48" s="683"/>
      <c r="AP48" s="683" t="s">
        <v>240</v>
      </c>
      <c r="AQ48" s="688" t="str">
        <f>CONCATENATE("REG-",BDEGENER[[#This Row],[FECHA DE SERVICIO]],"-",BDEGENER[[#This Row],[SERIE]],"-",BDEGENER[[#This Row],[HORAS]])</f>
        <v>REG-44169-3003415532-5730,6</v>
      </c>
      <c r="AR48" s="683" t="str">
        <f>CONCATENATE("MARCA: ",BDEGENER[[#This Row],[MARCA]],"
 MODELO: ",BDEGENER[[#This Row],[MODELO]])</f>
        <v>MARCA: GENERAC
 MODELO: RG022</v>
      </c>
      <c r="AS48" s="683" t="str">
        <f>CONCATENATE("MARCA: ",BDEGENER[[#This Row],[MARCA DE MOTOR]],"
SERIE: ",BDEGENER[[#This Row],[SERIE DE MOTOR]])</f>
        <v>MARCA: MITSUBISHI
SERIE: STS6082/6G454M</v>
      </c>
      <c r="AT48" s="683" t="str">
        <f>CONCATENATE("MARCA: ",BDEGENER[[#This Row],[MARCA ALTERNADOR ]],"
SERIE: ",BDEGENER[[#This Row],[SERIE DE ALTERNADOR]])</f>
        <v xml:space="preserve">MARCA: GENERAC
SERIE: </v>
      </c>
      <c r="AU48" s="683" t="str">
        <f>CONCATENATE("HORAS: ",BDEGENER[[#This Row],[HORAS]],"
KW-HR: ",BDEGENER[[#This Row],[KW-HORA]],"
VOLT.BATERIA: ",BDEGENER[[#This Row],[VOLTAJE DE BATERIA]],"
TEMPERATURA: ",BDEGENER[[#This Row],[TEMPERATURA DE AGUA]],"
PRES. ACEITE: ",BDEGENER[[#This Row],[PRESION DE ACEITE]])</f>
        <v xml:space="preserve">HORAS: 5730,6
KW-HR: 
VOLT.BATERIA: 13.3 V
TEMPERATURA: 
PRES. ACEITE: </v>
      </c>
      <c r="AV48" s="683">
        <f>COUNTIFS(Q48:Q2048,"MANTENIMIENTO CORRECTIVO",Y48:Y2048,BDEGENER[[#This Row],[SERIE]])</f>
        <v>0</v>
      </c>
      <c r="AW48" s="683">
        <f>COUNTIFS(Q48:Q2048,"MANTENIMIENTO PREVENTIVO",Y48:Y2048,BDEGENER[[#This Row],[SERIE]])</f>
        <v>14</v>
      </c>
      <c r="AX4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N°14</v>
      </c>
      <c r="AY48" s="683">
        <f>COUNTIFS(BDEGENER[SERIE],BDEGENER[[#This Row],[SERIE]],BDEGENER[TIPO DE SERVICIO],"MANTENIMIENTO PREVENTIVO")</f>
        <v>14</v>
      </c>
      <c r="AZ48" s="683" t="str">
        <f>CONCATENATE("MANTENIMIENTO PREVENTIVO N°",BDEGENER[[#This Row],[GA1]])</f>
        <v>MANTENIMIENTO PREVENTIVO N°14</v>
      </c>
      <c r="BA48" s="683">
        <f>IF(BDEGENER[[#This Row],[SERVICIO]]=BDEGENER[[#This Row],[GA2]],BDEGENER[[#This Row],[HORAS]],"0")</f>
        <v>5730.6</v>
      </c>
      <c r="BB48" s="683">
        <f>SUMIF(BDEGENER[SERIE],BDEGENER[[#This Row],[SERIE]],BDEGENER[GA3])</f>
        <v>5730.6</v>
      </c>
      <c r="BC48" s="683" t="str">
        <f>CONCATENATE("MANT",COUNTIF($Y$7:Y48,Y48))</f>
        <v>MANT1</v>
      </c>
      <c r="BD48" s="683" t="str">
        <f>CONCATENATE(BDEGENER[[#This Row],[SERIE]],BDEGENER[[#This Row],[GA5]])</f>
        <v>3003415532MANT1</v>
      </c>
      <c r="BE48" s="683" t="str">
        <f>CONCATENATE(BDEGENER[[#This Row],[CODIGO PATRIMONIAL]],BDEGENER[[#This Row],[GA5]])</f>
        <v>SUR-GEG-0010MANT1</v>
      </c>
      <c r="BF48" s="683">
        <f>COUNTIF(BDEGENER[SERIE],BDEGENER[[#This Row],[SERIE]])</f>
        <v>14</v>
      </c>
      <c r="BG48" s="683" t="str">
        <f>CONCATENATE("F",COUNTIF($K$7:K48,K48))</f>
        <v>F1</v>
      </c>
      <c r="BH48" s="683" t="str">
        <f>CONCATENATE(BDEGENER[[#This Row],[FECHA DE SERVICIO]],BDEGENER[[#This Row],[N° DE REGISTROS DEL DIA]])</f>
        <v>44169F1</v>
      </c>
      <c r="BI48" s="684"/>
      <c r="BJ48" s="683" t="s">
        <v>1544</v>
      </c>
      <c r="BK48" s="762"/>
    </row>
    <row r="49" spans="2:63" ht="69" hidden="1" x14ac:dyDescent="0.3">
      <c r="B49" s="2"/>
      <c r="C49" s="2"/>
      <c r="D49" s="2"/>
      <c r="E49" s="2"/>
      <c r="F49" s="2"/>
      <c r="G49" s="2"/>
      <c r="H49" s="2"/>
      <c r="I49" s="2"/>
      <c r="J49" s="685"/>
      <c r="K49" s="682">
        <v>44169</v>
      </c>
      <c r="L49" s="683" t="s">
        <v>561</v>
      </c>
      <c r="M49" s="683" t="s">
        <v>2659</v>
      </c>
      <c r="N49" s="683" t="s">
        <v>2660</v>
      </c>
      <c r="O49" s="683"/>
      <c r="P49" s="683" t="s">
        <v>3881</v>
      </c>
      <c r="Q49" s="683" t="s">
        <v>37</v>
      </c>
      <c r="R49" s="683" t="s">
        <v>1782</v>
      </c>
      <c r="S49" s="686" t="s">
        <v>3882</v>
      </c>
      <c r="T49" s="683" t="s">
        <v>3883</v>
      </c>
      <c r="U49" s="683" t="s">
        <v>3841</v>
      </c>
      <c r="V49" s="683" t="s">
        <v>677</v>
      </c>
      <c r="W49" s="683" t="s">
        <v>913</v>
      </c>
      <c r="X49" s="691" t="s">
        <v>918</v>
      </c>
      <c r="Y49" s="687">
        <v>3004597775</v>
      </c>
      <c r="Z49" s="692" t="s">
        <v>2608</v>
      </c>
      <c r="AA49" s="683" t="s">
        <v>33</v>
      </c>
      <c r="AB49" s="683" t="s">
        <v>217</v>
      </c>
      <c r="AC49" s="683" t="s">
        <v>749</v>
      </c>
      <c r="AD49" s="683" t="s">
        <v>1123</v>
      </c>
      <c r="AE49" s="683">
        <v>60</v>
      </c>
      <c r="AF49" s="684">
        <v>2487</v>
      </c>
      <c r="AG49" s="683" t="s">
        <v>243</v>
      </c>
      <c r="AH49" s="683" t="s">
        <v>1803</v>
      </c>
      <c r="AI49" s="683" t="s">
        <v>2553</v>
      </c>
      <c r="AJ49" s="683"/>
      <c r="AK49" s="683" t="s">
        <v>33</v>
      </c>
      <c r="AL49" s="683"/>
      <c r="AM49" s="683" t="s">
        <v>1094</v>
      </c>
      <c r="AN49" s="683"/>
      <c r="AO49" s="683"/>
      <c r="AP49" s="683" t="s">
        <v>240</v>
      </c>
      <c r="AQ49" s="688" t="str">
        <f>CONCATENATE("REG-",BDEGENER[[#This Row],[FECHA DE SERVICIO]],"-",BDEGENER[[#This Row],[SERIE]],"-",BDEGENER[[#This Row],[HORAS]])</f>
        <v>REG-44169-3004597775-2487</v>
      </c>
      <c r="AR49" s="683" t="str">
        <f>CONCATENATE("MARCA: ",BDEGENER[[#This Row],[MARCA]],"
 MODELO: ",BDEGENER[[#This Row],[MODELO]])</f>
        <v>MARCA: GENERAC
 MODELO: RG022</v>
      </c>
      <c r="AS49" s="683" t="str">
        <f>CONCATENATE("MARCA: ",BDEGENER[[#This Row],[MARCA DE MOTOR]],"
SERIE: ",BDEGENER[[#This Row],[SERIE DE MOTOR]])</f>
        <v xml:space="preserve">MARCA: MITSUBISHI
SERIE: </v>
      </c>
      <c r="AT49" s="683" t="str">
        <f>CONCATENATE("MARCA: ",BDEGENER[[#This Row],[MARCA ALTERNADOR ]],"
SERIE: ",BDEGENER[[#This Row],[SERIE DE ALTERNADOR]])</f>
        <v xml:space="preserve">MARCA: GENERAC
SERIE: </v>
      </c>
      <c r="AU49" s="683" t="str">
        <f>CONCATENATE("HORAS: ",BDEGENER[[#This Row],[HORAS]],"
KW-HR: ",BDEGENER[[#This Row],[KW-HORA]],"
VOLT.BATERIA: ",BDEGENER[[#This Row],[VOLTAJE DE BATERIA]],"
TEMPERATURA: ",BDEGENER[[#This Row],[TEMPERATURA DE AGUA]],"
PRES. ACEITE: ",BDEGENER[[#This Row],[PRESION DE ACEITE]])</f>
        <v xml:space="preserve">HORAS: 2487
KW-HR: 
VOLT.BATERIA: 13.5 V
TEMPERATURA: 
PRES. ACEITE: </v>
      </c>
      <c r="AV49" s="683">
        <f>COUNTIFS(Q49:Q2049,"MANTENIMIENTO CORRECTIVO",Y49:Y2049,BDEGENER[[#This Row],[SERIE]])</f>
        <v>0</v>
      </c>
      <c r="AW49" s="683">
        <f>COUNTIFS(Q49:Q2049,"MANTENIMIENTO PREVENTIVO",Y49:Y2049,BDEGENER[[#This Row],[SERIE]])</f>
        <v>7</v>
      </c>
      <c r="AX4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49" s="683">
        <f>COUNTIFS(BDEGENER[SERIE],BDEGENER[[#This Row],[SERIE]],BDEGENER[TIPO DE SERVICIO],"MANTENIMIENTO PREVENTIVO")</f>
        <v>7</v>
      </c>
      <c r="AZ49" s="683" t="str">
        <f>CONCATENATE("MANTENIMIENTO PREVENTIVO N°",BDEGENER[[#This Row],[GA1]])</f>
        <v>MANTENIMIENTO PREVENTIVO N°7</v>
      </c>
      <c r="BA49" s="683">
        <f>IF(BDEGENER[[#This Row],[SERVICIO]]=BDEGENER[[#This Row],[GA2]],BDEGENER[[#This Row],[HORAS]],"0")</f>
        <v>2487</v>
      </c>
      <c r="BB49" s="683">
        <f>SUMIF(BDEGENER[SERIE],BDEGENER[[#This Row],[SERIE]],BDEGENER[GA3])</f>
        <v>2487</v>
      </c>
      <c r="BC49" s="761" t="str">
        <f>CONCATENATE("MANT",COUNTIF($Y$7:Y49,Y49))</f>
        <v>MANT1</v>
      </c>
      <c r="BD49" s="683" t="str">
        <f>CONCATENATE(BDEGENER[[#This Row],[SERIE]],BDEGENER[[#This Row],[GA5]])</f>
        <v>3004597775MANT1</v>
      </c>
      <c r="BE49" s="683" t="str">
        <f>CONCATENATE(BDEGENER[[#This Row],[CODIGO PATRIMONIAL]],BDEGENER[[#This Row],[GA5]])</f>
        <v>SUR-GEG-0012MANT1</v>
      </c>
      <c r="BF49" s="683">
        <f>COUNTIF(BDEGENER[SERIE],BDEGENER[[#This Row],[SERIE]])</f>
        <v>8</v>
      </c>
      <c r="BG49" s="761" t="str">
        <f>CONCATENATE("F",COUNTIF($K$7:K49,K49))</f>
        <v>F2</v>
      </c>
      <c r="BH49" s="683" t="str">
        <f>CONCATENATE(BDEGENER[[#This Row],[FECHA DE SERVICIO]],BDEGENER[[#This Row],[N° DE REGISTROS DEL DIA]])</f>
        <v>44169F2</v>
      </c>
      <c r="BI49" s="684"/>
      <c r="BJ49" s="683" t="s">
        <v>1544</v>
      </c>
      <c r="BK49" s="762"/>
    </row>
    <row r="50" spans="2:63" ht="69" hidden="1" x14ac:dyDescent="0.3">
      <c r="B50" s="2"/>
      <c r="C50" s="2"/>
      <c r="D50" s="2"/>
      <c r="E50" s="2"/>
      <c r="F50" s="2"/>
      <c r="G50" s="2"/>
      <c r="H50" s="2"/>
      <c r="I50" s="2"/>
      <c r="J50" s="685"/>
      <c r="K50" s="682">
        <v>44169</v>
      </c>
      <c r="L50" s="683" t="s">
        <v>561</v>
      </c>
      <c r="M50" s="683" t="s">
        <v>2439</v>
      </c>
      <c r="N50" s="683" t="s">
        <v>564</v>
      </c>
      <c r="O50" s="683"/>
      <c r="P50" s="688" t="s">
        <v>3805</v>
      </c>
      <c r="Q50" s="683" t="s">
        <v>37</v>
      </c>
      <c r="R50" s="683" t="s">
        <v>1782</v>
      </c>
      <c r="S50" s="686" t="s">
        <v>3807</v>
      </c>
      <c r="T50" s="683" t="s">
        <v>3806</v>
      </c>
      <c r="U50" s="683" t="s">
        <v>2053</v>
      </c>
      <c r="V50" s="683" t="s">
        <v>677</v>
      </c>
      <c r="W50" s="683" t="s">
        <v>914</v>
      </c>
      <c r="X50" s="691" t="s">
        <v>918</v>
      </c>
      <c r="Y50" s="687">
        <v>3003962766</v>
      </c>
      <c r="Z50" s="692" t="s">
        <v>2602</v>
      </c>
      <c r="AA50" s="683" t="s">
        <v>33</v>
      </c>
      <c r="AB50" s="683" t="s">
        <v>34</v>
      </c>
      <c r="AC50" s="683" t="s">
        <v>230</v>
      </c>
      <c r="AD50" s="683" t="s">
        <v>1123</v>
      </c>
      <c r="AE50" s="683">
        <v>60</v>
      </c>
      <c r="AF50" s="684">
        <v>4662.2</v>
      </c>
      <c r="AG50" s="683" t="s">
        <v>243</v>
      </c>
      <c r="AH50" s="683" t="s">
        <v>220</v>
      </c>
      <c r="AI50" s="683" t="s">
        <v>33</v>
      </c>
      <c r="AJ50" s="683">
        <v>3003966248</v>
      </c>
      <c r="AK50" s="683" t="s">
        <v>33</v>
      </c>
      <c r="AL50" s="683"/>
      <c r="AM50" s="683" t="s">
        <v>3018</v>
      </c>
      <c r="AN50" s="683" t="s">
        <v>3808</v>
      </c>
      <c r="AO50" s="683" t="s">
        <v>1370</v>
      </c>
      <c r="AP50" s="683" t="s">
        <v>240</v>
      </c>
      <c r="AQ50" s="688" t="str">
        <f>CONCATENATE("REG-",BDEGENER[[#This Row],[FECHA DE SERVICIO]],"-",BDEGENER[[#This Row],[SERIE]],"-",BDEGENER[[#This Row],[HORAS]])</f>
        <v>REG-44169-3003962766-4662,2</v>
      </c>
      <c r="AR50" s="683" t="str">
        <f>CONCATENATE("MARCA: ",BDEGENER[[#This Row],[MARCA]],"
 MODELO: ",BDEGENER[[#This Row],[MODELO]])</f>
        <v>MARCA: GENERAC
 MODELO: PG090</v>
      </c>
      <c r="AS50" s="683" t="str">
        <f>CONCATENATE("MARCA: ",BDEGENER[[#This Row],[MARCA DE MOTOR]],"
SERIE: ",BDEGENER[[#This Row],[SERIE DE MOTOR]])</f>
        <v>MARCA: GENERAC
SERIE: 3003966248</v>
      </c>
      <c r="AT50" s="683" t="str">
        <f>CONCATENATE("MARCA: ",BDEGENER[[#This Row],[MARCA ALTERNADOR ]],"
SERIE: ",BDEGENER[[#This Row],[SERIE DE ALTERNADOR]])</f>
        <v xml:space="preserve">MARCA: GENERAC
SERIE: </v>
      </c>
      <c r="AU50" s="683" t="str">
        <f>CONCATENATE("HORAS: ",BDEGENER[[#This Row],[HORAS]],"
KW-HR: ",BDEGENER[[#This Row],[KW-HORA]],"
VOLT.BATERIA: ",BDEGENER[[#This Row],[VOLTAJE DE BATERIA]],"
TEMPERATURA: ",BDEGENER[[#This Row],[TEMPERATURA DE AGUA]],"
PRES. ACEITE: ",BDEGENER[[#This Row],[PRESION DE ACEITE]])</f>
        <v>HORAS: 4662,2
KW-HR: 78369,5
VOLT.BATERIA: 14.5 V
TEMPERATURA: 180 °F
PRES. ACEITE: 67 PSI</v>
      </c>
      <c r="AV50" s="683">
        <f>COUNTIFS(Q50:Q2050,"MANTENIMIENTO CORRECTIVO",Y50:Y2050,BDEGENER[[#This Row],[SERIE]])</f>
        <v>3</v>
      </c>
      <c r="AW50" s="683">
        <f>COUNTIFS(Q50:Q2050,"MANTENIMIENTO PREVENTIVO",Y50:Y2050,BDEGENER[[#This Row],[SERIE]])</f>
        <v>9</v>
      </c>
      <c r="AX5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50" s="683">
        <f>COUNTIFS(BDEGENER[SERIE],BDEGENER[[#This Row],[SERIE]],BDEGENER[TIPO DE SERVICIO],"MANTENIMIENTO PREVENTIVO")</f>
        <v>9</v>
      </c>
      <c r="AZ50" s="683" t="str">
        <f>CONCATENATE("MANTENIMIENTO PREVENTIVO N°",BDEGENER[[#This Row],[GA1]])</f>
        <v>MANTENIMIENTO PREVENTIVO N°9</v>
      </c>
      <c r="BA50" s="683">
        <f>IF(BDEGENER[[#This Row],[SERVICIO]]=BDEGENER[[#This Row],[GA2]],BDEGENER[[#This Row],[HORAS]],"0")</f>
        <v>4662.2</v>
      </c>
      <c r="BB50" s="683">
        <f>SUMIF(BDEGENER[SERIE],BDEGENER[[#This Row],[SERIE]],BDEGENER[GA3])</f>
        <v>4662.2</v>
      </c>
      <c r="BC50" s="683" t="str">
        <f>CONCATENATE("MANT",COUNTIF($Y$7:Y50,Y50))</f>
        <v>MANT1</v>
      </c>
      <c r="BD50" s="683" t="str">
        <f>CONCATENATE(BDEGENER[[#This Row],[SERIE]],BDEGENER[[#This Row],[GA5]])</f>
        <v>3003962766MANT1</v>
      </c>
      <c r="BE50" s="683" t="str">
        <f>CONCATENATE(BDEGENER[[#This Row],[CODIGO PATRIMONIAL]],BDEGENER[[#This Row],[GA5]])</f>
        <v>SUR-GEG-0006MANT1</v>
      </c>
      <c r="BF50" s="683">
        <f>COUNTIF(BDEGENER[SERIE],BDEGENER[[#This Row],[SERIE]])</f>
        <v>16</v>
      </c>
      <c r="BG50" s="683" t="str">
        <f>CONCATENATE("F",COUNTIF($K$7:K50,K50))</f>
        <v>F3</v>
      </c>
      <c r="BH50" s="683" t="str">
        <f>CONCATENATE(BDEGENER[[#This Row],[FECHA DE SERVICIO]],BDEGENER[[#This Row],[N° DE REGISTROS DEL DIA]])</f>
        <v>44169F3</v>
      </c>
      <c r="BI50" s="684">
        <v>78369.5</v>
      </c>
      <c r="BJ50" s="683" t="s">
        <v>1544</v>
      </c>
      <c r="BK50" s="762"/>
    </row>
    <row r="51" spans="2:63" ht="69" hidden="1" x14ac:dyDescent="0.3">
      <c r="B51" s="2"/>
      <c r="C51" s="2"/>
      <c r="D51" s="2"/>
      <c r="E51" s="2"/>
      <c r="F51" s="2"/>
      <c r="G51" s="2"/>
      <c r="H51" s="2"/>
      <c r="I51" s="2"/>
      <c r="J51" s="685"/>
      <c r="K51" s="682">
        <v>44169</v>
      </c>
      <c r="L51" s="683" t="s">
        <v>561</v>
      </c>
      <c r="M51" s="683" t="s">
        <v>577</v>
      </c>
      <c r="N51" s="683" t="s">
        <v>578</v>
      </c>
      <c r="O51" s="683"/>
      <c r="P51" s="688" t="s">
        <v>3786</v>
      </c>
      <c r="Q51" s="683" t="s">
        <v>37</v>
      </c>
      <c r="R51" s="683" t="s">
        <v>1782</v>
      </c>
      <c r="S51" s="686" t="s">
        <v>3787</v>
      </c>
      <c r="T51" s="683" t="s">
        <v>3788</v>
      </c>
      <c r="U51" s="683" t="s">
        <v>2488</v>
      </c>
      <c r="V51" s="683" t="s">
        <v>677</v>
      </c>
      <c r="W51" s="683" t="s">
        <v>913</v>
      </c>
      <c r="X51" s="691" t="s">
        <v>918</v>
      </c>
      <c r="Y51" s="687">
        <v>3004370195</v>
      </c>
      <c r="Z51" s="692" t="s">
        <v>2597</v>
      </c>
      <c r="AA51" s="683" t="s">
        <v>33</v>
      </c>
      <c r="AB51" s="683" t="s">
        <v>217</v>
      </c>
      <c r="AC51" s="683" t="s">
        <v>749</v>
      </c>
      <c r="AD51" s="683" t="s">
        <v>1123</v>
      </c>
      <c r="AE51" s="683">
        <v>60</v>
      </c>
      <c r="AF51" s="684">
        <v>3519.7</v>
      </c>
      <c r="AG51" s="683" t="s">
        <v>243</v>
      </c>
      <c r="AH51" s="683" t="s">
        <v>1803</v>
      </c>
      <c r="AI51" s="683" t="s">
        <v>2553</v>
      </c>
      <c r="AJ51" s="683"/>
      <c r="AK51" s="683" t="s">
        <v>33</v>
      </c>
      <c r="AL51" s="683"/>
      <c r="AM51" s="683" t="s">
        <v>1094</v>
      </c>
      <c r="AN51" s="683"/>
      <c r="AO51" s="683"/>
      <c r="AP51" s="683" t="s">
        <v>240</v>
      </c>
      <c r="AQ51" s="688" t="str">
        <f>CONCATENATE("REG-",BDEGENER[[#This Row],[FECHA DE SERVICIO]],"-",BDEGENER[[#This Row],[SERIE]],"-",BDEGENER[[#This Row],[HORAS]])</f>
        <v>REG-44169-3004370195-3519,7</v>
      </c>
      <c r="AR51" s="683" t="str">
        <f>CONCATENATE("MARCA: ",BDEGENER[[#This Row],[MARCA]],"
 MODELO: ",BDEGENER[[#This Row],[MODELO]])</f>
        <v>MARCA: GENERAC
 MODELO: RG022</v>
      </c>
      <c r="AS51" s="683" t="str">
        <f>CONCATENATE("MARCA: ",BDEGENER[[#This Row],[MARCA DE MOTOR]],"
SERIE: ",BDEGENER[[#This Row],[SERIE DE MOTOR]])</f>
        <v xml:space="preserve">MARCA: MITSUBISHI
SERIE: </v>
      </c>
      <c r="AT51" s="683" t="str">
        <f>CONCATENATE("MARCA: ",BDEGENER[[#This Row],[MARCA ALTERNADOR ]],"
SERIE: ",BDEGENER[[#This Row],[SERIE DE ALTERNADOR]])</f>
        <v xml:space="preserve">MARCA: GENERAC
SERIE: </v>
      </c>
      <c r="AU51" s="683" t="str">
        <f>CONCATENATE("HORAS: ",BDEGENER[[#This Row],[HORAS]],"
KW-HR: ",BDEGENER[[#This Row],[KW-HORA]],"
VOLT.BATERIA: ",BDEGENER[[#This Row],[VOLTAJE DE BATERIA]],"
TEMPERATURA: ",BDEGENER[[#This Row],[TEMPERATURA DE AGUA]],"
PRES. ACEITE: ",BDEGENER[[#This Row],[PRESION DE ACEITE]])</f>
        <v xml:space="preserve">HORAS: 3519,7
KW-HR: 
VOLT.BATERIA: 13.5 V
TEMPERATURA: 
PRES. ACEITE: </v>
      </c>
      <c r="AV51" s="683">
        <f>COUNTIFS(Q51:Q2051,"MANTENIMIENTO CORRECTIVO",Y51:Y2051,BDEGENER[[#This Row],[SERIE]])</f>
        <v>1</v>
      </c>
      <c r="AW51" s="683">
        <f>COUNTIFS(Q51:Q2051,"MANTENIMIENTO PREVENTIVO",Y51:Y2051,BDEGENER[[#This Row],[SERIE]])</f>
        <v>7</v>
      </c>
      <c r="AX5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51" s="683">
        <f>COUNTIFS(BDEGENER[SERIE],BDEGENER[[#This Row],[SERIE]],BDEGENER[TIPO DE SERVICIO],"MANTENIMIENTO PREVENTIVO")</f>
        <v>7</v>
      </c>
      <c r="AZ51" s="683" t="str">
        <f>CONCATENATE("MANTENIMIENTO PREVENTIVO N°",BDEGENER[[#This Row],[GA1]])</f>
        <v>MANTENIMIENTO PREVENTIVO N°7</v>
      </c>
      <c r="BA51" s="683">
        <f>IF(BDEGENER[[#This Row],[SERVICIO]]=BDEGENER[[#This Row],[GA2]],BDEGENER[[#This Row],[HORAS]],"0")</f>
        <v>3519.7</v>
      </c>
      <c r="BB51" s="683">
        <f>SUMIF(BDEGENER[SERIE],BDEGENER[[#This Row],[SERIE]],BDEGENER[GA3])</f>
        <v>3519.7</v>
      </c>
      <c r="BC51" s="683" t="str">
        <f>CONCATENATE("MANT",COUNTIF($Y$7:Y51,Y51))</f>
        <v>MANT1</v>
      </c>
      <c r="BD51" s="683" t="str">
        <f>CONCATENATE(BDEGENER[[#This Row],[SERIE]],BDEGENER[[#This Row],[GA5]])</f>
        <v>3004370195MANT1</v>
      </c>
      <c r="BE51" s="683" t="str">
        <f>CONCATENATE(BDEGENER[[#This Row],[CODIGO PATRIMONIAL]],BDEGENER[[#This Row],[GA5]])</f>
        <v>SUR-GEG-0001MANT1</v>
      </c>
      <c r="BF51" s="683">
        <f>COUNTIF(BDEGENER[SERIE],BDEGENER[[#This Row],[SERIE]])</f>
        <v>12</v>
      </c>
      <c r="BG51" s="683" t="str">
        <f>CONCATENATE("F",COUNTIF($K$7:K51,K51))</f>
        <v>F4</v>
      </c>
      <c r="BH51" s="683" t="str">
        <f>CONCATENATE(BDEGENER[[#This Row],[FECHA DE SERVICIO]],BDEGENER[[#This Row],[N° DE REGISTROS DEL DIA]])</f>
        <v>44169F4</v>
      </c>
      <c r="BI51" s="684"/>
      <c r="BJ51" s="683" t="s">
        <v>1544</v>
      </c>
      <c r="BK51" s="762"/>
    </row>
    <row r="52" spans="2:63" ht="69" hidden="1" x14ac:dyDescent="0.3">
      <c r="B52" s="2"/>
      <c r="C52" s="2"/>
      <c r="D52" s="2"/>
      <c r="E52" s="2"/>
      <c r="F52" s="2"/>
      <c r="G52" s="2"/>
      <c r="H52" s="2"/>
      <c r="I52" s="2"/>
      <c r="J52" s="685"/>
      <c r="K52" s="682">
        <v>44168</v>
      </c>
      <c r="L52" s="683" t="s">
        <v>181</v>
      </c>
      <c r="M52" s="683" t="s">
        <v>190</v>
      </c>
      <c r="N52" s="683" t="s">
        <v>183</v>
      </c>
      <c r="O52" s="683">
        <v>4500873022</v>
      </c>
      <c r="P52" s="683" t="s">
        <v>3713</v>
      </c>
      <c r="Q52" s="683" t="s">
        <v>37</v>
      </c>
      <c r="R52" s="683" t="s">
        <v>1782</v>
      </c>
      <c r="S52" s="686" t="s">
        <v>3702</v>
      </c>
      <c r="T52" s="683" t="s">
        <v>3715</v>
      </c>
      <c r="U52" s="683" t="s">
        <v>2488</v>
      </c>
      <c r="V52" s="683" t="s">
        <v>146</v>
      </c>
      <c r="W52" s="683" t="s">
        <v>914</v>
      </c>
      <c r="X52" s="691" t="s">
        <v>918</v>
      </c>
      <c r="Y52" s="687">
        <v>3004416581</v>
      </c>
      <c r="Z52" s="692"/>
      <c r="AA52" s="683" t="s">
        <v>33</v>
      </c>
      <c r="AB52" s="683" t="s">
        <v>34</v>
      </c>
      <c r="AC52" s="683" t="s">
        <v>230</v>
      </c>
      <c r="AD52" s="683" t="s">
        <v>1110</v>
      </c>
      <c r="AE52" s="683">
        <v>60</v>
      </c>
      <c r="AF52" s="684">
        <v>1659.1</v>
      </c>
      <c r="AG52" s="683" t="s">
        <v>243</v>
      </c>
      <c r="AH52" s="683" t="s">
        <v>220</v>
      </c>
      <c r="AI52" s="683" t="s">
        <v>33</v>
      </c>
      <c r="AJ52" s="683">
        <v>3004309056</v>
      </c>
      <c r="AK52" s="683" t="s">
        <v>33</v>
      </c>
      <c r="AL52" s="683">
        <v>107748810</v>
      </c>
      <c r="AM52" s="683" t="s">
        <v>1377</v>
      </c>
      <c r="AN52" s="683" t="s">
        <v>1352</v>
      </c>
      <c r="AO52" s="683" t="s">
        <v>1318</v>
      </c>
      <c r="AP52" s="683" t="s">
        <v>240</v>
      </c>
      <c r="AQ52" s="688" t="str">
        <f>CONCATENATE("REG-",BDEGENER[[#This Row],[FECHA DE SERVICIO]],"-",BDEGENER[[#This Row],[SERIE]],"-",BDEGENER[[#This Row],[HORAS]])</f>
        <v>REG-44168-3004416581-1659,1</v>
      </c>
      <c r="AR52" s="683" t="str">
        <f>CONCATENATE("MARCA: ",BDEGENER[[#This Row],[MARCA]],"
 MODELO: ",BDEGENER[[#This Row],[MODELO]])</f>
        <v>MARCA: GENERAC
 MODELO: PG090</v>
      </c>
      <c r="AS52" s="683" t="str">
        <f>CONCATENATE("MARCA: ",BDEGENER[[#This Row],[MARCA DE MOTOR]],"
SERIE: ",BDEGENER[[#This Row],[SERIE DE MOTOR]])</f>
        <v>MARCA: GENERAC
SERIE: 3004309056</v>
      </c>
      <c r="AT52" s="683" t="str">
        <f>CONCATENATE("MARCA: ",BDEGENER[[#This Row],[MARCA ALTERNADOR ]],"
SERIE: ",BDEGENER[[#This Row],[SERIE DE ALTERNADOR]])</f>
        <v>MARCA: GENERAC
SERIE: 107748810</v>
      </c>
      <c r="AU52" s="683" t="str">
        <f>CONCATENATE("HORAS: ",BDEGENER[[#This Row],[HORAS]],"
KW-HR: ",BDEGENER[[#This Row],[KW-HORA]],"
VOLT.BATERIA: ",BDEGENER[[#This Row],[VOLTAJE DE BATERIA]],"
TEMPERATURA: ",BDEGENER[[#This Row],[TEMPERATURA DE AGUA]],"
PRES. ACEITE: ",BDEGENER[[#This Row],[PRESION DE ACEITE]])</f>
        <v>HORAS: 1659,1
KW-HR: 32424
VOLT.BATERIA: 13.8 V
TEMPERATURA: 196 °F
PRES. ACEITE: 58 PSI</v>
      </c>
      <c r="AV52" s="683">
        <f>COUNTIFS(Q52:Q2052,"MANTENIMIENTO CORRECTIVO",Y52:Y2052,BDEGENER[[#This Row],[SERIE]])</f>
        <v>2</v>
      </c>
      <c r="AW52" s="683">
        <f>COUNTIFS(Q52:Q2052,"MANTENIMIENTO PREVENTIVO",Y52:Y2052,BDEGENER[[#This Row],[SERIE]])</f>
        <v>6</v>
      </c>
      <c r="AX5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52" s="683">
        <f>COUNTIFS(BDEGENER[SERIE],BDEGENER[[#This Row],[SERIE]],BDEGENER[TIPO DE SERVICIO],"MANTENIMIENTO PREVENTIVO")</f>
        <v>6</v>
      </c>
      <c r="AZ52" s="683" t="str">
        <f>CONCATENATE("MANTENIMIENTO PREVENTIVO N°",BDEGENER[[#This Row],[GA1]])</f>
        <v>MANTENIMIENTO PREVENTIVO N°6</v>
      </c>
      <c r="BA52" s="683">
        <f>IF(BDEGENER[[#This Row],[SERVICIO]]=BDEGENER[[#This Row],[GA2]],BDEGENER[[#This Row],[HORAS]],"0")</f>
        <v>1659.1</v>
      </c>
      <c r="BB52" s="683">
        <f>SUMIF(BDEGENER[SERIE],BDEGENER[[#This Row],[SERIE]],BDEGENER[GA3])</f>
        <v>1659.1</v>
      </c>
      <c r="BC52" s="761" t="str">
        <f>CONCATENATE("MANT",COUNTIF($Y$7:Y52,Y52))</f>
        <v>MANT1</v>
      </c>
      <c r="BD52" s="683" t="str">
        <f>CONCATENATE(BDEGENER[[#This Row],[SERIE]],BDEGENER[[#This Row],[GA5]])</f>
        <v>3004416581MANT1</v>
      </c>
      <c r="BE52" s="683" t="str">
        <f>CONCATENATE(BDEGENER[[#This Row],[CODIGO PATRIMONIAL]],BDEGENER[[#This Row],[GA5]])</f>
        <v>MANT1</v>
      </c>
      <c r="BF52" s="683">
        <f>COUNTIF(BDEGENER[SERIE],BDEGENER[[#This Row],[SERIE]])</f>
        <v>11</v>
      </c>
      <c r="BG52" s="761" t="str">
        <f>CONCATENATE("F",COUNTIF($K$7:K52,K52))</f>
        <v>F1</v>
      </c>
      <c r="BH52" s="683" t="str">
        <f>CONCATENATE(BDEGENER[[#This Row],[FECHA DE SERVICIO]],BDEGENER[[#This Row],[N° DE REGISTROS DEL DIA]])</f>
        <v>44168F1</v>
      </c>
      <c r="BI52" s="684">
        <v>32424</v>
      </c>
      <c r="BJ52" s="683" t="s">
        <v>1544</v>
      </c>
      <c r="BK52" s="762" t="s">
        <v>853</v>
      </c>
    </row>
    <row r="53" spans="2:63" ht="69" hidden="1" x14ac:dyDescent="0.3">
      <c r="B53" s="2"/>
      <c r="C53" s="2"/>
      <c r="D53" s="2"/>
      <c r="E53" s="2"/>
      <c r="F53" s="2"/>
      <c r="G53" s="2"/>
      <c r="H53" s="2"/>
      <c r="I53" s="2"/>
      <c r="J53" s="685"/>
      <c r="K53" s="682">
        <v>44168</v>
      </c>
      <c r="L53" s="683" t="s">
        <v>181</v>
      </c>
      <c r="M53" s="683" t="s">
        <v>190</v>
      </c>
      <c r="N53" s="683" t="s">
        <v>183</v>
      </c>
      <c r="O53" s="683">
        <v>4500925048</v>
      </c>
      <c r="P53" s="683" t="s">
        <v>3713</v>
      </c>
      <c r="Q53" s="683" t="s">
        <v>37</v>
      </c>
      <c r="R53" s="683" t="s">
        <v>1782</v>
      </c>
      <c r="S53" s="686" t="s">
        <v>3714</v>
      </c>
      <c r="T53" s="683" t="s">
        <v>3715</v>
      </c>
      <c r="U53" s="683" t="s">
        <v>2488</v>
      </c>
      <c r="V53" s="683" t="s">
        <v>146</v>
      </c>
      <c r="W53" s="683" t="s">
        <v>914</v>
      </c>
      <c r="X53" s="691" t="s">
        <v>918</v>
      </c>
      <c r="Y53" s="687">
        <v>3004336196</v>
      </c>
      <c r="Z53" s="692"/>
      <c r="AA53" s="683" t="s">
        <v>33</v>
      </c>
      <c r="AB53" s="683" t="s">
        <v>34</v>
      </c>
      <c r="AC53" s="683" t="s">
        <v>230</v>
      </c>
      <c r="AD53" s="683" t="s">
        <v>1110</v>
      </c>
      <c r="AE53" s="683">
        <v>60</v>
      </c>
      <c r="AF53" s="684">
        <v>3148.2</v>
      </c>
      <c r="AG53" s="683" t="s">
        <v>243</v>
      </c>
      <c r="AH53" s="683" t="s">
        <v>220</v>
      </c>
      <c r="AI53" s="683" t="s">
        <v>33</v>
      </c>
      <c r="AJ53" s="683">
        <v>3004346824</v>
      </c>
      <c r="AK53" s="683" t="s">
        <v>33</v>
      </c>
      <c r="AL53" s="683">
        <v>10630720</v>
      </c>
      <c r="AM53" s="683" t="s">
        <v>1377</v>
      </c>
      <c r="AN53" s="683" t="s">
        <v>1122</v>
      </c>
      <c r="AO53" s="683" t="s">
        <v>1166</v>
      </c>
      <c r="AP53" s="683" t="s">
        <v>240</v>
      </c>
      <c r="AQ53" s="769" t="str">
        <f>CONCATENATE("REG-",BDEGENER[[#This Row],[FECHA DE SERVICIO]],"-",BDEGENER[[#This Row],[SERIE]],"-",BDEGENER[[#This Row],[HORAS]])</f>
        <v>REG-44168-3004336196-3148,2</v>
      </c>
      <c r="AR53" s="683" t="str">
        <f>CONCATENATE("MARCA: ",BDEGENER[[#This Row],[MARCA]],"
 MODELO: ",BDEGENER[[#This Row],[MODELO]])</f>
        <v>MARCA: GENERAC
 MODELO: PG090</v>
      </c>
      <c r="AS53" s="683" t="str">
        <f>CONCATENATE("MARCA: ",BDEGENER[[#This Row],[MARCA DE MOTOR]],"
SERIE: ",BDEGENER[[#This Row],[SERIE DE MOTOR]])</f>
        <v>MARCA: GENERAC
SERIE: 3004346824</v>
      </c>
      <c r="AT53" s="683" t="str">
        <f>CONCATENATE("MARCA: ",BDEGENER[[#This Row],[MARCA ALTERNADOR ]],"
SERIE: ",BDEGENER[[#This Row],[SERIE DE ALTERNADOR]])</f>
        <v>MARCA: GENERAC
SERIE: 10630720</v>
      </c>
      <c r="AU53" s="683" t="str">
        <f>CONCATENATE("HORAS: ",BDEGENER[[#This Row],[HORAS]],"
KW-HR: ",BDEGENER[[#This Row],[KW-HORA]],"
VOLT.BATERIA: ",BDEGENER[[#This Row],[VOLTAJE DE BATERIA]],"
TEMPERATURA: ",BDEGENER[[#This Row],[TEMPERATURA DE AGUA]],"
PRES. ACEITE: ",BDEGENER[[#This Row],[PRESION DE ACEITE]])</f>
        <v>HORAS: 3148,2
KW-HR: 71672,7
VOLT.BATERIA: 13.8 V
TEMPERATURA: 195 °F
PRES. ACEITE: 57 PSI</v>
      </c>
      <c r="AV53" s="683">
        <f>COUNTIFS(Q53:Q2053,"MANTENIMIENTO CORRECTIVO",Y53:Y2053,BDEGENER[[#This Row],[SERIE]])</f>
        <v>3</v>
      </c>
      <c r="AW53" s="683">
        <f>COUNTIFS(Q53:Q2053,"MANTENIMIENTO PREVENTIVO",Y53:Y2053,BDEGENER[[#This Row],[SERIE]])</f>
        <v>9</v>
      </c>
      <c r="AX5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53" s="683">
        <f>COUNTIFS(BDEGENER[SERIE],BDEGENER[[#This Row],[SERIE]],BDEGENER[TIPO DE SERVICIO],"MANTENIMIENTO PREVENTIVO")</f>
        <v>9</v>
      </c>
      <c r="AZ53" s="683" t="str">
        <f>CONCATENATE("MANTENIMIENTO PREVENTIVO N°",BDEGENER[[#This Row],[GA1]])</f>
        <v>MANTENIMIENTO PREVENTIVO N°9</v>
      </c>
      <c r="BA53" s="683">
        <f>IF(BDEGENER[[#This Row],[SERVICIO]]=BDEGENER[[#This Row],[GA2]],BDEGENER[[#This Row],[HORAS]],"0")</f>
        <v>3148.2</v>
      </c>
      <c r="BB53" s="683">
        <f>SUMIF(BDEGENER[SERIE],BDEGENER[[#This Row],[SERIE]],BDEGENER[GA3])</f>
        <v>3148.2</v>
      </c>
      <c r="BC53" s="683" t="str">
        <f>CONCATENATE("MANT",COUNTIF($Y$7:Y53,Y53))</f>
        <v>MANT1</v>
      </c>
      <c r="BD53" s="683" t="str">
        <f>CONCATENATE(BDEGENER[[#This Row],[SERIE]],BDEGENER[[#This Row],[GA5]])</f>
        <v>3004336196MANT1</v>
      </c>
      <c r="BE53" s="683" t="str">
        <f>CONCATENATE(BDEGENER[[#This Row],[CODIGO PATRIMONIAL]],BDEGENER[[#This Row],[GA5]])</f>
        <v>MANT1</v>
      </c>
      <c r="BF53" s="683">
        <f>COUNTIF(BDEGENER[SERIE],BDEGENER[[#This Row],[SERIE]])</f>
        <v>13</v>
      </c>
      <c r="BG53" s="683" t="str">
        <f>CONCATENATE("F",COUNTIF($K$7:K53,K53))</f>
        <v>F2</v>
      </c>
      <c r="BH53" s="683" t="str">
        <f>CONCATENATE(BDEGENER[[#This Row],[FECHA DE SERVICIO]],BDEGENER[[#This Row],[N° DE REGISTROS DEL DIA]])</f>
        <v>44168F2</v>
      </c>
      <c r="BI53" s="684">
        <v>71672.7</v>
      </c>
      <c r="BJ53" s="683" t="s">
        <v>1544</v>
      </c>
      <c r="BK53" s="762" t="s">
        <v>853</v>
      </c>
    </row>
    <row r="54" spans="2:63" ht="69" hidden="1" x14ac:dyDescent="0.3">
      <c r="B54" s="2"/>
      <c r="C54" s="2"/>
      <c r="D54" s="2"/>
      <c r="E54" s="2"/>
      <c r="F54" s="2"/>
      <c r="G54" s="2"/>
      <c r="H54" s="2"/>
      <c r="I54" s="2"/>
      <c r="J54" s="685"/>
      <c r="K54" s="682">
        <v>44168</v>
      </c>
      <c r="L54" s="683" t="s">
        <v>181</v>
      </c>
      <c r="M54" s="683" t="s">
        <v>185</v>
      </c>
      <c r="N54" s="683" t="s">
        <v>183</v>
      </c>
      <c r="O54" s="683">
        <v>4500925048</v>
      </c>
      <c r="P54" s="683" t="s">
        <v>3705</v>
      </c>
      <c r="Q54" s="683" t="s">
        <v>37</v>
      </c>
      <c r="R54" s="683" t="s">
        <v>1782</v>
      </c>
      <c r="S54" s="686" t="s">
        <v>3711</v>
      </c>
      <c r="T54" s="683" t="s">
        <v>3707</v>
      </c>
      <c r="U54" s="683" t="s">
        <v>3712</v>
      </c>
      <c r="V54" s="683" t="s">
        <v>146</v>
      </c>
      <c r="W54" s="683" t="s">
        <v>914</v>
      </c>
      <c r="X54" s="691" t="s">
        <v>918</v>
      </c>
      <c r="Y54" s="687">
        <v>3004402506</v>
      </c>
      <c r="Z54" s="692"/>
      <c r="AA54" s="683" t="s">
        <v>33</v>
      </c>
      <c r="AB54" s="683" t="s">
        <v>34</v>
      </c>
      <c r="AC54" s="683" t="s">
        <v>230</v>
      </c>
      <c r="AD54" s="683" t="s">
        <v>1110</v>
      </c>
      <c r="AE54" s="683">
        <v>60</v>
      </c>
      <c r="AF54" s="684">
        <v>2907.9</v>
      </c>
      <c r="AG54" s="683" t="s">
        <v>243</v>
      </c>
      <c r="AH54" s="683" t="s">
        <v>220</v>
      </c>
      <c r="AI54" s="683" t="s">
        <v>33</v>
      </c>
      <c r="AJ54" s="683">
        <v>3004333866</v>
      </c>
      <c r="AK54" s="683" t="s">
        <v>33</v>
      </c>
      <c r="AL54" s="683">
        <v>1063100</v>
      </c>
      <c r="AM54" s="683" t="s">
        <v>1377</v>
      </c>
      <c r="AN54" s="683" t="s">
        <v>246</v>
      </c>
      <c r="AO54" s="683" t="s">
        <v>1166</v>
      </c>
      <c r="AP54" s="683" t="s">
        <v>240</v>
      </c>
      <c r="AQ54" s="688" t="str">
        <f>CONCATENATE("REG-",BDEGENER[[#This Row],[FECHA DE SERVICIO]],"-",BDEGENER[[#This Row],[SERIE]],"-",BDEGENER[[#This Row],[HORAS]])</f>
        <v>REG-44168-3004402506-2907,9</v>
      </c>
      <c r="AR54" s="683" t="str">
        <f>CONCATENATE("MARCA: ",BDEGENER[[#This Row],[MARCA]],"
 MODELO: ",BDEGENER[[#This Row],[MODELO]])</f>
        <v>MARCA: GENERAC
 MODELO: PG090</v>
      </c>
      <c r="AS54" s="683" t="str">
        <f>CONCATENATE("MARCA: ",BDEGENER[[#This Row],[MARCA DE MOTOR]],"
SERIE: ",BDEGENER[[#This Row],[SERIE DE MOTOR]])</f>
        <v>MARCA: GENERAC
SERIE: 3004333866</v>
      </c>
      <c r="AT54" s="683" t="str">
        <f>CONCATENATE("MARCA: ",BDEGENER[[#This Row],[MARCA ALTERNADOR ]],"
SERIE: ",BDEGENER[[#This Row],[SERIE DE ALTERNADOR]])</f>
        <v>MARCA: GENERAC
SERIE: 1063100</v>
      </c>
      <c r="AU54" s="683" t="str">
        <f>CONCATENATE("HORAS: ",BDEGENER[[#This Row],[HORAS]],"
KW-HR: ",BDEGENER[[#This Row],[KW-HORA]],"
VOLT.BATERIA: ",BDEGENER[[#This Row],[VOLTAJE DE BATERIA]],"
TEMPERATURA: ",BDEGENER[[#This Row],[TEMPERATURA DE AGUA]],"
PRES. ACEITE: ",BDEGENER[[#This Row],[PRESION DE ACEITE]])</f>
        <v>HORAS: 2907,9
KW-HR: 75457,3
VOLT.BATERIA: 13.8 V
TEMPERATURA: 198 °F
PRES. ACEITE: 57 PSI</v>
      </c>
      <c r="AV54" s="683">
        <f>COUNTIFS(Q54:Q2054,"MANTENIMIENTO CORRECTIVO",Y54:Y2054,BDEGENER[[#This Row],[SERIE]])</f>
        <v>3</v>
      </c>
      <c r="AW54" s="683">
        <f>COUNTIFS(Q54:Q2054,"MANTENIMIENTO PREVENTIVO",Y54:Y2054,BDEGENER[[#This Row],[SERIE]])</f>
        <v>8</v>
      </c>
      <c r="AX5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54" s="683">
        <f>COUNTIFS(BDEGENER[SERIE],BDEGENER[[#This Row],[SERIE]],BDEGENER[TIPO DE SERVICIO],"MANTENIMIENTO PREVENTIVO")</f>
        <v>8</v>
      </c>
      <c r="AZ54" s="683" t="str">
        <f>CONCATENATE("MANTENIMIENTO PREVENTIVO N°",BDEGENER[[#This Row],[GA1]])</f>
        <v>MANTENIMIENTO PREVENTIVO N°8</v>
      </c>
      <c r="BA54" s="683">
        <f>IF(BDEGENER[[#This Row],[SERVICIO]]=BDEGENER[[#This Row],[GA2]],BDEGENER[[#This Row],[HORAS]],"0")</f>
        <v>2907.9</v>
      </c>
      <c r="BB54" s="683">
        <f>SUMIF(BDEGENER[SERIE],BDEGENER[[#This Row],[SERIE]],BDEGENER[GA3])</f>
        <v>2907.9</v>
      </c>
      <c r="BC54" s="683" t="str">
        <f>CONCATENATE("MANT",COUNTIF($Y$7:Y54,Y54))</f>
        <v>MANT1</v>
      </c>
      <c r="BD54" s="683" t="str">
        <f>CONCATENATE(BDEGENER[[#This Row],[SERIE]],BDEGENER[[#This Row],[GA5]])</f>
        <v>3004402506MANT1</v>
      </c>
      <c r="BE54" s="683" t="str">
        <f>CONCATENATE(BDEGENER[[#This Row],[CODIGO PATRIMONIAL]],BDEGENER[[#This Row],[GA5]])</f>
        <v>MANT1</v>
      </c>
      <c r="BF54" s="683">
        <f>COUNTIF(BDEGENER[SERIE],BDEGENER[[#This Row],[SERIE]])</f>
        <v>14</v>
      </c>
      <c r="BG54" s="683" t="str">
        <f>CONCATENATE("F",COUNTIF($K$7:K54,K54))</f>
        <v>F3</v>
      </c>
      <c r="BH54" s="683" t="str">
        <f>CONCATENATE(BDEGENER[[#This Row],[FECHA DE SERVICIO]],BDEGENER[[#This Row],[N° DE REGISTROS DEL DIA]])</f>
        <v>44168F3</v>
      </c>
      <c r="BI54" s="684">
        <v>75457.3</v>
      </c>
      <c r="BJ54" s="683" t="s">
        <v>1544</v>
      </c>
      <c r="BK54" s="762" t="s">
        <v>2860</v>
      </c>
    </row>
    <row r="55" spans="2:63" ht="69" hidden="1" x14ac:dyDescent="0.3">
      <c r="B55" s="2"/>
      <c r="C55" s="2"/>
      <c r="D55" s="2"/>
      <c r="E55" s="2"/>
      <c r="F55" s="2"/>
      <c r="G55" s="2"/>
      <c r="H55" s="2"/>
      <c r="I55" s="2"/>
      <c r="J55" s="685"/>
      <c r="K55" s="682">
        <v>44168</v>
      </c>
      <c r="L55" s="683" t="s">
        <v>181</v>
      </c>
      <c r="M55" s="683" t="s">
        <v>185</v>
      </c>
      <c r="N55" s="683" t="s">
        <v>183</v>
      </c>
      <c r="O55" s="683">
        <v>4500925048</v>
      </c>
      <c r="P55" s="683" t="s">
        <v>3705</v>
      </c>
      <c r="Q55" s="683" t="s">
        <v>37</v>
      </c>
      <c r="R55" s="683" t="s">
        <v>1782</v>
      </c>
      <c r="S55" s="686" t="s">
        <v>3708</v>
      </c>
      <c r="T55" s="683" t="s">
        <v>3709</v>
      </c>
      <c r="U55" s="683" t="s">
        <v>3710</v>
      </c>
      <c r="V55" s="683" t="s">
        <v>146</v>
      </c>
      <c r="W55" s="683" t="s">
        <v>914</v>
      </c>
      <c r="X55" s="691" t="s">
        <v>918</v>
      </c>
      <c r="Y55" s="687">
        <v>3004344014</v>
      </c>
      <c r="Z55" s="692"/>
      <c r="AA55" s="683" t="s">
        <v>33</v>
      </c>
      <c r="AB55" s="683" t="s">
        <v>34</v>
      </c>
      <c r="AC55" s="683" t="s">
        <v>230</v>
      </c>
      <c r="AD55" s="683" t="s">
        <v>1110</v>
      </c>
      <c r="AE55" s="683">
        <v>60</v>
      </c>
      <c r="AF55" s="684">
        <v>2070.3000000000002</v>
      </c>
      <c r="AG55" s="683" t="s">
        <v>243</v>
      </c>
      <c r="AH55" s="683" t="s">
        <v>220</v>
      </c>
      <c r="AI55" s="683" t="s">
        <v>33</v>
      </c>
      <c r="AJ55" s="683">
        <v>3004346826</v>
      </c>
      <c r="AK55" s="683" t="s">
        <v>33</v>
      </c>
      <c r="AL55" s="683">
        <v>106308730</v>
      </c>
      <c r="AM55" s="683" t="s">
        <v>1377</v>
      </c>
      <c r="AN55" s="683" t="s">
        <v>246</v>
      </c>
      <c r="AO55" s="683" t="s">
        <v>1144</v>
      </c>
      <c r="AP55" s="683" t="s">
        <v>240</v>
      </c>
      <c r="AQ55" s="688" t="str">
        <f>CONCATENATE("REG-",BDEGENER[[#This Row],[FECHA DE SERVICIO]],"-",BDEGENER[[#This Row],[SERIE]],"-",BDEGENER[[#This Row],[HORAS]])</f>
        <v>REG-44168-3004344014-2070,3</v>
      </c>
      <c r="AR55" s="683" t="str">
        <f>CONCATENATE("MARCA: ",BDEGENER[[#This Row],[MARCA]],"
 MODELO: ",BDEGENER[[#This Row],[MODELO]])</f>
        <v>MARCA: GENERAC
 MODELO: PG090</v>
      </c>
      <c r="AS55" s="683" t="str">
        <f>CONCATENATE("MARCA: ",BDEGENER[[#This Row],[MARCA DE MOTOR]],"
SERIE: ",BDEGENER[[#This Row],[SERIE DE MOTOR]])</f>
        <v>MARCA: GENERAC
SERIE: 3004346826</v>
      </c>
      <c r="AT55" s="683" t="str">
        <f>CONCATENATE("MARCA: ",BDEGENER[[#This Row],[MARCA ALTERNADOR ]],"
SERIE: ",BDEGENER[[#This Row],[SERIE DE ALTERNADOR]])</f>
        <v>MARCA: GENERAC
SERIE: 106308730</v>
      </c>
      <c r="AU55" s="683" t="str">
        <f>CONCATENATE("HORAS: ",BDEGENER[[#This Row],[HORAS]],"
KW-HR: ",BDEGENER[[#This Row],[KW-HORA]],"
VOLT.BATERIA: ",BDEGENER[[#This Row],[VOLTAJE DE BATERIA]],"
TEMPERATURA: ",BDEGENER[[#This Row],[TEMPERATURA DE AGUA]],"
PRES. ACEITE: ",BDEGENER[[#This Row],[PRESION DE ACEITE]])</f>
        <v>HORAS: 2070,3
KW-HR: 55949,6
VOLT.BATERIA: 13.8 V
TEMPERATURA: 198 °F
PRES. ACEITE: 59 PSI</v>
      </c>
      <c r="AV55" s="683">
        <f>COUNTIFS(Q55:Q2055,"MANTENIMIENTO CORRECTIVO",Y55:Y2055,BDEGENER[[#This Row],[SERIE]])</f>
        <v>3</v>
      </c>
      <c r="AW55" s="683">
        <f>COUNTIFS(Q55:Q2055,"MANTENIMIENTO PREVENTIVO",Y55:Y2055,BDEGENER[[#This Row],[SERIE]])</f>
        <v>8</v>
      </c>
      <c r="AX5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55" s="683">
        <f>COUNTIFS(BDEGENER[SERIE],BDEGENER[[#This Row],[SERIE]],BDEGENER[TIPO DE SERVICIO],"MANTENIMIENTO PREVENTIVO")</f>
        <v>8</v>
      </c>
      <c r="AZ55" s="683" t="str">
        <f>CONCATENATE("MANTENIMIENTO PREVENTIVO N°",BDEGENER[[#This Row],[GA1]])</f>
        <v>MANTENIMIENTO PREVENTIVO N°8</v>
      </c>
      <c r="BA55" s="683">
        <f>IF(BDEGENER[[#This Row],[SERVICIO]]=BDEGENER[[#This Row],[GA2]],BDEGENER[[#This Row],[HORAS]],"0")</f>
        <v>2070.3000000000002</v>
      </c>
      <c r="BB55" s="683">
        <f>SUMIF(BDEGENER[SERIE],BDEGENER[[#This Row],[SERIE]],BDEGENER[GA3])</f>
        <v>2070.3000000000002</v>
      </c>
      <c r="BC55" s="761" t="str">
        <f>CONCATENATE("MANT",COUNTIF($Y$7:Y55,Y55))</f>
        <v>MANT1</v>
      </c>
      <c r="BD55" s="683" t="str">
        <f>CONCATENATE(BDEGENER[[#This Row],[SERIE]],BDEGENER[[#This Row],[GA5]])</f>
        <v>3004344014MANT1</v>
      </c>
      <c r="BE55" s="683" t="str">
        <f>CONCATENATE(BDEGENER[[#This Row],[CODIGO PATRIMONIAL]],BDEGENER[[#This Row],[GA5]])</f>
        <v>MANT1</v>
      </c>
      <c r="BF55" s="683">
        <f>COUNTIF(BDEGENER[SERIE],BDEGENER[[#This Row],[SERIE]])</f>
        <v>12</v>
      </c>
      <c r="BG55" s="761" t="str">
        <f>CONCATENATE("F",COUNTIF($K$7:K55,K55))</f>
        <v>F4</v>
      </c>
      <c r="BH55" s="683" t="str">
        <f>CONCATENATE(BDEGENER[[#This Row],[FECHA DE SERVICIO]],BDEGENER[[#This Row],[N° DE REGISTROS DEL DIA]])</f>
        <v>44168F4</v>
      </c>
      <c r="BI55" s="684">
        <v>55949.599999999999</v>
      </c>
      <c r="BJ55" s="683" t="s">
        <v>1544</v>
      </c>
      <c r="BK55" s="762" t="s">
        <v>2114</v>
      </c>
    </row>
    <row r="56" spans="2:63" ht="69" hidden="1" x14ac:dyDescent="0.3">
      <c r="B56" s="2"/>
      <c r="C56" s="2"/>
      <c r="D56" s="2"/>
      <c r="E56" s="2"/>
      <c r="F56" s="2"/>
      <c r="G56" s="2"/>
      <c r="H56" s="2"/>
      <c r="I56" s="2"/>
      <c r="J56" s="685"/>
      <c r="K56" s="682">
        <v>44168</v>
      </c>
      <c r="L56" s="683" t="s">
        <v>181</v>
      </c>
      <c r="M56" s="683" t="s">
        <v>185</v>
      </c>
      <c r="N56" s="683" t="s">
        <v>183</v>
      </c>
      <c r="O56" s="683">
        <v>4500873022</v>
      </c>
      <c r="P56" s="683" t="s">
        <v>3705</v>
      </c>
      <c r="Q56" s="683" t="s">
        <v>37</v>
      </c>
      <c r="R56" s="683" t="s">
        <v>1782</v>
      </c>
      <c r="S56" s="686" t="s">
        <v>3706</v>
      </c>
      <c r="T56" s="683" t="s">
        <v>3707</v>
      </c>
      <c r="U56" s="683" t="s">
        <v>2923</v>
      </c>
      <c r="V56" s="683" t="s">
        <v>146</v>
      </c>
      <c r="W56" s="683" t="s">
        <v>914</v>
      </c>
      <c r="X56" s="691" t="s">
        <v>918</v>
      </c>
      <c r="Y56" s="687">
        <v>3004344017</v>
      </c>
      <c r="Z56" s="692"/>
      <c r="AA56" s="683" t="s">
        <v>33</v>
      </c>
      <c r="AB56" s="683" t="s">
        <v>34</v>
      </c>
      <c r="AC56" s="683" t="s">
        <v>230</v>
      </c>
      <c r="AD56" s="683" t="s">
        <v>1110</v>
      </c>
      <c r="AE56" s="683">
        <v>60</v>
      </c>
      <c r="AF56" s="684">
        <v>2140.9</v>
      </c>
      <c r="AG56" s="683" t="s">
        <v>243</v>
      </c>
      <c r="AH56" s="683" t="s">
        <v>220</v>
      </c>
      <c r="AI56" s="683" t="s">
        <v>33</v>
      </c>
      <c r="AJ56" s="683">
        <v>3004346832</v>
      </c>
      <c r="AK56" s="683" t="s">
        <v>33</v>
      </c>
      <c r="AL56" s="683">
        <v>106308750</v>
      </c>
      <c r="AM56" s="683" t="s">
        <v>1121</v>
      </c>
      <c r="AN56" s="683" t="s">
        <v>1143</v>
      </c>
      <c r="AO56" s="683" t="s">
        <v>1318</v>
      </c>
      <c r="AP56" s="683" t="s">
        <v>240</v>
      </c>
      <c r="AQ56" s="688" t="str">
        <f>CONCATENATE("REG-",BDEGENER[[#This Row],[FECHA DE SERVICIO]],"-",BDEGENER[[#This Row],[SERIE]],"-",BDEGENER[[#This Row],[HORAS]])</f>
        <v>REG-44168-3004344017-2140,9</v>
      </c>
      <c r="AR56" s="683" t="str">
        <f>CONCATENATE("MARCA: ",BDEGENER[[#This Row],[MARCA]],"
 MODELO: ",BDEGENER[[#This Row],[MODELO]])</f>
        <v>MARCA: GENERAC
 MODELO: PG090</v>
      </c>
      <c r="AS56" s="683" t="str">
        <f>CONCATENATE("MARCA: ",BDEGENER[[#This Row],[MARCA DE MOTOR]],"
SERIE: ",BDEGENER[[#This Row],[SERIE DE MOTOR]])</f>
        <v>MARCA: GENERAC
SERIE: 3004346832</v>
      </c>
      <c r="AT56" s="683" t="str">
        <f>CONCATENATE("MARCA: ",BDEGENER[[#This Row],[MARCA ALTERNADOR ]],"
SERIE: ",BDEGENER[[#This Row],[SERIE DE ALTERNADOR]])</f>
        <v>MARCA: GENERAC
SERIE: 106308750</v>
      </c>
      <c r="AU56" s="683" t="str">
        <f>CONCATENATE("HORAS: ",BDEGENER[[#This Row],[HORAS]],"
KW-HR: ",BDEGENER[[#This Row],[KW-HORA]],"
VOLT.BATERIA: ",BDEGENER[[#This Row],[VOLTAJE DE BATERIA]],"
TEMPERATURA: ",BDEGENER[[#This Row],[TEMPERATURA DE AGUA]],"
PRES. ACEITE: ",BDEGENER[[#This Row],[PRESION DE ACEITE]])</f>
        <v>HORAS: 2140,9
KW-HR: 52009,9
VOLT.BATERIA: 13.7 V
TEMPERATURA: 197 °F
PRES. ACEITE: 58 PSI</v>
      </c>
      <c r="AV56" s="683">
        <f>COUNTIFS(Q56:Q2056,"MANTENIMIENTO CORRECTIVO",Y56:Y2056,BDEGENER[[#This Row],[SERIE]])</f>
        <v>4</v>
      </c>
      <c r="AW56" s="683">
        <f>COUNTIFS(Q56:Q2056,"MANTENIMIENTO PREVENTIVO",Y56:Y2056,BDEGENER[[#This Row],[SERIE]])</f>
        <v>6</v>
      </c>
      <c r="AX5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56" s="683">
        <f>COUNTIFS(BDEGENER[SERIE],BDEGENER[[#This Row],[SERIE]],BDEGENER[TIPO DE SERVICIO],"MANTENIMIENTO PREVENTIVO")</f>
        <v>6</v>
      </c>
      <c r="AZ56" s="683" t="str">
        <f>CONCATENATE("MANTENIMIENTO PREVENTIVO N°",BDEGENER[[#This Row],[GA1]])</f>
        <v>MANTENIMIENTO PREVENTIVO N°6</v>
      </c>
      <c r="BA56" s="683">
        <f>IF(BDEGENER[[#This Row],[SERVICIO]]=BDEGENER[[#This Row],[GA2]],BDEGENER[[#This Row],[HORAS]],"0")</f>
        <v>2140.9</v>
      </c>
      <c r="BB56" s="683">
        <f>SUMIF(BDEGENER[SERIE],BDEGENER[[#This Row],[SERIE]],BDEGENER[GA3])</f>
        <v>2140.9</v>
      </c>
      <c r="BC56" s="683" t="str">
        <f>CONCATENATE("MANT",COUNTIF($Y$7:Y56,Y56))</f>
        <v>MANT1</v>
      </c>
      <c r="BD56" s="683" t="str">
        <f>CONCATENATE(BDEGENER[[#This Row],[SERIE]],BDEGENER[[#This Row],[GA5]])</f>
        <v>3004344017MANT1</v>
      </c>
      <c r="BE56" s="683" t="str">
        <f>CONCATENATE(BDEGENER[[#This Row],[CODIGO PATRIMONIAL]],BDEGENER[[#This Row],[GA5]])</f>
        <v>MANT1</v>
      </c>
      <c r="BF56" s="683">
        <f>COUNTIF(BDEGENER[SERIE],BDEGENER[[#This Row],[SERIE]])</f>
        <v>12</v>
      </c>
      <c r="BG56" s="683" t="str">
        <f>CONCATENATE("F",COUNTIF($K$7:K56,K56))</f>
        <v>F5</v>
      </c>
      <c r="BH56" s="683" t="str">
        <f>CONCATENATE(BDEGENER[[#This Row],[FECHA DE SERVICIO]],BDEGENER[[#This Row],[N° DE REGISTROS DEL DIA]])</f>
        <v>44168F5</v>
      </c>
      <c r="BI56" s="684">
        <v>52009.9</v>
      </c>
      <c r="BJ56" s="683" t="s">
        <v>1544</v>
      </c>
      <c r="BK56" s="762" t="s">
        <v>2860</v>
      </c>
    </row>
    <row r="57" spans="2:63" ht="69" hidden="1" x14ac:dyDescent="0.3">
      <c r="B57" s="2"/>
      <c r="C57" s="2"/>
      <c r="D57" s="2"/>
      <c r="E57" s="2"/>
      <c r="F57" s="2"/>
      <c r="G57" s="2"/>
      <c r="H57" s="2"/>
      <c r="I57" s="2"/>
      <c r="J57" s="685"/>
      <c r="K57" s="682">
        <v>44167</v>
      </c>
      <c r="L57" s="683" t="s">
        <v>248</v>
      </c>
      <c r="M57" s="683" t="s">
        <v>3106</v>
      </c>
      <c r="N57" s="683" t="s">
        <v>275</v>
      </c>
      <c r="O57" s="683"/>
      <c r="P57" s="683" t="s">
        <v>3879</v>
      </c>
      <c r="Q57" s="683" t="s">
        <v>37</v>
      </c>
      <c r="R57" s="683" t="s">
        <v>1782</v>
      </c>
      <c r="S57" s="686" t="s">
        <v>3880</v>
      </c>
      <c r="T57" s="683"/>
      <c r="U57" s="683"/>
      <c r="V57" s="683"/>
      <c r="W57" s="683" t="s">
        <v>914</v>
      </c>
      <c r="X57" s="691" t="s">
        <v>917</v>
      </c>
      <c r="Y57" s="687">
        <v>3005786151</v>
      </c>
      <c r="Z57" s="692" t="s">
        <v>159</v>
      </c>
      <c r="AA57" s="683" t="s">
        <v>33</v>
      </c>
      <c r="AB57" s="683" t="s">
        <v>3109</v>
      </c>
      <c r="AC57" s="683" t="s">
        <v>3110</v>
      </c>
      <c r="AD57" s="683"/>
      <c r="AE57" s="683"/>
      <c r="AF57" s="684">
        <v>646</v>
      </c>
      <c r="AG57" s="683" t="s">
        <v>243</v>
      </c>
      <c r="AH57" s="683" t="s">
        <v>3111</v>
      </c>
      <c r="AI57" s="683" t="s">
        <v>844</v>
      </c>
      <c r="AJ57" s="683" t="s">
        <v>3112</v>
      </c>
      <c r="AK57" s="683" t="s">
        <v>3113</v>
      </c>
      <c r="AL57" s="683">
        <v>36888300001</v>
      </c>
      <c r="AM57" s="683"/>
      <c r="AN57" s="683"/>
      <c r="AO57" s="683"/>
      <c r="AP57" s="683" t="s">
        <v>240</v>
      </c>
      <c r="AQ57" s="769" t="str">
        <f>CONCATENATE("REG-",BDEGENER[[#This Row],[FECHA DE SERVICIO]],"-",BDEGENER[[#This Row],[SERIE]],"-",BDEGENER[[#This Row],[HORAS]])</f>
        <v>REG-44167-3005786151-646</v>
      </c>
      <c r="AR57" s="683" t="str">
        <f>CONCATENATE("MARCA: ",BDEGENER[[#This Row],[MARCA]],"
 MODELO: ",BDEGENER[[#This Row],[MODELO]])</f>
        <v>MARCA: GENERAC
 MODELO: PLY200</v>
      </c>
      <c r="AS57" s="683" t="str">
        <f>CONCATENATE("MARCA: ",BDEGENER[[#This Row],[MARCA DE MOTOR]],"
SERIE: ",BDEGENER[[#This Row],[SERIE DE MOTOR]])</f>
        <v>MARCA: PERKINS
SERIE: PWR024528E</v>
      </c>
      <c r="AT57" s="683" t="str">
        <f>CONCATENATE("MARCA: ",BDEGENER[[#This Row],[MARCA ALTERNADOR ]],"
SERIE: ",BDEGENER[[#This Row],[SERIE DE ALTERNADOR]])</f>
        <v>MARCA: LEROY SOMMER
SERIE: 36888300001</v>
      </c>
      <c r="AU57" s="683" t="str">
        <f>CONCATENATE("HORAS: ",BDEGENER[[#This Row],[HORAS]],"
KW-HR: ",BDEGENER[[#This Row],[KW-HORA]],"
VOLT.BATERIA: ",BDEGENER[[#This Row],[VOLTAJE DE BATERIA]],"
TEMPERATURA: ",BDEGENER[[#This Row],[TEMPERATURA DE AGUA]],"
PRES. ACEITE: ",BDEGENER[[#This Row],[PRESION DE ACEITE]])</f>
        <v xml:space="preserve">HORAS: 646
KW-HR: 
VOLT.BATERIA: 
TEMPERATURA: 
PRES. ACEITE: </v>
      </c>
      <c r="AV57" s="683">
        <f>COUNTIFS(Q57:Q2057,"MANTENIMIENTO CORRECTIVO",Y57:Y2057,BDEGENER[[#This Row],[SERIE]])</f>
        <v>0</v>
      </c>
      <c r="AW57" s="683">
        <f>COUNTIFS(Q57:Q2057,"MANTENIMIENTO PREVENTIVO",Y57:Y2057,BDEGENER[[#This Row],[SERIE]])</f>
        <v>3</v>
      </c>
      <c r="AX5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7" s="683">
        <f>COUNTIFS(BDEGENER[SERIE],BDEGENER[[#This Row],[SERIE]],BDEGENER[TIPO DE SERVICIO],"MANTENIMIENTO PREVENTIVO")</f>
        <v>3</v>
      </c>
      <c r="AZ57" s="683" t="str">
        <f>CONCATENATE("MANTENIMIENTO PREVENTIVO N°",BDEGENER[[#This Row],[GA1]])</f>
        <v>MANTENIMIENTO PREVENTIVO N°3</v>
      </c>
      <c r="BA57" s="683">
        <f>IF(BDEGENER[[#This Row],[SERVICIO]]=BDEGENER[[#This Row],[GA2]],BDEGENER[[#This Row],[HORAS]],"0")</f>
        <v>646</v>
      </c>
      <c r="BB57" s="683">
        <f>SUMIF(BDEGENER[SERIE],BDEGENER[[#This Row],[SERIE]],BDEGENER[GA3])</f>
        <v>646</v>
      </c>
      <c r="BC57" s="683" t="str">
        <f>CONCATENATE("MANT",COUNTIF($Y$7:Y57,Y57))</f>
        <v>MANT1</v>
      </c>
      <c r="BD57" s="683" t="str">
        <f>CONCATENATE(BDEGENER[[#This Row],[SERIE]],BDEGENER[[#This Row],[GA5]])</f>
        <v>3005786151MANT1</v>
      </c>
      <c r="BE57" s="683" t="str">
        <f>CONCATENATE(BDEGENER[[#This Row],[CODIGO PATRIMONIAL]],BDEGENER[[#This Row],[GA5]])</f>
        <v>MANT1</v>
      </c>
      <c r="BF57" s="683">
        <f>COUNTIF(BDEGENER[SERIE],BDEGENER[[#This Row],[SERIE]])</f>
        <v>4</v>
      </c>
      <c r="BG57" s="683" t="str">
        <f>CONCATENATE("F",COUNTIF($K$7:K57,K57))</f>
        <v>F1</v>
      </c>
      <c r="BH57" s="683" t="str">
        <f>CONCATENATE(BDEGENER[[#This Row],[FECHA DE SERVICIO]],BDEGENER[[#This Row],[N° DE REGISTROS DEL DIA]])</f>
        <v>44167F1</v>
      </c>
      <c r="BI57" s="684"/>
      <c r="BJ57" s="683" t="s">
        <v>1544</v>
      </c>
      <c r="BK57" s="762"/>
    </row>
    <row r="58" spans="2:63" ht="69" hidden="1" x14ac:dyDescent="0.3">
      <c r="B58" s="2"/>
      <c r="C58" s="2"/>
      <c r="D58" s="2"/>
      <c r="E58" s="2"/>
      <c r="F58" s="2"/>
      <c r="G58" s="2"/>
      <c r="H58" s="2"/>
      <c r="I58" s="2"/>
      <c r="J58" s="685"/>
      <c r="K58" s="682">
        <v>44167</v>
      </c>
      <c r="L58" s="683" t="s">
        <v>561</v>
      </c>
      <c r="M58" s="683" t="s">
        <v>2452</v>
      </c>
      <c r="N58" s="683" t="s">
        <v>584</v>
      </c>
      <c r="O58" s="683"/>
      <c r="P58" s="688" t="s">
        <v>3804</v>
      </c>
      <c r="Q58" s="683" t="s">
        <v>37</v>
      </c>
      <c r="R58" s="683" t="s">
        <v>1782</v>
      </c>
      <c r="S58" s="686" t="s">
        <v>3801</v>
      </c>
      <c r="T58" s="683" t="s">
        <v>3803</v>
      </c>
      <c r="U58" s="683" t="s">
        <v>3802</v>
      </c>
      <c r="V58" s="683" t="s">
        <v>677</v>
      </c>
      <c r="W58" s="683" t="s">
        <v>913</v>
      </c>
      <c r="X58" s="691" t="s">
        <v>918</v>
      </c>
      <c r="Y58" s="687">
        <v>3003940357</v>
      </c>
      <c r="Z58" s="692" t="s">
        <v>2612</v>
      </c>
      <c r="AA58" s="683" t="s">
        <v>33</v>
      </c>
      <c r="AB58" s="683" t="s">
        <v>217</v>
      </c>
      <c r="AC58" s="683" t="s">
        <v>749</v>
      </c>
      <c r="AD58" s="683" t="s">
        <v>1123</v>
      </c>
      <c r="AE58" s="683">
        <v>60.1</v>
      </c>
      <c r="AF58" s="684">
        <v>6053.1</v>
      </c>
      <c r="AG58" s="683" t="s">
        <v>243</v>
      </c>
      <c r="AH58" s="683" t="s">
        <v>1803</v>
      </c>
      <c r="AI58" s="683" t="s">
        <v>2553</v>
      </c>
      <c r="AJ58" s="683" t="s">
        <v>2816</v>
      </c>
      <c r="AK58" s="683" t="s">
        <v>33</v>
      </c>
      <c r="AL58" s="683">
        <v>20181104</v>
      </c>
      <c r="AM58" s="683" t="s">
        <v>1347</v>
      </c>
      <c r="AN58" s="683"/>
      <c r="AO58" s="683"/>
      <c r="AP58" s="683" t="s">
        <v>240</v>
      </c>
      <c r="AQ58" s="688" t="str">
        <f>CONCATENATE("REG-",BDEGENER[[#This Row],[FECHA DE SERVICIO]],"-",BDEGENER[[#This Row],[SERIE]],"-",BDEGENER[[#This Row],[HORAS]])</f>
        <v>REG-44167-3003940357-6053,1</v>
      </c>
      <c r="AR58" s="683" t="str">
        <f>CONCATENATE("MARCA: ",BDEGENER[[#This Row],[MARCA]],"
 MODELO: ",BDEGENER[[#This Row],[MODELO]])</f>
        <v>MARCA: GENERAC
 MODELO: RG022</v>
      </c>
      <c r="AS58" s="683" t="str">
        <f>CONCATENATE("MARCA: ",BDEGENER[[#This Row],[MARCA DE MOTOR]],"
SERIE: ",BDEGENER[[#This Row],[SERIE DE MOTOR]])</f>
        <v>MARCA: MITSUBISHI
SERIE: 4G6454M/SXG1014</v>
      </c>
      <c r="AT58" s="683" t="str">
        <f>CONCATENATE("MARCA: ",BDEGENER[[#This Row],[MARCA ALTERNADOR ]],"
SERIE: ",BDEGENER[[#This Row],[SERIE DE ALTERNADOR]])</f>
        <v>MARCA: GENERAC
SERIE: 20181104</v>
      </c>
      <c r="AU58" s="683" t="str">
        <f>CONCATENATE("HORAS: ",BDEGENER[[#This Row],[HORAS]],"
KW-HR: ",BDEGENER[[#This Row],[KW-HORA]],"
VOLT.BATERIA: ",BDEGENER[[#This Row],[VOLTAJE DE BATERIA]],"
TEMPERATURA: ",BDEGENER[[#This Row],[TEMPERATURA DE AGUA]],"
PRES. ACEITE: ",BDEGENER[[#This Row],[PRESION DE ACEITE]])</f>
        <v xml:space="preserve">HORAS: 6053,1
KW-HR: 
VOLT.BATERIA: 13.3 V
TEMPERATURA: 
PRES. ACEITE: </v>
      </c>
      <c r="AV58" s="683">
        <f>COUNTIFS(Q58:Q2058,"MANTENIMIENTO CORRECTIVO",Y58:Y2058,BDEGENER[[#This Row],[SERIE]])</f>
        <v>2</v>
      </c>
      <c r="AW58" s="683">
        <f>COUNTIFS(Q58:Q2058,"MANTENIMIENTO PREVENTIVO",Y58:Y2058,BDEGENER[[#This Row],[SERIE]])</f>
        <v>11</v>
      </c>
      <c r="AX5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N°11</v>
      </c>
      <c r="AY58" s="683">
        <f>COUNTIFS(BDEGENER[SERIE],BDEGENER[[#This Row],[SERIE]],BDEGENER[TIPO DE SERVICIO],"MANTENIMIENTO PREVENTIVO")</f>
        <v>12</v>
      </c>
      <c r="AZ58" s="683" t="str">
        <f>CONCATENATE("MANTENIMIENTO PREVENTIVO N°",BDEGENER[[#This Row],[GA1]])</f>
        <v>MANTENIMIENTO PREVENTIVO N°12</v>
      </c>
      <c r="BA58" s="683" t="str">
        <f>IF(BDEGENER[[#This Row],[SERVICIO]]=BDEGENER[[#This Row],[GA2]],BDEGENER[[#This Row],[HORAS]],"0")</f>
        <v>0</v>
      </c>
      <c r="BB58" s="683">
        <f>SUMIF(BDEGENER[SERIE],BDEGENER[[#This Row],[SERIE]],BDEGENER[GA3])</f>
        <v>6263.3</v>
      </c>
      <c r="BC58" s="761" t="str">
        <f>CONCATENATE("MANT",COUNTIF($Y$7:Y58,Y58))</f>
        <v>MANT3</v>
      </c>
      <c r="BD58" s="683" t="str">
        <f>CONCATENATE(BDEGENER[[#This Row],[SERIE]],BDEGENER[[#This Row],[GA5]])</f>
        <v>3003940357MANT3</v>
      </c>
      <c r="BE58" s="683" t="str">
        <f>CONCATENATE(BDEGENER[[#This Row],[CODIGO PATRIMONIAL]],BDEGENER[[#This Row],[GA5]])</f>
        <v>NOR-GEG-0014MANT3</v>
      </c>
      <c r="BF58" s="683">
        <f>COUNTIF(BDEGENER[SERIE],BDEGENER[[#This Row],[SERIE]])</f>
        <v>16</v>
      </c>
      <c r="BG58" s="761" t="str">
        <f>CONCATENATE("F",COUNTIF($K$7:K58,K58))</f>
        <v>F2</v>
      </c>
      <c r="BH58" s="683" t="str">
        <f>CONCATENATE(BDEGENER[[#This Row],[FECHA DE SERVICIO]],BDEGENER[[#This Row],[N° DE REGISTROS DEL DIA]])</f>
        <v>44167F2</v>
      </c>
      <c r="BI58" s="684"/>
      <c r="BJ58" s="683" t="s">
        <v>1544</v>
      </c>
      <c r="BK58" s="762"/>
    </row>
    <row r="59" spans="2:63" ht="69" hidden="1" x14ac:dyDescent="0.3">
      <c r="B59" s="2"/>
      <c r="C59" s="2"/>
      <c r="D59" s="2"/>
      <c r="E59" s="2"/>
      <c r="F59" s="2"/>
      <c r="G59" s="2"/>
      <c r="H59" s="2"/>
      <c r="I59" s="2"/>
      <c r="J59" s="685"/>
      <c r="K59" s="682">
        <v>44167</v>
      </c>
      <c r="L59" s="683" t="s">
        <v>561</v>
      </c>
      <c r="M59" s="683" t="s">
        <v>2452</v>
      </c>
      <c r="N59" s="683" t="s">
        <v>584</v>
      </c>
      <c r="O59" s="683"/>
      <c r="P59" s="688" t="s">
        <v>3798</v>
      </c>
      <c r="Q59" s="683" t="s">
        <v>107</v>
      </c>
      <c r="R59" s="683" t="s">
        <v>1782</v>
      </c>
      <c r="S59" s="686" t="s">
        <v>3799</v>
      </c>
      <c r="T59" s="683" t="s">
        <v>2546</v>
      </c>
      <c r="U59" s="683" t="s">
        <v>3800</v>
      </c>
      <c r="V59" s="683" t="s">
        <v>677</v>
      </c>
      <c r="W59" s="683" t="s">
        <v>913</v>
      </c>
      <c r="X59" s="691" t="s">
        <v>918</v>
      </c>
      <c r="Y59" s="687">
        <v>3003940357</v>
      </c>
      <c r="Z59" s="692" t="s">
        <v>2612</v>
      </c>
      <c r="AA59" s="683" t="s">
        <v>33</v>
      </c>
      <c r="AB59" s="683" t="s">
        <v>217</v>
      </c>
      <c r="AC59" s="683" t="s">
        <v>749</v>
      </c>
      <c r="AD59" s="683"/>
      <c r="AE59" s="683"/>
      <c r="AF59" s="684">
        <v>6053.6</v>
      </c>
      <c r="AG59" s="683" t="s">
        <v>243</v>
      </c>
      <c r="AH59" s="683" t="s">
        <v>1803</v>
      </c>
      <c r="AI59" s="683" t="s">
        <v>2553</v>
      </c>
      <c r="AJ59" s="683" t="s">
        <v>2816</v>
      </c>
      <c r="AK59" s="683" t="s">
        <v>33</v>
      </c>
      <c r="AL59" s="683">
        <v>20181104</v>
      </c>
      <c r="AM59" s="683"/>
      <c r="AN59" s="683"/>
      <c r="AO59" s="683"/>
      <c r="AP59" s="683" t="s">
        <v>240</v>
      </c>
      <c r="AQ59" s="688" t="str">
        <f>CONCATENATE("REG-",BDEGENER[[#This Row],[FECHA DE SERVICIO]],"-",BDEGENER[[#This Row],[SERIE]],"-",BDEGENER[[#This Row],[HORAS]])</f>
        <v>REG-44167-3003940357-6053,6</v>
      </c>
      <c r="AR59" s="683" t="str">
        <f>CONCATENATE("MARCA: ",BDEGENER[[#This Row],[MARCA]],"
 MODELO: ",BDEGENER[[#This Row],[MODELO]])</f>
        <v>MARCA: GENERAC
 MODELO: RG022</v>
      </c>
      <c r="AS59" s="683" t="str">
        <f>CONCATENATE("MARCA: ",BDEGENER[[#This Row],[MARCA DE MOTOR]],"
SERIE: ",BDEGENER[[#This Row],[SERIE DE MOTOR]])</f>
        <v>MARCA: MITSUBISHI
SERIE: 4G6454M/SXG1014</v>
      </c>
      <c r="AT59" s="683" t="str">
        <f>CONCATENATE("MARCA: ",BDEGENER[[#This Row],[MARCA ALTERNADOR ]],"
SERIE: ",BDEGENER[[#This Row],[SERIE DE ALTERNADOR]])</f>
        <v>MARCA: GENERAC
SERIE: 20181104</v>
      </c>
      <c r="AU59" s="683" t="str">
        <f>CONCATENATE("HORAS: ",BDEGENER[[#This Row],[HORAS]],"
KW-HR: ",BDEGENER[[#This Row],[KW-HORA]],"
VOLT.BATERIA: ",BDEGENER[[#This Row],[VOLTAJE DE BATERIA]],"
TEMPERATURA: ",BDEGENER[[#This Row],[TEMPERATURA DE AGUA]],"
PRES. ACEITE: ",BDEGENER[[#This Row],[PRESION DE ACEITE]])</f>
        <v xml:space="preserve">HORAS: 6053,6
KW-HR: 
VOLT.BATERIA: 
TEMPERATURA: 
PRES. ACEITE: </v>
      </c>
      <c r="AV59" s="683">
        <f>COUNTIFS(Q59:Q2059,"MANTENIMIENTO CORRECTIVO",Y59:Y2059,BDEGENER[[#This Row],[SERIE]])</f>
        <v>2</v>
      </c>
      <c r="AW59" s="683">
        <f>COUNTIFS(Q59:Q2059,"MANTENIMIENTO PREVENTIVO",Y59:Y2059,BDEGENER[[#This Row],[SERIE]])</f>
        <v>10</v>
      </c>
      <c r="AX5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59" s="683">
        <f>COUNTIFS(BDEGENER[SERIE],BDEGENER[[#This Row],[SERIE]],BDEGENER[TIPO DE SERVICIO],"MANTENIMIENTO PREVENTIVO")</f>
        <v>12</v>
      </c>
      <c r="AZ59" s="683" t="str">
        <f>CONCATENATE("MANTENIMIENTO PREVENTIVO N°",BDEGENER[[#This Row],[GA1]])</f>
        <v>MANTENIMIENTO PREVENTIVO N°12</v>
      </c>
      <c r="BA59" s="683" t="str">
        <f>IF(BDEGENER[[#This Row],[SERVICIO]]=BDEGENER[[#This Row],[GA2]],BDEGENER[[#This Row],[HORAS]],"0")</f>
        <v>0</v>
      </c>
      <c r="BB59" s="683">
        <f>SUMIF(BDEGENER[SERIE],BDEGENER[[#This Row],[SERIE]],BDEGENER[GA3])</f>
        <v>6263.3</v>
      </c>
      <c r="BC59" s="683" t="str">
        <f>CONCATENATE("MANT",COUNTIF($Y$7:Y59,Y59))</f>
        <v>MANT4</v>
      </c>
      <c r="BD59" s="683" t="str">
        <f>CONCATENATE(BDEGENER[[#This Row],[SERIE]],BDEGENER[[#This Row],[GA5]])</f>
        <v>3003940357MANT4</v>
      </c>
      <c r="BE59" s="683" t="str">
        <f>CONCATENATE(BDEGENER[[#This Row],[CODIGO PATRIMONIAL]],BDEGENER[[#This Row],[GA5]])</f>
        <v>NOR-GEG-0014MANT4</v>
      </c>
      <c r="BF59" s="683">
        <f>COUNTIF(BDEGENER[SERIE],BDEGENER[[#This Row],[SERIE]])</f>
        <v>16</v>
      </c>
      <c r="BG59" s="683" t="str">
        <f>CONCATENATE("F",COUNTIF($K$7:K59,K59))</f>
        <v>F3</v>
      </c>
      <c r="BH59" s="683" t="str">
        <f>CONCATENATE(BDEGENER[[#This Row],[FECHA DE SERVICIO]],BDEGENER[[#This Row],[N° DE REGISTROS DEL DIA]])</f>
        <v>44167F3</v>
      </c>
      <c r="BI59" s="684"/>
      <c r="BJ59" s="683" t="s">
        <v>1544</v>
      </c>
      <c r="BK59" s="762"/>
    </row>
    <row r="60" spans="2:63" ht="69" hidden="1" x14ac:dyDescent="0.3">
      <c r="B60" s="2"/>
      <c r="C60" s="2"/>
      <c r="D60" s="2"/>
      <c r="E60" s="2"/>
      <c r="F60" s="2"/>
      <c r="G60" s="2"/>
      <c r="H60" s="2"/>
      <c r="I60" s="2"/>
      <c r="J60" s="685"/>
      <c r="K60" s="682">
        <v>44167</v>
      </c>
      <c r="L60" s="683" t="s">
        <v>561</v>
      </c>
      <c r="M60" s="683" t="s">
        <v>2452</v>
      </c>
      <c r="N60" s="683" t="s">
        <v>584</v>
      </c>
      <c r="O60" s="683"/>
      <c r="P60" s="688" t="s">
        <v>3795</v>
      </c>
      <c r="Q60" s="683" t="s">
        <v>107</v>
      </c>
      <c r="R60" s="683" t="s">
        <v>1782</v>
      </c>
      <c r="S60" s="686" t="s">
        <v>3797</v>
      </c>
      <c r="T60" s="683" t="s">
        <v>2546</v>
      </c>
      <c r="U60" s="683" t="s">
        <v>3796</v>
      </c>
      <c r="V60" s="683" t="s">
        <v>677</v>
      </c>
      <c r="W60" s="683" t="s">
        <v>913</v>
      </c>
      <c r="X60" s="691" t="s">
        <v>918</v>
      </c>
      <c r="Y60" s="687">
        <v>3003940357</v>
      </c>
      <c r="Z60" s="692" t="s">
        <v>2612</v>
      </c>
      <c r="AA60" s="683" t="s">
        <v>33</v>
      </c>
      <c r="AB60" s="683" t="s">
        <v>217</v>
      </c>
      <c r="AC60" s="683" t="s">
        <v>749</v>
      </c>
      <c r="AD60" s="683"/>
      <c r="AE60" s="683"/>
      <c r="AF60" s="684">
        <v>6053.5</v>
      </c>
      <c r="AG60" s="683" t="s">
        <v>243</v>
      </c>
      <c r="AH60" s="683" t="s">
        <v>1803</v>
      </c>
      <c r="AI60" s="683" t="s">
        <v>2553</v>
      </c>
      <c r="AJ60" s="683" t="s">
        <v>2816</v>
      </c>
      <c r="AK60" s="683" t="s">
        <v>33</v>
      </c>
      <c r="AL60" s="683">
        <v>20181104</v>
      </c>
      <c r="AM60" s="683"/>
      <c r="AN60" s="683"/>
      <c r="AO60" s="683"/>
      <c r="AP60" s="683" t="s">
        <v>240</v>
      </c>
      <c r="AQ60" s="688" t="str">
        <f>CONCATENATE("REG-",BDEGENER[[#This Row],[FECHA DE SERVICIO]],"-",BDEGENER[[#This Row],[SERIE]],"-",BDEGENER[[#This Row],[HORAS]])</f>
        <v>REG-44167-3003940357-6053,5</v>
      </c>
      <c r="AR60" s="683" t="str">
        <f>CONCATENATE("MARCA: ",BDEGENER[[#This Row],[MARCA]],"
 MODELO: ",BDEGENER[[#This Row],[MODELO]])</f>
        <v>MARCA: GENERAC
 MODELO: RG022</v>
      </c>
      <c r="AS60" s="683" t="str">
        <f>CONCATENATE("MARCA: ",BDEGENER[[#This Row],[MARCA DE MOTOR]],"
SERIE: ",BDEGENER[[#This Row],[SERIE DE MOTOR]])</f>
        <v>MARCA: MITSUBISHI
SERIE: 4G6454M/SXG1014</v>
      </c>
      <c r="AT60" s="683" t="str">
        <f>CONCATENATE("MARCA: ",BDEGENER[[#This Row],[MARCA ALTERNADOR ]],"
SERIE: ",BDEGENER[[#This Row],[SERIE DE ALTERNADOR]])</f>
        <v>MARCA: GENERAC
SERIE: 20181104</v>
      </c>
      <c r="AU60" s="683" t="str">
        <f>CONCATENATE("HORAS: ",BDEGENER[[#This Row],[HORAS]],"
KW-HR: ",BDEGENER[[#This Row],[KW-HORA]],"
VOLT.BATERIA: ",BDEGENER[[#This Row],[VOLTAJE DE BATERIA]],"
TEMPERATURA: ",BDEGENER[[#This Row],[TEMPERATURA DE AGUA]],"
PRES. ACEITE: ",BDEGENER[[#This Row],[PRESION DE ACEITE]])</f>
        <v xml:space="preserve">HORAS: 6053,5
KW-HR: 
VOLT.BATERIA: 
TEMPERATURA: 
PRES. ACEITE: </v>
      </c>
      <c r="AV60" s="683">
        <f>COUNTIFS(Q60:Q2060,"MANTENIMIENTO CORRECTIVO",Y60:Y2060,BDEGENER[[#This Row],[SERIE]])</f>
        <v>1</v>
      </c>
      <c r="AW60" s="683">
        <f>COUNTIFS(Q60:Q2060,"MANTENIMIENTO PREVENTIVO",Y60:Y2060,BDEGENER[[#This Row],[SERIE]])</f>
        <v>10</v>
      </c>
      <c r="AX6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60" s="683">
        <f>COUNTIFS(BDEGENER[SERIE],BDEGENER[[#This Row],[SERIE]],BDEGENER[TIPO DE SERVICIO],"MANTENIMIENTO PREVENTIVO")</f>
        <v>12</v>
      </c>
      <c r="AZ60" s="683" t="str">
        <f>CONCATENATE("MANTENIMIENTO PREVENTIVO N°",BDEGENER[[#This Row],[GA1]])</f>
        <v>MANTENIMIENTO PREVENTIVO N°12</v>
      </c>
      <c r="BA60" s="683" t="str">
        <f>IF(BDEGENER[[#This Row],[SERVICIO]]=BDEGENER[[#This Row],[GA2]],BDEGENER[[#This Row],[HORAS]],"0")</f>
        <v>0</v>
      </c>
      <c r="BB60" s="683">
        <f>SUMIF(BDEGENER[SERIE],BDEGENER[[#This Row],[SERIE]],BDEGENER[GA3])</f>
        <v>6263.3</v>
      </c>
      <c r="BC60" s="683" t="str">
        <f>CONCATENATE("MANT",COUNTIF($Y$7:Y60,Y60))</f>
        <v>MANT5</v>
      </c>
      <c r="BD60" s="683" t="str">
        <f>CONCATENATE(BDEGENER[[#This Row],[SERIE]],BDEGENER[[#This Row],[GA5]])</f>
        <v>3003940357MANT5</v>
      </c>
      <c r="BE60" s="683" t="str">
        <f>CONCATENATE(BDEGENER[[#This Row],[CODIGO PATRIMONIAL]],BDEGENER[[#This Row],[GA5]])</f>
        <v>NOR-GEG-0014MANT5</v>
      </c>
      <c r="BF60" s="683">
        <f>COUNTIF(BDEGENER[SERIE],BDEGENER[[#This Row],[SERIE]])</f>
        <v>16</v>
      </c>
      <c r="BG60" s="683" t="str">
        <f>CONCATENATE("F",COUNTIF($K$7:K60,K60))</f>
        <v>F4</v>
      </c>
      <c r="BH60" s="683" t="str">
        <f>CONCATENATE(BDEGENER[[#This Row],[FECHA DE SERVICIO]],BDEGENER[[#This Row],[N° DE REGISTROS DEL DIA]])</f>
        <v>44167F4</v>
      </c>
      <c r="BI60" s="684"/>
      <c r="BJ60" s="683" t="s">
        <v>1544</v>
      </c>
      <c r="BK60" s="762"/>
    </row>
    <row r="61" spans="2:63" ht="69" hidden="1" x14ac:dyDescent="0.3">
      <c r="B61" s="2"/>
      <c r="C61" s="2"/>
      <c r="D61" s="2"/>
      <c r="E61" s="2"/>
      <c r="F61" s="2"/>
      <c r="G61" s="2"/>
      <c r="H61" s="2"/>
      <c r="I61" s="2"/>
      <c r="J61" s="685"/>
      <c r="K61" s="682">
        <v>44167</v>
      </c>
      <c r="L61" s="683" t="s">
        <v>3716</v>
      </c>
      <c r="M61" s="683" t="s">
        <v>3717</v>
      </c>
      <c r="N61" s="683" t="s">
        <v>3718</v>
      </c>
      <c r="O61" s="683"/>
      <c r="P61" s="688" t="s">
        <v>3719</v>
      </c>
      <c r="Q61" s="683" t="s">
        <v>37</v>
      </c>
      <c r="R61" s="683" t="s">
        <v>1782</v>
      </c>
      <c r="S61" s="686" t="s">
        <v>3720</v>
      </c>
      <c r="T61" s="683" t="s">
        <v>3721</v>
      </c>
      <c r="U61" s="683" t="s">
        <v>3722</v>
      </c>
      <c r="V61" s="683" t="s">
        <v>3723</v>
      </c>
      <c r="W61" s="683" t="s">
        <v>914</v>
      </c>
      <c r="X61" s="691" t="s">
        <v>917</v>
      </c>
      <c r="Y61" s="687" t="s">
        <v>3724</v>
      </c>
      <c r="Z61" s="692" t="s">
        <v>159</v>
      </c>
      <c r="AA61" s="683" t="s">
        <v>1387</v>
      </c>
      <c r="AB61" s="683" t="s">
        <v>3725</v>
      </c>
      <c r="AC61" s="683" t="s">
        <v>3726</v>
      </c>
      <c r="AD61" s="683" t="s">
        <v>3727</v>
      </c>
      <c r="AE61" s="683">
        <v>60</v>
      </c>
      <c r="AF61" s="684">
        <v>105.9</v>
      </c>
      <c r="AG61" s="683" t="s">
        <v>1413</v>
      </c>
      <c r="AH61" s="683" t="s">
        <v>3728</v>
      </c>
      <c r="AI61" s="683" t="s">
        <v>3729</v>
      </c>
      <c r="AJ61" s="683">
        <v>2013621961</v>
      </c>
      <c r="AK61" s="683" t="s">
        <v>1448</v>
      </c>
      <c r="AL61" s="683">
        <v>705017001</v>
      </c>
      <c r="AM61" s="683" t="s">
        <v>3730</v>
      </c>
      <c r="AN61" s="683" t="s">
        <v>3731</v>
      </c>
      <c r="AO61" s="683" t="s">
        <v>3732</v>
      </c>
      <c r="AP61" s="683" t="s">
        <v>240</v>
      </c>
      <c r="AQ61" s="688" t="str">
        <f>CONCATENATE("REG-",BDEGENER[[#This Row],[FECHA DE SERVICIO]],"-",BDEGENER[[#This Row],[SERIE]],"-",BDEGENER[[#This Row],[HORAS]])</f>
        <v>REG-44167-OP1925GVLS-105,9</v>
      </c>
      <c r="AR61" s="683" t="str">
        <f>CONCATENATE("MARCA: ",BDEGENER[[#This Row],[MARCA]],"
 MODELO: ",BDEGENER[[#This Row],[MODELO]])</f>
        <v>MARCA: GAMMA
 MODELO: 360I</v>
      </c>
      <c r="AS61" s="683" t="str">
        <f>CONCATENATE("MARCA: ",BDEGENER[[#This Row],[MARCA DE MOTOR]],"
SERIE: ",BDEGENER[[#This Row],[SERIE DE MOTOR]])</f>
        <v>MARCA: VOLVO PENTA
SERIE: 2013621961</v>
      </c>
      <c r="AT61" s="683" t="str">
        <f>CONCATENATE("MARCA: ",BDEGENER[[#This Row],[MARCA ALTERNADOR ]],"
SERIE: ",BDEGENER[[#This Row],[SERIE DE ALTERNADOR]])</f>
        <v>MARCA: LEROY SOMER
SERIE: 705017001</v>
      </c>
      <c r="AU61" s="683" t="str">
        <f>CONCATENATE("HORAS: ",BDEGENER[[#This Row],[HORAS]],"
KW-HR: ",BDEGENER[[#This Row],[KW-HORA]],"
VOLT.BATERIA: ",BDEGENER[[#This Row],[VOLTAJE DE BATERIA]],"
TEMPERATURA: ",BDEGENER[[#This Row],[TEMPERATURA DE AGUA]],"
PRES. ACEITE: ",BDEGENER[[#This Row],[PRESION DE ACEITE]])</f>
        <v>HORAS: 105,9
KW-HR: 2092,3
VOLT.BATERIA: 28.6 V
TEMPERATURA: 29 °C
PRES. ACEITE: 7 BAR</v>
      </c>
      <c r="AV61" s="683">
        <f>COUNTIFS(Q61:Q2061,"MANTENIMIENTO CORRECTIVO",Y61:Y2061,BDEGENER[[#This Row],[SERIE]])</f>
        <v>0</v>
      </c>
      <c r="AW61" s="683">
        <f>COUNTIFS(Q61:Q2061,"MANTENIMIENTO PREVENTIVO",Y61:Y2061,BDEGENER[[#This Row],[SERIE]])</f>
        <v>1</v>
      </c>
      <c r="AX6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1" s="683">
        <f>COUNTIFS(BDEGENER[SERIE],BDEGENER[[#This Row],[SERIE]],BDEGENER[TIPO DE SERVICIO],"MANTENIMIENTO PREVENTIVO")</f>
        <v>1</v>
      </c>
      <c r="AZ61" s="683" t="str">
        <f>CONCATENATE("MANTENIMIENTO PREVENTIVO N°",BDEGENER[[#This Row],[GA1]])</f>
        <v>MANTENIMIENTO PREVENTIVO N°1</v>
      </c>
      <c r="BA61" s="683">
        <f>IF(BDEGENER[[#This Row],[SERVICIO]]=BDEGENER[[#This Row],[GA2]],BDEGENER[[#This Row],[HORAS]],"0")</f>
        <v>105.9</v>
      </c>
      <c r="BB61" s="683">
        <f>SUMIF(BDEGENER[SERIE],BDEGENER[[#This Row],[SERIE]],BDEGENER[GA3])</f>
        <v>105.9</v>
      </c>
      <c r="BC61" s="761" t="str">
        <f>CONCATENATE("MANT",COUNTIF($Y$7:Y61,Y61))</f>
        <v>MANT1</v>
      </c>
      <c r="BD61" s="683" t="str">
        <f>CONCATENATE(BDEGENER[[#This Row],[SERIE]],BDEGENER[[#This Row],[GA5]])</f>
        <v>OP1925GVLSMANT1</v>
      </c>
      <c r="BE61" s="683" t="str">
        <f>CONCATENATE(BDEGENER[[#This Row],[CODIGO PATRIMONIAL]],BDEGENER[[#This Row],[GA5]])</f>
        <v>MANT1</v>
      </c>
      <c r="BF61" s="683">
        <f>COUNTIF(BDEGENER[SERIE],BDEGENER[[#This Row],[SERIE]])</f>
        <v>1</v>
      </c>
      <c r="BG61" s="761" t="str">
        <f>CONCATENATE("F",COUNTIF($K$7:K61,K61))</f>
        <v>F5</v>
      </c>
      <c r="BH61" s="683" t="str">
        <f>CONCATENATE(BDEGENER[[#This Row],[FECHA DE SERVICIO]],BDEGENER[[#This Row],[N° DE REGISTROS DEL DIA]])</f>
        <v>44167F5</v>
      </c>
      <c r="BI61" s="684">
        <v>2092.3000000000002</v>
      </c>
      <c r="BJ61" s="683" t="s">
        <v>177</v>
      </c>
      <c r="BK61" s="762"/>
    </row>
    <row r="62" spans="2:63" ht="69" hidden="1" x14ac:dyDescent="0.3">
      <c r="B62" s="2"/>
      <c r="C62" s="2"/>
      <c r="D62" s="2"/>
      <c r="E62" s="2"/>
      <c r="F62" s="2"/>
      <c r="G62" s="2"/>
      <c r="H62" s="2"/>
      <c r="I62" s="2"/>
      <c r="J62" s="685"/>
      <c r="K62" s="682">
        <v>44167</v>
      </c>
      <c r="L62" s="683" t="s">
        <v>181</v>
      </c>
      <c r="M62" s="683" t="s">
        <v>186</v>
      </c>
      <c r="N62" s="683" t="s">
        <v>1982</v>
      </c>
      <c r="O62" s="683"/>
      <c r="P62" s="688" t="s">
        <v>3695</v>
      </c>
      <c r="Q62" s="683" t="s">
        <v>37</v>
      </c>
      <c r="R62" s="683" t="s">
        <v>1782</v>
      </c>
      <c r="S62" s="686" t="s">
        <v>3697</v>
      </c>
      <c r="T62" s="683" t="s">
        <v>3696</v>
      </c>
      <c r="U62" s="683" t="s">
        <v>3698</v>
      </c>
      <c r="V62" s="683" t="s">
        <v>677</v>
      </c>
      <c r="W62" s="683" t="s">
        <v>914</v>
      </c>
      <c r="X62" s="691" t="s">
        <v>918</v>
      </c>
      <c r="Y62" s="687">
        <v>3004327724</v>
      </c>
      <c r="Z62" s="692"/>
      <c r="AA62" s="683" t="s">
        <v>33</v>
      </c>
      <c r="AB62" s="683" t="s">
        <v>34</v>
      </c>
      <c r="AC62" s="683" t="s">
        <v>230</v>
      </c>
      <c r="AD62" s="683" t="s">
        <v>1110</v>
      </c>
      <c r="AE62" s="683">
        <v>60</v>
      </c>
      <c r="AF62" s="684">
        <v>2271.8000000000002</v>
      </c>
      <c r="AG62" s="683" t="s">
        <v>243</v>
      </c>
      <c r="AH62" s="683" t="s">
        <v>220</v>
      </c>
      <c r="AI62" s="683" t="s">
        <v>33</v>
      </c>
      <c r="AJ62" s="683">
        <v>3004333872</v>
      </c>
      <c r="AK62" s="683" t="s">
        <v>33</v>
      </c>
      <c r="AL62" s="683"/>
      <c r="AM62" s="683" t="s">
        <v>3018</v>
      </c>
      <c r="AN62" s="683" t="s">
        <v>1430</v>
      </c>
      <c r="AO62" s="683" t="s">
        <v>1166</v>
      </c>
      <c r="AP62" s="683" t="s">
        <v>240</v>
      </c>
      <c r="AQ62" s="688" t="str">
        <f>CONCATENATE("REG-",BDEGENER[[#This Row],[FECHA DE SERVICIO]],"-",BDEGENER[[#This Row],[SERIE]],"-",BDEGENER[[#This Row],[HORAS]])</f>
        <v>REG-44167-3004327724-2271,8</v>
      </c>
      <c r="AR62" s="683" t="str">
        <f>CONCATENATE("MARCA: ",BDEGENER[[#This Row],[MARCA]],"
 MODELO: ",BDEGENER[[#This Row],[MODELO]])</f>
        <v>MARCA: GENERAC
 MODELO: PG090</v>
      </c>
      <c r="AS62" s="683" t="str">
        <f>CONCATENATE("MARCA: ",BDEGENER[[#This Row],[MARCA DE MOTOR]],"
SERIE: ",BDEGENER[[#This Row],[SERIE DE MOTOR]])</f>
        <v>MARCA: GENERAC
SERIE: 3004333872</v>
      </c>
      <c r="AT62" s="683" t="str">
        <f>CONCATENATE("MARCA: ",BDEGENER[[#This Row],[MARCA ALTERNADOR ]],"
SERIE: ",BDEGENER[[#This Row],[SERIE DE ALTERNADOR]])</f>
        <v xml:space="preserve">MARCA: GENERAC
SERIE: </v>
      </c>
      <c r="AU62" s="683" t="str">
        <f>CONCATENATE("HORAS: ",BDEGENER[[#This Row],[HORAS]],"
KW-HR: ",BDEGENER[[#This Row],[KW-HORA]],"
VOLT.BATERIA: ",BDEGENER[[#This Row],[VOLTAJE DE BATERIA]],"
TEMPERATURA: ",BDEGENER[[#This Row],[TEMPERATURA DE AGUA]],"
PRES. ACEITE: ",BDEGENER[[#This Row],[PRESION DE ACEITE]])</f>
        <v>HORAS: 2271,8
KW-HR: 58032,4
VOLT.BATERIA: 14.5 V
TEMPERATURA: 182 °F
PRES. ACEITE: 57 PSI</v>
      </c>
      <c r="AV62" s="683">
        <f>COUNTIFS(Q62:Q2062,"MANTENIMIENTO CORRECTIVO",Y62:Y2062,BDEGENER[[#This Row],[SERIE]])</f>
        <v>6</v>
      </c>
      <c r="AW62" s="683">
        <f>COUNTIFS(Q62:Q2062,"MANTENIMIENTO PREVENTIVO",Y62:Y2062,BDEGENER[[#This Row],[SERIE]])</f>
        <v>8</v>
      </c>
      <c r="AX6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62" s="683">
        <f>COUNTIFS(BDEGENER[SERIE],BDEGENER[[#This Row],[SERIE]],BDEGENER[TIPO DE SERVICIO],"MANTENIMIENTO PREVENTIVO")</f>
        <v>8</v>
      </c>
      <c r="AZ62" s="683" t="str">
        <f>CONCATENATE("MANTENIMIENTO PREVENTIVO N°",BDEGENER[[#This Row],[GA1]])</f>
        <v>MANTENIMIENTO PREVENTIVO N°8</v>
      </c>
      <c r="BA62" s="683">
        <f>IF(BDEGENER[[#This Row],[SERVICIO]]=BDEGENER[[#This Row],[GA2]],BDEGENER[[#This Row],[HORAS]],"0")</f>
        <v>2271.8000000000002</v>
      </c>
      <c r="BB62" s="683">
        <f>SUMIF(BDEGENER[SERIE],BDEGENER[[#This Row],[SERIE]],BDEGENER[GA3])</f>
        <v>2271.8000000000002</v>
      </c>
      <c r="BC62" s="683" t="str">
        <f>CONCATENATE("MANT",COUNTIF($Y$7:Y62,Y62))</f>
        <v>MANT2</v>
      </c>
      <c r="BD62" s="683" t="str">
        <f>CONCATENATE(BDEGENER[[#This Row],[SERIE]],BDEGENER[[#This Row],[GA5]])</f>
        <v>3004327724MANT2</v>
      </c>
      <c r="BE62" s="683" t="str">
        <f>CONCATENATE(BDEGENER[[#This Row],[CODIGO PATRIMONIAL]],BDEGENER[[#This Row],[GA5]])</f>
        <v>MANT2</v>
      </c>
      <c r="BF62" s="683">
        <f>COUNTIF(BDEGENER[SERIE],BDEGENER[[#This Row],[SERIE]])</f>
        <v>17</v>
      </c>
      <c r="BG62" s="683" t="str">
        <f>CONCATENATE("F",COUNTIF($K$7:K62,K62))</f>
        <v>F6</v>
      </c>
      <c r="BH62" s="683" t="str">
        <f>CONCATENATE(BDEGENER[[#This Row],[FECHA DE SERVICIO]],BDEGENER[[#This Row],[N° DE REGISTROS DEL DIA]])</f>
        <v>44167F6</v>
      </c>
      <c r="BI62" s="684">
        <v>58032.4</v>
      </c>
      <c r="BJ62" s="683" t="s">
        <v>1544</v>
      </c>
      <c r="BK62" s="762"/>
    </row>
    <row r="63" spans="2:63" ht="69" hidden="1" x14ac:dyDescent="0.3">
      <c r="B63" s="2"/>
      <c r="C63" s="2"/>
      <c r="D63" s="2"/>
      <c r="E63" s="2"/>
      <c r="F63" s="2"/>
      <c r="G63" s="2"/>
      <c r="H63" s="2"/>
      <c r="I63" s="2"/>
      <c r="J63" s="685"/>
      <c r="K63" s="682">
        <v>44166</v>
      </c>
      <c r="L63" s="683" t="s">
        <v>181</v>
      </c>
      <c r="M63" s="683" t="s">
        <v>190</v>
      </c>
      <c r="N63" s="683" t="s">
        <v>183</v>
      </c>
      <c r="O63" s="683"/>
      <c r="P63" s="683"/>
      <c r="Q63" s="683" t="s">
        <v>2037</v>
      </c>
      <c r="R63" s="683" t="s">
        <v>3699</v>
      </c>
      <c r="S63" s="686" t="s">
        <v>3700</v>
      </c>
      <c r="T63" s="683" t="s">
        <v>3701</v>
      </c>
      <c r="U63" s="683"/>
      <c r="V63" s="683" t="s">
        <v>146</v>
      </c>
      <c r="W63" s="683" t="s">
        <v>914</v>
      </c>
      <c r="X63" s="691" t="s">
        <v>918</v>
      </c>
      <c r="Y63" s="687">
        <v>3004327725</v>
      </c>
      <c r="Z63" s="692"/>
      <c r="AA63" s="683" t="s">
        <v>33</v>
      </c>
      <c r="AB63" s="683" t="s">
        <v>34</v>
      </c>
      <c r="AC63" s="683" t="s">
        <v>230</v>
      </c>
      <c r="AD63" s="683" t="s">
        <v>1110</v>
      </c>
      <c r="AE63" s="683">
        <v>60</v>
      </c>
      <c r="AF63" s="684">
        <v>1607.8</v>
      </c>
      <c r="AG63" s="683" t="s">
        <v>243</v>
      </c>
      <c r="AH63" s="683" t="s">
        <v>220</v>
      </c>
      <c r="AI63" s="683" t="s">
        <v>33</v>
      </c>
      <c r="AJ63" s="683">
        <v>3004333865</v>
      </c>
      <c r="AK63" s="683" t="s">
        <v>33</v>
      </c>
      <c r="AL63" s="683">
        <v>1065020</v>
      </c>
      <c r="AM63" s="683" t="s">
        <v>1377</v>
      </c>
      <c r="AN63" s="683" t="s">
        <v>1122</v>
      </c>
      <c r="AO63" s="683" t="s">
        <v>1144</v>
      </c>
      <c r="AP63" s="683" t="s">
        <v>240</v>
      </c>
      <c r="AQ63" s="688" t="str">
        <f>CONCATENATE("REG-",BDEGENER[[#This Row],[FECHA DE SERVICIO]],"-",BDEGENER[[#This Row],[SERIE]],"-",BDEGENER[[#This Row],[HORAS]])</f>
        <v>REG-44166-3004327725-1607,8</v>
      </c>
      <c r="AR63" s="683" t="str">
        <f>CONCATENATE("MARCA: ",BDEGENER[[#This Row],[MARCA]],"
 MODELO: ",BDEGENER[[#This Row],[MODELO]])</f>
        <v>MARCA: GENERAC
 MODELO: PG090</v>
      </c>
      <c r="AS63" s="683" t="str">
        <f>CONCATENATE("MARCA: ",BDEGENER[[#This Row],[MARCA DE MOTOR]],"
SERIE: ",BDEGENER[[#This Row],[SERIE DE MOTOR]])</f>
        <v>MARCA: GENERAC
SERIE: 3004333865</v>
      </c>
      <c r="AT63" s="683" t="str">
        <f>CONCATENATE("MARCA: ",BDEGENER[[#This Row],[MARCA ALTERNADOR ]],"
SERIE: ",BDEGENER[[#This Row],[SERIE DE ALTERNADOR]])</f>
        <v>MARCA: GENERAC
SERIE: 1065020</v>
      </c>
      <c r="AU63" s="683" t="str">
        <f>CONCATENATE("HORAS: ",BDEGENER[[#This Row],[HORAS]],"
KW-HR: ",BDEGENER[[#This Row],[KW-HORA]],"
VOLT.BATERIA: ",BDEGENER[[#This Row],[VOLTAJE DE BATERIA]],"
TEMPERATURA: ",BDEGENER[[#This Row],[TEMPERATURA DE AGUA]],"
PRES. ACEITE: ",BDEGENER[[#This Row],[PRESION DE ACEITE]])</f>
        <v>HORAS: 1607,8
KW-HR: 21566,3
VOLT.BATERIA: 13.8 V
TEMPERATURA: 195 °F
PRES. ACEITE: 59 PSI</v>
      </c>
      <c r="AV63" s="683">
        <f>COUNTIFS(Q63:Q2063,"MANTENIMIENTO CORRECTIVO",Y63:Y2063,BDEGENER[[#This Row],[SERIE]])</f>
        <v>1</v>
      </c>
      <c r="AW63" s="683">
        <f>COUNTIFS(Q63:Q2063,"MANTENIMIENTO PREVENTIVO",Y63:Y2063,BDEGENER[[#This Row],[SERIE]])</f>
        <v>6</v>
      </c>
      <c r="AX6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63" s="683">
        <f>COUNTIFS(BDEGENER[SERIE],BDEGENER[[#This Row],[SERIE]],BDEGENER[TIPO DE SERVICIO],"MANTENIMIENTO PREVENTIVO")</f>
        <v>6</v>
      </c>
      <c r="AZ63" s="683" t="str">
        <f>CONCATENATE("MANTENIMIENTO PREVENTIVO N°",BDEGENER[[#This Row],[GA1]])</f>
        <v>MANTENIMIENTO PREVENTIVO N°6</v>
      </c>
      <c r="BA63" s="683" t="str">
        <f>IF(BDEGENER[[#This Row],[SERVICIO]]=BDEGENER[[#This Row],[GA2]],BDEGENER[[#This Row],[HORAS]],"0")</f>
        <v>0</v>
      </c>
      <c r="BB63" s="683">
        <f>SUMIF(BDEGENER[SERIE],BDEGENER[[#This Row],[SERIE]],BDEGENER[GA3])</f>
        <v>1599.8</v>
      </c>
      <c r="BC63" s="683" t="str">
        <f>CONCATENATE("MANT",COUNTIF($Y$7:Y63,Y63))</f>
        <v>MANT2</v>
      </c>
      <c r="BD63" s="683" t="str">
        <f>CONCATENATE(BDEGENER[[#This Row],[SERIE]],BDEGENER[[#This Row],[GA5]])</f>
        <v>3004327725MANT2</v>
      </c>
      <c r="BE63" s="683" t="str">
        <f>CONCATENATE(BDEGENER[[#This Row],[CODIGO PATRIMONIAL]],BDEGENER[[#This Row],[GA5]])</f>
        <v>MANT2</v>
      </c>
      <c r="BF63" s="683">
        <f>COUNTIF(BDEGENER[SERIE],BDEGENER[[#This Row],[SERIE]])</f>
        <v>13</v>
      </c>
      <c r="BG63" s="683" t="str">
        <f>CONCATENATE("F",COUNTIF($K$7:K63,K63))</f>
        <v>F1</v>
      </c>
      <c r="BH63" s="683" t="str">
        <f>CONCATENATE(BDEGENER[[#This Row],[FECHA DE SERVICIO]],BDEGENER[[#This Row],[N° DE REGISTROS DEL DIA]])</f>
        <v>44166F1</v>
      </c>
      <c r="BI63" s="684">
        <v>21566.3</v>
      </c>
      <c r="BJ63" s="683" t="s">
        <v>1544</v>
      </c>
      <c r="BK63" s="762" t="s">
        <v>853</v>
      </c>
    </row>
    <row r="64" spans="2:63" ht="69" hidden="1" x14ac:dyDescent="0.3">
      <c r="B64" s="2"/>
      <c r="C64" s="2"/>
      <c r="D64" s="2"/>
      <c r="E64" s="2"/>
      <c r="F64" s="2"/>
      <c r="G64" s="2"/>
      <c r="H64" s="2"/>
      <c r="I64" s="2"/>
      <c r="J64" s="685"/>
      <c r="K64" s="682">
        <v>44165</v>
      </c>
      <c r="L64" s="683" t="s">
        <v>561</v>
      </c>
      <c r="M64" s="683" t="s">
        <v>571</v>
      </c>
      <c r="N64" s="683" t="s">
        <v>572</v>
      </c>
      <c r="O64" s="683"/>
      <c r="P64" s="683"/>
      <c r="Q64" s="683" t="s">
        <v>108</v>
      </c>
      <c r="R64" s="683" t="s">
        <v>1782</v>
      </c>
      <c r="S64" s="686" t="s">
        <v>3884</v>
      </c>
      <c r="T64" s="683" t="s">
        <v>3885</v>
      </c>
      <c r="U64" s="683"/>
      <c r="V64" s="683" t="s">
        <v>150</v>
      </c>
      <c r="W64" s="683" t="s">
        <v>913</v>
      </c>
      <c r="X64" s="691" t="s">
        <v>918</v>
      </c>
      <c r="Y64" s="687">
        <v>3004370203</v>
      </c>
      <c r="Z64" s="692" t="s">
        <v>2598</v>
      </c>
      <c r="AA64" s="683" t="s">
        <v>33</v>
      </c>
      <c r="AB64" s="683" t="s">
        <v>217</v>
      </c>
      <c r="AC64" s="683" t="s">
        <v>749</v>
      </c>
      <c r="AD64" s="683"/>
      <c r="AE64" s="683"/>
      <c r="AF64" s="684" t="s">
        <v>177</v>
      </c>
      <c r="AG64" s="683" t="s">
        <v>243</v>
      </c>
      <c r="AH64" s="683" t="s">
        <v>1803</v>
      </c>
      <c r="AI64" s="683" t="s">
        <v>2553</v>
      </c>
      <c r="AJ64" s="683"/>
      <c r="AK64" s="683" t="s">
        <v>33</v>
      </c>
      <c r="AL64" s="683"/>
      <c r="AM64" s="683"/>
      <c r="AN64" s="683"/>
      <c r="AO64" s="683"/>
      <c r="AP64" s="683" t="s">
        <v>240</v>
      </c>
      <c r="AQ64" s="688" t="str">
        <f>CONCATENATE("REG-",BDEGENER[[#This Row],[FECHA DE SERVICIO]],"-",BDEGENER[[#This Row],[SERIE]],"-",BDEGENER[[#This Row],[HORAS]])</f>
        <v>REG-44165-3004370203-NR</v>
      </c>
      <c r="AR64" s="683" t="str">
        <f>CONCATENATE("MARCA: ",BDEGENER[[#This Row],[MARCA]],"
 MODELO: ",BDEGENER[[#This Row],[MODELO]])</f>
        <v>MARCA: GENERAC
 MODELO: RG022</v>
      </c>
      <c r="AS64" s="683" t="str">
        <f>CONCATENATE("MARCA: ",BDEGENER[[#This Row],[MARCA DE MOTOR]],"
SERIE: ",BDEGENER[[#This Row],[SERIE DE MOTOR]])</f>
        <v xml:space="preserve">MARCA: MITSUBISHI
SERIE: </v>
      </c>
      <c r="AT64" s="683" t="str">
        <f>CONCATENATE("MARCA: ",BDEGENER[[#This Row],[MARCA ALTERNADOR ]],"
SERIE: ",BDEGENER[[#This Row],[SERIE DE ALTERNADOR]])</f>
        <v xml:space="preserve">MARCA: GENERAC
SERIE: </v>
      </c>
      <c r="AU64" s="683"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64" s="683">
        <f>COUNTIFS(Q64:Q2064,"MANTENIMIENTO CORRECTIVO",Y64:Y2064,BDEGENER[[#This Row],[SERIE]])</f>
        <v>3</v>
      </c>
      <c r="AW64" s="683">
        <f>COUNTIFS(Q64:Q2064,"MANTENIMIENTO PREVENTIVO",Y64:Y2064,BDEGENER[[#This Row],[SERIE]])</f>
        <v>6</v>
      </c>
      <c r="AX6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4" s="683">
        <f>COUNTIFS(BDEGENER[SERIE],BDEGENER[[#This Row],[SERIE]],BDEGENER[TIPO DE SERVICIO],"MANTENIMIENTO PREVENTIVO")</f>
        <v>6</v>
      </c>
      <c r="AZ64" s="683" t="str">
        <f>CONCATENATE("MANTENIMIENTO PREVENTIVO N°",BDEGENER[[#This Row],[GA1]])</f>
        <v>MANTENIMIENTO PREVENTIVO N°6</v>
      </c>
      <c r="BA64" s="683" t="str">
        <f>IF(BDEGENER[[#This Row],[SERVICIO]]=BDEGENER[[#This Row],[GA2]],BDEGENER[[#This Row],[HORAS]],"0")</f>
        <v>0</v>
      </c>
      <c r="BB64" s="683">
        <f>SUMIF(BDEGENER[SERIE],BDEGENER[[#This Row],[SERIE]],BDEGENER[GA3])</f>
        <v>2885.1</v>
      </c>
      <c r="BC64" s="761" t="str">
        <f>CONCATENATE("MANT",COUNTIF($Y$7:Y64,Y64))</f>
        <v>MANT1</v>
      </c>
      <c r="BD64" s="683" t="str">
        <f>CONCATENATE(BDEGENER[[#This Row],[SERIE]],BDEGENER[[#This Row],[GA5]])</f>
        <v>3004370203MANT1</v>
      </c>
      <c r="BE64" s="683" t="str">
        <f>CONCATENATE(BDEGENER[[#This Row],[CODIGO PATRIMONIAL]],BDEGENER[[#This Row],[GA5]])</f>
        <v>SUR-GEG-0002MANT1</v>
      </c>
      <c r="BF64" s="683">
        <f>COUNTIF(BDEGENER[SERIE],BDEGENER[[#This Row],[SERIE]])</f>
        <v>14</v>
      </c>
      <c r="BG64" s="761" t="str">
        <f>CONCATENATE("F",COUNTIF($K$7:K64,K64))</f>
        <v>F1</v>
      </c>
      <c r="BH64" s="683" t="str">
        <f>CONCATENATE(BDEGENER[[#This Row],[FECHA DE SERVICIO]],BDEGENER[[#This Row],[N° DE REGISTROS DEL DIA]])</f>
        <v>44165F1</v>
      </c>
      <c r="BI64" s="684"/>
      <c r="BJ64" s="683" t="s">
        <v>1544</v>
      </c>
      <c r="BK64" s="762"/>
    </row>
    <row r="65" spans="2:63" ht="69" hidden="1" x14ac:dyDescent="0.3">
      <c r="B65" s="2"/>
      <c r="C65" s="2"/>
      <c r="D65" s="2"/>
      <c r="E65" s="2"/>
      <c r="F65" s="2"/>
      <c r="G65" s="2"/>
      <c r="H65" s="2"/>
      <c r="I65" s="2"/>
      <c r="J65" s="685"/>
      <c r="K65" s="682">
        <v>44165</v>
      </c>
      <c r="L65" s="683" t="s">
        <v>561</v>
      </c>
      <c r="M65" s="683" t="s">
        <v>583</v>
      </c>
      <c r="N65" s="683" t="s">
        <v>578</v>
      </c>
      <c r="O65" s="683"/>
      <c r="P65" s="688" t="s">
        <v>3779</v>
      </c>
      <c r="Q65" s="683" t="s">
        <v>107</v>
      </c>
      <c r="R65" s="683" t="s">
        <v>1782</v>
      </c>
      <c r="S65" s="686" t="s">
        <v>3780</v>
      </c>
      <c r="T65" s="683" t="s">
        <v>2546</v>
      </c>
      <c r="U65" s="683" t="s">
        <v>1964</v>
      </c>
      <c r="V65" s="683" t="s">
        <v>150</v>
      </c>
      <c r="W65" s="683" t="s">
        <v>913</v>
      </c>
      <c r="X65" s="691" t="s">
        <v>918</v>
      </c>
      <c r="Y65" s="687">
        <v>3004370193</v>
      </c>
      <c r="Z65" s="692" t="s">
        <v>2599</v>
      </c>
      <c r="AA65" s="683" t="s">
        <v>33</v>
      </c>
      <c r="AB65" s="683" t="s">
        <v>217</v>
      </c>
      <c r="AC65" s="683" t="s">
        <v>749</v>
      </c>
      <c r="AD65" s="683"/>
      <c r="AE65" s="683"/>
      <c r="AF65" s="684">
        <v>3710</v>
      </c>
      <c r="AG65" s="683" t="s">
        <v>243</v>
      </c>
      <c r="AH65" s="683" t="s">
        <v>1803</v>
      </c>
      <c r="AI65" s="683" t="s">
        <v>2553</v>
      </c>
      <c r="AJ65" s="683" t="s">
        <v>3670</v>
      </c>
      <c r="AK65" s="683" t="s">
        <v>33</v>
      </c>
      <c r="AL65" s="683"/>
      <c r="AM65" s="683"/>
      <c r="AN65" s="683"/>
      <c r="AO65" s="683"/>
      <c r="AP65" s="683" t="s">
        <v>240</v>
      </c>
      <c r="AQ65" s="688" t="str">
        <f>CONCATENATE("REG-",BDEGENER[[#This Row],[FECHA DE SERVICIO]],"-",BDEGENER[[#This Row],[SERIE]],"-",BDEGENER[[#This Row],[HORAS]])</f>
        <v>REG-44165-3004370193-3710</v>
      </c>
      <c r="AR65" s="683" t="str">
        <f>CONCATENATE("MARCA: ",BDEGENER[[#This Row],[MARCA]],"
 MODELO: ",BDEGENER[[#This Row],[MODELO]])</f>
        <v>MARCA: GENERAC
 MODELO: RG022</v>
      </c>
      <c r="AS65" s="683" t="str">
        <f>CONCATENATE("MARCA: ",BDEGENER[[#This Row],[MARCA DE MOTOR]],"
SERIE: ",BDEGENER[[#This Row],[SERIE DE MOTOR]])</f>
        <v>MARCA: MITSUBISHI
SERIE: 4G6434M</v>
      </c>
      <c r="AT65" s="683" t="str">
        <f>CONCATENATE("MARCA: ",BDEGENER[[#This Row],[MARCA ALTERNADOR ]],"
SERIE: ",BDEGENER[[#This Row],[SERIE DE ALTERNADOR]])</f>
        <v xml:space="preserve">MARCA: GENERAC
SERIE: </v>
      </c>
      <c r="AU65" s="683" t="str">
        <f>CONCATENATE("HORAS: ",BDEGENER[[#This Row],[HORAS]],"
KW-HR: ",BDEGENER[[#This Row],[KW-HORA]],"
VOLT.BATERIA: ",BDEGENER[[#This Row],[VOLTAJE DE BATERIA]],"
TEMPERATURA: ",BDEGENER[[#This Row],[TEMPERATURA DE AGUA]],"
PRES. ACEITE: ",BDEGENER[[#This Row],[PRESION DE ACEITE]])</f>
        <v xml:space="preserve">HORAS: 3710
KW-HR: 
VOLT.BATERIA: 
TEMPERATURA: 
PRES. ACEITE: </v>
      </c>
      <c r="AV65" s="683">
        <f>COUNTIFS(Q65:Q2065,"MANTENIMIENTO CORRECTIVO",Y65:Y2065,BDEGENER[[#This Row],[SERIE]])</f>
        <v>3</v>
      </c>
      <c r="AW65" s="683">
        <f>COUNTIFS(Q65:Q2065,"MANTENIMIENTO PREVENTIVO",Y65:Y2065,BDEGENER[[#This Row],[SERIE]])</f>
        <v>9</v>
      </c>
      <c r="AX6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65" s="683">
        <f>COUNTIFS(BDEGENER[SERIE],BDEGENER[[#This Row],[SERIE]],BDEGENER[TIPO DE SERVICIO],"MANTENIMIENTO PREVENTIVO")</f>
        <v>9</v>
      </c>
      <c r="AZ65" s="683" t="str">
        <f>CONCATENATE("MANTENIMIENTO PREVENTIVO N°",BDEGENER[[#This Row],[GA1]])</f>
        <v>MANTENIMIENTO PREVENTIVO N°9</v>
      </c>
      <c r="BA65" s="683" t="str">
        <f>IF(BDEGENER[[#This Row],[SERVICIO]]=BDEGENER[[#This Row],[GA2]],BDEGENER[[#This Row],[HORAS]],"0")</f>
        <v>0</v>
      </c>
      <c r="BB65" s="683">
        <f>SUMIF(BDEGENER[SERIE],BDEGENER[[#This Row],[SERIE]],BDEGENER[GA3])</f>
        <v>3580.3</v>
      </c>
      <c r="BC65" s="683" t="str">
        <f>CONCATENATE("MANT",COUNTIF($Y$7:Y65,Y65))</f>
        <v>MANT2</v>
      </c>
      <c r="BD65" s="683" t="str">
        <f>CONCATENATE(BDEGENER[[#This Row],[SERIE]],BDEGENER[[#This Row],[GA5]])</f>
        <v>3004370193MANT2</v>
      </c>
      <c r="BE65" s="683" t="str">
        <f>CONCATENATE(BDEGENER[[#This Row],[CODIGO PATRIMONIAL]],BDEGENER[[#This Row],[GA5]])</f>
        <v>SUR-GEG-0003MANT2</v>
      </c>
      <c r="BF65" s="683">
        <f>COUNTIF(BDEGENER[SERIE],BDEGENER[[#This Row],[SERIE]])</f>
        <v>16</v>
      </c>
      <c r="BG65" s="683" t="str">
        <f>CONCATENATE("F",COUNTIF($K$7:K65,K65))</f>
        <v>F2</v>
      </c>
      <c r="BH65" s="683" t="str">
        <f>CONCATENATE(BDEGENER[[#This Row],[FECHA DE SERVICIO]],BDEGENER[[#This Row],[N° DE REGISTROS DEL DIA]])</f>
        <v>44165F2</v>
      </c>
      <c r="BI65" s="684"/>
      <c r="BJ65" s="683" t="s">
        <v>1544</v>
      </c>
      <c r="BK65" s="762"/>
    </row>
    <row r="66" spans="2:63" ht="69" hidden="1" x14ac:dyDescent="0.3">
      <c r="B66" s="2"/>
      <c r="C66" s="2"/>
      <c r="D66" s="2"/>
      <c r="E66" s="2"/>
      <c r="F66" s="2"/>
      <c r="G66" s="2"/>
      <c r="H66" s="2"/>
      <c r="I66" s="2"/>
      <c r="J66" s="685"/>
      <c r="K66" s="682">
        <v>44165</v>
      </c>
      <c r="L66" s="683" t="s">
        <v>561</v>
      </c>
      <c r="M66" s="683" t="s">
        <v>577</v>
      </c>
      <c r="N66" s="683" t="s">
        <v>578</v>
      </c>
      <c r="O66" s="683"/>
      <c r="P66" s="683"/>
      <c r="Q66" s="683" t="s">
        <v>2037</v>
      </c>
      <c r="R66" s="683" t="s">
        <v>1782</v>
      </c>
      <c r="S66" s="686" t="s">
        <v>3776</v>
      </c>
      <c r="T66" s="683" t="s">
        <v>3777</v>
      </c>
      <c r="U66" s="683" t="s">
        <v>3778</v>
      </c>
      <c r="V66" s="683" t="s">
        <v>150</v>
      </c>
      <c r="W66" s="683" t="s">
        <v>913</v>
      </c>
      <c r="X66" s="691" t="s">
        <v>918</v>
      </c>
      <c r="Y66" s="687">
        <v>3004370195</v>
      </c>
      <c r="Z66" s="692" t="s">
        <v>2597</v>
      </c>
      <c r="AA66" s="683" t="s">
        <v>33</v>
      </c>
      <c r="AB66" s="683" t="s">
        <v>217</v>
      </c>
      <c r="AC66" s="683" t="s">
        <v>749</v>
      </c>
      <c r="AD66" s="683"/>
      <c r="AE66" s="683"/>
      <c r="AF66" s="684">
        <v>3279</v>
      </c>
      <c r="AG66" s="683" t="s">
        <v>243</v>
      </c>
      <c r="AH66" s="683" t="s">
        <v>1803</v>
      </c>
      <c r="AI66" s="683" t="s">
        <v>2553</v>
      </c>
      <c r="AJ66" s="683"/>
      <c r="AK66" s="683" t="s">
        <v>33</v>
      </c>
      <c r="AL66" s="683"/>
      <c r="AM66" s="683"/>
      <c r="AN66" s="683"/>
      <c r="AO66" s="683"/>
      <c r="AP66" s="683" t="s">
        <v>240</v>
      </c>
      <c r="AQ66" s="688" t="str">
        <f>CONCATENATE("REG-",BDEGENER[[#This Row],[FECHA DE SERVICIO]],"-",BDEGENER[[#This Row],[SERIE]],"-",BDEGENER[[#This Row],[HORAS]])</f>
        <v>REG-44165-3004370195-3279</v>
      </c>
      <c r="AR66" s="683" t="str">
        <f>CONCATENATE("MARCA: ",BDEGENER[[#This Row],[MARCA]],"
 MODELO: ",BDEGENER[[#This Row],[MODELO]])</f>
        <v>MARCA: GENERAC
 MODELO: RG022</v>
      </c>
      <c r="AS66" s="683" t="str">
        <f>CONCATENATE("MARCA: ",BDEGENER[[#This Row],[MARCA DE MOTOR]],"
SERIE: ",BDEGENER[[#This Row],[SERIE DE MOTOR]])</f>
        <v xml:space="preserve">MARCA: MITSUBISHI
SERIE: </v>
      </c>
      <c r="AT66" s="683" t="str">
        <f>CONCATENATE("MARCA: ",BDEGENER[[#This Row],[MARCA ALTERNADOR ]],"
SERIE: ",BDEGENER[[#This Row],[SERIE DE ALTERNADOR]])</f>
        <v xml:space="preserve">MARCA: GENERAC
SERIE: </v>
      </c>
      <c r="AU66" s="683" t="str">
        <f>CONCATENATE("HORAS: ",BDEGENER[[#This Row],[HORAS]],"
KW-HR: ",BDEGENER[[#This Row],[KW-HORA]],"
VOLT.BATERIA: ",BDEGENER[[#This Row],[VOLTAJE DE BATERIA]],"
TEMPERATURA: ",BDEGENER[[#This Row],[TEMPERATURA DE AGUA]],"
PRES. ACEITE: ",BDEGENER[[#This Row],[PRESION DE ACEITE]])</f>
        <v xml:space="preserve">HORAS: 3279
KW-HR: 
VOLT.BATERIA: 
TEMPERATURA: 
PRES. ACEITE: </v>
      </c>
      <c r="AV66" s="683">
        <f>COUNTIFS(Q66:Q2066,"MANTENIMIENTO CORRECTIVO",Y66:Y2066,BDEGENER[[#This Row],[SERIE]])</f>
        <v>1</v>
      </c>
      <c r="AW66" s="683">
        <f>COUNTIFS(Q66:Q2066,"MANTENIMIENTO PREVENTIVO",Y66:Y2066,BDEGENER[[#This Row],[SERIE]])</f>
        <v>6</v>
      </c>
      <c r="AX6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66" s="683">
        <f>COUNTIFS(BDEGENER[SERIE],BDEGENER[[#This Row],[SERIE]],BDEGENER[TIPO DE SERVICIO],"MANTENIMIENTO PREVENTIVO")</f>
        <v>7</v>
      </c>
      <c r="AZ66" s="683" t="str">
        <f>CONCATENATE("MANTENIMIENTO PREVENTIVO N°",BDEGENER[[#This Row],[GA1]])</f>
        <v>MANTENIMIENTO PREVENTIVO N°7</v>
      </c>
      <c r="BA66" s="683" t="str">
        <f>IF(BDEGENER[[#This Row],[SERVICIO]]=BDEGENER[[#This Row],[GA2]],BDEGENER[[#This Row],[HORAS]],"0")</f>
        <v>0</v>
      </c>
      <c r="BB66" s="683">
        <f>SUMIF(BDEGENER[SERIE],BDEGENER[[#This Row],[SERIE]],BDEGENER[GA3])</f>
        <v>3519.7</v>
      </c>
      <c r="BC66" s="683" t="str">
        <f>CONCATENATE("MANT",COUNTIF($Y$7:Y66,Y66))</f>
        <v>MANT2</v>
      </c>
      <c r="BD66" s="683" t="str">
        <f>CONCATENATE(BDEGENER[[#This Row],[SERIE]],BDEGENER[[#This Row],[GA5]])</f>
        <v>3004370195MANT2</v>
      </c>
      <c r="BE66" s="683" t="str">
        <f>CONCATENATE(BDEGENER[[#This Row],[CODIGO PATRIMONIAL]],BDEGENER[[#This Row],[GA5]])</f>
        <v>SUR-GEG-0001MANT2</v>
      </c>
      <c r="BF66" s="683">
        <f>COUNTIF(BDEGENER[SERIE],BDEGENER[[#This Row],[SERIE]])</f>
        <v>12</v>
      </c>
      <c r="BG66" s="683" t="str">
        <f>CONCATENATE("F",COUNTIF($K$7:K66,K66))</f>
        <v>F3</v>
      </c>
      <c r="BH66" s="683" t="str">
        <f>CONCATENATE(BDEGENER[[#This Row],[FECHA DE SERVICIO]],BDEGENER[[#This Row],[N° DE REGISTROS DEL DIA]])</f>
        <v>44165F3</v>
      </c>
      <c r="BI66" s="684"/>
      <c r="BJ66" s="683" t="s">
        <v>1544</v>
      </c>
      <c r="BK66" s="762"/>
    </row>
    <row r="67" spans="2:63" ht="69" hidden="1" x14ac:dyDescent="0.3">
      <c r="B67" s="2"/>
      <c r="C67" s="2"/>
      <c r="D67" s="2"/>
      <c r="E67" s="2"/>
      <c r="F67" s="2"/>
      <c r="G67" s="2"/>
      <c r="H67" s="2"/>
      <c r="I67" s="2"/>
      <c r="J67" s="685"/>
      <c r="K67" s="682">
        <v>44162</v>
      </c>
      <c r="L67" s="683" t="s">
        <v>181</v>
      </c>
      <c r="M67" s="683" t="s">
        <v>1388</v>
      </c>
      <c r="N67" s="683" t="s">
        <v>1538</v>
      </c>
      <c r="O67" s="683">
        <v>4500816138</v>
      </c>
      <c r="P67" s="683" t="s">
        <v>3911</v>
      </c>
      <c r="Q67" s="683" t="s">
        <v>37</v>
      </c>
      <c r="R67" s="683" t="s">
        <v>1782</v>
      </c>
      <c r="S67" s="686" t="s">
        <v>3909</v>
      </c>
      <c r="T67" s="683" t="s">
        <v>3662</v>
      </c>
      <c r="U67" s="683" t="s">
        <v>3910</v>
      </c>
      <c r="V67" s="683" t="s">
        <v>677</v>
      </c>
      <c r="W67" s="683" t="s">
        <v>914</v>
      </c>
      <c r="X67" s="691" t="s">
        <v>918</v>
      </c>
      <c r="Y67" s="687">
        <v>3004428523</v>
      </c>
      <c r="Z67" s="692"/>
      <c r="AA67" s="683" t="s">
        <v>33</v>
      </c>
      <c r="AB67" s="683" t="s">
        <v>34</v>
      </c>
      <c r="AC67" s="683" t="s">
        <v>230</v>
      </c>
      <c r="AD67" s="683" t="s">
        <v>1123</v>
      </c>
      <c r="AE67" s="683">
        <v>60</v>
      </c>
      <c r="AF67" s="684">
        <v>2439.9</v>
      </c>
      <c r="AG67" s="683" t="s">
        <v>243</v>
      </c>
      <c r="AH67" s="683" t="s">
        <v>220</v>
      </c>
      <c r="AI67" s="683" t="s">
        <v>33</v>
      </c>
      <c r="AJ67" s="683">
        <v>3004426215</v>
      </c>
      <c r="AK67" s="683" t="s">
        <v>33</v>
      </c>
      <c r="AL67" s="683">
        <v>106301030</v>
      </c>
      <c r="AM67" s="683" t="s">
        <v>1094</v>
      </c>
      <c r="AN67" s="683" t="s">
        <v>1423</v>
      </c>
      <c r="AO67" s="683" t="s">
        <v>2855</v>
      </c>
      <c r="AP67" s="683" t="s">
        <v>240</v>
      </c>
      <c r="AQ67" s="688" t="str">
        <f>CONCATENATE("REG-",BDEGENER[[#This Row],[FECHA DE SERVICIO]],"-",BDEGENER[[#This Row],[SERIE]],"-",BDEGENER[[#This Row],[HORAS]])</f>
        <v>REG-44162-3004428523-2439,9</v>
      </c>
      <c r="AR67" s="683" t="str">
        <f>CONCATENATE("MARCA: ",BDEGENER[[#This Row],[MARCA]],"
 MODELO: ",BDEGENER[[#This Row],[MODELO]])</f>
        <v>MARCA: GENERAC
 MODELO: PG090</v>
      </c>
      <c r="AS67" s="683" t="str">
        <f>CONCATENATE("MARCA: ",BDEGENER[[#This Row],[MARCA DE MOTOR]],"
SERIE: ",BDEGENER[[#This Row],[SERIE DE MOTOR]])</f>
        <v>MARCA: GENERAC
SERIE: 3004426215</v>
      </c>
      <c r="AT67" s="683" t="str">
        <f>CONCATENATE("MARCA: ",BDEGENER[[#This Row],[MARCA ALTERNADOR ]],"
SERIE: ",BDEGENER[[#This Row],[SERIE DE ALTERNADOR]])</f>
        <v>MARCA: GENERAC
SERIE: 106301030</v>
      </c>
      <c r="AU67" s="683" t="str">
        <f>CONCATENATE("HORAS: ",BDEGENER[[#This Row],[HORAS]],"
KW-HR: ",BDEGENER[[#This Row],[KW-HORA]],"
VOLT.BATERIA: ",BDEGENER[[#This Row],[VOLTAJE DE BATERIA]],"
TEMPERATURA: ",BDEGENER[[#This Row],[TEMPERATURA DE AGUA]],"
PRES. ACEITE: ",BDEGENER[[#This Row],[PRESION DE ACEITE]])</f>
        <v>HORAS: 2439,9
KW-HR: 79742,1
VOLT.BATERIA: 13.5 V
TEMPERATURA: 190 °F
PRES. ACEITE: 71 PSI</v>
      </c>
      <c r="AV67" s="683">
        <f>COUNTIFS(Q67:Q2067,"MANTENIMIENTO CORRECTIVO",Y67:Y2067,BDEGENER[[#This Row],[SERIE]])</f>
        <v>2</v>
      </c>
      <c r="AW67" s="683">
        <f>COUNTIFS(Q67:Q2067,"MANTENIMIENTO PREVENTIVO",Y67:Y2067,BDEGENER[[#This Row],[SERIE]])</f>
        <v>9</v>
      </c>
      <c r="AX6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67" s="683">
        <f>COUNTIFS(BDEGENER[SERIE],BDEGENER[[#This Row],[SERIE]],BDEGENER[TIPO DE SERVICIO],"MANTENIMIENTO PREVENTIVO")</f>
        <v>9</v>
      </c>
      <c r="AZ67" s="683" t="str">
        <f>CONCATENATE("MANTENIMIENTO PREVENTIVO N°",BDEGENER[[#This Row],[GA1]])</f>
        <v>MANTENIMIENTO PREVENTIVO N°9</v>
      </c>
      <c r="BA67" s="683">
        <f>IF(BDEGENER[[#This Row],[SERVICIO]]=BDEGENER[[#This Row],[GA2]],BDEGENER[[#This Row],[HORAS]],"0")</f>
        <v>2439.9</v>
      </c>
      <c r="BB67" s="683">
        <f>SUMIF(BDEGENER[SERIE],BDEGENER[[#This Row],[SERIE]],BDEGENER[GA3])</f>
        <v>2439.9</v>
      </c>
      <c r="BC67" s="761" t="str">
        <f>CONCATENATE("MANT",COUNTIF($Y$7:Y67,Y67))</f>
        <v>MANT1</v>
      </c>
      <c r="BD67" s="683" t="str">
        <f>CONCATENATE(BDEGENER[[#This Row],[SERIE]],BDEGENER[[#This Row],[GA5]])</f>
        <v>3004428523MANT1</v>
      </c>
      <c r="BE67" s="683" t="str">
        <f>CONCATENATE(BDEGENER[[#This Row],[CODIGO PATRIMONIAL]],BDEGENER[[#This Row],[GA5]])</f>
        <v>MANT1</v>
      </c>
      <c r="BF67" s="683">
        <f>COUNTIF(BDEGENER[SERIE],BDEGENER[[#This Row],[SERIE]])</f>
        <v>14</v>
      </c>
      <c r="BG67" s="761" t="str">
        <f>CONCATENATE("F",COUNTIF($K$7:K67,K67))</f>
        <v>F1</v>
      </c>
      <c r="BH67" s="683" t="str">
        <f>CONCATENATE(BDEGENER[[#This Row],[FECHA DE SERVICIO]],BDEGENER[[#This Row],[N° DE REGISTROS DEL DIA]])</f>
        <v>44162F1</v>
      </c>
      <c r="BI67" s="684">
        <v>79742.100000000006</v>
      </c>
      <c r="BJ67" s="683" t="s">
        <v>1544</v>
      </c>
      <c r="BK67" s="762"/>
    </row>
    <row r="68" spans="2:63" ht="69" hidden="1" x14ac:dyDescent="0.3">
      <c r="B68" s="2"/>
      <c r="C68" s="2"/>
      <c r="D68" s="2"/>
      <c r="E68" s="2"/>
      <c r="F68" s="2"/>
      <c r="G68" s="2"/>
      <c r="H68" s="2"/>
      <c r="I68" s="2"/>
      <c r="J68" s="685"/>
      <c r="K68" s="682">
        <v>44160</v>
      </c>
      <c r="L68" s="683" t="s">
        <v>561</v>
      </c>
      <c r="M68" s="683" t="s">
        <v>2450</v>
      </c>
      <c r="N68" s="683" t="s">
        <v>584</v>
      </c>
      <c r="O68" s="683"/>
      <c r="P68" s="683" t="s">
        <v>3889</v>
      </c>
      <c r="Q68" s="683" t="s">
        <v>37</v>
      </c>
      <c r="R68" s="683" t="s">
        <v>1782</v>
      </c>
      <c r="S68" s="686" t="s">
        <v>3891</v>
      </c>
      <c r="T68" s="683" t="s">
        <v>3892</v>
      </c>
      <c r="U68" s="683" t="s">
        <v>3890</v>
      </c>
      <c r="V68" s="683" t="s">
        <v>150</v>
      </c>
      <c r="W68" s="683" t="s">
        <v>913</v>
      </c>
      <c r="X68" s="691" t="s">
        <v>918</v>
      </c>
      <c r="Y68" s="687">
        <v>3003987064</v>
      </c>
      <c r="Z68" s="692" t="s">
        <v>2614</v>
      </c>
      <c r="AA68" s="683" t="s">
        <v>33</v>
      </c>
      <c r="AB68" s="683" t="s">
        <v>217</v>
      </c>
      <c r="AC68" s="683" t="s">
        <v>749</v>
      </c>
      <c r="AD68" s="683" t="s">
        <v>1087</v>
      </c>
      <c r="AE68" s="683">
        <v>60</v>
      </c>
      <c r="AF68" s="684">
        <v>6097</v>
      </c>
      <c r="AG68" s="683" t="s">
        <v>243</v>
      </c>
      <c r="AH68" s="683" t="s">
        <v>1803</v>
      </c>
      <c r="AI68" s="683" t="s">
        <v>2553</v>
      </c>
      <c r="AJ68" s="683"/>
      <c r="AK68" s="683" t="s">
        <v>33</v>
      </c>
      <c r="AL68" s="683"/>
      <c r="AM68" s="683" t="s">
        <v>1201</v>
      </c>
      <c r="AN68" s="683"/>
      <c r="AO68" s="683"/>
      <c r="AP68" s="683" t="s">
        <v>240</v>
      </c>
      <c r="AQ68" s="688" t="str">
        <f>CONCATENATE("REG-",BDEGENER[[#This Row],[FECHA DE SERVICIO]],"-",BDEGENER[[#This Row],[SERIE]],"-",BDEGENER[[#This Row],[HORAS]])</f>
        <v>REG-44160-3003987064-6097</v>
      </c>
      <c r="AR68" s="683" t="str">
        <f>CONCATENATE("MARCA: ",BDEGENER[[#This Row],[MARCA]],"
 MODELO: ",BDEGENER[[#This Row],[MODELO]])</f>
        <v>MARCA: GENERAC
 MODELO: RG022</v>
      </c>
      <c r="AS68" s="683" t="str">
        <f>CONCATENATE("MARCA: ",BDEGENER[[#This Row],[MARCA DE MOTOR]],"
SERIE: ",BDEGENER[[#This Row],[SERIE DE MOTOR]])</f>
        <v xml:space="preserve">MARCA: MITSUBISHI
SERIE: </v>
      </c>
      <c r="AT68" s="683" t="str">
        <f>CONCATENATE("MARCA: ",BDEGENER[[#This Row],[MARCA ALTERNADOR ]],"
SERIE: ",BDEGENER[[#This Row],[SERIE DE ALTERNADOR]])</f>
        <v xml:space="preserve">MARCA: GENERAC
SERIE: </v>
      </c>
      <c r="AU68" s="683" t="str">
        <f>CONCATENATE("HORAS: ",BDEGENER[[#This Row],[HORAS]],"
KW-HR: ",BDEGENER[[#This Row],[KW-HORA]],"
VOLT.BATERIA: ",BDEGENER[[#This Row],[VOLTAJE DE BATERIA]],"
TEMPERATURA: ",BDEGENER[[#This Row],[TEMPERATURA DE AGUA]],"
PRES. ACEITE: ",BDEGENER[[#This Row],[PRESION DE ACEITE]])</f>
        <v xml:space="preserve">HORAS: 6097
KW-HR: 
VOLT.BATERIA: 14.2 V
TEMPERATURA: 
PRES. ACEITE: </v>
      </c>
      <c r="AV68" s="683">
        <f>COUNTIFS(Q68:Q2068,"MANTENIMIENTO CORRECTIVO",Y68:Y2068,BDEGENER[[#This Row],[SERIE]])</f>
        <v>0</v>
      </c>
      <c r="AW68" s="683">
        <f>COUNTIFS(Q68:Q2068,"MANTENIMIENTO PREVENTIVO",Y68:Y2068,BDEGENER[[#This Row],[SERIE]])</f>
        <v>10</v>
      </c>
      <c r="AX6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N°10</v>
      </c>
      <c r="AY68" s="683">
        <f>COUNTIFS(BDEGENER[SERIE],BDEGENER[[#This Row],[SERIE]],BDEGENER[TIPO DE SERVICIO],"MANTENIMIENTO PREVENTIVO")</f>
        <v>11</v>
      </c>
      <c r="AZ68" s="683" t="str">
        <f>CONCATENATE("MANTENIMIENTO PREVENTIVO N°",BDEGENER[[#This Row],[GA1]])</f>
        <v>MANTENIMIENTO PREVENTIVO N°11</v>
      </c>
      <c r="BA68" s="683" t="str">
        <f>IF(BDEGENER[[#This Row],[SERVICIO]]=BDEGENER[[#This Row],[GA2]],BDEGENER[[#This Row],[HORAS]],"0")</f>
        <v>0</v>
      </c>
      <c r="BB68" s="683">
        <f>SUMIF(BDEGENER[SERIE],BDEGENER[[#This Row],[SERIE]],BDEGENER[GA3])</f>
        <v>6420.8</v>
      </c>
      <c r="BC68" s="683" t="str">
        <f>CONCATENATE("MANT",COUNTIF($Y$7:Y68,Y68))</f>
        <v>MANT3</v>
      </c>
      <c r="BD68" s="683" t="str">
        <f>CONCATENATE(BDEGENER[[#This Row],[SERIE]],BDEGENER[[#This Row],[GA5]])</f>
        <v>3003987064MANT3</v>
      </c>
      <c r="BE68" s="683" t="str">
        <f>CONCATENATE(BDEGENER[[#This Row],[CODIGO PATRIMONIAL]],BDEGENER[[#This Row],[GA5]])</f>
        <v>NOR-GEG-0016MANT3</v>
      </c>
      <c r="BF68" s="683">
        <f>COUNTIF(BDEGENER[SERIE],BDEGENER[[#This Row],[SERIE]])</f>
        <v>12</v>
      </c>
      <c r="BG68" s="683" t="str">
        <f>CONCATENATE("F",COUNTIF($K$7:K68,K68))</f>
        <v>F1</v>
      </c>
      <c r="BH68" s="683" t="str">
        <f>CONCATENATE(BDEGENER[[#This Row],[FECHA DE SERVICIO]],BDEGENER[[#This Row],[N° DE REGISTROS DEL DIA]])</f>
        <v>44160F1</v>
      </c>
      <c r="BI68" s="684"/>
      <c r="BJ68" s="683" t="s">
        <v>1544</v>
      </c>
      <c r="BK68" s="762"/>
    </row>
    <row r="69" spans="2:63" ht="69" hidden="1" x14ac:dyDescent="0.3">
      <c r="B69" s="2"/>
      <c r="C69" s="2"/>
      <c r="D69" s="2"/>
      <c r="E69" s="2"/>
      <c r="F69" s="2"/>
      <c r="G69" s="2"/>
      <c r="H69" s="2"/>
      <c r="I69" s="2"/>
      <c r="J69" s="685"/>
      <c r="K69" s="682">
        <v>44159</v>
      </c>
      <c r="L69" s="683" t="s">
        <v>561</v>
      </c>
      <c r="M69" s="683" t="s">
        <v>2453</v>
      </c>
      <c r="N69" s="683" t="s">
        <v>584</v>
      </c>
      <c r="O69" s="683"/>
      <c r="P69" s="683" t="s">
        <v>3901</v>
      </c>
      <c r="Q69" s="683" t="s">
        <v>37</v>
      </c>
      <c r="R69" s="683" t="s">
        <v>1782</v>
      </c>
      <c r="S69" s="686" t="s">
        <v>3702</v>
      </c>
      <c r="T69" s="683" t="s">
        <v>3904</v>
      </c>
      <c r="U69" s="683" t="s">
        <v>3902</v>
      </c>
      <c r="V69" s="683" t="s">
        <v>147</v>
      </c>
      <c r="W69" s="683" t="s">
        <v>914</v>
      </c>
      <c r="X69" s="691" t="s">
        <v>918</v>
      </c>
      <c r="Y69" s="687">
        <v>3003566703</v>
      </c>
      <c r="Z69" s="692" t="s">
        <v>2615</v>
      </c>
      <c r="AA69" s="683" t="s">
        <v>33</v>
      </c>
      <c r="AB69" s="683" t="s">
        <v>34</v>
      </c>
      <c r="AC69" s="683" t="s">
        <v>230</v>
      </c>
      <c r="AD69" s="683" t="s">
        <v>1123</v>
      </c>
      <c r="AE69" s="683">
        <v>60</v>
      </c>
      <c r="AF69" s="684">
        <v>6396.5</v>
      </c>
      <c r="AG69" s="683" t="s">
        <v>243</v>
      </c>
      <c r="AH69" s="683" t="s">
        <v>220</v>
      </c>
      <c r="AI69" s="683" t="s">
        <v>33</v>
      </c>
      <c r="AJ69" s="683">
        <v>3003412041</v>
      </c>
      <c r="AK69" s="683" t="s">
        <v>33</v>
      </c>
      <c r="AL69" s="683">
        <v>811745</v>
      </c>
      <c r="AM69" s="683" t="s">
        <v>3423</v>
      </c>
      <c r="AN69" s="683" t="s">
        <v>3903</v>
      </c>
      <c r="AO69" s="683" t="s">
        <v>1381</v>
      </c>
      <c r="AP69" s="683" t="s">
        <v>240</v>
      </c>
      <c r="AQ69" s="688" t="str">
        <f>CONCATENATE("REG-",BDEGENER[[#This Row],[FECHA DE SERVICIO]],"-",BDEGENER[[#This Row],[SERIE]],"-",BDEGENER[[#This Row],[HORAS]])</f>
        <v>REG-44159-3003566703-6396,5</v>
      </c>
      <c r="AR69" s="683" t="str">
        <f>CONCATENATE("MARCA: ",BDEGENER[[#This Row],[MARCA]],"
 MODELO: ",BDEGENER[[#This Row],[MODELO]])</f>
        <v>MARCA: GENERAC
 MODELO: PG090</v>
      </c>
      <c r="AS69" s="683" t="str">
        <f>CONCATENATE("MARCA: ",BDEGENER[[#This Row],[MARCA DE MOTOR]],"
SERIE: ",BDEGENER[[#This Row],[SERIE DE MOTOR]])</f>
        <v>MARCA: GENERAC
SERIE: 3003412041</v>
      </c>
      <c r="AT69" s="683" t="str">
        <f>CONCATENATE("MARCA: ",BDEGENER[[#This Row],[MARCA ALTERNADOR ]],"
SERIE: ",BDEGENER[[#This Row],[SERIE DE ALTERNADOR]])</f>
        <v>MARCA: GENERAC
SERIE: 811745</v>
      </c>
      <c r="AU69" s="683" t="str">
        <f>CONCATENATE("HORAS: ",BDEGENER[[#This Row],[HORAS]],"
KW-HR: ",BDEGENER[[#This Row],[KW-HORA]],"
VOLT.BATERIA: ",BDEGENER[[#This Row],[VOLTAJE DE BATERIA]],"
TEMPERATURA: ",BDEGENER[[#This Row],[TEMPERATURA DE AGUA]],"
PRES. ACEITE: ",BDEGENER[[#This Row],[PRESION DE ACEITE]])</f>
        <v>HORAS: 6396,5
KW-HR: 
VOLT.BATERIA: 14.6 V
TEMPERATURA: 162 °F
PRES. ACEITE: 66 PSI</v>
      </c>
      <c r="AV69" s="683">
        <f>COUNTIFS(Q69:Q2069,"MANTENIMIENTO CORRECTIVO",Y69:Y2069,BDEGENER[[#This Row],[SERIE]])</f>
        <v>1</v>
      </c>
      <c r="AW69" s="683">
        <f>COUNTIFS(Q69:Q2069,"MANTENIMIENTO PREVENTIVO",Y69:Y2069,BDEGENER[[#This Row],[SERIE]])</f>
        <v>8</v>
      </c>
      <c r="AX6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69" s="683">
        <f>COUNTIFS(BDEGENER[SERIE],BDEGENER[[#This Row],[SERIE]],BDEGENER[TIPO DE SERVICIO],"MANTENIMIENTO PREVENTIVO")</f>
        <v>8</v>
      </c>
      <c r="AZ69" s="683" t="str">
        <f>CONCATENATE("MANTENIMIENTO PREVENTIVO N°",BDEGENER[[#This Row],[GA1]])</f>
        <v>MANTENIMIENTO PREVENTIVO N°8</v>
      </c>
      <c r="BA69" s="683">
        <f>IF(BDEGENER[[#This Row],[SERVICIO]]=BDEGENER[[#This Row],[GA2]],BDEGENER[[#This Row],[HORAS]],"0")</f>
        <v>6396.5</v>
      </c>
      <c r="BB69" s="683">
        <f>SUMIF(BDEGENER[SERIE],BDEGENER[[#This Row],[SERIE]],BDEGENER[GA3])</f>
        <v>6396.5</v>
      </c>
      <c r="BC69" s="683" t="str">
        <f>CONCATENATE("MANT",COUNTIF($Y$7:Y69,Y69))</f>
        <v>MANT1</v>
      </c>
      <c r="BD69" s="683" t="str">
        <f>CONCATENATE(BDEGENER[[#This Row],[SERIE]],BDEGENER[[#This Row],[GA5]])</f>
        <v>3003566703MANT1</v>
      </c>
      <c r="BE69" s="683" t="str">
        <f>CONCATENATE(BDEGENER[[#This Row],[CODIGO PATRIMONIAL]],BDEGENER[[#This Row],[GA5]])</f>
        <v>NOR-GEG-0017MANT1</v>
      </c>
      <c r="BF69" s="683">
        <f>COUNTIF(BDEGENER[SERIE],BDEGENER[[#This Row],[SERIE]])</f>
        <v>11</v>
      </c>
      <c r="BG69" s="683" t="str">
        <f>CONCATENATE("F",COUNTIF($K$7:K69,K69))</f>
        <v>F1</v>
      </c>
      <c r="BH69" s="683" t="str">
        <f>CONCATENATE(BDEGENER[[#This Row],[FECHA DE SERVICIO]],BDEGENER[[#This Row],[N° DE REGISTROS DEL DIA]])</f>
        <v>44159F1</v>
      </c>
      <c r="BI69" s="684"/>
      <c r="BJ69" s="683" t="s">
        <v>1544</v>
      </c>
      <c r="BK69" s="762">
        <v>45739.199999999997</v>
      </c>
    </row>
    <row r="70" spans="2:63" ht="69" hidden="1" x14ac:dyDescent="0.3">
      <c r="B70" s="2"/>
      <c r="C70" s="2"/>
      <c r="D70" s="2"/>
      <c r="E70" s="2"/>
      <c r="F70" s="2"/>
      <c r="G70" s="2"/>
      <c r="H70" s="2"/>
      <c r="I70" s="2"/>
      <c r="J70" s="685"/>
      <c r="K70" s="682">
        <v>44158</v>
      </c>
      <c r="L70" s="683" t="s">
        <v>181</v>
      </c>
      <c r="M70" s="683" t="s">
        <v>186</v>
      </c>
      <c r="N70" s="683" t="s">
        <v>1982</v>
      </c>
      <c r="O70" s="683">
        <v>4500853877</v>
      </c>
      <c r="P70" s="683" t="s">
        <v>3914</v>
      </c>
      <c r="Q70" s="683" t="s">
        <v>37</v>
      </c>
      <c r="R70" s="683" t="s">
        <v>1782</v>
      </c>
      <c r="S70" s="686" t="s">
        <v>3912</v>
      </c>
      <c r="T70" s="683" t="s">
        <v>3662</v>
      </c>
      <c r="U70" s="683" t="s">
        <v>3913</v>
      </c>
      <c r="V70" s="683" t="s">
        <v>147</v>
      </c>
      <c r="W70" s="683" t="s">
        <v>914</v>
      </c>
      <c r="X70" s="691" t="s">
        <v>918</v>
      </c>
      <c r="Y70" s="687">
        <v>3004327722</v>
      </c>
      <c r="Z70" s="692"/>
      <c r="AA70" s="683" t="s">
        <v>33</v>
      </c>
      <c r="AB70" s="683" t="s">
        <v>34</v>
      </c>
      <c r="AC70" s="683" t="s">
        <v>230</v>
      </c>
      <c r="AD70" s="683" t="s">
        <v>1110</v>
      </c>
      <c r="AE70" s="683">
        <v>60</v>
      </c>
      <c r="AF70" s="684">
        <v>2102.5</v>
      </c>
      <c r="AG70" s="683" t="s">
        <v>243</v>
      </c>
      <c r="AH70" s="683" t="s">
        <v>220</v>
      </c>
      <c r="AI70" s="683" t="s">
        <v>33</v>
      </c>
      <c r="AJ70" s="683">
        <v>3004346816</v>
      </c>
      <c r="AK70" s="683" t="s">
        <v>33</v>
      </c>
      <c r="AL70" s="683"/>
      <c r="AM70" s="683" t="s">
        <v>245</v>
      </c>
      <c r="AN70" s="683" t="s">
        <v>1426</v>
      </c>
      <c r="AO70" s="683" t="s">
        <v>2019</v>
      </c>
      <c r="AP70" s="683" t="s">
        <v>240</v>
      </c>
      <c r="AQ70" s="688" t="str">
        <f>CONCATENATE("REG-",BDEGENER[[#This Row],[FECHA DE SERVICIO]],"-",BDEGENER[[#This Row],[SERIE]],"-",BDEGENER[[#This Row],[HORAS]])</f>
        <v>REG-44158-3004327722-2102,5</v>
      </c>
      <c r="AR70" s="683" t="str">
        <f>CONCATENATE("MARCA: ",BDEGENER[[#This Row],[MARCA]],"
 MODELO: ",BDEGENER[[#This Row],[MODELO]])</f>
        <v>MARCA: GENERAC
 MODELO: PG090</v>
      </c>
      <c r="AS70" s="683" t="str">
        <f>CONCATENATE("MARCA: ",BDEGENER[[#This Row],[MARCA DE MOTOR]],"
SERIE: ",BDEGENER[[#This Row],[SERIE DE MOTOR]])</f>
        <v>MARCA: GENERAC
SERIE: 3004346816</v>
      </c>
      <c r="AT70" s="683" t="str">
        <f>CONCATENATE("MARCA: ",BDEGENER[[#This Row],[MARCA ALTERNADOR ]],"
SERIE: ",BDEGENER[[#This Row],[SERIE DE ALTERNADOR]])</f>
        <v xml:space="preserve">MARCA: GENERAC
SERIE: </v>
      </c>
      <c r="AU70" s="683" t="str">
        <f>CONCATENATE("HORAS: ",BDEGENER[[#This Row],[HORAS]],"
KW-HR: ",BDEGENER[[#This Row],[KW-HORA]],"
VOLT.BATERIA: ",BDEGENER[[#This Row],[VOLTAJE DE BATERIA]],"
TEMPERATURA: ",BDEGENER[[#This Row],[TEMPERATURA DE AGUA]],"
PRES. ACEITE: ",BDEGENER[[#This Row],[PRESION DE ACEITE]])</f>
        <v>HORAS: 2102,5
KW-HR: 56755,6
VOLT.BATERIA: 13.6 V
TEMPERATURA: 164 °F
PRES. ACEITE: 64 PSI</v>
      </c>
      <c r="AV70" s="683">
        <f>COUNTIFS(Q70:Q2070,"MANTENIMIENTO CORRECTIVO",Y70:Y2070,BDEGENER[[#This Row],[SERIE]])</f>
        <v>1</v>
      </c>
      <c r="AW70" s="683">
        <f>COUNTIFS(Q70:Q2070,"MANTENIMIENTO PREVENTIVO",Y70:Y2070,BDEGENER[[#This Row],[SERIE]])</f>
        <v>8</v>
      </c>
      <c r="AX7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70" s="683">
        <f>COUNTIFS(BDEGENER[SERIE],BDEGENER[[#This Row],[SERIE]],BDEGENER[TIPO DE SERVICIO],"MANTENIMIENTO PREVENTIVO")</f>
        <v>8</v>
      </c>
      <c r="AZ70" s="683" t="str">
        <f>CONCATENATE("MANTENIMIENTO PREVENTIVO N°",BDEGENER[[#This Row],[GA1]])</f>
        <v>MANTENIMIENTO PREVENTIVO N°8</v>
      </c>
      <c r="BA70" s="683">
        <f>IF(BDEGENER[[#This Row],[SERVICIO]]=BDEGENER[[#This Row],[GA2]],BDEGENER[[#This Row],[HORAS]],"0")</f>
        <v>2102.5</v>
      </c>
      <c r="BB70" s="683">
        <f>SUMIF(BDEGENER[SERIE],BDEGENER[[#This Row],[SERIE]],BDEGENER[GA3])</f>
        <v>2102.5</v>
      </c>
      <c r="BC70" s="761" t="str">
        <f>CONCATENATE("MANT",COUNTIF($Y$7:Y70,Y70))</f>
        <v>MANT1</v>
      </c>
      <c r="BD70" s="683" t="str">
        <f>CONCATENATE(BDEGENER[[#This Row],[SERIE]],BDEGENER[[#This Row],[GA5]])</f>
        <v>3004327722MANT1</v>
      </c>
      <c r="BE70" s="683" t="str">
        <f>CONCATENATE(BDEGENER[[#This Row],[CODIGO PATRIMONIAL]],BDEGENER[[#This Row],[GA5]])</f>
        <v>MANT1</v>
      </c>
      <c r="BF70" s="683">
        <f>COUNTIF(BDEGENER[SERIE],BDEGENER[[#This Row],[SERIE]])</f>
        <v>10</v>
      </c>
      <c r="BG70" s="761" t="str">
        <f>CONCATENATE("F",COUNTIF($K$7:K70,K70))</f>
        <v>F1</v>
      </c>
      <c r="BH70" s="683" t="str">
        <f>CONCATENATE(BDEGENER[[#This Row],[FECHA DE SERVICIO]],BDEGENER[[#This Row],[N° DE REGISTROS DEL DIA]])</f>
        <v>44158F1</v>
      </c>
      <c r="BI70" s="684">
        <v>56755.6</v>
      </c>
      <c r="BJ70" s="683" t="s">
        <v>1544</v>
      </c>
      <c r="BK70" s="762"/>
    </row>
    <row r="71" spans="2:63" ht="69" hidden="1" x14ac:dyDescent="0.3">
      <c r="B71" s="2"/>
      <c r="C71" s="2"/>
      <c r="D71" s="2"/>
      <c r="E71" s="2"/>
      <c r="F71" s="2"/>
      <c r="G71" s="2"/>
      <c r="H71" s="2"/>
      <c r="I71" s="2"/>
      <c r="J71" s="685"/>
      <c r="K71" s="682">
        <v>44158</v>
      </c>
      <c r="L71" s="683" t="s">
        <v>561</v>
      </c>
      <c r="M71" s="683" t="s">
        <v>2439</v>
      </c>
      <c r="N71" s="683" t="s">
        <v>564</v>
      </c>
      <c r="O71" s="683"/>
      <c r="P71" s="683"/>
      <c r="Q71" s="683" t="s">
        <v>108</v>
      </c>
      <c r="R71" s="683" t="s">
        <v>1782</v>
      </c>
      <c r="S71" s="686" t="s">
        <v>3547</v>
      </c>
      <c r="T71" s="683" t="s">
        <v>3784</v>
      </c>
      <c r="U71" s="683" t="s">
        <v>3785</v>
      </c>
      <c r="V71" s="683" t="s">
        <v>677</v>
      </c>
      <c r="W71" s="683" t="s">
        <v>914</v>
      </c>
      <c r="X71" s="691" t="s">
        <v>918</v>
      </c>
      <c r="Y71" s="687">
        <v>3003962766</v>
      </c>
      <c r="Z71" s="692" t="s">
        <v>2602</v>
      </c>
      <c r="AA71" s="683" t="s">
        <v>33</v>
      </c>
      <c r="AB71" s="683" t="s">
        <v>34</v>
      </c>
      <c r="AC71" s="683" t="s">
        <v>230</v>
      </c>
      <c r="AD71" s="683"/>
      <c r="AE71" s="683"/>
      <c r="AF71" s="684">
        <v>4457.3999999999996</v>
      </c>
      <c r="AG71" s="683" t="s">
        <v>243</v>
      </c>
      <c r="AH71" s="683" t="s">
        <v>220</v>
      </c>
      <c r="AI71" s="683" t="s">
        <v>33</v>
      </c>
      <c r="AJ71" s="683">
        <v>3003966248</v>
      </c>
      <c r="AK71" s="683" t="s">
        <v>33</v>
      </c>
      <c r="AL71" s="683"/>
      <c r="AM71" s="683"/>
      <c r="AN71" s="683"/>
      <c r="AO71" s="683"/>
      <c r="AP71" s="683" t="s">
        <v>240</v>
      </c>
      <c r="AQ71" s="688" t="str">
        <f>CONCATENATE("REG-",BDEGENER[[#This Row],[FECHA DE SERVICIO]],"-",BDEGENER[[#This Row],[SERIE]],"-",BDEGENER[[#This Row],[HORAS]])</f>
        <v>REG-44158-3003962766-4457,4</v>
      </c>
      <c r="AR71" s="683" t="str">
        <f>CONCATENATE("MARCA: ",BDEGENER[[#This Row],[MARCA]],"
 MODELO: ",BDEGENER[[#This Row],[MODELO]])</f>
        <v>MARCA: GENERAC
 MODELO: PG090</v>
      </c>
      <c r="AS71" s="683" t="str">
        <f>CONCATENATE("MARCA: ",BDEGENER[[#This Row],[MARCA DE MOTOR]],"
SERIE: ",BDEGENER[[#This Row],[SERIE DE MOTOR]])</f>
        <v>MARCA: GENERAC
SERIE: 3003966248</v>
      </c>
      <c r="AT71" s="683" t="str">
        <f>CONCATENATE("MARCA: ",BDEGENER[[#This Row],[MARCA ALTERNADOR ]],"
SERIE: ",BDEGENER[[#This Row],[SERIE DE ALTERNADOR]])</f>
        <v xml:space="preserve">MARCA: GENERAC
SERIE: </v>
      </c>
      <c r="AU71" s="683" t="str">
        <f>CONCATENATE("HORAS: ",BDEGENER[[#This Row],[HORAS]],"
KW-HR: ",BDEGENER[[#This Row],[KW-HORA]],"
VOLT.BATERIA: ",BDEGENER[[#This Row],[VOLTAJE DE BATERIA]],"
TEMPERATURA: ",BDEGENER[[#This Row],[TEMPERATURA DE AGUA]],"
PRES. ACEITE: ",BDEGENER[[#This Row],[PRESION DE ACEITE]])</f>
        <v xml:space="preserve">HORAS: 4457,4
KW-HR: 
VOLT.BATERIA: 
TEMPERATURA: 
PRES. ACEITE: </v>
      </c>
      <c r="AV71" s="683">
        <f>COUNTIFS(Q71:Q2071,"MANTENIMIENTO CORRECTIVO",Y71:Y2071,BDEGENER[[#This Row],[SERIE]])</f>
        <v>3</v>
      </c>
      <c r="AW71" s="683">
        <f>COUNTIFS(Q71:Q2071,"MANTENIMIENTO PREVENTIVO",Y71:Y2071,BDEGENER[[#This Row],[SERIE]])</f>
        <v>8</v>
      </c>
      <c r="AX7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71" s="683">
        <f>COUNTIFS(BDEGENER[SERIE],BDEGENER[[#This Row],[SERIE]],BDEGENER[TIPO DE SERVICIO],"MANTENIMIENTO PREVENTIVO")</f>
        <v>9</v>
      </c>
      <c r="AZ71" s="683" t="str">
        <f>CONCATENATE("MANTENIMIENTO PREVENTIVO N°",BDEGENER[[#This Row],[GA1]])</f>
        <v>MANTENIMIENTO PREVENTIVO N°9</v>
      </c>
      <c r="BA71" s="683" t="str">
        <f>IF(BDEGENER[[#This Row],[SERVICIO]]=BDEGENER[[#This Row],[GA2]],BDEGENER[[#This Row],[HORAS]],"0")</f>
        <v>0</v>
      </c>
      <c r="BB71" s="683">
        <f>SUMIF(BDEGENER[SERIE],BDEGENER[[#This Row],[SERIE]],BDEGENER[GA3])</f>
        <v>4662.2</v>
      </c>
      <c r="BC71" s="683" t="str">
        <f>CONCATENATE("MANT",COUNTIF($Y$7:Y71,Y71))</f>
        <v>MANT2</v>
      </c>
      <c r="BD71" s="683" t="str">
        <f>CONCATENATE(BDEGENER[[#This Row],[SERIE]],BDEGENER[[#This Row],[GA5]])</f>
        <v>3003962766MANT2</v>
      </c>
      <c r="BE71" s="683" t="str">
        <f>CONCATENATE(BDEGENER[[#This Row],[CODIGO PATRIMONIAL]],BDEGENER[[#This Row],[GA5]])</f>
        <v>SUR-GEG-0006MANT2</v>
      </c>
      <c r="BF71" s="683">
        <f>COUNTIF(BDEGENER[SERIE],BDEGENER[[#This Row],[SERIE]])</f>
        <v>16</v>
      </c>
      <c r="BG71" s="683" t="str">
        <f>CONCATENATE("F",COUNTIF($K$7:K71,K71))</f>
        <v>F2</v>
      </c>
      <c r="BH71" s="683" t="str">
        <f>CONCATENATE(BDEGENER[[#This Row],[FECHA DE SERVICIO]],BDEGENER[[#This Row],[N° DE REGISTROS DEL DIA]])</f>
        <v>44158F2</v>
      </c>
      <c r="BI71" s="684"/>
      <c r="BJ71" s="683" t="s">
        <v>1544</v>
      </c>
      <c r="BK71" s="762"/>
    </row>
    <row r="72" spans="2:63" ht="69" hidden="1" x14ac:dyDescent="0.3">
      <c r="B72" s="2"/>
      <c r="C72" s="2"/>
      <c r="D72" s="2"/>
      <c r="E72" s="2"/>
      <c r="F72" s="2"/>
      <c r="G72" s="2"/>
      <c r="H72" s="2"/>
      <c r="I72" s="2"/>
      <c r="J72" s="685"/>
      <c r="K72" s="682">
        <v>44158</v>
      </c>
      <c r="L72" s="683" t="s">
        <v>181</v>
      </c>
      <c r="M72" s="683" t="s">
        <v>184</v>
      </c>
      <c r="N72" s="683" t="s">
        <v>183</v>
      </c>
      <c r="O72" s="683"/>
      <c r="P72" s="683"/>
      <c r="Q72" s="683" t="s">
        <v>2037</v>
      </c>
      <c r="R72" s="683" t="s">
        <v>1782</v>
      </c>
      <c r="S72" s="686" t="s">
        <v>3734</v>
      </c>
      <c r="T72" s="683" t="s">
        <v>2546</v>
      </c>
      <c r="U72" s="683" t="s">
        <v>3735</v>
      </c>
      <c r="V72" s="683" t="s">
        <v>146</v>
      </c>
      <c r="W72" s="683" t="s">
        <v>914</v>
      </c>
      <c r="X72" s="691" t="s">
        <v>918</v>
      </c>
      <c r="Y72" s="687">
        <v>3004227749</v>
      </c>
      <c r="Z72" s="692"/>
      <c r="AA72" s="683" t="s">
        <v>33</v>
      </c>
      <c r="AB72" s="683" t="s">
        <v>34</v>
      </c>
      <c r="AC72" s="683" t="s">
        <v>230</v>
      </c>
      <c r="AD72" s="683"/>
      <c r="AE72" s="683"/>
      <c r="AF72" s="684">
        <v>2483.6999999999998</v>
      </c>
      <c r="AG72" s="683" t="s">
        <v>243</v>
      </c>
      <c r="AH72" s="683" t="s">
        <v>220</v>
      </c>
      <c r="AI72" s="683" t="s">
        <v>33</v>
      </c>
      <c r="AJ72" s="683">
        <v>3004231901</v>
      </c>
      <c r="AK72" s="683" t="s">
        <v>33</v>
      </c>
      <c r="AL72" s="683">
        <v>10630140</v>
      </c>
      <c r="AM72" s="683"/>
      <c r="AN72" s="683"/>
      <c r="AO72" s="683"/>
      <c r="AP72" s="683" t="s">
        <v>240</v>
      </c>
      <c r="AQ72" s="683" t="str">
        <f>CONCATENATE("REG-",BDEGENER[[#This Row],[FECHA DE SERVICIO]],"-",BDEGENER[[#This Row],[SERIE]],"-",BDEGENER[[#This Row],[HORAS]])</f>
        <v>REG-44158-3004227749-2483,7</v>
      </c>
      <c r="AR72" s="683" t="str">
        <f>CONCATENATE("MARCA: ",BDEGENER[[#This Row],[MARCA]],"
 MODELO: ",BDEGENER[[#This Row],[MODELO]])</f>
        <v>MARCA: GENERAC
 MODELO: PG090</v>
      </c>
      <c r="AS72" s="683" t="str">
        <f>CONCATENATE("MARCA: ",BDEGENER[[#This Row],[MARCA DE MOTOR]],"
SERIE: ",BDEGENER[[#This Row],[SERIE DE MOTOR]])</f>
        <v>MARCA: GENERAC
SERIE: 3004231901</v>
      </c>
      <c r="AT72" s="683" t="str">
        <f>CONCATENATE("MARCA: ",BDEGENER[[#This Row],[MARCA ALTERNADOR ]],"
SERIE: ",BDEGENER[[#This Row],[SERIE DE ALTERNADOR]])</f>
        <v>MARCA: GENERAC
SERIE: 10630140</v>
      </c>
      <c r="AU72" s="683" t="str">
        <f>CONCATENATE("HORAS: ",BDEGENER[[#This Row],[HORAS]],"
KW-HR: ",BDEGENER[[#This Row],[KW-HORA]],"
VOLT.BATERIA: ",BDEGENER[[#This Row],[VOLTAJE DE BATERIA]],"
TEMPERATURA: ",BDEGENER[[#This Row],[TEMPERATURA DE AGUA]],"
PRES. ACEITE: ",BDEGENER[[#This Row],[PRESION DE ACEITE]])</f>
        <v xml:space="preserve">HORAS: 2483,7
KW-HR: 65925,6
VOLT.BATERIA: 
TEMPERATURA: 
PRES. ACEITE: </v>
      </c>
      <c r="AV72" s="683">
        <f>COUNTIFS(Q72:Q2072,"MANTENIMIENTO CORRECTIVO",Y72:Y2072,BDEGENER[[#This Row],[SERIE]])</f>
        <v>4</v>
      </c>
      <c r="AW72" s="683">
        <f>COUNTIFS(Q72:Q2072,"MANTENIMIENTO PREVENTIVO",Y72:Y2072,BDEGENER[[#This Row],[SERIE]])</f>
        <v>8</v>
      </c>
      <c r="AX7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72" s="683">
        <f>COUNTIFS(BDEGENER[SERIE],BDEGENER[[#This Row],[SERIE]],BDEGENER[TIPO DE SERVICIO],"MANTENIMIENTO PREVENTIVO")</f>
        <v>8</v>
      </c>
      <c r="AZ72" s="683" t="str">
        <f>CONCATENATE("MANTENIMIENTO PREVENTIVO N°",BDEGENER[[#This Row],[GA1]])</f>
        <v>MANTENIMIENTO PREVENTIVO N°8</v>
      </c>
      <c r="BA72" s="683" t="str">
        <f>IF(BDEGENER[[#This Row],[SERVICIO]]=BDEGENER[[#This Row],[GA2]],BDEGENER[[#This Row],[HORAS]],"0")</f>
        <v>0</v>
      </c>
      <c r="BB72" s="683">
        <f>SUMIF(BDEGENER[SERIE],BDEGENER[[#This Row],[SERIE]],BDEGENER[GA3])</f>
        <v>2404.1999999999998</v>
      </c>
      <c r="BC72" s="683" t="str">
        <f>CONCATENATE("MANT",COUNTIF($Y$7:Y72,Y72))</f>
        <v>MANT1</v>
      </c>
      <c r="BD72" s="683" t="str">
        <f>CONCATENATE(BDEGENER[[#This Row],[SERIE]],BDEGENER[[#This Row],[GA5]])</f>
        <v>3004227749MANT1</v>
      </c>
      <c r="BE72" s="683" t="str">
        <f>CONCATENATE(BDEGENER[[#This Row],[CODIGO PATRIMONIAL]],BDEGENER[[#This Row],[GA5]])</f>
        <v>MANT1</v>
      </c>
      <c r="BF72" s="683">
        <f>COUNTIF(BDEGENER[SERIE],BDEGENER[[#This Row],[SERIE]])</f>
        <v>16</v>
      </c>
      <c r="BG72" s="683" t="str">
        <f>CONCATENATE("F",COUNTIF($K$7:K72,K72))</f>
        <v>F3</v>
      </c>
      <c r="BH72" s="683" t="str">
        <f>CONCATENATE(BDEGENER[[#This Row],[FECHA DE SERVICIO]],BDEGENER[[#This Row],[N° DE REGISTROS DEL DIA]])</f>
        <v>44158F3</v>
      </c>
      <c r="BI72" s="684">
        <v>65925.600000000006</v>
      </c>
      <c r="BJ72" s="683" t="s">
        <v>1544</v>
      </c>
      <c r="BK72" s="762"/>
    </row>
    <row r="73" spans="2:63" ht="69" hidden="1" x14ac:dyDescent="0.3">
      <c r="B73" s="2"/>
      <c r="C73" s="2"/>
      <c r="D73" s="2"/>
      <c r="E73" s="2"/>
      <c r="F73" s="2"/>
      <c r="G73" s="2"/>
      <c r="H73" s="2"/>
      <c r="I73" s="2"/>
      <c r="J73" s="685"/>
      <c r="K73" s="682">
        <v>44158</v>
      </c>
      <c r="L73" s="683" t="s">
        <v>561</v>
      </c>
      <c r="M73" s="683" t="s">
        <v>1245</v>
      </c>
      <c r="N73" s="683" t="s">
        <v>570</v>
      </c>
      <c r="O73" s="683"/>
      <c r="P73" s="683"/>
      <c r="Q73" s="683" t="s">
        <v>108</v>
      </c>
      <c r="R73" s="683" t="s">
        <v>1782</v>
      </c>
      <c r="S73" s="686" t="s">
        <v>3753</v>
      </c>
      <c r="T73" s="683" t="s">
        <v>3754</v>
      </c>
      <c r="U73" s="683"/>
      <c r="V73" s="683" t="s">
        <v>677</v>
      </c>
      <c r="W73" s="683" t="s">
        <v>913</v>
      </c>
      <c r="X73" s="691" t="s">
        <v>918</v>
      </c>
      <c r="Y73" s="687">
        <v>3004555912</v>
      </c>
      <c r="Z73" s="692" t="s">
        <v>2607</v>
      </c>
      <c r="AA73" s="683" t="s">
        <v>33</v>
      </c>
      <c r="AB73" s="683" t="s">
        <v>217</v>
      </c>
      <c r="AC73" s="683" t="s">
        <v>749</v>
      </c>
      <c r="AD73" s="683"/>
      <c r="AE73" s="683"/>
      <c r="AF73" s="684">
        <v>2880.1</v>
      </c>
      <c r="AG73" s="683" t="s">
        <v>243</v>
      </c>
      <c r="AH73" s="683" t="s">
        <v>1803</v>
      </c>
      <c r="AI73" s="683" t="s">
        <v>2553</v>
      </c>
      <c r="AJ73" s="683"/>
      <c r="AK73" s="683" t="s">
        <v>33</v>
      </c>
      <c r="AL73" s="683"/>
      <c r="AM73" s="683"/>
      <c r="AN73" s="683"/>
      <c r="AO73" s="683"/>
      <c r="AP73" s="683" t="s">
        <v>240</v>
      </c>
      <c r="AQ73" s="688" t="str">
        <f>CONCATENATE("REG-",BDEGENER[[#This Row],[FECHA DE SERVICIO]],"-",BDEGENER[[#This Row],[SERIE]],"-",BDEGENER[[#This Row],[HORAS]])</f>
        <v>REG-44158-3004555912-2880,1</v>
      </c>
      <c r="AR73" s="683" t="str">
        <f>CONCATENATE("MARCA: ",BDEGENER[[#This Row],[MARCA]],"
 MODELO: ",BDEGENER[[#This Row],[MODELO]])</f>
        <v>MARCA: GENERAC
 MODELO: RG022</v>
      </c>
      <c r="AS73" s="683" t="str">
        <f>CONCATENATE("MARCA: ",BDEGENER[[#This Row],[MARCA DE MOTOR]],"
SERIE: ",BDEGENER[[#This Row],[SERIE DE MOTOR]])</f>
        <v xml:space="preserve">MARCA: MITSUBISHI
SERIE: </v>
      </c>
      <c r="AT73" s="683" t="str">
        <f>CONCATENATE("MARCA: ",BDEGENER[[#This Row],[MARCA ALTERNADOR ]],"
SERIE: ",BDEGENER[[#This Row],[SERIE DE ALTERNADOR]])</f>
        <v xml:space="preserve">MARCA: GENERAC
SERIE: </v>
      </c>
      <c r="AU73" s="683" t="str">
        <f>CONCATENATE("HORAS: ",BDEGENER[[#This Row],[HORAS]],"
KW-HR: ",BDEGENER[[#This Row],[KW-HORA]],"
VOLT.BATERIA: ",BDEGENER[[#This Row],[VOLTAJE DE BATERIA]],"
TEMPERATURA: ",BDEGENER[[#This Row],[TEMPERATURA DE AGUA]],"
PRES. ACEITE: ",BDEGENER[[#This Row],[PRESION DE ACEITE]])</f>
        <v xml:space="preserve">HORAS: 2880,1
KW-HR: 
VOLT.BATERIA: 
TEMPERATURA: 
PRES. ACEITE: </v>
      </c>
      <c r="AV73" s="683">
        <f>COUNTIFS(Q73:Q2073,"MANTENIMIENTO CORRECTIVO",Y73:Y2073,BDEGENER[[#This Row],[SERIE]])</f>
        <v>1</v>
      </c>
      <c r="AW73" s="683">
        <f>COUNTIFS(Q73:Q2073,"MANTENIMIENTO PREVENTIVO",Y73:Y2073,BDEGENER[[#This Row],[SERIE]])</f>
        <v>6</v>
      </c>
      <c r="AX7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73" s="683">
        <f>COUNTIFS(BDEGENER[SERIE],BDEGENER[[#This Row],[SERIE]],BDEGENER[TIPO DE SERVICIO],"MANTENIMIENTO PREVENTIVO")</f>
        <v>6</v>
      </c>
      <c r="AZ73" s="683" t="str">
        <f>CONCATENATE("MANTENIMIENTO PREVENTIVO N°",BDEGENER[[#This Row],[GA1]])</f>
        <v>MANTENIMIENTO PREVENTIVO N°6</v>
      </c>
      <c r="BA73" s="683" t="str">
        <f>IF(BDEGENER[[#This Row],[SERVICIO]]=BDEGENER[[#This Row],[GA2]],BDEGENER[[#This Row],[HORAS]],"0")</f>
        <v>0</v>
      </c>
      <c r="BB73" s="683">
        <f>SUMIF(BDEGENER[SERIE],BDEGENER[[#This Row],[SERIE]],BDEGENER[GA3])</f>
        <v>2869.9</v>
      </c>
      <c r="BC73" s="761" t="str">
        <f>CONCATENATE("MANT",COUNTIF($Y$7:Y73,Y73))</f>
        <v>MANT1</v>
      </c>
      <c r="BD73" s="683" t="str">
        <f>CONCATENATE(BDEGENER[[#This Row],[SERIE]],BDEGENER[[#This Row],[GA5]])</f>
        <v>3004555912MANT1</v>
      </c>
      <c r="BE73" s="683" t="str">
        <f>CONCATENATE(BDEGENER[[#This Row],[CODIGO PATRIMONIAL]],BDEGENER[[#This Row],[GA5]])</f>
        <v>SUR-GEG-0011MANT1</v>
      </c>
      <c r="BF73" s="683">
        <f>COUNTIF(BDEGENER[SERIE],BDEGENER[[#This Row],[SERIE]])</f>
        <v>11</v>
      </c>
      <c r="BG73" s="761" t="str">
        <f>CONCATENATE("F",COUNTIF($K$7:K73,K73))</f>
        <v>F4</v>
      </c>
      <c r="BH73" s="683" t="str">
        <f>CONCATENATE(BDEGENER[[#This Row],[FECHA DE SERVICIO]],BDEGENER[[#This Row],[N° DE REGISTROS DEL DIA]])</f>
        <v>44158F4</v>
      </c>
      <c r="BI73" s="684"/>
      <c r="BJ73" s="683" t="s">
        <v>1544</v>
      </c>
      <c r="BK73" s="762"/>
    </row>
    <row r="74" spans="2:63" ht="69" hidden="1" x14ac:dyDescent="0.3">
      <c r="B74" s="2"/>
      <c r="C74" s="2"/>
      <c r="D74" s="2"/>
      <c r="E74" s="2"/>
      <c r="F74" s="2"/>
      <c r="G74" s="2"/>
      <c r="H74" s="2"/>
      <c r="I74" s="2"/>
      <c r="J74" s="685"/>
      <c r="K74" s="682">
        <v>44158</v>
      </c>
      <c r="L74" s="683" t="s">
        <v>561</v>
      </c>
      <c r="M74" s="683" t="s">
        <v>588</v>
      </c>
      <c r="N74" s="683" t="s">
        <v>589</v>
      </c>
      <c r="O74" s="683"/>
      <c r="P74" s="688" t="s">
        <v>3687</v>
      </c>
      <c r="Q74" s="683" t="s">
        <v>37</v>
      </c>
      <c r="R74" s="683" t="s">
        <v>1782</v>
      </c>
      <c r="S74" s="686" t="s">
        <v>3688</v>
      </c>
      <c r="T74" s="683" t="s">
        <v>3689</v>
      </c>
      <c r="U74" s="683" t="s">
        <v>2049</v>
      </c>
      <c r="V74" s="683" t="s">
        <v>147</v>
      </c>
      <c r="W74" s="683" t="s">
        <v>914</v>
      </c>
      <c r="X74" s="691" t="s">
        <v>918</v>
      </c>
      <c r="Y74" s="687">
        <v>3003566699</v>
      </c>
      <c r="Z74" s="692" t="s">
        <v>2619</v>
      </c>
      <c r="AA74" s="683" t="s">
        <v>33</v>
      </c>
      <c r="AB74" s="683" t="s">
        <v>34</v>
      </c>
      <c r="AC74" s="683" t="s">
        <v>230</v>
      </c>
      <c r="AD74" s="683" t="s">
        <v>1123</v>
      </c>
      <c r="AE74" s="683">
        <v>60</v>
      </c>
      <c r="AF74" s="684">
        <v>7932.7</v>
      </c>
      <c r="AG74" s="683" t="s">
        <v>243</v>
      </c>
      <c r="AH74" s="683" t="s">
        <v>244</v>
      </c>
      <c r="AI74" s="683" t="s">
        <v>33</v>
      </c>
      <c r="AJ74" s="683">
        <v>3003412044</v>
      </c>
      <c r="AK74" s="683" t="s">
        <v>33</v>
      </c>
      <c r="AL74" s="683">
        <v>811745</v>
      </c>
      <c r="AM74" s="683" t="s">
        <v>1094</v>
      </c>
      <c r="AN74" s="683" t="s">
        <v>2791</v>
      </c>
      <c r="AO74" s="683" t="s">
        <v>1095</v>
      </c>
      <c r="AP74" s="683" t="s">
        <v>240</v>
      </c>
      <c r="AQ74" s="688" t="str">
        <f>CONCATENATE("REG-",BDEGENER[[#This Row],[FECHA DE SERVICIO]],"-",BDEGENER[[#This Row],[SERIE]],"-",BDEGENER[[#This Row],[HORAS]])</f>
        <v>REG-44158-3003566699-7932,7</v>
      </c>
      <c r="AR74" s="683" t="str">
        <f>CONCATENATE("MARCA: ",BDEGENER[[#This Row],[MARCA]],"
 MODELO: ",BDEGENER[[#This Row],[MODELO]])</f>
        <v>MARCA: GENERAC
 MODELO: PG090</v>
      </c>
      <c r="AS74" s="683" t="str">
        <f>CONCATENATE("MARCA: ",BDEGENER[[#This Row],[MARCA DE MOTOR]],"
SERIE: ",BDEGENER[[#This Row],[SERIE DE MOTOR]])</f>
        <v>MARCA: GENERAC
SERIE: 3003412044</v>
      </c>
      <c r="AT74" s="683" t="str">
        <f>CONCATENATE("MARCA: ",BDEGENER[[#This Row],[MARCA ALTERNADOR ]],"
SERIE: ",BDEGENER[[#This Row],[SERIE DE ALTERNADOR]])</f>
        <v>MARCA: GENERAC
SERIE: 811745</v>
      </c>
      <c r="AU74" s="683" t="str">
        <f>CONCATENATE("HORAS: ",BDEGENER[[#This Row],[HORAS]],"
KW-HR: ",BDEGENER[[#This Row],[KW-HORA]],"
VOLT.BATERIA: ",BDEGENER[[#This Row],[VOLTAJE DE BATERIA]],"
TEMPERATURA: ",BDEGENER[[#This Row],[TEMPERATURA DE AGUA]],"
PRES. ACEITE: ",BDEGENER[[#This Row],[PRESION DE ACEITE]])</f>
        <v>HORAS: 7932,7
KW-HR: 
VOLT.BATERIA: 13.5 V
TEMPERATURA: 165 °F
PRES. ACEITE: 54 PSI</v>
      </c>
      <c r="AV74" s="683">
        <f>COUNTIFS(Q74:Q2074,"MANTENIMIENTO CORRECTIVO",Y74:Y2074,BDEGENER[[#This Row],[SERIE]])</f>
        <v>4</v>
      </c>
      <c r="AW74" s="683">
        <f>COUNTIFS(Q74:Q2074,"MANTENIMIENTO PREVENTIVO",Y74:Y2074,BDEGENER[[#This Row],[SERIE]])</f>
        <v>11</v>
      </c>
      <c r="AX7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N°11</v>
      </c>
      <c r="AY74" s="683">
        <f>COUNTIFS(BDEGENER[SERIE],BDEGENER[[#This Row],[SERIE]],BDEGENER[TIPO DE SERVICIO],"MANTENIMIENTO PREVENTIVO")</f>
        <v>12</v>
      </c>
      <c r="AZ74" s="683" t="str">
        <f>CONCATENATE("MANTENIMIENTO PREVENTIVO N°",BDEGENER[[#This Row],[GA1]])</f>
        <v>MANTENIMIENTO PREVENTIVO N°12</v>
      </c>
      <c r="BA74" s="683" t="str">
        <f>IF(BDEGENER[[#This Row],[SERVICIO]]=BDEGENER[[#This Row],[GA2]],BDEGENER[[#This Row],[HORAS]],"0")</f>
        <v>0</v>
      </c>
      <c r="BB74" s="683">
        <f>SUMIF(BDEGENER[SERIE],BDEGENER[[#This Row],[SERIE]],BDEGENER[GA3])</f>
        <v>8154.7</v>
      </c>
      <c r="BC74" s="683" t="str">
        <f>CONCATENATE("MANT",COUNTIF($Y$7:Y74,Y74))</f>
        <v>MANT2</v>
      </c>
      <c r="BD74" s="683" t="str">
        <f>CONCATENATE(BDEGENER[[#This Row],[SERIE]],BDEGENER[[#This Row],[GA5]])</f>
        <v>3003566699MANT2</v>
      </c>
      <c r="BE74" s="683" t="str">
        <f>CONCATENATE(BDEGENER[[#This Row],[CODIGO PATRIMONIAL]],BDEGENER[[#This Row],[GA5]])</f>
        <v>NOR-GEG-0021MANT2</v>
      </c>
      <c r="BF74" s="683">
        <f>COUNTIF(BDEGENER[SERIE],BDEGENER[[#This Row],[SERIE]])</f>
        <v>17</v>
      </c>
      <c r="BG74" s="683" t="str">
        <f>CONCATENATE("F",COUNTIF($K$7:K74,K74))</f>
        <v>F5</v>
      </c>
      <c r="BH74" s="683" t="str">
        <f>CONCATENATE(BDEGENER[[#This Row],[FECHA DE SERVICIO]],BDEGENER[[#This Row],[N° DE REGISTROS DEL DIA]])</f>
        <v>44158F5</v>
      </c>
      <c r="BI74" s="684"/>
      <c r="BJ74" s="683" t="s">
        <v>1544</v>
      </c>
      <c r="BK74" s="762" t="s">
        <v>530</v>
      </c>
    </row>
    <row r="75" spans="2:63" ht="69" hidden="1" x14ac:dyDescent="0.3">
      <c r="B75" s="2"/>
      <c r="C75" s="2"/>
      <c r="D75" s="2"/>
      <c r="E75" s="2"/>
      <c r="F75" s="2"/>
      <c r="G75" s="2"/>
      <c r="H75" s="2"/>
      <c r="I75" s="2"/>
      <c r="J75" s="685"/>
      <c r="K75" s="682">
        <v>44155</v>
      </c>
      <c r="L75" s="683" t="s">
        <v>561</v>
      </c>
      <c r="M75" s="683" t="s">
        <v>582</v>
      </c>
      <c r="N75" s="683" t="s">
        <v>578</v>
      </c>
      <c r="O75" s="683"/>
      <c r="P75" s="688" t="s">
        <v>3759</v>
      </c>
      <c r="Q75" s="683" t="s">
        <v>37</v>
      </c>
      <c r="R75" s="683" t="s">
        <v>1782</v>
      </c>
      <c r="S75" s="686" t="s">
        <v>3760</v>
      </c>
      <c r="T75" s="683" t="s">
        <v>3761</v>
      </c>
      <c r="U75" s="683" t="s">
        <v>2887</v>
      </c>
      <c r="V75" s="683" t="s">
        <v>147</v>
      </c>
      <c r="W75" s="683" t="s">
        <v>913</v>
      </c>
      <c r="X75" s="691" t="s">
        <v>918</v>
      </c>
      <c r="Y75" s="687">
        <v>3004555915</v>
      </c>
      <c r="Z75" s="692" t="s">
        <v>2610</v>
      </c>
      <c r="AA75" s="683" t="s">
        <v>33</v>
      </c>
      <c r="AB75" s="683" t="s">
        <v>217</v>
      </c>
      <c r="AC75" s="683" t="s">
        <v>749</v>
      </c>
      <c r="AD75" s="683" t="s">
        <v>1123</v>
      </c>
      <c r="AE75" s="683">
        <v>60</v>
      </c>
      <c r="AF75" s="684">
        <v>3379.4</v>
      </c>
      <c r="AG75" s="683" t="s">
        <v>243</v>
      </c>
      <c r="AH75" s="683" t="s">
        <v>1803</v>
      </c>
      <c r="AI75" s="683" t="s">
        <v>2553</v>
      </c>
      <c r="AJ75" s="683"/>
      <c r="AK75" s="683" t="s">
        <v>33</v>
      </c>
      <c r="AL75" s="683"/>
      <c r="AM75" s="683" t="s">
        <v>245</v>
      </c>
      <c r="AN75" s="683"/>
      <c r="AO75" s="683"/>
      <c r="AP75" s="683" t="s">
        <v>240</v>
      </c>
      <c r="AQ75" s="688" t="str">
        <f>CONCATENATE("REG-",BDEGENER[[#This Row],[FECHA DE SERVICIO]],"-",BDEGENER[[#This Row],[SERIE]],"-",BDEGENER[[#This Row],[HORAS]])</f>
        <v>REG-44155-3004555915-3379,4</v>
      </c>
      <c r="AR75" s="683" t="str">
        <f>CONCATENATE("MARCA: ",BDEGENER[[#This Row],[MARCA]],"
 MODELO: ",BDEGENER[[#This Row],[MODELO]])</f>
        <v>MARCA: GENERAC
 MODELO: RG022</v>
      </c>
      <c r="AS75" s="683" t="str">
        <f>CONCATENATE("MARCA: ",BDEGENER[[#This Row],[MARCA DE MOTOR]],"
SERIE: ",BDEGENER[[#This Row],[SERIE DE MOTOR]])</f>
        <v xml:space="preserve">MARCA: MITSUBISHI
SERIE: </v>
      </c>
      <c r="AT75" s="683" t="str">
        <f>CONCATENATE("MARCA: ",BDEGENER[[#This Row],[MARCA ALTERNADOR ]],"
SERIE: ",BDEGENER[[#This Row],[SERIE DE ALTERNADOR]])</f>
        <v xml:space="preserve">MARCA: GENERAC
SERIE: </v>
      </c>
      <c r="AU75" s="683" t="str">
        <f>CONCATENATE("HORAS: ",BDEGENER[[#This Row],[HORAS]],"
KW-HR: ",BDEGENER[[#This Row],[KW-HORA]],"
VOLT.BATERIA: ",BDEGENER[[#This Row],[VOLTAJE DE BATERIA]],"
TEMPERATURA: ",BDEGENER[[#This Row],[TEMPERATURA DE AGUA]],"
PRES. ACEITE: ",BDEGENER[[#This Row],[PRESION DE ACEITE]])</f>
        <v xml:space="preserve">HORAS: 3379,4
KW-HR: 
VOLT.BATERIA: 13.6 V
TEMPERATURA: 
PRES. ACEITE: </v>
      </c>
      <c r="AV75" s="683">
        <f>COUNTIFS(Q75:Q2075,"MANTENIMIENTO CORRECTIVO",Y75:Y2075,BDEGENER[[#This Row],[SERIE]])</f>
        <v>1</v>
      </c>
      <c r="AW75" s="683">
        <f>COUNTIFS(Q75:Q2075,"MANTENIMIENTO PREVENTIVO",Y75:Y2075,BDEGENER[[#This Row],[SERIE]])</f>
        <v>7</v>
      </c>
      <c r="AX7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75" s="683">
        <f>COUNTIFS(BDEGENER[SERIE],BDEGENER[[#This Row],[SERIE]],BDEGENER[TIPO DE SERVICIO],"MANTENIMIENTO PREVENTIVO")</f>
        <v>7</v>
      </c>
      <c r="AZ75" s="683" t="str">
        <f>CONCATENATE("MANTENIMIENTO PREVENTIVO N°",BDEGENER[[#This Row],[GA1]])</f>
        <v>MANTENIMIENTO PREVENTIVO N°7</v>
      </c>
      <c r="BA75" s="683">
        <f>IF(BDEGENER[[#This Row],[SERVICIO]]=BDEGENER[[#This Row],[GA2]],BDEGENER[[#This Row],[HORAS]],"0")</f>
        <v>3379.4</v>
      </c>
      <c r="BB75" s="683">
        <f>SUMIF(BDEGENER[SERIE],BDEGENER[[#This Row],[SERIE]],BDEGENER[GA3])</f>
        <v>3379.4</v>
      </c>
      <c r="BC75" s="683" t="str">
        <f>CONCATENATE("MANT",COUNTIF($Y$7:Y75,Y75))</f>
        <v>MANT1</v>
      </c>
      <c r="BD75" s="683" t="str">
        <f>CONCATENATE(BDEGENER[[#This Row],[SERIE]],BDEGENER[[#This Row],[GA5]])</f>
        <v>3004555915MANT1</v>
      </c>
      <c r="BE75" s="683" t="str">
        <f>CONCATENATE(BDEGENER[[#This Row],[CODIGO PATRIMONIAL]],BDEGENER[[#This Row],[GA5]])</f>
        <v>SUR-GEG-0022MANT1</v>
      </c>
      <c r="BF75" s="683">
        <f>COUNTIF(BDEGENER[SERIE],BDEGENER[[#This Row],[SERIE]])</f>
        <v>9</v>
      </c>
      <c r="BG75" s="683" t="str">
        <f>CONCATENATE("F",COUNTIF($K$7:K75,K75))</f>
        <v>F1</v>
      </c>
      <c r="BH75" s="683" t="str">
        <f>CONCATENATE(BDEGENER[[#This Row],[FECHA DE SERVICIO]],BDEGENER[[#This Row],[N° DE REGISTROS DEL DIA]])</f>
        <v>44155F1</v>
      </c>
      <c r="BI75" s="684"/>
      <c r="BJ75" s="683" t="s">
        <v>1544</v>
      </c>
      <c r="BK75" s="762"/>
    </row>
    <row r="76" spans="2:63" ht="69" hidden="1" x14ac:dyDescent="0.3">
      <c r="B76" s="2"/>
      <c r="C76" s="2"/>
      <c r="D76" s="2"/>
      <c r="E76" s="2"/>
      <c r="F76" s="2"/>
      <c r="G76" s="2"/>
      <c r="H76" s="2"/>
      <c r="I76" s="2"/>
      <c r="J76" s="685"/>
      <c r="K76" s="682">
        <v>44155</v>
      </c>
      <c r="L76" s="683" t="s">
        <v>561</v>
      </c>
      <c r="M76" s="683" t="s">
        <v>2439</v>
      </c>
      <c r="N76" s="683" t="s">
        <v>564</v>
      </c>
      <c r="O76" s="683"/>
      <c r="P76" s="688" t="s">
        <v>3755</v>
      </c>
      <c r="Q76" s="683" t="s">
        <v>107</v>
      </c>
      <c r="R76" s="683" t="s">
        <v>1782</v>
      </c>
      <c r="S76" s="686" t="s">
        <v>3757</v>
      </c>
      <c r="T76" s="683" t="s">
        <v>3756</v>
      </c>
      <c r="U76" s="683" t="s">
        <v>3758</v>
      </c>
      <c r="V76" s="683" t="s">
        <v>147</v>
      </c>
      <c r="W76" s="683" t="s">
        <v>914</v>
      </c>
      <c r="X76" s="691" t="s">
        <v>918</v>
      </c>
      <c r="Y76" s="687">
        <v>3003962766</v>
      </c>
      <c r="Z76" s="692" t="s">
        <v>2602</v>
      </c>
      <c r="AA76" s="683" t="s">
        <v>33</v>
      </c>
      <c r="AB76" s="683" t="s">
        <v>34</v>
      </c>
      <c r="AC76" s="683" t="s">
        <v>230</v>
      </c>
      <c r="AD76" s="683"/>
      <c r="AE76" s="683"/>
      <c r="AF76" s="684">
        <v>4405.8999999999996</v>
      </c>
      <c r="AG76" s="683" t="s">
        <v>243</v>
      </c>
      <c r="AH76" s="683" t="s">
        <v>220</v>
      </c>
      <c r="AI76" s="683" t="s">
        <v>33</v>
      </c>
      <c r="AJ76" s="683">
        <v>3003966248</v>
      </c>
      <c r="AK76" s="683" t="s">
        <v>33</v>
      </c>
      <c r="AL76" s="683"/>
      <c r="AM76" s="683"/>
      <c r="AN76" s="683"/>
      <c r="AO76" s="683"/>
      <c r="AP76" s="683" t="s">
        <v>240</v>
      </c>
      <c r="AQ76" s="688" t="str">
        <f>CONCATENATE("REG-",BDEGENER[[#This Row],[FECHA DE SERVICIO]],"-",BDEGENER[[#This Row],[SERIE]],"-",BDEGENER[[#This Row],[HORAS]])</f>
        <v>REG-44155-3003962766-4405,9</v>
      </c>
      <c r="AR76" s="683" t="str">
        <f>CONCATENATE("MARCA: ",BDEGENER[[#This Row],[MARCA]],"
 MODELO: ",BDEGENER[[#This Row],[MODELO]])</f>
        <v>MARCA: GENERAC
 MODELO: PG090</v>
      </c>
      <c r="AS76" s="683" t="str">
        <f>CONCATENATE("MARCA: ",BDEGENER[[#This Row],[MARCA DE MOTOR]],"
SERIE: ",BDEGENER[[#This Row],[SERIE DE MOTOR]])</f>
        <v>MARCA: GENERAC
SERIE: 3003966248</v>
      </c>
      <c r="AT76" s="683" t="str">
        <f>CONCATENATE("MARCA: ",BDEGENER[[#This Row],[MARCA ALTERNADOR ]],"
SERIE: ",BDEGENER[[#This Row],[SERIE DE ALTERNADOR]])</f>
        <v xml:space="preserve">MARCA: GENERAC
SERIE: </v>
      </c>
      <c r="AU76" s="683" t="str">
        <f>CONCATENATE("HORAS: ",BDEGENER[[#This Row],[HORAS]],"
KW-HR: ",BDEGENER[[#This Row],[KW-HORA]],"
VOLT.BATERIA: ",BDEGENER[[#This Row],[VOLTAJE DE BATERIA]],"
TEMPERATURA: ",BDEGENER[[#This Row],[TEMPERATURA DE AGUA]],"
PRES. ACEITE: ",BDEGENER[[#This Row],[PRESION DE ACEITE]])</f>
        <v xml:space="preserve">HORAS: 4405,9
KW-HR: 
VOLT.BATERIA: 
TEMPERATURA: 
PRES. ACEITE: </v>
      </c>
      <c r="AV76" s="683">
        <f>COUNTIFS(Q76:Q2076,"MANTENIMIENTO CORRECTIVO",Y76:Y2076,BDEGENER[[#This Row],[SERIE]])</f>
        <v>3</v>
      </c>
      <c r="AW76" s="683">
        <f>COUNTIFS(Q76:Q2076,"MANTENIMIENTO PREVENTIVO",Y76:Y2076,BDEGENER[[#This Row],[SERIE]])</f>
        <v>8</v>
      </c>
      <c r="AX7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76" s="683">
        <f>COUNTIFS(BDEGENER[SERIE],BDEGENER[[#This Row],[SERIE]],BDEGENER[TIPO DE SERVICIO],"MANTENIMIENTO PREVENTIVO")</f>
        <v>9</v>
      </c>
      <c r="AZ76" s="683" t="str">
        <f>CONCATENATE("MANTENIMIENTO PREVENTIVO N°",BDEGENER[[#This Row],[GA1]])</f>
        <v>MANTENIMIENTO PREVENTIVO N°9</v>
      </c>
      <c r="BA76" s="683" t="str">
        <f>IF(BDEGENER[[#This Row],[SERVICIO]]=BDEGENER[[#This Row],[GA2]],BDEGENER[[#This Row],[HORAS]],"0")</f>
        <v>0</v>
      </c>
      <c r="BB76" s="683">
        <f>SUMIF(BDEGENER[SERIE],BDEGENER[[#This Row],[SERIE]],BDEGENER[GA3])</f>
        <v>4662.2</v>
      </c>
      <c r="BC76" s="761" t="str">
        <f>CONCATENATE("MANT",COUNTIF($Y$7:Y76,Y76))</f>
        <v>MANT3</v>
      </c>
      <c r="BD76" s="683" t="str">
        <f>CONCATENATE(BDEGENER[[#This Row],[SERIE]],BDEGENER[[#This Row],[GA5]])</f>
        <v>3003962766MANT3</v>
      </c>
      <c r="BE76" s="683" t="str">
        <f>CONCATENATE(BDEGENER[[#This Row],[CODIGO PATRIMONIAL]],BDEGENER[[#This Row],[GA5]])</f>
        <v>SUR-GEG-0006MANT3</v>
      </c>
      <c r="BF76" s="683">
        <f>COUNTIF(BDEGENER[SERIE],BDEGENER[[#This Row],[SERIE]])</f>
        <v>16</v>
      </c>
      <c r="BG76" s="761" t="str">
        <f>CONCATENATE("F",COUNTIF($K$7:K76,K76))</f>
        <v>F2</v>
      </c>
      <c r="BH76" s="683" t="str">
        <f>CONCATENATE(BDEGENER[[#This Row],[FECHA DE SERVICIO]],BDEGENER[[#This Row],[N° DE REGISTROS DEL DIA]])</f>
        <v>44155F2</v>
      </c>
      <c r="BI76" s="684"/>
      <c r="BJ76" s="683" t="s">
        <v>1544</v>
      </c>
      <c r="BK76" s="762"/>
    </row>
    <row r="77" spans="2:63" ht="69" hidden="1" x14ac:dyDescent="0.3">
      <c r="B77" s="2"/>
      <c r="C77" s="2"/>
      <c r="D77" s="2"/>
      <c r="E77" s="2"/>
      <c r="F77" s="2"/>
      <c r="G77" s="2"/>
      <c r="H77" s="2"/>
      <c r="I77" s="2"/>
      <c r="J77" s="685"/>
      <c r="K77" s="682">
        <v>44155</v>
      </c>
      <c r="L77" s="683" t="s">
        <v>561</v>
      </c>
      <c r="M77" s="683" t="s">
        <v>1245</v>
      </c>
      <c r="N77" s="683" t="s">
        <v>570</v>
      </c>
      <c r="O77" s="683"/>
      <c r="P77" s="688" t="s">
        <v>3750</v>
      </c>
      <c r="Q77" s="683" t="s">
        <v>37</v>
      </c>
      <c r="R77" s="683" t="s">
        <v>1782</v>
      </c>
      <c r="S77" s="686" t="s">
        <v>3751</v>
      </c>
      <c r="T77" s="683" t="s">
        <v>3752</v>
      </c>
      <c r="U77" s="683" t="s">
        <v>2951</v>
      </c>
      <c r="V77" s="683" t="s">
        <v>147</v>
      </c>
      <c r="W77" s="683" t="s">
        <v>913</v>
      </c>
      <c r="X77" s="691" t="s">
        <v>918</v>
      </c>
      <c r="Y77" s="687">
        <v>3004555912</v>
      </c>
      <c r="Z77" s="692" t="s">
        <v>2607</v>
      </c>
      <c r="AA77" s="683" t="s">
        <v>33</v>
      </c>
      <c r="AB77" s="683" t="s">
        <v>217</v>
      </c>
      <c r="AC77" s="683" t="s">
        <v>749</v>
      </c>
      <c r="AD77" s="683" t="s">
        <v>1123</v>
      </c>
      <c r="AE77" s="683">
        <v>60</v>
      </c>
      <c r="AF77" s="684">
        <v>2869.9</v>
      </c>
      <c r="AG77" s="683" t="s">
        <v>243</v>
      </c>
      <c r="AH77" s="683" t="s">
        <v>1803</v>
      </c>
      <c r="AI77" s="683" t="s">
        <v>2553</v>
      </c>
      <c r="AJ77" s="683"/>
      <c r="AK77" s="683" t="s">
        <v>33</v>
      </c>
      <c r="AL77" s="683"/>
      <c r="AM77" s="683" t="s">
        <v>245</v>
      </c>
      <c r="AN77" s="683"/>
      <c r="AO77" s="683"/>
      <c r="AP77" s="683" t="s">
        <v>240</v>
      </c>
      <c r="AQ77" s="688" t="str">
        <f>CONCATENATE("REG-",BDEGENER[[#This Row],[FECHA DE SERVICIO]],"-",BDEGENER[[#This Row],[SERIE]],"-",BDEGENER[[#This Row],[HORAS]])</f>
        <v>REG-44155-3004555912-2869,9</v>
      </c>
      <c r="AR77" s="683" t="str">
        <f>CONCATENATE("MARCA: ",BDEGENER[[#This Row],[MARCA]],"
 MODELO: ",BDEGENER[[#This Row],[MODELO]])</f>
        <v>MARCA: GENERAC
 MODELO: RG022</v>
      </c>
      <c r="AS77" s="683" t="str">
        <f>CONCATENATE("MARCA: ",BDEGENER[[#This Row],[MARCA DE MOTOR]],"
SERIE: ",BDEGENER[[#This Row],[SERIE DE MOTOR]])</f>
        <v xml:space="preserve">MARCA: MITSUBISHI
SERIE: </v>
      </c>
      <c r="AT77" s="683" t="str">
        <f>CONCATENATE("MARCA: ",BDEGENER[[#This Row],[MARCA ALTERNADOR ]],"
SERIE: ",BDEGENER[[#This Row],[SERIE DE ALTERNADOR]])</f>
        <v xml:space="preserve">MARCA: GENERAC
SERIE: </v>
      </c>
      <c r="AU77" s="683" t="str">
        <f>CONCATENATE("HORAS: ",BDEGENER[[#This Row],[HORAS]],"
KW-HR: ",BDEGENER[[#This Row],[KW-HORA]],"
VOLT.BATERIA: ",BDEGENER[[#This Row],[VOLTAJE DE BATERIA]],"
TEMPERATURA: ",BDEGENER[[#This Row],[TEMPERATURA DE AGUA]],"
PRES. ACEITE: ",BDEGENER[[#This Row],[PRESION DE ACEITE]])</f>
        <v xml:space="preserve">HORAS: 2869,9
KW-HR: 
VOLT.BATERIA: 13.6 V
TEMPERATURA: 
PRES. ACEITE: </v>
      </c>
      <c r="AV77" s="683">
        <f>COUNTIFS(Q77:Q2077,"MANTENIMIENTO CORRECTIVO",Y77:Y2077,BDEGENER[[#This Row],[SERIE]])</f>
        <v>1</v>
      </c>
      <c r="AW77" s="683">
        <f>COUNTIFS(Q77:Q2077,"MANTENIMIENTO PREVENTIVO",Y77:Y2077,BDEGENER[[#This Row],[SERIE]])</f>
        <v>6</v>
      </c>
      <c r="AX7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77" s="683">
        <f>COUNTIFS(BDEGENER[SERIE],BDEGENER[[#This Row],[SERIE]],BDEGENER[TIPO DE SERVICIO],"MANTENIMIENTO PREVENTIVO")</f>
        <v>6</v>
      </c>
      <c r="AZ77" s="683" t="str">
        <f>CONCATENATE("MANTENIMIENTO PREVENTIVO N°",BDEGENER[[#This Row],[GA1]])</f>
        <v>MANTENIMIENTO PREVENTIVO N°6</v>
      </c>
      <c r="BA77" s="683">
        <f>IF(BDEGENER[[#This Row],[SERVICIO]]=BDEGENER[[#This Row],[GA2]],BDEGENER[[#This Row],[HORAS]],"0")</f>
        <v>2869.9</v>
      </c>
      <c r="BB77" s="683">
        <f>SUMIF(BDEGENER[SERIE],BDEGENER[[#This Row],[SERIE]],BDEGENER[GA3])</f>
        <v>2869.9</v>
      </c>
      <c r="BC77" s="683" t="str">
        <f>CONCATENATE("MANT",COUNTIF($Y$7:Y77,Y77))</f>
        <v>MANT2</v>
      </c>
      <c r="BD77" s="683" t="str">
        <f>CONCATENATE(BDEGENER[[#This Row],[SERIE]],BDEGENER[[#This Row],[GA5]])</f>
        <v>3004555912MANT2</v>
      </c>
      <c r="BE77" s="683" t="str">
        <f>CONCATENATE(BDEGENER[[#This Row],[CODIGO PATRIMONIAL]],BDEGENER[[#This Row],[GA5]])</f>
        <v>SUR-GEG-0011MANT2</v>
      </c>
      <c r="BF77" s="683">
        <f>COUNTIF(BDEGENER[SERIE],BDEGENER[[#This Row],[SERIE]])</f>
        <v>11</v>
      </c>
      <c r="BG77" s="683" t="str">
        <f>CONCATENATE("F",COUNTIF($K$7:K77,K77))</f>
        <v>F3</v>
      </c>
      <c r="BH77" s="683" t="str">
        <f>CONCATENATE(BDEGENER[[#This Row],[FECHA DE SERVICIO]],BDEGENER[[#This Row],[N° DE REGISTROS DEL DIA]])</f>
        <v>44155F3</v>
      </c>
      <c r="BI77" s="684"/>
      <c r="BJ77" s="683" t="s">
        <v>1544</v>
      </c>
      <c r="BK77" s="762"/>
    </row>
    <row r="78" spans="2:63" ht="69" hidden="1" x14ac:dyDescent="0.3">
      <c r="B78" s="2"/>
      <c r="C78" s="2"/>
      <c r="D78" s="2"/>
      <c r="E78" s="2"/>
      <c r="F78" s="2"/>
      <c r="G78" s="2"/>
      <c r="H78" s="2"/>
      <c r="I78" s="2"/>
      <c r="J78" s="685"/>
      <c r="K78" s="682">
        <v>44154</v>
      </c>
      <c r="L78" s="683" t="s">
        <v>181</v>
      </c>
      <c r="M78" s="683" t="s">
        <v>2179</v>
      </c>
      <c r="N78" s="683" t="s">
        <v>2170</v>
      </c>
      <c r="O78" s="683">
        <v>4500926217</v>
      </c>
      <c r="P78" s="683" t="s">
        <v>3905</v>
      </c>
      <c r="Q78" s="683" t="s">
        <v>37</v>
      </c>
      <c r="R78" s="683" t="s">
        <v>1782</v>
      </c>
      <c r="S78" s="686" t="s">
        <v>3907</v>
      </c>
      <c r="T78" s="683" t="s">
        <v>3908</v>
      </c>
      <c r="U78" s="683" t="s">
        <v>3906</v>
      </c>
      <c r="V78" s="683" t="s">
        <v>677</v>
      </c>
      <c r="W78" s="683" t="s">
        <v>914</v>
      </c>
      <c r="X78" s="691" t="s">
        <v>918</v>
      </c>
      <c r="Y78" s="687">
        <v>3005167425</v>
      </c>
      <c r="Z78" s="692" t="s">
        <v>159</v>
      </c>
      <c r="AA78" s="683" t="s">
        <v>33</v>
      </c>
      <c r="AB78" s="683" t="s">
        <v>2174</v>
      </c>
      <c r="AC78" s="683" t="s">
        <v>2175</v>
      </c>
      <c r="AD78" s="683" t="s">
        <v>1110</v>
      </c>
      <c r="AE78" s="683">
        <v>60</v>
      </c>
      <c r="AF78" s="684">
        <v>1939.8</v>
      </c>
      <c r="AG78" s="683" t="s">
        <v>243</v>
      </c>
      <c r="AH78" s="683" t="s">
        <v>220</v>
      </c>
      <c r="AI78" s="683" t="s">
        <v>33</v>
      </c>
      <c r="AJ78" s="683" t="s">
        <v>2222</v>
      </c>
      <c r="AK78" s="683" t="s">
        <v>33</v>
      </c>
      <c r="AL78" s="683">
        <v>147951510</v>
      </c>
      <c r="AM78" s="683" t="s">
        <v>1121</v>
      </c>
      <c r="AN78" s="683" t="s">
        <v>1122</v>
      </c>
      <c r="AO78" s="683" t="s">
        <v>1090</v>
      </c>
      <c r="AP78" s="683" t="s">
        <v>240</v>
      </c>
      <c r="AQ78" s="688" t="str">
        <f>CONCATENATE("REG-",BDEGENER[[#This Row],[FECHA DE SERVICIO]],"-",BDEGENER[[#This Row],[SERIE]],"-",BDEGENER[[#This Row],[HORAS]])</f>
        <v>REG-44154-3005167425-1939,8</v>
      </c>
      <c r="AR78" s="683" t="str">
        <f>CONCATENATE("MARCA: ",BDEGENER[[#This Row],[MARCA]],"
 MODELO: ",BDEGENER[[#This Row],[MODELO]])</f>
        <v>MARCA: GENERAC
 MODELO: SG070</v>
      </c>
      <c r="AS78" s="683" t="str">
        <f>CONCATENATE("MARCA: ",BDEGENER[[#This Row],[MARCA DE MOTOR]],"
SERIE: ",BDEGENER[[#This Row],[SERIE DE MOTOR]])</f>
        <v>MARCA: GENERAC
SERIE: GP680AA-EH2A 250618</v>
      </c>
      <c r="AT78" s="683" t="str">
        <f>CONCATENATE("MARCA: ",BDEGENER[[#This Row],[MARCA ALTERNADOR ]],"
SERIE: ",BDEGENER[[#This Row],[SERIE DE ALTERNADOR]])</f>
        <v>MARCA: GENERAC
SERIE: 147951510</v>
      </c>
      <c r="AU78" s="683" t="str">
        <f>CONCATENATE("HORAS: ",BDEGENER[[#This Row],[HORAS]],"
KW-HR: ",BDEGENER[[#This Row],[KW-HORA]],"
VOLT.BATERIA: ",BDEGENER[[#This Row],[VOLTAJE DE BATERIA]],"
TEMPERATURA: ",BDEGENER[[#This Row],[TEMPERATURA DE AGUA]],"
PRES. ACEITE: ",BDEGENER[[#This Row],[PRESION DE ACEITE]])</f>
        <v>HORAS: 1939,8
KW-HR: 20769,3
VOLT.BATERIA: 13.7 V
TEMPERATURA: 195 °F
PRES. ACEITE: 69 PSI</v>
      </c>
      <c r="AV78" s="683">
        <f>COUNTIFS(Q78:Q2078,"MANTENIMIENTO CORRECTIVO",Y78:Y2078,BDEGENER[[#This Row],[SERIE]])</f>
        <v>0</v>
      </c>
      <c r="AW78" s="683">
        <f>COUNTIFS(Q78:Q2078,"MANTENIMIENTO PREVENTIVO",Y78:Y2078,BDEGENER[[#This Row],[SERIE]])</f>
        <v>6</v>
      </c>
      <c r="AX7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78" s="683">
        <f>COUNTIFS(BDEGENER[SERIE],BDEGENER[[#This Row],[SERIE]],BDEGENER[TIPO DE SERVICIO],"MANTENIMIENTO PREVENTIVO")</f>
        <v>6</v>
      </c>
      <c r="AZ78" s="683" t="str">
        <f>CONCATENATE("MANTENIMIENTO PREVENTIVO N°",BDEGENER[[#This Row],[GA1]])</f>
        <v>MANTENIMIENTO PREVENTIVO N°6</v>
      </c>
      <c r="BA78" s="683">
        <f>IF(BDEGENER[[#This Row],[SERVICIO]]=BDEGENER[[#This Row],[GA2]],BDEGENER[[#This Row],[HORAS]],"0")</f>
        <v>1939.8</v>
      </c>
      <c r="BB78" s="683">
        <f>SUMIF(BDEGENER[SERIE],BDEGENER[[#This Row],[SERIE]],BDEGENER[GA3])</f>
        <v>1939.8</v>
      </c>
      <c r="BC78" s="683" t="str">
        <f>CONCATENATE("MANT",COUNTIF($Y$7:Y78,Y78))</f>
        <v>MANT1</v>
      </c>
      <c r="BD78" s="683" t="str">
        <f>CONCATENATE(BDEGENER[[#This Row],[SERIE]],BDEGENER[[#This Row],[GA5]])</f>
        <v>3005167425MANT1</v>
      </c>
      <c r="BE78" s="683" t="str">
        <f>CONCATENATE(BDEGENER[[#This Row],[CODIGO PATRIMONIAL]],BDEGENER[[#This Row],[GA5]])</f>
        <v>MANT1</v>
      </c>
      <c r="BF78" s="683">
        <f>COUNTIF(BDEGENER[SERIE],BDEGENER[[#This Row],[SERIE]])</f>
        <v>7</v>
      </c>
      <c r="BG78" s="683" t="str">
        <f>CONCATENATE("F",COUNTIF($K$7:K78,K78))</f>
        <v>F1</v>
      </c>
      <c r="BH78" s="683" t="str">
        <f>CONCATENATE(BDEGENER[[#This Row],[FECHA DE SERVICIO]],BDEGENER[[#This Row],[N° DE REGISTROS DEL DIA]])</f>
        <v>44154F1</v>
      </c>
      <c r="BI78" s="684">
        <v>20769.3</v>
      </c>
      <c r="BJ78" s="683" t="s">
        <v>1544</v>
      </c>
      <c r="BK78" s="762" t="s">
        <v>788</v>
      </c>
    </row>
    <row r="79" spans="2:63" ht="69" hidden="1" x14ac:dyDescent="0.3">
      <c r="B79" s="2"/>
      <c r="C79" s="2"/>
      <c r="D79" s="2"/>
      <c r="E79" s="2"/>
      <c r="F79" s="2"/>
      <c r="G79" s="2"/>
      <c r="H79" s="2"/>
      <c r="I79" s="2"/>
      <c r="J79" s="685"/>
      <c r="K79" s="682">
        <v>44154</v>
      </c>
      <c r="L79" s="683" t="s">
        <v>181</v>
      </c>
      <c r="M79" s="683" t="s">
        <v>2169</v>
      </c>
      <c r="N79" s="683" t="s">
        <v>2170</v>
      </c>
      <c r="O79" s="683">
        <v>4500926217</v>
      </c>
      <c r="P79" s="683" t="s">
        <v>3847</v>
      </c>
      <c r="Q79" s="683" t="s">
        <v>37</v>
      </c>
      <c r="R79" s="683" t="s">
        <v>1782</v>
      </c>
      <c r="S79" s="686" t="s">
        <v>3848</v>
      </c>
      <c r="T79" s="683" t="s">
        <v>3849</v>
      </c>
      <c r="U79" s="683" t="s">
        <v>3850</v>
      </c>
      <c r="V79" s="683" t="s">
        <v>677</v>
      </c>
      <c r="W79" s="683" t="s">
        <v>914</v>
      </c>
      <c r="X79" s="691" t="s">
        <v>918</v>
      </c>
      <c r="Y79" s="687">
        <v>3005167422</v>
      </c>
      <c r="Z79" s="692" t="s">
        <v>159</v>
      </c>
      <c r="AA79" s="683" t="s">
        <v>33</v>
      </c>
      <c r="AB79" s="683" t="s">
        <v>2174</v>
      </c>
      <c r="AC79" s="683" t="s">
        <v>2175</v>
      </c>
      <c r="AD79" s="683" t="s">
        <v>1110</v>
      </c>
      <c r="AE79" s="683">
        <v>60</v>
      </c>
      <c r="AF79" s="684">
        <v>1906.8</v>
      </c>
      <c r="AG79" s="683" t="s">
        <v>243</v>
      </c>
      <c r="AH79" s="683" t="s">
        <v>220</v>
      </c>
      <c r="AI79" s="683" t="s">
        <v>33</v>
      </c>
      <c r="AJ79" s="683" t="s">
        <v>2176</v>
      </c>
      <c r="AK79" s="683" t="s">
        <v>33</v>
      </c>
      <c r="AL79" s="683">
        <v>147951510</v>
      </c>
      <c r="AM79" s="683" t="s">
        <v>1094</v>
      </c>
      <c r="AN79" s="683" t="s">
        <v>1505</v>
      </c>
      <c r="AO79" s="683" t="s">
        <v>1563</v>
      </c>
      <c r="AP79" s="683" t="s">
        <v>240</v>
      </c>
      <c r="AQ79" s="688" t="str">
        <f>CONCATENATE("REG-",BDEGENER[[#This Row],[FECHA DE SERVICIO]],"-",BDEGENER[[#This Row],[SERIE]],"-",BDEGENER[[#This Row],[HORAS]])</f>
        <v>REG-44154-3005167422-1906,8</v>
      </c>
      <c r="AR79" s="683" t="str">
        <f>CONCATENATE("MARCA: ",BDEGENER[[#This Row],[MARCA]],"
 MODELO: ",BDEGENER[[#This Row],[MODELO]])</f>
        <v>MARCA: GENERAC
 MODELO: SG070</v>
      </c>
      <c r="AS79" s="683" t="str">
        <f>CONCATENATE("MARCA: ",BDEGENER[[#This Row],[MARCA DE MOTOR]],"
SERIE: ",BDEGENER[[#This Row],[SERIE DE MOTOR]])</f>
        <v>MARCA: GENERAC
SERIE: GP680AA-EH2A 250619</v>
      </c>
      <c r="AT79" s="683" t="str">
        <f>CONCATENATE("MARCA: ",BDEGENER[[#This Row],[MARCA ALTERNADOR ]],"
SERIE: ",BDEGENER[[#This Row],[SERIE DE ALTERNADOR]])</f>
        <v>MARCA: GENERAC
SERIE: 147951510</v>
      </c>
      <c r="AU79" s="683" t="str">
        <f>CONCATENATE("HORAS: ",BDEGENER[[#This Row],[HORAS]],"
KW-HR: ",BDEGENER[[#This Row],[KW-HORA]],"
VOLT.BATERIA: ",BDEGENER[[#This Row],[VOLTAJE DE BATERIA]],"
TEMPERATURA: ",BDEGENER[[#This Row],[TEMPERATURA DE AGUA]],"
PRES. ACEITE: ",BDEGENER[[#This Row],[PRESION DE ACEITE]])</f>
        <v>HORAS: 1906,8
KW-HR: 21283,4
VOLT.BATERIA: 13.5 V
TEMPERATURA: 194 °F
PRES. ACEITE: 81 PSI</v>
      </c>
      <c r="AV79" s="683">
        <f>COUNTIFS(Q79:Q2079,"MANTENIMIENTO CORRECTIVO",Y79:Y2079,BDEGENER[[#This Row],[SERIE]])</f>
        <v>0</v>
      </c>
      <c r="AW79" s="683">
        <f>COUNTIFS(Q79:Q2079,"MANTENIMIENTO PREVENTIVO",Y79:Y2079,BDEGENER[[#This Row],[SERIE]])</f>
        <v>6</v>
      </c>
      <c r="AX7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79" s="683">
        <f>COUNTIFS(BDEGENER[SERIE],BDEGENER[[#This Row],[SERIE]],BDEGENER[TIPO DE SERVICIO],"MANTENIMIENTO PREVENTIVO")</f>
        <v>6</v>
      </c>
      <c r="AZ79" s="683" t="str">
        <f>CONCATENATE("MANTENIMIENTO PREVENTIVO N°",BDEGENER[[#This Row],[GA1]])</f>
        <v>MANTENIMIENTO PREVENTIVO N°6</v>
      </c>
      <c r="BA79" s="683">
        <f>IF(BDEGENER[[#This Row],[SERVICIO]]=BDEGENER[[#This Row],[GA2]],BDEGENER[[#This Row],[HORAS]],"0")</f>
        <v>1906.8</v>
      </c>
      <c r="BB79" s="683">
        <f>SUMIF(BDEGENER[SERIE],BDEGENER[[#This Row],[SERIE]],BDEGENER[GA3])</f>
        <v>1906.8</v>
      </c>
      <c r="BC79" s="761" t="str">
        <f>CONCATENATE("MANT",COUNTIF($Y$7:Y79,Y79))</f>
        <v>MANT1</v>
      </c>
      <c r="BD79" s="683" t="str">
        <f>CONCATENATE(BDEGENER[[#This Row],[SERIE]],BDEGENER[[#This Row],[GA5]])</f>
        <v>3005167422MANT1</v>
      </c>
      <c r="BE79" s="683" t="str">
        <f>CONCATENATE(BDEGENER[[#This Row],[CODIGO PATRIMONIAL]],BDEGENER[[#This Row],[GA5]])</f>
        <v>MANT1</v>
      </c>
      <c r="BF79" s="683">
        <f>COUNTIF(BDEGENER[SERIE],BDEGENER[[#This Row],[SERIE]])</f>
        <v>7</v>
      </c>
      <c r="BG79" s="761" t="str">
        <f>CONCATENATE("F",COUNTIF($K$7:K79,K79))</f>
        <v>F2</v>
      </c>
      <c r="BH79" s="683" t="str">
        <f>CONCATENATE(BDEGENER[[#This Row],[FECHA DE SERVICIO]],BDEGENER[[#This Row],[N° DE REGISTROS DEL DIA]])</f>
        <v>44154F2</v>
      </c>
      <c r="BI79" s="684">
        <v>21283.4</v>
      </c>
      <c r="BJ79" s="683" t="s">
        <v>1544</v>
      </c>
      <c r="BK79" s="762" t="s">
        <v>2925</v>
      </c>
    </row>
    <row r="80" spans="2:63" ht="69" hidden="1" x14ac:dyDescent="0.3">
      <c r="B80" s="2"/>
      <c r="C80" s="2"/>
      <c r="D80" s="2"/>
      <c r="E80" s="2"/>
      <c r="F80" s="2"/>
      <c r="G80" s="2"/>
      <c r="H80" s="2"/>
      <c r="I80" s="2"/>
      <c r="J80" s="685"/>
      <c r="K80" s="682">
        <v>44154</v>
      </c>
      <c r="L80" s="683" t="s">
        <v>561</v>
      </c>
      <c r="M80" s="683" t="s">
        <v>2452</v>
      </c>
      <c r="N80" s="683" t="s">
        <v>584</v>
      </c>
      <c r="O80" s="683"/>
      <c r="P80" s="688" t="s">
        <v>3781</v>
      </c>
      <c r="Q80" s="683" t="s">
        <v>37</v>
      </c>
      <c r="R80" s="683" t="s">
        <v>1782</v>
      </c>
      <c r="S80" s="686" t="s">
        <v>3782</v>
      </c>
      <c r="T80" s="683" t="s">
        <v>3783</v>
      </c>
      <c r="U80" s="683" t="s">
        <v>2484</v>
      </c>
      <c r="V80" s="683" t="s">
        <v>677</v>
      </c>
      <c r="W80" s="683" t="s">
        <v>913</v>
      </c>
      <c r="X80" s="691" t="s">
        <v>918</v>
      </c>
      <c r="Y80" s="687">
        <v>3003940357</v>
      </c>
      <c r="Z80" s="692" t="s">
        <v>2612</v>
      </c>
      <c r="AA80" s="683" t="s">
        <v>33</v>
      </c>
      <c r="AB80" s="683" t="s">
        <v>217</v>
      </c>
      <c r="AC80" s="683" t="s">
        <v>749</v>
      </c>
      <c r="AD80" s="683" t="s">
        <v>1123</v>
      </c>
      <c r="AE80" s="683">
        <v>60</v>
      </c>
      <c r="AF80" s="684">
        <v>5886.8</v>
      </c>
      <c r="AG80" s="683" t="s">
        <v>243</v>
      </c>
      <c r="AH80" s="683" t="s">
        <v>1803</v>
      </c>
      <c r="AI80" s="683" t="s">
        <v>2553</v>
      </c>
      <c r="AJ80" s="683" t="s">
        <v>2816</v>
      </c>
      <c r="AK80" s="683" t="s">
        <v>33</v>
      </c>
      <c r="AL80" s="683">
        <v>20181104</v>
      </c>
      <c r="AM80" s="683" t="s">
        <v>1145</v>
      </c>
      <c r="AN80" s="683"/>
      <c r="AO80" s="683"/>
      <c r="AP80" s="683" t="s">
        <v>240</v>
      </c>
      <c r="AQ80" s="688" t="str">
        <f>CONCATENATE("REG-",BDEGENER[[#This Row],[FECHA DE SERVICIO]],"-",BDEGENER[[#This Row],[SERIE]],"-",BDEGENER[[#This Row],[HORAS]])</f>
        <v>REG-44154-3003940357-5886,8</v>
      </c>
      <c r="AR80" s="683" t="str">
        <f>CONCATENATE("MARCA: ",BDEGENER[[#This Row],[MARCA]],"
 MODELO: ",BDEGENER[[#This Row],[MODELO]])</f>
        <v>MARCA: GENERAC
 MODELO: RG022</v>
      </c>
      <c r="AS80" s="683" t="str">
        <f>CONCATENATE("MARCA: ",BDEGENER[[#This Row],[MARCA DE MOTOR]],"
SERIE: ",BDEGENER[[#This Row],[SERIE DE MOTOR]])</f>
        <v>MARCA: MITSUBISHI
SERIE: 4G6454M/SXG1014</v>
      </c>
      <c r="AT80" s="683" t="str">
        <f>CONCATENATE("MARCA: ",BDEGENER[[#This Row],[MARCA ALTERNADOR ]],"
SERIE: ",BDEGENER[[#This Row],[SERIE DE ALTERNADOR]])</f>
        <v>MARCA: GENERAC
SERIE: 20181104</v>
      </c>
      <c r="AU80" s="683" t="str">
        <f>CONCATENATE("HORAS: ",BDEGENER[[#This Row],[HORAS]],"
KW-HR: ",BDEGENER[[#This Row],[KW-HORA]],"
VOLT.BATERIA: ",BDEGENER[[#This Row],[VOLTAJE DE BATERIA]],"
TEMPERATURA: ",BDEGENER[[#This Row],[TEMPERATURA DE AGUA]],"
PRES. ACEITE: ",BDEGENER[[#This Row],[PRESION DE ACEITE]])</f>
        <v xml:space="preserve">HORAS: 5886,8
KW-HR: 
VOLT.BATERIA: 13.4 V
TEMPERATURA: 
PRES. ACEITE: </v>
      </c>
      <c r="AV80" s="683">
        <f>COUNTIFS(Q80:Q2080,"MANTENIMIENTO CORRECTIVO",Y80:Y2080,BDEGENER[[#This Row],[SERIE]])</f>
        <v>0</v>
      </c>
      <c r="AW80" s="683">
        <f>COUNTIFS(Q80:Q2080,"MANTENIMIENTO PREVENTIVO",Y80:Y2080,BDEGENER[[#This Row],[SERIE]])</f>
        <v>10</v>
      </c>
      <c r="AX8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N°10</v>
      </c>
      <c r="AY80" s="683">
        <f>COUNTIFS(BDEGENER[SERIE],BDEGENER[[#This Row],[SERIE]],BDEGENER[TIPO DE SERVICIO],"MANTENIMIENTO PREVENTIVO")</f>
        <v>12</v>
      </c>
      <c r="AZ80" s="683" t="str">
        <f>CONCATENATE("MANTENIMIENTO PREVENTIVO N°",BDEGENER[[#This Row],[GA1]])</f>
        <v>MANTENIMIENTO PREVENTIVO N°12</v>
      </c>
      <c r="BA80" s="683" t="str">
        <f>IF(BDEGENER[[#This Row],[SERVICIO]]=BDEGENER[[#This Row],[GA2]],BDEGENER[[#This Row],[HORAS]],"0")</f>
        <v>0</v>
      </c>
      <c r="BB80" s="683">
        <f>SUMIF(BDEGENER[SERIE],BDEGENER[[#This Row],[SERIE]],BDEGENER[GA3])</f>
        <v>6263.3</v>
      </c>
      <c r="BC80" s="683" t="str">
        <f>CONCATENATE("MANT",COUNTIF($Y$7:Y80,Y80))</f>
        <v>MANT6</v>
      </c>
      <c r="BD80" s="683" t="str">
        <f>CONCATENATE(BDEGENER[[#This Row],[SERIE]],BDEGENER[[#This Row],[GA5]])</f>
        <v>3003940357MANT6</v>
      </c>
      <c r="BE80" s="683" t="str">
        <f>CONCATENATE(BDEGENER[[#This Row],[CODIGO PATRIMONIAL]],BDEGENER[[#This Row],[GA5]])</f>
        <v>NOR-GEG-0014MANT6</v>
      </c>
      <c r="BF80" s="683">
        <f>COUNTIF(BDEGENER[SERIE],BDEGENER[[#This Row],[SERIE]])</f>
        <v>16</v>
      </c>
      <c r="BG80" s="683" t="str">
        <f>CONCATENATE("F",COUNTIF($K$7:K80,K80))</f>
        <v>F3</v>
      </c>
      <c r="BH80" s="683" t="str">
        <f>CONCATENATE(BDEGENER[[#This Row],[FECHA DE SERVICIO]],BDEGENER[[#This Row],[N° DE REGISTROS DEL DIA]])</f>
        <v>44154F3</v>
      </c>
      <c r="BI80" s="684"/>
      <c r="BJ80" s="683" t="s">
        <v>1544</v>
      </c>
      <c r="BK80" s="762"/>
    </row>
    <row r="81" spans="2:63" ht="69" hidden="1" x14ac:dyDescent="0.3">
      <c r="B81" s="2"/>
      <c r="C81" s="2"/>
      <c r="D81" s="2"/>
      <c r="E81" s="2"/>
      <c r="F81" s="2"/>
      <c r="G81" s="2"/>
      <c r="H81" s="2"/>
      <c r="I81" s="2"/>
      <c r="J81" s="685"/>
      <c r="K81" s="682">
        <v>44154</v>
      </c>
      <c r="L81" s="683" t="s">
        <v>181</v>
      </c>
      <c r="M81" s="683" t="s">
        <v>3603</v>
      </c>
      <c r="N81" s="683" t="s">
        <v>196</v>
      </c>
      <c r="O81" s="683"/>
      <c r="P81" s="688" t="s">
        <v>3762</v>
      </c>
      <c r="Q81" s="683" t="s">
        <v>37</v>
      </c>
      <c r="R81" s="683" t="s">
        <v>1782</v>
      </c>
      <c r="S81" s="686" t="s">
        <v>3763</v>
      </c>
      <c r="T81" s="683" t="s">
        <v>2546</v>
      </c>
      <c r="U81" s="683" t="s">
        <v>3764</v>
      </c>
      <c r="V81" s="683" t="s">
        <v>150</v>
      </c>
      <c r="W81" s="683" t="s">
        <v>913</v>
      </c>
      <c r="X81" s="691" t="s">
        <v>918</v>
      </c>
      <c r="Y81" s="687">
        <v>8893263</v>
      </c>
      <c r="Z81" s="692" t="s">
        <v>192</v>
      </c>
      <c r="AA81" s="683" t="s">
        <v>33</v>
      </c>
      <c r="AB81" s="683" t="s">
        <v>210</v>
      </c>
      <c r="AC81" s="683" t="s">
        <v>231</v>
      </c>
      <c r="AD81" s="683"/>
      <c r="AE81" s="683"/>
      <c r="AF81" s="684">
        <v>351.77</v>
      </c>
      <c r="AG81" s="683" t="s">
        <v>243</v>
      </c>
      <c r="AH81" s="683" t="s">
        <v>1803</v>
      </c>
      <c r="AI81" s="683" t="s">
        <v>33</v>
      </c>
      <c r="AJ81" s="683" t="s">
        <v>1804</v>
      </c>
      <c r="AK81" s="683" t="s">
        <v>33</v>
      </c>
      <c r="AL81" s="683">
        <v>8893263</v>
      </c>
      <c r="AM81" s="683"/>
      <c r="AN81" s="683"/>
      <c r="AO81" s="683"/>
      <c r="AP81" s="683" t="s">
        <v>240</v>
      </c>
      <c r="AQ81" s="688" t="str">
        <f>CONCATENATE("REG-",BDEGENER[[#This Row],[FECHA DE SERVICIO]],"-",BDEGENER[[#This Row],[SERIE]],"-",BDEGENER[[#This Row],[HORAS]])</f>
        <v>REG-44154-8893263-351,77</v>
      </c>
      <c r="AR81" s="683" t="str">
        <f>CONCATENATE("MARCA: ",BDEGENER[[#This Row],[MARCA]],"
 MODELO: ",BDEGENER[[#This Row],[MODELO]])</f>
        <v>MARCA: GENERAC
 MODELO: 0062370</v>
      </c>
      <c r="AS81" s="683" t="str">
        <f>CONCATENATE("MARCA: ",BDEGENER[[#This Row],[MARCA DE MOTOR]],"
SERIE: ",BDEGENER[[#This Row],[SERIE DE MOTOR]])</f>
        <v>MARCA: GENERAC
SERIE: E9052424</v>
      </c>
      <c r="AT81" s="683" t="str">
        <f>CONCATENATE("MARCA: ",BDEGENER[[#This Row],[MARCA ALTERNADOR ]],"
SERIE: ",BDEGENER[[#This Row],[SERIE DE ALTERNADOR]])</f>
        <v>MARCA: GENERAC
SERIE: 8893263</v>
      </c>
      <c r="AU81" s="683" t="str">
        <f>CONCATENATE("HORAS: ",BDEGENER[[#This Row],[HORAS]],"
KW-HR: ",BDEGENER[[#This Row],[KW-HORA]],"
VOLT.BATERIA: ",BDEGENER[[#This Row],[VOLTAJE DE BATERIA]],"
TEMPERATURA: ",BDEGENER[[#This Row],[TEMPERATURA DE AGUA]],"
PRES. ACEITE: ",BDEGENER[[#This Row],[PRESION DE ACEITE]])</f>
        <v xml:space="preserve">HORAS: 351,77
KW-HR: 
VOLT.BATERIA: 
TEMPERATURA: 
PRES. ACEITE: </v>
      </c>
      <c r="AV81" s="683">
        <f>COUNTIFS(Q81:Q2081,"MANTENIMIENTO CORRECTIVO",Y81:Y2081,BDEGENER[[#This Row],[SERIE]])</f>
        <v>2</v>
      </c>
      <c r="AW81" s="683">
        <f>COUNTIFS(Q81:Q2081,"MANTENIMIENTO PREVENTIVO",Y81:Y2081,BDEGENER[[#This Row],[SERIE]])</f>
        <v>3</v>
      </c>
      <c r="AX8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1" s="683">
        <f>COUNTIFS(BDEGENER[SERIE],BDEGENER[[#This Row],[SERIE]],BDEGENER[TIPO DE SERVICIO],"MANTENIMIENTO PREVENTIVO")</f>
        <v>3</v>
      </c>
      <c r="AZ81" s="683" t="str">
        <f>CONCATENATE("MANTENIMIENTO PREVENTIVO N°",BDEGENER[[#This Row],[GA1]])</f>
        <v>MANTENIMIENTO PREVENTIVO N°3</v>
      </c>
      <c r="BA81" s="683">
        <f>IF(BDEGENER[[#This Row],[SERVICIO]]=BDEGENER[[#This Row],[GA2]],BDEGENER[[#This Row],[HORAS]],"0")</f>
        <v>351.77</v>
      </c>
      <c r="BB81" s="683">
        <f>SUMIF(BDEGENER[SERIE],BDEGENER[[#This Row],[SERIE]],BDEGENER[GA3])</f>
        <v>351.77</v>
      </c>
      <c r="BC81" s="683" t="str">
        <f>CONCATENATE("MANT",COUNTIF($Y$7:Y81,Y81))</f>
        <v>MANT1</v>
      </c>
      <c r="BD81" s="683" t="str">
        <f>CONCATENATE(BDEGENER[[#This Row],[SERIE]],BDEGENER[[#This Row],[GA5]])</f>
        <v>8893263MANT1</v>
      </c>
      <c r="BE81" s="683" t="str">
        <f>CONCATENATE(BDEGENER[[#This Row],[CODIGO PATRIMONIAL]],BDEGENER[[#This Row],[GA5]])</f>
        <v xml:space="preserve"> MANT1</v>
      </c>
      <c r="BF81" s="683">
        <f>COUNTIF(BDEGENER[SERIE],BDEGENER[[#This Row],[SERIE]])</f>
        <v>5</v>
      </c>
      <c r="BG81" s="683" t="str">
        <f>CONCATENATE("F",COUNTIF($K$7:K81,K81))</f>
        <v>F4</v>
      </c>
      <c r="BH81" s="683" t="str">
        <f>CONCATENATE(BDEGENER[[#This Row],[FECHA DE SERVICIO]],BDEGENER[[#This Row],[N° DE REGISTROS DEL DIA]])</f>
        <v>44154F4</v>
      </c>
      <c r="BI81" s="684"/>
      <c r="BJ81" s="683" t="s">
        <v>1544</v>
      </c>
      <c r="BK81" s="762"/>
    </row>
    <row r="82" spans="2:63" ht="69" hidden="1" x14ac:dyDescent="0.3">
      <c r="B82" s="2"/>
      <c r="C82" s="2"/>
      <c r="D82" s="2"/>
      <c r="E82" s="2"/>
      <c r="F82" s="2"/>
      <c r="G82" s="2"/>
      <c r="H82" s="2"/>
      <c r="I82" s="2"/>
      <c r="J82" s="685"/>
      <c r="K82" s="682">
        <v>44154</v>
      </c>
      <c r="L82" s="683" t="s">
        <v>248</v>
      </c>
      <c r="M82" s="683" t="s">
        <v>3570</v>
      </c>
      <c r="N82" s="683" t="s">
        <v>3571</v>
      </c>
      <c r="O82" s="683"/>
      <c r="P82" s="688" t="s">
        <v>3664</v>
      </c>
      <c r="Q82" s="683" t="s">
        <v>37</v>
      </c>
      <c r="R82" s="683" t="s">
        <v>1782</v>
      </c>
      <c r="S82" s="686" t="s">
        <v>3661</v>
      </c>
      <c r="T82" s="683" t="s">
        <v>3662</v>
      </c>
      <c r="U82" s="683" t="s">
        <v>2488</v>
      </c>
      <c r="V82" s="683" t="s">
        <v>677</v>
      </c>
      <c r="W82" s="683" t="s">
        <v>914</v>
      </c>
      <c r="X82" s="691" t="s">
        <v>918</v>
      </c>
      <c r="Y82" s="687">
        <v>3004999911</v>
      </c>
      <c r="Z82" s="692">
        <v>24543</v>
      </c>
      <c r="AA82" s="683" t="s">
        <v>33</v>
      </c>
      <c r="AB82" s="683" t="s">
        <v>1728</v>
      </c>
      <c r="AC82" s="683" t="s">
        <v>528</v>
      </c>
      <c r="AD82" s="683" t="s">
        <v>1123</v>
      </c>
      <c r="AE82" s="683">
        <v>60</v>
      </c>
      <c r="AF82" s="684">
        <v>3213.4</v>
      </c>
      <c r="AG82" s="683" t="s">
        <v>243</v>
      </c>
      <c r="AH82" s="683" t="s">
        <v>220</v>
      </c>
      <c r="AI82" s="683" t="s">
        <v>1495</v>
      </c>
      <c r="AJ82" s="683" t="s">
        <v>1496</v>
      </c>
      <c r="AK82" s="683" t="s">
        <v>33</v>
      </c>
      <c r="AL82" s="683">
        <v>139546230</v>
      </c>
      <c r="AM82" s="683" t="s">
        <v>245</v>
      </c>
      <c r="AN82" s="683" t="s">
        <v>3663</v>
      </c>
      <c r="AO82" s="683" t="s">
        <v>1177</v>
      </c>
      <c r="AP82" s="683" t="s">
        <v>240</v>
      </c>
      <c r="AQ82" s="688" t="str">
        <f>CONCATENATE("REG-",BDEGENER[[#This Row],[FECHA DE SERVICIO]],"-",BDEGENER[[#This Row],[SERIE]],"-",BDEGENER[[#This Row],[HORAS]])</f>
        <v>REG-44154-3004999911-3213,4</v>
      </c>
      <c r="AR82" s="683" t="str">
        <f>CONCATENATE("MARCA: ",BDEGENER[[#This Row],[MARCA]],"
 MODELO: ",BDEGENER[[#This Row],[MODELO]])</f>
        <v>MARCA: GENERAC
 MODELO: PG054</v>
      </c>
      <c r="AS82" s="683" t="str">
        <f>CONCATENATE("MARCA: ",BDEGENER[[#This Row],[MARCA DE MOTOR]],"
SERIE: ",BDEGENER[[#This Row],[SERIE DE MOTOR]])</f>
        <v>MARCA: FORD
SERIE: GP680AA</v>
      </c>
      <c r="AT82" s="683" t="str">
        <f>CONCATENATE("MARCA: ",BDEGENER[[#This Row],[MARCA ALTERNADOR ]],"
SERIE: ",BDEGENER[[#This Row],[SERIE DE ALTERNADOR]])</f>
        <v>MARCA: GENERAC
SERIE: 139546230</v>
      </c>
      <c r="AU82" s="683" t="str">
        <f>CONCATENATE("HORAS: ",BDEGENER[[#This Row],[HORAS]],"
KW-HR: ",BDEGENER[[#This Row],[KW-HORA]],"
VOLT.BATERIA: ",BDEGENER[[#This Row],[VOLTAJE DE BATERIA]],"
TEMPERATURA: ",BDEGENER[[#This Row],[TEMPERATURA DE AGUA]],"
PRES. ACEITE: ",BDEGENER[[#This Row],[PRESION DE ACEITE]])</f>
        <v>HORAS: 3213,4
KW-HR: 78921
VOLT.BATERIA: 13.6 V
TEMPERATURA: 189 °F
PRES. ACEITE: 84 PSI</v>
      </c>
      <c r="AV82" s="683">
        <f>COUNTIFS(Q82:Q2082,"MANTENIMIENTO CORRECTIVO",Y82:Y2082,BDEGENER[[#This Row],[SERIE]])</f>
        <v>0</v>
      </c>
      <c r="AW82" s="683">
        <f>COUNTIFS(Q82:Q2082,"MANTENIMIENTO PREVENTIVO",Y82:Y2082,BDEGENER[[#This Row],[SERIE]])</f>
        <v>10</v>
      </c>
      <c r="AX8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N°10</v>
      </c>
      <c r="AY82" s="683">
        <f>COUNTIFS(BDEGENER[SERIE],BDEGENER[[#This Row],[SERIE]],BDEGENER[TIPO DE SERVICIO],"MANTENIMIENTO PREVENTIVO")</f>
        <v>12</v>
      </c>
      <c r="AZ82" s="683" t="str">
        <f>CONCATENATE("MANTENIMIENTO PREVENTIVO N°",BDEGENER[[#This Row],[GA1]])</f>
        <v>MANTENIMIENTO PREVENTIVO N°12</v>
      </c>
      <c r="BA82" s="683" t="str">
        <f>IF(BDEGENER[[#This Row],[SERVICIO]]=BDEGENER[[#This Row],[GA2]],BDEGENER[[#This Row],[HORAS]],"0")</f>
        <v>0</v>
      </c>
      <c r="BB82" s="683">
        <f>SUMIF(BDEGENER[SERIE],BDEGENER[[#This Row],[SERIE]],BDEGENER[GA3])</f>
        <v>3510.8</v>
      </c>
      <c r="BC82" s="761" t="str">
        <f>CONCATENATE("MANT",COUNTIF($Y$7:Y82,Y82))</f>
        <v>MANT3</v>
      </c>
      <c r="BD82" s="683" t="str">
        <f>CONCATENATE(BDEGENER[[#This Row],[SERIE]],BDEGENER[[#This Row],[GA5]])</f>
        <v>3004999911MANT3</v>
      </c>
      <c r="BE82" s="683" t="str">
        <f>CONCATENATE(BDEGENER[[#This Row],[CODIGO PATRIMONIAL]],BDEGENER[[#This Row],[GA5]])</f>
        <v>24543MANT3</v>
      </c>
      <c r="BF82" s="683">
        <f>COUNTIF(BDEGENER[SERIE],BDEGENER[[#This Row],[SERIE]])</f>
        <v>14</v>
      </c>
      <c r="BG82" s="761" t="str">
        <f>CONCATENATE("F",COUNTIF($K$7:K82,K82))</f>
        <v>F5</v>
      </c>
      <c r="BH82" s="683" t="str">
        <f>CONCATENATE(BDEGENER[[#This Row],[FECHA DE SERVICIO]],BDEGENER[[#This Row],[N° DE REGISTROS DEL DIA]])</f>
        <v>44154F5</v>
      </c>
      <c r="BI82" s="684">
        <v>78921</v>
      </c>
      <c r="BJ82" s="683" t="s">
        <v>1544</v>
      </c>
      <c r="BK82" s="762"/>
    </row>
    <row r="83" spans="2:63" ht="69" hidden="1" x14ac:dyDescent="0.3">
      <c r="B83" s="2"/>
      <c r="C83" s="2"/>
      <c r="D83" s="2"/>
      <c r="E83" s="2"/>
      <c r="F83" s="2"/>
      <c r="G83" s="2"/>
      <c r="H83" s="2"/>
      <c r="I83" s="2"/>
      <c r="J83" s="685"/>
      <c r="K83" s="682">
        <v>44153</v>
      </c>
      <c r="L83" s="683" t="s">
        <v>181</v>
      </c>
      <c r="M83" s="683" t="s">
        <v>185</v>
      </c>
      <c r="N83" s="683" t="s">
        <v>183</v>
      </c>
      <c r="O83" s="683"/>
      <c r="P83" s="683"/>
      <c r="Q83" s="683" t="s">
        <v>107</v>
      </c>
      <c r="R83" s="683" t="s">
        <v>3652</v>
      </c>
      <c r="S83" s="686" t="s">
        <v>3653</v>
      </c>
      <c r="T83" s="683" t="s">
        <v>1991</v>
      </c>
      <c r="U83" s="683" t="s">
        <v>3654</v>
      </c>
      <c r="V83" s="683" t="s">
        <v>146</v>
      </c>
      <c r="W83" s="683" t="s">
        <v>914</v>
      </c>
      <c r="X83" s="691" t="s">
        <v>918</v>
      </c>
      <c r="Y83" s="687">
        <v>3004344014</v>
      </c>
      <c r="Z83" s="692"/>
      <c r="AA83" s="683" t="s">
        <v>33</v>
      </c>
      <c r="AB83" s="683" t="s">
        <v>34</v>
      </c>
      <c r="AC83" s="683" t="s">
        <v>230</v>
      </c>
      <c r="AD83" s="683"/>
      <c r="AE83" s="683"/>
      <c r="AF83" s="684">
        <v>2068.6999999999998</v>
      </c>
      <c r="AG83" s="683" t="s">
        <v>243</v>
      </c>
      <c r="AH83" s="683" t="s">
        <v>220</v>
      </c>
      <c r="AI83" s="683" t="s">
        <v>33</v>
      </c>
      <c r="AJ83" s="683">
        <v>3004346826</v>
      </c>
      <c r="AK83" s="683" t="s">
        <v>33</v>
      </c>
      <c r="AL83" s="683">
        <v>106308730</v>
      </c>
      <c r="AM83" s="683"/>
      <c r="AN83" s="683"/>
      <c r="AO83" s="683"/>
      <c r="AP83" s="683" t="s">
        <v>240</v>
      </c>
      <c r="AQ83" s="683" t="str">
        <f>CONCATENATE("REG-",BDEGENER[[#This Row],[FECHA DE SERVICIO]],"-",BDEGENER[[#This Row],[SERIE]],"-",BDEGENER[[#This Row],[HORAS]])</f>
        <v>REG-44153-3004344014-2068,7</v>
      </c>
      <c r="AR83" s="683" t="str">
        <f>CONCATENATE("MARCA: ",BDEGENER[[#This Row],[MARCA]],"
 MODELO: ",BDEGENER[[#This Row],[MODELO]])</f>
        <v>MARCA: GENERAC
 MODELO: PG090</v>
      </c>
      <c r="AS83" s="683" t="str">
        <f>CONCATENATE("MARCA: ",BDEGENER[[#This Row],[MARCA DE MOTOR]],"
SERIE: ",BDEGENER[[#This Row],[SERIE DE MOTOR]])</f>
        <v>MARCA: GENERAC
SERIE: 3004346826</v>
      </c>
      <c r="AT83" s="683" t="str">
        <f>CONCATENATE("MARCA: ",BDEGENER[[#This Row],[MARCA ALTERNADOR ]],"
SERIE: ",BDEGENER[[#This Row],[SERIE DE ALTERNADOR]])</f>
        <v>MARCA: GENERAC
SERIE: 106308730</v>
      </c>
      <c r="AU83" s="683" t="str">
        <f>CONCATENATE("HORAS: ",BDEGENER[[#This Row],[HORAS]],"
KW-HR: ",BDEGENER[[#This Row],[KW-HORA]],"
VOLT.BATERIA: ",BDEGENER[[#This Row],[VOLTAJE DE BATERIA]],"
TEMPERATURA: ",BDEGENER[[#This Row],[TEMPERATURA DE AGUA]],"
PRES. ACEITE: ",BDEGENER[[#This Row],[PRESION DE ACEITE]])</f>
        <v xml:space="preserve">HORAS: 2068,7
KW-HR: 55921
VOLT.BATERIA: 
TEMPERATURA: 
PRES. ACEITE: </v>
      </c>
      <c r="AV83" s="683">
        <f>COUNTIFS(Q83:Q2083,"MANTENIMIENTO CORRECTIVO",Y83:Y2083,BDEGENER[[#This Row],[SERIE]])</f>
        <v>3</v>
      </c>
      <c r="AW83" s="683">
        <f>COUNTIFS(Q83:Q2083,"MANTENIMIENTO PREVENTIVO",Y83:Y2083,BDEGENER[[#This Row],[SERIE]])</f>
        <v>7</v>
      </c>
      <c r="AX8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83" s="683">
        <f>COUNTIFS(BDEGENER[SERIE],BDEGENER[[#This Row],[SERIE]],BDEGENER[TIPO DE SERVICIO],"MANTENIMIENTO PREVENTIVO")</f>
        <v>8</v>
      </c>
      <c r="AZ83" s="683" t="str">
        <f>CONCATENATE("MANTENIMIENTO PREVENTIVO N°",BDEGENER[[#This Row],[GA1]])</f>
        <v>MANTENIMIENTO PREVENTIVO N°8</v>
      </c>
      <c r="BA83" s="683" t="str">
        <f>IF(BDEGENER[[#This Row],[SERVICIO]]=BDEGENER[[#This Row],[GA2]],BDEGENER[[#This Row],[HORAS]],"0")</f>
        <v>0</v>
      </c>
      <c r="BB83" s="683">
        <f>SUMIF(BDEGENER[SERIE],BDEGENER[[#This Row],[SERIE]],BDEGENER[GA3])</f>
        <v>2070.3000000000002</v>
      </c>
      <c r="BC83" s="683" t="str">
        <f>CONCATENATE("MANT",COUNTIF($Y$7:Y83,Y83))</f>
        <v>MANT2</v>
      </c>
      <c r="BD83" s="683" t="str">
        <f>CONCATENATE(BDEGENER[[#This Row],[SERIE]],BDEGENER[[#This Row],[GA5]])</f>
        <v>3004344014MANT2</v>
      </c>
      <c r="BE83" s="683" t="str">
        <f>CONCATENATE(BDEGENER[[#This Row],[CODIGO PATRIMONIAL]],BDEGENER[[#This Row],[GA5]])</f>
        <v>MANT2</v>
      </c>
      <c r="BF83" s="683">
        <f>COUNTIF(BDEGENER[SERIE],BDEGENER[[#This Row],[SERIE]])</f>
        <v>12</v>
      </c>
      <c r="BG83" s="683" t="str">
        <f>CONCATENATE("F",COUNTIF($K$7:K83,K83))</f>
        <v>F1</v>
      </c>
      <c r="BH83" s="683" t="str">
        <f>CONCATENATE(BDEGENER[[#This Row],[FECHA DE SERVICIO]],BDEGENER[[#This Row],[N° DE REGISTROS DEL DIA]])</f>
        <v>44153F1</v>
      </c>
      <c r="BI83" s="684">
        <v>55921</v>
      </c>
      <c r="BJ83" s="683" t="s">
        <v>1544</v>
      </c>
      <c r="BK83" s="762"/>
    </row>
    <row r="84" spans="2:63" ht="69" hidden="1" x14ac:dyDescent="0.3">
      <c r="B84" s="2"/>
      <c r="C84" s="2"/>
      <c r="D84" s="2"/>
      <c r="E84" s="2"/>
      <c r="F84" s="2"/>
      <c r="G84" s="2"/>
      <c r="H84" s="2"/>
      <c r="I84" s="2"/>
      <c r="J84" s="685"/>
      <c r="K84" s="682">
        <v>44153</v>
      </c>
      <c r="L84" s="683" t="s">
        <v>181</v>
      </c>
      <c r="M84" s="683" t="s">
        <v>187</v>
      </c>
      <c r="N84" s="683" t="s">
        <v>183</v>
      </c>
      <c r="O84" s="683"/>
      <c r="P84" s="683"/>
      <c r="Q84" s="683" t="s">
        <v>2037</v>
      </c>
      <c r="R84" s="683" t="s">
        <v>1782</v>
      </c>
      <c r="S84" s="686" t="s">
        <v>3650</v>
      </c>
      <c r="T84" s="683" t="s">
        <v>1991</v>
      </c>
      <c r="U84" s="683" t="s">
        <v>3651</v>
      </c>
      <c r="V84" s="683" t="s">
        <v>146</v>
      </c>
      <c r="W84" s="683" t="s">
        <v>914</v>
      </c>
      <c r="X84" s="691" t="s">
        <v>918</v>
      </c>
      <c r="Y84" s="687">
        <v>3004418790</v>
      </c>
      <c r="Z84" s="692"/>
      <c r="AA84" s="683" t="s">
        <v>33</v>
      </c>
      <c r="AB84" s="683" t="s">
        <v>34</v>
      </c>
      <c r="AC84" s="683" t="s">
        <v>230</v>
      </c>
      <c r="AD84" s="683" t="s">
        <v>1110</v>
      </c>
      <c r="AE84" s="683">
        <v>60</v>
      </c>
      <c r="AF84" s="684">
        <v>2311</v>
      </c>
      <c r="AG84" s="683" t="s">
        <v>243</v>
      </c>
      <c r="AH84" s="683" t="s">
        <v>220</v>
      </c>
      <c r="AI84" s="683" t="s">
        <v>33</v>
      </c>
      <c r="AJ84" s="683">
        <v>3005413982</v>
      </c>
      <c r="AK84" s="683" t="s">
        <v>33</v>
      </c>
      <c r="AL84" s="683">
        <v>107745310</v>
      </c>
      <c r="AM84" s="683"/>
      <c r="AN84" s="683"/>
      <c r="AO84" s="683"/>
      <c r="AP84" s="683" t="s">
        <v>240</v>
      </c>
      <c r="AQ84" s="683" t="str">
        <f>CONCATENATE("REG-",BDEGENER[[#This Row],[FECHA DE SERVICIO]],"-",BDEGENER[[#This Row],[SERIE]],"-",BDEGENER[[#This Row],[HORAS]])</f>
        <v>REG-44153-3004418790-2311</v>
      </c>
      <c r="AR84" s="683" t="str">
        <f>CONCATENATE("MARCA: ",BDEGENER[[#This Row],[MARCA]],"
 MODELO: ",BDEGENER[[#This Row],[MODELO]])</f>
        <v>MARCA: GENERAC
 MODELO: PG090</v>
      </c>
      <c r="AS84" s="683" t="str">
        <f>CONCATENATE("MARCA: ",BDEGENER[[#This Row],[MARCA DE MOTOR]],"
SERIE: ",BDEGENER[[#This Row],[SERIE DE MOTOR]])</f>
        <v>MARCA: GENERAC
SERIE: 3005413982</v>
      </c>
      <c r="AT84" s="683" t="str">
        <f>CONCATENATE("MARCA: ",BDEGENER[[#This Row],[MARCA ALTERNADOR ]],"
SERIE: ",BDEGENER[[#This Row],[SERIE DE ALTERNADOR]])</f>
        <v>MARCA: GENERAC
SERIE: 107745310</v>
      </c>
      <c r="AU84" s="683" t="str">
        <f>CONCATENATE("HORAS: ",BDEGENER[[#This Row],[HORAS]],"
KW-HR: ",BDEGENER[[#This Row],[KW-HORA]],"
VOLT.BATERIA: ",BDEGENER[[#This Row],[VOLTAJE DE BATERIA]],"
TEMPERATURA: ",BDEGENER[[#This Row],[TEMPERATURA DE AGUA]],"
PRES. ACEITE: ",BDEGENER[[#This Row],[PRESION DE ACEITE]])</f>
        <v xml:space="preserve">HORAS: 2311
KW-HR: 49747,3
VOLT.BATERIA: 
TEMPERATURA: 
PRES. ACEITE: </v>
      </c>
      <c r="AV84" s="683">
        <f>COUNTIFS(Q84:Q2084,"MANTENIMIENTO CORRECTIVO",Y84:Y2084,BDEGENER[[#This Row],[SERIE]])</f>
        <v>2</v>
      </c>
      <c r="AW84" s="683">
        <f>COUNTIFS(Q84:Q2084,"MANTENIMIENTO PREVENTIVO",Y84:Y2084,BDEGENER[[#This Row],[SERIE]])</f>
        <v>7</v>
      </c>
      <c r="AX8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84" s="683">
        <f>COUNTIFS(BDEGENER[SERIE],BDEGENER[[#This Row],[SERIE]],BDEGENER[TIPO DE SERVICIO],"MANTENIMIENTO PREVENTIVO")</f>
        <v>8</v>
      </c>
      <c r="AZ84" s="683" t="str">
        <f>CONCATENATE("MANTENIMIENTO PREVENTIVO N°",BDEGENER[[#This Row],[GA1]])</f>
        <v>MANTENIMIENTO PREVENTIVO N°8</v>
      </c>
      <c r="BA84" s="683" t="str">
        <f>IF(BDEGENER[[#This Row],[SERVICIO]]=BDEGENER[[#This Row],[GA2]],BDEGENER[[#This Row],[HORAS]],"0")</f>
        <v>0</v>
      </c>
      <c r="BB84" s="683">
        <f>SUMIF(BDEGENER[SERIE],BDEGENER[[#This Row],[SERIE]],BDEGENER[GA3])</f>
        <v>2579.3000000000002</v>
      </c>
      <c r="BC84" s="683" t="str">
        <f>CONCATENATE("MANT",COUNTIF($Y$7:Y84,Y84))</f>
        <v>MANT2</v>
      </c>
      <c r="BD84" s="683" t="str">
        <f>CONCATENATE(BDEGENER[[#This Row],[SERIE]],BDEGENER[[#This Row],[GA5]])</f>
        <v>3004418790MANT2</v>
      </c>
      <c r="BE84" s="683" t="str">
        <f>CONCATENATE(BDEGENER[[#This Row],[CODIGO PATRIMONIAL]],BDEGENER[[#This Row],[GA5]])</f>
        <v>MANT2</v>
      </c>
      <c r="BF84" s="683">
        <f>COUNTIF(BDEGENER[SERIE],BDEGENER[[#This Row],[SERIE]])</f>
        <v>14</v>
      </c>
      <c r="BG84" s="683" t="str">
        <f>CONCATENATE("F",COUNTIF($K$7:K84,K84))</f>
        <v>F2</v>
      </c>
      <c r="BH84" s="683" t="str">
        <f>CONCATENATE(BDEGENER[[#This Row],[FECHA DE SERVICIO]],BDEGENER[[#This Row],[N° DE REGISTROS DEL DIA]])</f>
        <v>44153F2</v>
      </c>
      <c r="BI84" s="684">
        <v>49747.3</v>
      </c>
      <c r="BJ84" s="683" t="s">
        <v>1544</v>
      </c>
      <c r="BK84" s="762"/>
    </row>
    <row r="85" spans="2:63" ht="69" hidden="1" x14ac:dyDescent="0.3">
      <c r="B85" s="2"/>
      <c r="C85" s="2"/>
      <c r="D85" s="2"/>
      <c r="E85" s="2"/>
      <c r="F85" s="2"/>
      <c r="G85" s="2"/>
      <c r="H85" s="2"/>
      <c r="I85" s="2"/>
      <c r="J85" s="685"/>
      <c r="K85" s="682">
        <v>44152</v>
      </c>
      <c r="L85" s="683" t="s">
        <v>561</v>
      </c>
      <c r="M85" s="683" t="s">
        <v>577</v>
      </c>
      <c r="N85" s="683" t="s">
        <v>578</v>
      </c>
      <c r="O85" s="683"/>
      <c r="P85" s="688" t="s">
        <v>3690</v>
      </c>
      <c r="Q85" s="683" t="s">
        <v>37</v>
      </c>
      <c r="R85" s="683" t="s">
        <v>1782</v>
      </c>
      <c r="S85" s="686" t="s">
        <v>3691</v>
      </c>
      <c r="T85" s="683" t="s">
        <v>2546</v>
      </c>
      <c r="U85" s="683" t="s">
        <v>3336</v>
      </c>
      <c r="V85" s="683" t="s">
        <v>677</v>
      </c>
      <c r="W85" s="683" t="s">
        <v>913</v>
      </c>
      <c r="X85" s="691" t="s">
        <v>918</v>
      </c>
      <c r="Y85" s="687">
        <v>3003415536</v>
      </c>
      <c r="Z85" s="692" t="s">
        <v>2604</v>
      </c>
      <c r="AA85" s="683" t="s">
        <v>33</v>
      </c>
      <c r="AB85" s="683" t="s">
        <v>217</v>
      </c>
      <c r="AC85" s="683" t="s">
        <v>749</v>
      </c>
      <c r="AD85" s="683"/>
      <c r="AE85" s="683"/>
      <c r="AF85" s="684">
        <v>5559.8</v>
      </c>
      <c r="AG85" s="683" t="s">
        <v>243</v>
      </c>
      <c r="AH85" s="683" t="s">
        <v>1803</v>
      </c>
      <c r="AI85" s="683" t="s">
        <v>2553</v>
      </c>
      <c r="AJ85" s="683"/>
      <c r="AK85" s="683" t="s">
        <v>33</v>
      </c>
      <c r="AL85" s="683"/>
      <c r="AM85" s="683"/>
      <c r="AN85" s="683"/>
      <c r="AO85" s="683"/>
      <c r="AP85" s="683" t="s">
        <v>240</v>
      </c>
      <c r="AQ85" s="744" t="str">
        <f>CONCATENATE("REG-",BDEGENER[[#This Row],[FECHA DE SERVICIO]],"-",BDEGENER[[#This Row],[SERIE]],"-",BDEGENER[[#This Row],[HORAS]])</f>
        <v>REG-44152-3003415536-5559,8</v>
      </c>
      <c r="AR85" s="683" t="str">
        <f>CONCATENATE("MARCA: ",BDEGENER[[#This Row],[MARCA]],"
 MODELO: ",BDEGENER[[#This Row],[MODELO]])</f>
        <v>MARCA: GENERAC
 MODELO: RG022</v>
      </c>
      <c r="AS85" s="683" t="str">
        <f>CONCATENATE("MARCA: ",BDEGENER[[#This Row],[MARCA DE MOTOR]],"
SERIE: ",BDEGENER[[#This Row],[SERIE DE MOTOR]])</f>
        <v xml:space="preserve">MARCA: MITSUBISHI
SERIE: </v>
      </c>
      <c r="AT85" s="683" t="str">
        <f>CONCATENATE("MARCA: ",BDEGENER[[#This Row],[MARCA ALTERNADOR ]],"
SERIE: ",BDEGENER[[#This Row],[SERIE DE ALTERNADOR]])</f>
        <v xml:space="preserve">MARCA: GENERAC
SERIE: </v>
      </c>
      <c r="AU85" s="683" t="str">
        <f>CONCATENATE("HORAS: ",BDEGENER[[#This Row],[HORAS]],"
KW-HR: ",BDEGENER[[#This Row],[KW-HORA]],"
VOLT.BATERIA: ",BDEGENER[[#This Row],[VOLTAJE DE BATERIA]],"
TEMPERATURA: ",BDEGENER[[#This Row],[TEMPERATURA DE AGUA]],"
PRES. ACEITE: ",BDEGENER[[#This Row],[PRESION DE ACEITE]])</f>
        <v xml:space="preserve">HORAS: 5559,8
KW-HR: 
VOLT.BATERIA: 
TEMPERATURA: 
PRES. ACEITE: </v>
      </c>
      <c r="AV85" s="683">
        <f>COUNTIFS(Q85:Q2085,"MANTENIMIENTO CORRECTIVO",Y85:Y2085,BDEGENER[[#This Row],[SERIE]])</f>
        <v>0</v>
      </c>
      <c r="AW85" s="683">
        <f>COUNTIFS(Q85:Q2085,"MANTENIMIENTO PREVENTIVO",Y85:Y2085,BDEGENER[[#This Row],[SERIE]])</f>
        <v>10</v>
      </c>
      <c r="AX8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N°10</v>
      </c>
      <c r="AY85" s="683">
        <f>COUNTIFS(BDEGENER[SERIE],BDEGENER[[#This Row],[SERIE]],BDEGENER[TIPO DE SERVICIO],"MANTENIMIENTO PREVENTIVO")</f>
        <v>10</v>
      </c>
      <c r="AZ85" s="683" t="str">
        <f>CONCATENATE("MANTENIMIENTO PREVENTIVO N°",BDEGENER[[#This Row],[GA1]])</f>
        <v>MANTENIMIENTO PREVENTIVO N°10</v>
      </c>
      <c r="BA85" s="683">
        <f>IF(BDEGENER[[#This Row],[SERVICIO]]=BDEGENER[[#This Row],[GA2]],BDEGENER[[#This Row],[HORAS]],"0")</f>
        <v>5559.8</v>
      </c>
      <c r="BB85" s="683">
        <f>SUMIF(BDEGENER[SERIE],BDEGENER[[#This Row],[SERIE]],BDEGENER[GA3])</f>
        <v>5559.8</v>
      </c>
      <c r="BC85" s="761" t="str">
        <f>CONCATENATE("MANT",COUNTIF($Y$7:Y85,Y85))</f>
        <v>MANT2</v>
      </c>
      <c r="BD85" s="683" t="str">
        <f>CONCATENATE(BDEGENER[[#This Row],[SERIE]],BDEGENER[[#This Row],[GA5]])</f>
        <v>3003415536MANT2</v>
      </c>
      <c r="BE85" s="683" t="str">
        <f>CONCATENATE(BDEGENER[[#This Row],[CODIGO PATRIMONIAL]],BDEGENER[[#This Row],[GA5]])</f>
        <v>SUR-GEG-0008MANT2</v>
      </c>
      <c r="BF85" s="683">
        <f>COUNTIF(BDEGENER[SERIE],BDEGENER[[#This Row],[SERIE]])</f>
        <v>12</v>
      </c>
      <c r="BG85" s="761" t="str">
        <f>CONCATENATE("F",COUNTIF($K$7:K85,K85))</f>
        <v>F1</v>
      </c>
      <c r="BH85" s="683" t="str">
        <f>CONCATENATE(BDEGENER[[#This Row],[FECHA DE SERVICIO]],BDEGENER[[#This Row],[N° DE REGISTROS DEL DIA]])</f>
        <v>44152F1</v>
      </c>
      <c r="BI85" s="684"/>
      <c r="BJ85" s="683" t="s">
        <v>1544</v>
      </c>
      <c r="BK85" s="762"/>
    </row>
    <row r="86" spans="2:63" ht="69" hidden="1" x14ac:dyDescent="0.3">
      <c r="B86" s="2"/>
      <c r="C86" s="2"/>
      <c r="D86" s="2"/>
      <c r="E86" s="2"/>
      <c r="F86" s="2"/>
      <c r="G86" s="2"/>
      <c r="H86" s="2"/>
      <c r="I86" s="2"/>
      <c r="J86" s="685"/>
      <c r="K86" s="682">
        <v>44152</v>
      </c>
      <c r="L86" s="683" t="s">
        <v>561</v>
      </c>
      <c r="M86" s="683" t="s">
        <v>571</v>
      </c>
      <c r="N86" s="683" t="s">
        <v>572</v>
      </c>
      <c r="O86" s="683"/>
      <c r="P86" s="688" t="s">
        <v>3673</v>
      </c>
      <c r="Q86" s="683" t="s">
        <v>37</v>
      </c>
      <c r="R86" s="683" t="s">
        <v>1782</v>
      </c>
      <c r="S86" s="686" t="s">
        <v>3380</v>
      </c>
      <c r="T86" s="683" t="s">
        <v>2546</v>
      </c>
      <c r="U86" s="683" t="s">
        <v>2951</v>
      </c>
      <c r="V86" s="683" t="s">
        <v>677</v>
      </c>
      <c r="W86" s="683" t="s">
        <v>913</v>
      </c>
      <c r="X86" s="691" t="s">
        <v>918</v>
      </c>
      <c r="Y86" s="687">
        <v>3004370203</v>
      </c>
      <c r="Z86" s="692" t="s">
        <v>2598</v>
      </c>
      <c r="AA86" s="683" t="s">
        <v>33</v>
      </c>
      <c r="AB86" s="683" t="s">
        <v>217</v>
      </c>
      <c r="AC86" s="683" t="s">
        <v>749</v>
      </c>
      <c r="AD86" s="683" t="s">
        <v>1123</v>
      </c>
      <c r="AE86" s="683">
        <v>60</v>
      </c>
      <c r="AF86" s="684">
        <v>2885.1</v>
      </c>
      <c r="AG86" s="683" t="s">
        <v>243</v>
      </c>
      <c r="AH86" s="683" t="s">
        <v>1803</v>
      </c>
      <c r="AI86" s="683" t="s">
        <v>2553</v>
      </c>
      <c r="AJ86" s="683"/>
      <c r="AK86" s="683" t="s">
        <v>33</v>
      </c>
      <c r="AL86" s="683"/>
      <c r="AM86" s="683" t="s">
        <v>1094</v>
      </c>
      <c r="AN86" s="683"/>
      <c r="AO86" s="683"/>
      <c r="AP86" s="683" t="s">
        <v>240</v>
      </c>
      <c r="AQ86" s="688" t="str">
        <f>CONCATENATE("REG-",BDEGENER[[#This Row],[FECHA DE SERVICIO]],"-",BDEGENER[[#This Row],[SERIE]],"-",BDEGENER[[#This Row],[HORAS]])</f>
        <v>REG-44152-3004370203-2885,1</v>
      </c>
      <c r="AR86" s="683" t="str">
        <f>CONCATENATE("MARCA: ",BDEGENER[[#This Row],[MARCA]],"
 MODELO: ",BDEGENER[[#This Row],[MODELO]])</f>
        <v>MARCA: GENERAC
 MODELO: RG022</v>
      </c>
      <c r="AS86" s="683" t="str">
        <f>CONCATENATE("MARCA: ",BDEGENER[[#This Row],[MARCA DE MOTOR]],"
SERIE: ",BDEGENER[[#This Row],[SERIE DE MOTOR]])</f>
        <v xml:space="preserve">MARCA: MITSUBISHI
SERIE: </v>
      </c>
      <c r="AT86" s="683" t="str">
        <f>CONCATENATE("MARCA: ",BDEGENER[[#This Row],[MARCA ALTERNADOR ]],"
SERIE: ",BDEGENER[[#This Row],[SERIE DE ALTERNADOR]])</f>
        <v xml:space="preserve">MARCA: GENERAC
SERIE: </v>
      </c>
      <c r="AU86" s="683" t="str">
        <f>CONCATENATE("HORAS: ",BDEGENER[[#This Row],[HORAS]],"
KW-HR: ",BDEGENER[[#This Row],[KW-HORA]],"
VOLT.BATERIA: ",BDEGENER[[#This Row],[VOLTAJE DE BATERIA]],"
TEMPERATURA: ",BDEGENER[[#This Row],[TEMPERATURA DE AGUA]],"
PRES. ACEITE: ",BDEGENER[[#This Row],[PRESION DE ACEITE]])</f>
        <v xml:space="preserve">HORAS: 2885,1
KW-HR: 
VOLT.BATERIA: 13.5 V
TEMPERATURA: 
PRES. ACEITE: </v>
      </c>
      <c r="AV86" s="683">
        <f>COUNTIFS(Q86:Q2086,"MANTENIMIENTO CORRECTIVO",Y86:Y2086,BDEGENER[[#This Row],[SERIE]])</f>
        <v>3</v>
      </c>
      <c r="AW86" s="683">
        <f>COUNTIFS(Q86:Q2086,"MANTENIMIENTO PREVENTIVO",Y86:Y2086,BDEGENER[[#This Row],[SERIE]])</f>
        <v>6</v>
      </c>
      <c r="AX8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86" s="683">
        <f>COUNTIFS(BDEGENER[SERIE],BDEGENER[[#This Row],[SERIE]],BDEGENER[TIPO DE SERVICIO],"MANTENIMIENTO PREVENTIVO")</f>
        <v>6</v>
      </c>
      <c r="AZ86" s="683" t="str">
        <f>CONCATENATE("MANTENIMIENTO PREVENTIVO N°",BDEGENER[[#This Row],[GA1]])</f>
        <v>MANTENIMIENTO PREVENTIVO N°6</v>
      </c>
      <c r="BA86" s="683">
        <f>IF(BDEGENER[[#This Row],[SERVICIO]]=BDEGENER[[#This Row],[GA2]],BDEGENER[[#This Row],[HORAS]],"0")</f>
        <v>2885.1</v>
      </c>
      <c r="BB86" s="683">
        <f>SUMIF(BDEGENER[SERIE],BDEGENER[[#This Row],[SERIE]],BDEGENER[GA3])</f>
        <v>2885.1</v>
      </c>
      <c r="BC86" s="683" t="str">
        <f>CONCATENATE("MANT",COUNTIF($Y$7:Y86,Y86))</f>
        <v>MANT2</v>
      </c>
      <c r="BD86" s="683" t="str">
        <f>CONCATENATE(BDEGENER[[#This Row],[SERIE]],BDEGENER[[#This Row],[GA5]])</f>
        <v>3004370203MANT2</v>
      </c>
      <c r="BE86" s="683" t="str">
        <f>CONCATENATE(BDEGENER[[#This Row],[CODIGO PATRIMONIAL]],BDEGENER[[#This Row],[GA5]])</f>
        <v>SUR-GEG-0002MANT2</v>
      </c>
      <c r="BF86" s="683">
        <f>COUNTIF(BDEGENER[SERIE],BDEGENER[[#This Row],[SERIE]])</f>
        <v>14</v>
      </c>
      <c r="BG86" s="683" t="str">
        <f>CONCATENATE("F",COUNTIF($K$7:K86,K86))</f>
        <v>F2</v>
      </c>
      <c r="BH86" s="683" t="str">
        <f>CONCATENATE(BDEGENER[[#This Row],[FECHA DE SERVICIO]],BDEGENER[[#This Row],[N° DE REGISTROS DEL DIA]])</f>
        <v>44152F2</v>
      </c>
      <c r="BI86" s="684"/>
      <c r="BJ86" s="683" t="s">
        <v>1544</v>
      </c>
      <c r="BK86" s="762"/>
    </row>
    <row r="87" spans="2:63" ht="69" hidden="1" x14ac:dyDescent="0.3">
      <c r="B87" s="2"/>
      <c r="C87" s="2"/>
      <c r="D87" s="2"/>
      <c r="E87" s="2"/>
      <c r="F87" s="2"/>
      <c r="G87" s="2"/>
      <c r="H87" s="2"/>
      <c r="I87" s="2"/>
      <c r="J87" s="685"/>
      <c r="K87" s="682">
        <v>44152</v>
      </c>
      <c r="L87" s="683" t="s">
        <v>561</v>
      </c>
      <c r="M87" s="683" t="s">
        <v>583</v>
      </c>
      <c r="N87" s="683" t="s">
        <v>578</v>
      </c>
      <c r="O87" s="683"/>
      <c r="P87" s="744" t="s">
        <v>3671</v>
      </c>
      <c r="Q87" s="683" t="s">
        <v>37</v>
      </c>
      <c r="R87" s="683" t="s">
        <v>1782</v>
      </c>
      <c r="S87" s="686" t="s">
        <v>3669</v>
      </c>
      <c r="T87" s="683" t="s">
        <v>3672</v>
      </c>
      <c r="U87" s="683" t="s">
        <v>2887</v>
      </c>
      <c r="V87" s="683" t="s">
        <v>677</v>
      </c>
      <c r="W87" s="683" t="s">
        <v>913</v>
      </c>
      <c r="X87" s="691" t="s">
        <v>918</v>
      </c>
      <c r="Y87" s="687">
        <v>3004370193</v>
      </c>
      <c r="Z87" s="692" t="s">
        <v>2599</v>
      </c>
      <c r="AA87" s="683" t="s">
        <v>33</v>
      </c>
      <c r="AB87" s="683" t="s">
        <v>217</v>
      </c>
      <c r="AC87" s="683" t="s">
        <v>749</v>
      </c>
      <c r="AD87" s="683" t="s">
        <v>1123</v>
      </c>
      <c r="AE87" s="683">
        <v>60</v>
      </c>
      <c r="AF87" s="684">
        <v>3580.3</v>
      </c>
      <c r="AG87" s="683" t="s">
        <v>243</v>
      </c>
      <c r="AH87" s="683" t="s">
        <v>1803</v>
      </c>
      <c r="AI87" s="683" t="s">
        <v>2553</v>
      </c>
      <c r="AJ87" s="683" t="s">
        <v>3670</v>
      </c>
      <c r="AK87" s="683" t="s">
        <v>33</v>
      </c>
      <c r="AL87" s="683"/>
      <c r="AM87" s="683" t="s">
        <v>245</v>
      </c>
      <c r="AN87" s="683"/>
      <c r="AO87" s="683"/>
      <c r="AP87" s="683" t="s">
        <v>240</v>
      </c>
      <c r="AQ87" s="688" t="str">
        <f>CONCATENATE("REG-",BDEGENER[[#This Row],[FECHA DE SERVICIO]],"-",BDEGENER[[#This Row],[SERIE]],"-",BDEGENER[[#This Row],[HORAS]])</f>
        <v>REG-44152-3004370193-3580,3</v>
      </c>
      <c r="AR87" s="683" t="str">
        <f>CONCATENATE("MARCA: ",BDEGENER[[#This Row],[MARCA]],"
 MODELO: ",BDEGENER[[#This Row],[MODELO]])</f>
        <v>MARCA: GENERAC
 MODELO: RG022</v>
      </c>
      <c r="AS87" s="683" t="str">
        <f>CONCATENATE("MARCA: ",BDEGENER[[#This Row],[MARCA DE MOTOR]],"
SERIE: ",BDEGENER[[#This Row],[SERIE DE MOTOR]])</f>
        <v>MARCA: MITSUBISHI
SERIE: 4G6434M</v>
      </c>
      <c r="AT87" s="683" t="str">
        <f>CONCATENATE("MARCA: ",BDEGENER[[#This Row],[MARCA ALTERNADOR ]],"
SERIE: ",BDEGENER[[#This Row],[SERIE DE ALTERNADOR]])</f>
        <v xml:space="preserve">MARCA: GENERAC
SERIE: </v>
      </c>
      <c r="AU87" s="683" t="str">
        <f>CONCATENATE("HORAS: ",BDEGENER[[#This Row],[HORAS]],"
KW-HR: ",BDEGENER[[#This Row],[KW-HORA]],"
VOLT.BATERIA: ",BDEGENER[[#This Row],[VOLTAJE DE BATERIA]],"
TEMPERATURA: ",BDEGENER[[#This Row],[TEMPERATURA DE AGUA]],"
PRES. ACEITE: ",BDEGENER[[#This Row],[PRESION DE ACEITE]])</f>
        <v xml:space="preserve">HORAS: 3580,3
KW-HR: 
VOLT.BATERIA: 13.6 V
TEMPERATURA: 
PRES. ACEITE: </v>
      </c>
      <c r="AV87" s="683">
        <f>COUNTIFS(Q87:Q2087,"MANTENIMIENTO CORRECTIVO",Y87:Y2087,BDEGENER[[#This Row],[SERIE]])</f>
        <v>2</v>
      </c>
      <c r="AW87" s="683">
        <f>COUNTIFS(Q87:Q2087,"MANTENIMIENTO PREVENTIVO",Y87:Y2087,BDEGENER[[#This Row],[SERIE]])</f>
        <v>9</v>
      </c>
      <c r="AX8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87" s="683">
        <f>COUNTIFS(BDEGENER[SERIE],BDEGENER[[#This Row],[SERIE]],BDEGENER[TIPO DE SERVICIO],"MANTENIMIENTO PREVENTIVO")</f>
        <v>9</v>
      </c>
      <c r="AZ87" s="683" t="str">
        <f>CONCATENATE("MANTENIMIENTO PREVENTIVO N°",BDEGENER[[#This Row],[GA1]])</f>
        <v>MANTENIMIENTO PREVENTIVO N°9</v>
      </c>
      <c r="BA87" s="683">
        <f>IF(BDEGENER[[#This Row],[SERVICIO]]=BDEGENER[[#This Row],[GA2]],BDEGENER[[#This Row],[HORAS]],"0")</f>
        <v>3580.3</v>
      </c>
      <c r="BB87" s="683">
        <f>SUMIF(BDEGENER[SERIE],BDEGENER[[#This Row],[SERIE]],BDEGENER[GA3])</f>
        <v>3580.3</v>
      </c>
      <c r="BC87" s="683" t="str">
        <f>CONCATENATE("MANT",COUNTIF($Y$7:Y87,Y87))</f>
        <v>MANT3</v>
      </c>
      <c r="BD87" s="683" t="str">
        <f>CONCATENATE(BDEGENER[[#This Row],[SERIE]],BDEGENER[[#This Row],[GA5]])</f>
        <v>3004370193MANT3</v>
      </c>
      <c r="BE87" s="683" t="str">
        <f>CONCATENATE(BDEGENER[[#This Row],[CODIGO PATRIMONIAL]],BDEGENER[[#This Row],[GA5]])</f>
        <v>SUR-GEG-0003MANT3</v>
      </c>
      <c r="BF87" s="683">
        <f>COUNTIF(BDEGENER[SERIE],BDEGENER[[#This Row],[SERIE]])</f>
        <v>16</v>
      </c>
      <c r="BG87" s="683" t="str">
        <f>CONCATENATE("F",COUNTIF($K$7:K87,K87))</f>
        <v>F3</v>
      </c>
      <c r="BH87" s="683" t="str">
        <f>CONCATENATE(BDEGENER[[#This Row],[FECHA DE SERVICIO]],BDEGENER[[#This Row],[N° DE REGISTROS DEL DIA]])</f>
        <v>44152F3</v>
      </c>
      <c r="BI87" s="684"/>
      <c r="BJ87" s="683" t="s">
        <v>1544</v>
      </c>
      <c r="BK87" s="762"/>
    </row>
    <row r="88" spans="2:63" ht="69" hidden="1" x14ac:dyDescent="0.3">
      <c r="B88" s="2"/>
      <c r="C88" s="2"/>
      <c r="D88" s="2"/>
      <c r="E88" s="2"/>
      <c r="F88" s="2"/>
      <c r="G88" s="2"/>
      <c r="H88" s="2"/>
      <c r="I88" s="2"/>
      <c r="J88" s="685"/>
      <c r="K88" s="682">
        <v>44152</v>
      </c>
      <c r="L88" s="683" t="s">
        <v>181</v>
      </c>
      <c r="M88" s="683" t="s">
        <v>184</v>
      </c>
      <c r="N88" s="683" t="s">
        <v>183</v>
      </c>
      <c r="O88" s="683">
        <v>4500925048</v>
      </c>
      <c r="P88" s="683" t="s">
        <v>3646</v>
      </c>
      <c r="Q88" s="683" t="s">
        <v>37</v>
      </c>
      <c r="R88" s="683" t="s">
        <v>1782</v>
      </c>
      <c r="S88" s="686" t="s">
        <v>3648</v>
      </c>
      <c r="T88" s="683" t="s">
        <v>3647</v>
      </c>
      <c r="U88" s="683" t="s">
        <v>3649</v>
      </c>
      <c r="V88" s="683" t="s">
        <v>146</v>
      </c>
      <c r="W88" s="683" t="s">
        <v>914</v>
      </c>
      <c r="X88" s="691" t="s">
        <v>918</v>
      </c>
      <c r="Y88" s="687">
        <v>3004418791</v>
      </c>
      <c r="Z88" s="692"/>
      <c r="AA88" s="683" t="s">
        <v>33</v>
      </c>
      <c r="AB88" s="683" t="s">
        <v>34</v>
      </c>
      <c r="AC88" s="683" t="s">
        <v>230</v>
      </c>
      <c r="AD88" s="683" t="s">
        <v>1110</v>
      </c>
      <c r="AE88" s="683">
        <v>60</v>
      </c>
      <c r="AF88" s="684">
        <v>2074.3000000000002</v>
      </c>
      <c r="AG88" s="683" t="s">
        <v>243</v>
      </c>
      <c r="AH88" s="683" t="s">
        <v>220</v>
      </c>
      <c r="AI88" s="683" t="s">
        <v>33</v>
      </c>
      <c r="AJ88" s="683">
        <v>3004426135</v>
      </c>
      <c r="AK88" s="683" t="s">
        <v>33</v>
      </c>
      <c r="AL88" s="683">
        <v>107745330</v>
      </c>
      <c r="AM88" s="683" t="s">
        <v>1377</v>
      </c>
      <c r="AN88" s="683" t="s">
        <v>246</v>
      </c>
      <c r="AO88" s="683" t="s">
        <v>1318</v>
      </c>
      <c r="AP88" s="683" t="s">
        <v>240</v>
      </c>
      <c r="AQ88" s="688" t="str">
        <f>CONCATENATE("REG-",BDEGENER[[#This Row],[FECHA DE SERVICIO]],"-",BDEGENER[[#This Row],[SERIE]],"-",BDEGENER[[#This Row],[HORAS]])</f>
        <v>REG-44152-3004418791-2074,3</v>
      </c>
      <c r="AR88" s="683" t="str">
        <f>CONCATENATE("MARCA: ",BDEGENER[[#This Row],[MARCA]],"
 MODELO: ",BDEGENER[[#This Row],[MODELO]])</f>
        <v>MARCA: GENERAC
 MODELO: PG090</v>
      </c>
      <c r="AS88" s="683" t="str">
        <f>CONCATENATE("MARCA: ",BDEGENER[[#This Row],[MARCA DE MOTOR]],"
SERIE: ",BDEGENER[[#This Row],[SERIE DE MOTOR]])</f>
        <v>MARCA: GENERAC
SERIE: 3004426135</v>
      </c>
      <c r="AT88" s="683" t="str">
        <f>CONCATENATE("MARCA: ",BDEGENER[[#This Row],[MARCA ALTERNADOR ]],"
SERIE: ",BDEGENER[[#This Row],[SERIE DE ALTERNADOR]])</f>
        <v>MARCA: GENERAC
SERIE: 107745330</v>
      </c>
      <c r="AU88" s="683" t="str">
        <f>CONCATENATE("HORAS: ",BDEGENER[[#This Row],[HORAS]],"
KW-HR: ",BDEGENER[[#This Row],[KW-HORA]],"
VOLT.BATERIA: ",BDEGENER[[#This Row],[VOLTAJE DE BATERIA]],"
TEMPERATURA: ",BDEGENER[[#This Row],[TEMPERATURA DE AGUA]],"
PRES. ACEITE: ",BDEGENER[[#This Row],[PRESION DE ACEITE]])</f>
        <v>HORAS: 2074,3
KW-HR: 36612,3
VOLT.BATERIA: 13.8 V
TEMPERATURA: 198 °F
PRES. ACEITE: 58 PSI</v>
      </c>
      <c r="AV88" s="683">
        <f>COUNTIFS(Q88:Q2088,"MANTENIMIENTO CORRECTIVO",Y88:Y2088,BDEGENER[[#This Row],[SERIE]])</f>
        <v>7</v>
      </c>
      <c r="AW88" s="683">
        <f>COUNTIFS(Q88:Q2088,"MANTENIMIENTO PREVENTIVO",Y88:Y2088,BDEGENER[[#This Row],[SERIE]])</f>
        <v>7</v>
      </c>
      <c r="AX8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88" s="683">
        <f>COUNTIFS(BDEGENER[SERIE],BDEGENER[[#This Row],[SERIE]],BDEGENER[TIPO DE SERVICIO],"MANTENIMIENTO PREVENTIVO")</f>
        <v>7</v>
      </c>
      <c r="AZ88" s="683" t="str">
        <f>CONCATENATE("MANTENIMIENTO PREVENTIVO N°",BDEGENER[[#This Row],[GA1]])</f>
        <v>MANTENIMIENTO PREVENTIVO N°7</v>
      </c>
      <c r="BA88" s="683">
        <f>IF(BDEGENER[[#This Row],[SERVICIO]]=BDEGENER[[#This Row],[GA2]],BDEGENER[[#This Row],[HORAS]],"0")</f>
        <v>2074.3000000000002</v>
      </c>
      <c r="BB88" s="683">
        <f>SUMIF(BDEGENER[SERIE],BDEGENER[[#This Row],[SERIE]],BDEGENER[GA3])</f>
        <v>2074.3000000000002</v>
      </c>
      <c r="BC88" s="761" t="str">
        <f>CONCATENATE("MANT",COUNTIF($Y$7:Y88,Y88))</f>
        <v>MANT1</v>
      </c>
      <c r="BD88" s="683" t="str">
        <f>CONCATENATE(BDEGENER[[#This Row],[SERIE]],BDEGENER[[#This Row],[GA5]])</f>
        <v>3004418791MANT1</v>
      </c>
      <c r="BE88" s="683" t="str">
        <f>CONCATENATE(BDEGENER[[#This Row],[CODIGO PATRIMONIAL]],BDEGENER[[#This Row],[GA5]])</f>
        <v>MANT1</v>
      </c>
      <c r="BF88" s="683">
        <f>COUNTIF(BDEGENER[SERIE],BDEGENER[[#This Row],[SERIE]])</f>
        <v>16</v>
      </c>
      <c r="BG88" s="761" t="str">
        <f>CONCATENATE("F",COUNTIF($K$7:K88,K88))</f>
        <v>F4</v>
      </c>
      <c r="BH88" s="683" t="str">
        <f>CONCATENATE(BDEGENER[[#This Row],[FECHA DE SERVICIO]],BDEGENER[[#This Row],[N° DE REGISTROS DEL DIA]])</f>
        <v>44152F4</v>
      </c>
      <c r="BI88" s="684">
        <v>36612.300000000003</v>
      </c>
      <c r="BJ88" s="683" t="s">
        <v>1544</v>
      </c>
      <c r="BK88" s="762"/>
    </row>
    <row r="89" spans="2:63" ht="69" hidden="1" x14ac:dyDescent="0.3">
      <c r="B89" s="2"/>
      <c r="C89" s="2"/>
      <c r="D89" s="2"/>
      <c r="E89" s="2"/>
      <c r="F89" s="2"/>
      <c r="G89" s="2"/>
      <c r="H89" s="2"/>
      <c r="I89" s="2"/>
      <c r="J89" s="685"/>
      <c r="K89" s="682">
        <v>44152</v>
      </c>
      <c r="L89" s="683" t="s">
        <v>181</v>
      </c>
      <c r="M89" s="683" t="s">
        <v>184</v>
      </c>
      <c r="N89" s="683" t="s">
        <v>183</v>
      </c>
      <c r="O89" s="683">
        <v>4500925048</v>
      </c>
      <c r="P89" s="683" t="s">
        <v>3646</v>
      </c>
      <c r="Q89" s="683" t="s">
        <v>37</v>
      </c>
      <c r="R89" s="683" t="s">
        <v>1782</v>
      </c>
      <c r="S89" s="686" t="s">
        <v>3648</v>
      </c>
      <c r="T89" s="683" t="s">
        <v>3647</v>
      </c>
      <c r="U89" s="683" t="s">
        <v>3649</v>
      </c>
      <c r="V89" s="683" t="s">
        <v>146</v>
      </c>
      <c r="W89" s="683" t="s">
        <v>914</v>
      </c>
      <c r="X89" s="691" t="s">
        <v>918</v>
      </c>
      <c r="Y89" s="687">
        <v>3004402507</v>
      </c>
      <c r="Z89" s="692"/>
      <c r="AA89" s="683" t="s">
        <v>33</v>
      </c>
      <c r="AB89" s="683" t="s">
        <v>34</v>
      </c>
      <c r="AC89" s="683" t="s">
        <v>230</v>
      </c>
      <c r="AD89" s="683" t="s">
        <v>1110</v>
      </c>
      <c r="AE89" s="683">
        <v>60</v>
      </c>
      <c r="AF89" s="684">
        <v>2134</v>
      </c>
      <c r="AG89" s="683" t="s">
        <v>243</v>
      </c>
      <c r="AH89" s="683" t="s">
        <v>220</v>
      </c>
      <c r="AI89" s="683" t="s">
        <v>33</v>
      </c>
      <c r="AJ89" s="683">
        <v>3004425772</v>
      </c>
      <c r="AK89" s="683" t="s">
        <v>33</v>
      </c>
      <c r="AL89" s="683">
        <v>106310030</v>
      </c>
      <c r="AM89" s="683" t="s">
        <v>1121</v>
      </c>
      <c r="AN89" s="683" t="s">
        <v>246</v>
      </c>
      <c r="AO89" s="683" t="s">
        <v>1166</v>
      </c>
      <c r="AP89" s="683" t="s">
        <v>240</v>
      </c>
      <c r="AQ89" s="688" t="str">
        <f>CONCATENATE("REG-",BDEGENER[[#This Row],[FECHA DE SERVICIO]],"-",BDEGENER[[#This Row],[SERIE]],"-",BDEGENER[[#This Row],[HORAS]])</f>
        <v>REG-44152-3004402507-2134</v>
      </c>
      <c r="AR89" s="683" t="str">
        <f>CONCATENATE("MARCA: ",BDEGENER[[#This Row],[MARCA]],"
 MODELO: ",BDEGENER[[#This Row],[MODELO]])</f>
        <v>MARCA: GENERAC
 MODELO: PG090</v>
      </c>
      <c r="AS89" s="683" t="str">
        <f>CONCATENATE("MARCA: ",BDEGENER[[#This Row],[MARCA DE MOTOR]],"
SERIE: ",BDEGENER[[#This Row],[SERIE DE MOTOR]])</f>
        <v>MARCA: GENERAC
SERIE: 3004425772</v>
      </c>
      <c r="AT89" s="683" t="str">
        <f>CONCATENATE("MARCA: ",BDEGENER[[#This Row],[MARCA ALTERNADOR ]],"
SERIE: ",BDEGENER[[#This Row],[SERIE DE ALTERNADOR]])</f>
        <v>MARCA: GENERAC
SERIE: 106310030</v>
      </c>
      <c r="AU89" s="683" t="str">
        <f>CONCATENATE("HORAS: ",BDEGENER[[#This Row],[HORAS]],"
KW-HR: ",BDEGENER[[#This Row],[KW-HORA]],"
VOLT.BATERIA: ",BDEGENER[[#This Row],[VOLTAJE DE BATERIA]],"
TEMPERATURA: ",BDEGENER[[#This Row],[TEMPERATURA DE AGUA]],"
PRES. ACEITE: ",BDEGENER[[#This Row],[PRESION DE ACEITE]])</f>
        <v>HORAS: 2134
KW-HR: 47799,3
VOLT.BATERIA: 13.7 V
TEMPERATURA: 198 °F
PRES. ACEITE: 57 PSI</v>
      </c>
      <c r="AV89" s="683">
        <f>COUNTIFS(Q89:Q2089,"MANTENIMIENTO CORRECTIVO",Y89:Y2089,BDEGENER[[#This Row],[SERIE]])</f>
        <v>5</v>
      </c>
      <c r="AW89" s="683">
        <f>COUNTIFS(Q89:Q2089,"MANTENIMIENTO PREVENTIVO",Y89:Y2089,BDEGENER[[#This Row],[SERIE]])</f>
        <v>7</v>
      </c>
      <c r="AX8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89" s="683">
        <f>COUNTIFS(BDEGENER[SERIE],BDEGENER[[#This Row],[SERIE]],BDEGENER[TIPO DE SERVICIO],"MANTENIMIENTO PREVENTIVO")</f>
        <v>7</v>
      </c>
      <c r="AZ89" s="683" t="str">
        <f>CONCATENATE("MANTENIMIENTO PREVENTIVO N°",BDEGENER[[#This Row],[GA1]])</f>
        <v>MANTENIMIENTO PREVENTIVO N°7</v>
      </c>
      <c r="BA89" s="683">
        <f>IF(BDEGENER[[#This Row],[SERVICIO]]=BDEGENER[[#This Row],[GA2]],BDEGENER[[#This Row],[HORAS]],"0")</f>
        <v>2134</v>
      </c>
      <c r="BB89" s="683">
        <f>SUMIF(BDEGENER[SERIE],BDEGENER[[#This Row],[SERIE]],BDEGENER[GA3])</f>
        <v>2134</v>
      </c>
      <c r="BC89" s="683" t="str">
        <f>CONCATENATE("MANT",COUNTIF($Y$7:Y89,Y89))</f>
        <v>MANT1</v>
      </c>
      <c r="BD89" s="683" t="str">
        <f>CONCATENATE(BDEGENER[[#This Row],[SERIE]],BDEGENER[[#This Row],[GA5]])</f>
        <v>3004402507MANT1</v>
      </c>
      <c r="BE89" s="683" t="str">
        <f>CONCATENATE(BDEGENER[[#This Row],[CODIGO PATRIMONIAL]],BDEGENER[[#This Row],[GA5]])</f>
        <v>MANT1</v>
      </c>
      <c r="BF89" s="683">
        <f>COUNTIF(BDEGENER[SERIE],BDEGENER[[#This Row],[SERIE]])</f>
        <v>16</v>
      </c>
      <c r="BG89" s="683" t="str">
        <f>CONCATENATE("F",COUNTIF($K$7:K89,K89))</f>
        <v>F5</v>
      </c>
      <c r="BH89" s="683" t="str">
        <f>CONCATENATE(BDEGENER[[#This Row],[FECHA DE SERVICIO]],BDEGENER[[#This Row],[N° DE REGISTROS DEL DIA]])</f>
        <v>44152F5</v>
      </c>
      <c r="BI89" s="684">
        <v>47799.3</v>
      </c>
      <c r="BJ89" s="683" t="s">
        <v>1544</v>
      </c>
      <c r="BK89" s="762"/>
    </row>
    <row r="90" spans="2:63" ht="69" hidden="1" x14ac:dyDescent="0.3">
      <c r="B90" s="2"/>
      <c r="C90" s="2"/>
      <c r="D90" s="2"/>
      <c r="E90" s="2"/>
      <c r="F90" s="2"/>
      <c r="G90" s="2"/>
      <c r="H90" s="2"/>
      <c r="I90" s="2"/>
      <c r="J90" s="685"/>
      <c r="K90" s="682">
        <v>44151</v>
      </c>
      <c r="L90" s="683" t="s">
        <v>248</v>
      </c>
      <c r="M90" s="683" t="s">
        <v>2226</v>
      </c>
      <c r="N90" s="683" t="s">
        <v>2230</v>
      </c>
      <c r="O90" s="683"/>
      <c r="P90" s="688" t="s">
        <v>3745</v>
      </c>
      <c r="Q90" s="683" t="s">
        <v>37</v>
      </c>
      <c r="R90" s="683" t="s">
        <v>1782</v>
      </c>
      <c r="S90" s="686" t="s">
        <v>3746</v>
      </c>
      <c r="T90" s="683" t="s">
        <v>3747</v>
      </c>
      <c r="U90" s="683" t="s">
        <v>3748</v>
      </c>
      <c r="V90" s="683" t="s">
        <v>677</v>
      </c>
      <c r="W90" s="683" t="s">
        <v>914</v>
      </c>
      <c r="X90" s="691" t="s">
        <v>917</v>
      </c>
      <c r="Y90" s="687">
        <v>3002933964</v>
      </c>
      <c r="Z90" s="692"/>
      <c r="AA90" s="683" t="s">
        <v>33</v>
      </c>
      <c r="AB90" s="683" t="s">
        <v>1446</v>
      </c>
      <c r="AC90" s="683" t="s">
        <v>1445</v>
      </c>
      <c r="AD90" s="683" t="s">
        <v>1087</v>
      </c>
      <c r="AE90" s="683">
        <v>60.6</v>
      </c>
      <c r="AF90" s="684">
        <v>1609.45</v>
      </c>
      <c r="AG90" s="683" t="s">
        <v>243</v>
      </c>
      <c r="AH90" s="683" t="s">
        <v>1946</v>
      </c>
      <c r="AI90" s="683" t="s">
        <v>844</v>
      </c>
      <c r="AJ90" s="683" t="s">
        <v>1951</v>
      </c>
      <c r="AK90" s="683" t="s">
        <v>1448</v>
      </c>
      <c r="AL90" s="683" t="s">
        <v>1952</v>
      </c>
      <c r="AM90" s="683" t="s">
        <v>1858</v>
      </c>
      <c r="AN90" s="683" t="s">
        <v>3749</v>
      </c>
      <c r="AO90" s="683" t="s">
        <v>1367</v>
      </c>
      <c r="AP90" s="683" t="s">
        <v>240</v>
      </c>
      <c r="AQ90" s="688" t="str">
        <f>CONCATENATE("REG-",BDEGENER[[#This Row],[FECHA DE SERVICIO]],"-",BDEGENER[[#This Row],[SERIE]],"-",BDEGENER[[#This Row],[HORAS]])</f>
        <v>REG-44151-3002933964-1609,45</v>
      </c>
      <c r="AR90" s="683" t="str">
        <f>CONCATENATE("MARCA: ",BDEGENER[[#This Row],[MARCA]],"
 MODELO: ",BDEGENER[[#This Row],[MODELO]])</f>
        <v>MARCA: GENERAC
 MODELO: PLY125</v>
      </c>
      <c r="AS90" s="683" t="str">
        <f>CONCATENATE("MARCA: ",BDEGENER[[#This Row],[MARCA DE MOTOR]],"
SERIE: ",BDEGENER[[#This Row],[SERIE DE MOTOR]])</f>
        <v>MARCA: PERKINS
SERIE: PP71370U061051C</v>
      </c>
      <c r="AT90" s="683" t="str">
        <f>CONCATENATE("MARCA: ",BDEGENER[[#This Row],[MARCA ALTERNADOR ]],"
SERIE: ",BDEGENER[[#This Row],[SERIE DE ALTERNADOR]])</f>
        <v>MARCA: LEROY SOMER
SERIE: 346063/19</v>
      </c>
      <c r="AU90" s="683" t="str">
        <f>CONCATENATE("HORAS: ",BDEGENER[[#This Row],[HORAS]],"
KW-HR: ",BDEGENER[[#This Row],[KW-HORA]],"
VOLT.BATERIA: ",BDEGENER[[#This Row],[VOLTAJE DE BATERIA]],"
TEMPERATURA: ",BDEGENER[[#This Row],[TEMPERATURA DE AGUA]],"
PRES. ACEITE: ",BDEGENER[[#This Row],[PRESION DE ACEITE]])</f>
        <v>HORAS: 1609,45
KW-HR: 63515,8
VOLT.BATERIA: 14.1 V
TEMPERATURA: 149 °F
PRES. ACEITE: 72 PSI</v>
      </c>
      <c r="AV90" s="683">
        <f>COUNTIFS(Q90:Q2090,"MANTENIMIENTO CORRECTIVO",Y90:Y2090,BDEGENER[[#This Row],[SERIE]])</f>
        <v>2</v>
      </c>
      <c r="AW90" s="683">
        <f>COUNTIFS(Q90:Q2090,"MANTENIMIENTO PREVENTIVO",Y90:Y2090,BDEGENER[[#This Row],[SERIE]])</f>
        <v>4</v>
      </c>
      <c r="AX9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90" s="683">
        <f>COUNTIFS(BDEGENER[SERIE],BDEGENER[[#This Row],[SERIE]],BDEGENER[TIPO DE SERVICIO],"MANTENIMIENTO PREVENTIVO")</f>
        <v>4</v>
      </c>
      <c r="AZ90" s="683" t="str">
        <f>CONCATENATE("MANTENIMIENTO PREVENTIVO N°",BDEGENER[[#This Row],[GA1]])</f>
        <v>MANTENIMIENTO PREVENTIVO N°4</v>
      </c>
      <c r="BA90" s="683">
        <f>IF(BDEGENER[[#This Row],[SERVICIO]]=BDEGENER[[#This Row],[GA2]],BDEGENER[[#This Row],[HORAS]],"0")</f>
        <v>1609.45</v>
      </c>
      <c r="BB90" s="683">
        <f>SUMIF(BDEGENER[SERIE],BDEGENER[[#This Row],[SERIE]],BDEGENER[GA3])</f>
        <v>1609.45</v>
      </c>
      <c r="BC90" s="683" t="str">
        <f>CONCATENATE("MANT",COUNTIF($Y$7:Y90,Y90))</f>
        <v>MANT1</v>
      </c>
      <c r="BD90" s="683" t="str">
        <f>CONCATENATE(BDEGENER[[#This Row],[SERIE]],BDEGENER[[#This Row],[GA5]])</f>
        <v>3002933964MANT1</v>
      </c>
      <c r="BE90" s="683" t="str">
        <f>CONCATENATE(BDEGENER[[#This Row],[CODIGO PATRIMONIAL]],BDEGENER[[#This Row],[GA5]])</f>
        <v>MANT1</v>
      </c>
      <c r="BF90" s="683">
        <f>COUNTIF(BDEGENER[SERIE],BDEGENER[[#This Row],[SERIE]])</f>
        <v>8</v>
      </c>
      <c r="BG90" s="683" t="str">
        <f>CONCATENATE("F",COUNTIF($K$7:K90,K90))</f>
        <v>F1</v>
      </c>
      <c r="BH90" s="683" t="str">
        <f>CONCATENATE(BDEGENER[[#This Row],[FECHA DE SERVICIO]],BDEGENER[[#This Row],[N° DE REGISTROS DEL DIA]])</f>
        <v>44151F1</v>
      </c>
      <c r="BI90" s="684">
        <v>63515.8</v>
      </c>
      <c r="BJ90" s="683" t="s">
        <v>1544</v>
      </c>
      <c r="BK90" s="762" t="s">
        <v>533</v>
      </c>
    </row>
    <row r="91" spans="2:63" ht="69" hidden="1" x14ac:dyDescent="0.3">
      <c r="B91" s="2"/>
      <c r="C91" s="2"/>
      <c r="D91" s="2"/>
      <c r="E91" s="2"/>
      <c r="F91" s="2"/>
      <c r="G91" s="2"/>
      <c r="H91" s="2"/>
      <c r="I91" s="2"/>
      <c r="J91" s="685"/>
      <c r="K91" s="682">
        <v>44151</v>
      </c>
      <c r="L91" s="683" t="s">
        <v>248</v>
      </c>
      <c r="M91" s="683" t="s">
        <v>2226</v>
      </c>
      <c r="N91" s="683" t="s">
        <v>2230</v>
      </c>
      <c r="O91" s="683"/>
      <c r="P91" s="688" t="s">
        <v>3665</v>
      </c>
      <c r="Q91" s="683" t="s">
        <v>37</v>
      </c>
      <c r="R91" s="683" t="s">
        <v>1782</v>
      </c>
      <c r="S91" s="686" t="s">
        <v>3666</v>
      </c>
      <c r="T91" s="683" t="s">
        <v>2546</v>
      </c>
      <c r="U91" s="683" t="s">
        <v>3667</v>
      </c>
      <c r="V91" s="683" t="s">
        <v>677</v>
      </c>
      <c r="W91" s="683" t="s">
        <v>914</v>
      </c>
      <c r="X91" s="691" t="s">
        <v>917</v>
      </c>
      <c r="Y91" s="687">
        <v>3002933963</v>
      </c>
      <c r="Z91" s="692"/>
      <c r="AA91" s="683" t="s">
        <v>33</v>
      </c>
      <c r="AB91" s="683" t="s">
        <v>1446</v>
      </c>
      <c r="AC91" s="683" t="s">
        <v>1445</v>
      </c>
      <c r="AD91" s="683" t="s">
        <v>1087</v>
      </c>
      <c r="AE91" s="683">
        <v>60</v>
      </c>
      <c r="AF91" s="684">
        <v>1473.6</v>
      </c>
      <c r="AG91" s="683" t="s">
        <v>243</v>
      </c>
      <c r="AH91" s="683" t="s">
        <v>1946</v>
      </c>
      <c r="AI91" s="683" t="s">
        <v>844</v>
      </c>
      <c r="AJ91" s="683" t="s">
        <v>1947</v>
      </c>
      <c r="AK91" s="683" t="s">
        <v>1448</v>
      </c>
      <c r="AL91" s="683" t="s">
        <v>1948</v>
      </c>
      <c r="AM91" s="683" t="s">
        <v>1502</v>
      </c>
      <c r="AN91" s="683" t="s">
        <v>3256</v>
      </c>
      <c r="AO91" s="683" t="s">
        <v>3668</v>
      </c>
      <c r="AP91" s="683" t="s">
        <v>240</v>
      </c>
      <c r="AQ91" s="688" t="str">
        <f>CONCATENATE("REG-",BDEGENER[[#This Row],[FECHA DE SERVICIO]],"-",BDEGENER[[#This Row],[SERIE]],"-",BDEGENER[[#This Row],[HORAS]])</f>
        <v>REG-44151-3002933963-1473,6</v>
      </c>
      <c r="AR91" s="683" t="str">
        <f>CONCATENATE("MARCA: ",BDEGENER[[#This Row],[MARCA]],"
 MODELO: ",BDEGENER[[#This Row],[MODELO]])</f>
        <v>MARCA: GENERAC
 MODELO: PLY125</v>
      </c>
      <c r="AS91" s="683" t="str">
        <f>CONCATENATE("MARCA: ",BDEGENER[[#This Row],[MARCA DE MOTOR]],"
SERIE: ",BDEGENER[[#This Row],[SERIE DE MOTOR]])</f>
        <v>MARCA: PERKINS
SERIE: PP71370U061050C</v>
      </c>
      <c r="AT91" s="683" t="str">
        <f>CONCATENATE("MARCA: ",BDEGENER[[#This Row],[MARCA ALTERNADOR ]],"
SERIE: ",BDEGENER[[#This Row],[SERIE DE ALTERNADOR]])</f>
        <v>MARCA: LEROY SOMER
SERIE: 346063/18</v>
      </c>
      <c r="AU91" s="683" t="str">
        <f>CONCATENATE("HORAS: ",BDEGENER[[#This Row],[HORAS]],"
KW-HR: ",BDEGENER[[#This Row],[KW-HORA]],"
VOLT.BATERIA: ",BDEGENER[[#This Row],[VOLTAJE DE BATERIA]],"
TEMPERATURA: ",BDEGENER[[#This Row],[TEMPERATURA DE AGUA]],"
PRES. ACEITE: ",BDEGENER[[#This Row],[PRESION DE ACEITE]])</f>
        <v>HORAS: 1473,6
KW-HR: 47453,2
VOLT.BATERIA: 14 V
TEMPERATURA: 147 °F
PRES. ACEITE: 82 PSI</v>
      </c>
      <c r="AV91" s="683">
        <f>COUNTIFS(Q91:Q2091,"MANTENIMIENTO CORRECTIVO",Y91:Y2091,BDEGENER[[#This Row],[SERIE]])</f>
        <v>0</v>
      </c>
      <c r="AW91" s="683">
        <f>COUNTIFS(Q91:Q2091,"MANTENIMIENTO PREVENTIVO",Y91:Y2091,BDEGENER[[#This Row],[SERIE]])</f>
        <v>5</v>
      </c>
      <c r="AX9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91" s="683">
        <f>COUNTIFS(BDEGENER[SERIE],BDEGENER[[#This Row],[SERIE]],BDEGENER[TIPO DE SERVICIO],"MANTENIMIENTO PREVENTIVO")</f>
        <v>5</v>
      </c>
      <c r="AZ91" s="683" t="str">
        <f>CONCATENATE("MANTENIMIENTO PREVENTIVO N°",BDEGENER[[#This Row],[GA1]])</f>
        <v>MANTENIMIENTO PREVENTIVO N°5</v>
      </c>
      <c r="BA91" s="683">
        <f>IF(BDEGENER[[#This Row],[SERVICIO]]=BDEGENER[[#This Row],[GA2]],BDEGENER[[#This Row],[HORAS]],"0")</f>
        <v>1473.6</v>
      </c>
      <c r="BB91" s="683">
        <f>SUMIF(BDEGENER[SERIE],BDEGENER[[#This Row],[SERIE]],BDEGENER[GA3])</f>
        <v>1473.6</v>
      </c>
      <c r="BC91" s="761" t="str">
        <f>CONCATENATE("MANT",COUNTIF($Y$7:Y91,Y91))</f>
        <v>MANT1</v>
      </c>
      <c r="BD91" s="683" t="str">
        <f>CONCATENATE(BDEGENER[[#This Row],[SERIE]],BDEGENER[[#This Row],[GA5]])</f>
        <v>3002933963MANT1</v>
      </c>
      <c r="BE91" s="683" t="str">
        <f>CONCATENATE(BDEGENER[[#This Row],[CODIGO PATRIMONIAL]],BDEGENER[[#This Row],[GA5]])</f>
        <v>MANT1</v>
      </c>
      <c r="BF91" s="683">
        <f>COUNTIF(BDEGENER[SERIE],BDEGENER[[#This Row],[SERIE]])</f>
        <v>7</v>
      </c>
      <c r="BG91" s="761" t="str">
        <f>CONCATENATE("F",COUNTIF($K$7:K91,K91))</f>
        <v>F2</v>
      </c>
      <c r="BH91" s="683" t="str">
        <f>CONCATENATE(BDEGENER[[#This Row],[FECHA DE SERVICIO]],BDEGENER[[#This Row],[N° DE REGISTROS DEL DIA]])</f>
        <v>44151F2</v>
      </c>
      <c r="BI91" s="684">
        <v>47453.2</v>
      </c>
      <c r="BJ91" s="683" t="s">
        <v>1544</v>
      </c>
      <c r="BK91" s="762" t="s">
        <v>2261</v>
      </c>
    </row>
    <row r="92" spans="2:63" ht="69" hidden="1" x14ac:dyDescent="0.3">
      <c r="B92" s="2"/>
      <c r="C92" s="2"/>
      <c r="D92" s="2"/>
      <c r="E92" s="2"/>
      <c r="F92" s="2"/>
      <c r="G92" s="2"/>
      <c r="H92" s="2"/>
      <c r="I92" s="2"/>
      <c r="J92" s="685"/>
      <c r="K92" s="682">
        <v>44149</v>
      </c>
      <c r="L92" s="683" t="s">
        <v>248</v>
      </c>
      <c r="M92" s="683" t="s">
        <v>2078</v>
      </c>
      <c r="N92" s="683" t="s">
        <v>1319</v>
      </c>
      <c r="O92" s="683">
        <v>4200004698</v>
      </c>
      <c r="P92" s="688" t="s">
        <v>3627</v>
      </c>
      <c r="Q92" s="683" t="s">
        <v>37</v>
      </c>
      <c r="R92" s="683" t="s">
        <v>1782</v>
      </c>
      <c r="S92" s="686" t="s">
        <v>3628</v>
      </c>
      <c r="T92" s="683" t="s">
        <v>2870</v>
      </c>
      <c r="U92" s="683" t="s">
        <v>3629</v>
      </c>
      <c r="V92" s="683" t="s">
        <v>677</v>
      </c>
      <c r="W92" s="683" t="s">
        <v>914</v>
      </c>
      <c r="X92" s="691" t="s">
        <v>918</v>
      </c>
      <c r="Y92" s="687">
        <v>3005005010</v>
      </c>
      <c r="Z92" s="692">
        <v>24547</v>
      </c>
      <c r="AA92" s="683" t="s">
        <v>33</v>
      </c>
      <c r="AB92" s="683" t="s">
        <v>34</v>
      </c>
      <c r="AC92" s="683" t="s">
        <v>230</v>
      </c>
      <c r="AD92" s="683" t="s">
        <v>1123</v>
      </c>
      <c r="AE92" s="683">
        <v>60</v>
      </c>
      <c r="AF92" s="684">
        <v>2239.1</v>
      </c>
      <c r="AG92" s="683" t="s">
        <v>243</v>
      </c>
      <c r="AH92" s="683" t="s">
        <v>220</v>
      </c>
      <c r="AI92" s="683" t="s">
        <v>33</v>
      </c>
      <c r="AJ92" s="683">
        <v>3005065416</v>
      </c>
      <c r="AK92" s="683" t="s">
        <v>33</v>
      </c>
      <c r="AL92" s="683">
        <v>139546230</v>
      </c>
      <c r="AM92" s="683" t="s">
        <v>1858</v>
      </c>
      <c r="AN92" s="683" t="s">
        <v>2073</v>
      </c>
      <c r="AO92" s="683" t="s">
        <v>2019</v>
      </c>
      <c r="AP92" s="683" t="s">
        <v>240</v>
      </c>
      <c r="AQ92" s="688" t="str">
        <f>CONCATENATE("REG-",BDEGENER[[#This Row],[FECHA DE SERVICIO]],"-",BDEGENER[[#This Row],[SERIE]],"-",BDEGENER[[#This Row],[HORAS]])</f>
        <v>REG-44149-3005005010-2239,1</v>
      </c>
      <c r="AR92" s="683" t="str">
        <f>CONCATENATE("MARCA: ",BDEGENER[[#This Row],[MARCA]],"
 MODELO: ",BDEGENER[[#This Row],[MODELO]])</f>
        <v>MARCA: GENERAC
 MODELO: PG090</v>
      </c>
      <c r="AS92" s="683" t="str">
        <f>CONCATENATE("MARCA: ",BDEGENER[[#This Row],[MARCA DE MOTOR]],"
SERIE: ",BDEGENER[[#This Row],[SERIE DE MOTOR]])</f>
        <v>MARCA: GENERAC
SERIE: 3005065416</v>
      </c>
      <c r="AT92" s="683" t="str">
        <f>CONCATENATE("MARCA: ",BDEGENER[[#This Row],[MARCA ALTERNADOR ]],"
SERIE: ",BDEGENER[[#This Row],[SERIE DE ALTERNADOR]])</f>
        <v>MARCA: GENERAC
SERIE: 139546230</v>
      </c>
      <c r="AU92" s="683" t="str">
        <f>CONCATENATE("HORAS: ",BDEGENER[[#This Row],[HORAS]],"
KW-HR: ",BDEGENER[[#This Row],[KW-HORA]],"
VOLT.BATERIA: ",BDEGENER[[#This Row],[VOLTAJE DE BATERIA]],"
TEMPERATURA: ",BDEGENER[[#This Row],[TEMPERATURA DE AGUA]],"
PRES. ACEITE: ",BDEGENER[[#This Row],[PRESION DE ACEITE]])</f>
        <v>HORAS: 2239,1
KW-HR: 72279,9
VOLT.BATERIA: 14.1 V
TEMPERATURA: 187 °F
PRES. ACEITE: 64 PSI</v>
      </c>
      <c r="AV92" s="683">
        <f>COUNTIFS(Q92:Q2092,"MANTENIMIENTO CORRECTIVO",Y92:Y2092,BDEGENER[[#This Row],[SERIE]])</f>
        <v>1</v>
      </c>
      <c r="AW92" s="683">
        <f>COUNTIFS(Q92:Q2092,"MANTENIMIENTO PREVENTIVO",Y92:Y2092,BDEGENER[[#This Row],[SERIE]])</f>
        <v>8</v>
      </c>
      <c r="AX9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92" s="683">
        <f>COUNTIFS(BDEGENER[SERIE],BDEGENER[[#This Row],[SERIE]],BDEGENER[TIPO DE SERVICIO],"MANTENIMIENTO PREVENTIVO")</f>
        <v>9</v>
      </c>
      <c r="AZ92" s="683" t="str">
        <f>CONCATENATE("MANTENIMIENTO PREVENTIVO N°",BDEGENER[[#This Row],[GA1]])</f>
        <v>MANTENIMIENTO PREVENTIVO N°9</v>
      </c>
      <c r="BA92" s="683" t="str">
        <f>IF(BDEGENER[[#This Row],[SERVICIO]]=BDEGENER[[#This Row],[GA2]],BDEGENER[[#This Row],[HORAS]],"0")</f>
        <v>0</v>
      </c>
      <c r="BB92" s="683">
        <f>SUMIF(BDEGENER[SERIE],BDEGENER[[#This Row],[SERIE]],BDEGENER[GA3])</f>
        <v>2557.3000000000002</v>
      </c>
      <c r="BC92" s="683" t="str">
        <f>CONCATENATE("MANT",COUNTIF($Y$7:Y92,Y92))</f>
        <v>MANT2</v>
      </c>
      <c r="BD92" s="683" t="str">
        <f>CONCATENATE(BDEGENER[[#This Row],[SERIE]],BDEGENER[[#This Row],[GA5]])</f>
        <v>3005005010MANT2</v>
      </c>
      <c r="BE92" s="683" t="str">
        <f>CONCATENATE(BDEGENER[[#This Row],[CODIGO PATRIMONIAL]],BDEGENER[[#This Row],[GA5]])</f>
        <v>24547MANT2</v>
      </c>
      <c r="BF92" s="683">
        <f>COUNTIF(BDEGENER[SERIE],BDEGENER[[#This Row],[SERIE]])</f>
        <v>14</v>
      </c>
      <c r="BG92" s="683" t="str">
        <f>CONCATENATE("F",COUNTIF($K$7:K92,K92))</f>
        <v>F1</v>
      </c>
      <c r="BH92" s="683" t="str">
        <f>CONCATENATE(BDEGENER[[#This Row],[FECHA DE SERVICIO]],BDEGENER[[#This Row],[N° DE REGISTROS DEL DIA]])</f>
        <v>44149F1</v>
      </c>
      <c r="BI92" s="798">
        <v>72279.899999999994</v>
      </c>
      <c r="BJ92" s="683" t="s">
        <v>1544</v>
      </c>
      <c r="BK92" s="762"/>
    </row>
    <row r="93" spans="2:63" ht="69" hidden="1" x14ac:dyDescent="0.3">
      <c r="B93" s="2"/>
      <c r="C93" s="2"/>
      <c r="D93" s="2"/>
      <c r="E93" s="2"/>
      <c r="F93" s="2"/>
      <c r="G93" s="2"/>
      <c r="H93" s="2"/>
      <c r="I93" s="2"/>
      <c r="J93" s="685"/>
      <c r="K93" s="682">
        <v>44149</v>
      </c>
      <c r="L93" s="683" t="s">
        <v>561</v>
      </c>
      <c r="M93" s="683" t="s">
        <v>2554</v>
      </c>
      <c r="N93" s="683" t="s">
        <v>586</v>
      </c>
      <c r="O93" s="683"/>
      <c r="P93" s="688" t="s">
        <v>3621</v>
      </c>
      <c r="Q93" s="683" t="s">
        <v>37</v>
      </c>
      <c r="R93" s="683" t="s">
        <v>1782</v>
      </c>
      <c r="S93" s="686" t="s">
        <v>3622</v>
      </c>
      <c r="T93" s="683" t="s">
        <v>3623</v>
      </c>
      <c r="U93" s="683" t="s">
        <v>2488</v>
      </c>
      <c r="V93" s="683" t="s">
        <v>677</v>
      </c>
      <c r="W93" s="683" t="s">
        <v>914</v>
      </c>
      <c r="X93" s="691" t="s">
        <v>918</v>
      </c>
      <c r="Y93" s="687">
        <v>3003566701</v>
      </c>
      <c r="Z93" s="692" t="s">
        <v>2616</v>
      </c>
      <c r="AA93" s="683" t="s">
        <v>33</v>
      </c>
      <c r="AB93" s="683" t="s">
        <v>34</v>
      </c>
      <c r="AC93" s="683" t="s">
        <v>230</v>
      </c>
      <c r="AD93" s="683" t="s">
        <v>1123</v>
      </c>
      <c r="AE93" s="683">
        <v>60</v>
      </c>
      <c r="AF93" s="684">
        <v>5274.9</v>
      </c>
      <c r="AG93" s="683" t="s">
        <v>1413</v>
      </c>
      <c r="AH93" s="683" t="s">
        <v>220</v>
      </c>
      <c r="AI93" s="683" t="s">
        <v>33</v>
      </c>
      <c r="AJ93" s="683">
        <v>3003430313</v>
      </c>
      <c r="AK93" s="683" t="s">
        <v>33</v>
      </c>
      <c r="AL93" s="683"/>
      <c r="AM93" s="683" t="s">
        <v>1858</v>
      </c>
      <c r="AN93" s="683" t="s">
        <v>1423</v>
      </c>
      <c r="AO93" s="683" t="s">
        <v>247</v>
      </c>
      <c r="AP93" s="683" t="s">
        <v>240</v>
      </c>
      <c r="AQ93" s="688" t="str">
        <f>CONCATENATE("REG-",BDEGENER[[#This Row],[FECHA DE SERVICIO]],"-",BDEGENER[[#This Row],[SERIE]],"-",BDEGENER[[#This Row],[HORAS]])</f>
        <v>REG-44149-3003566701-5274,9</v>
      </c>
      <c r="AR93" s="683" t="str">
        <f>CONCATENATE("MARCA: ",BDEGENER[[#This Row],[MARCA]],"
 MODELO: ",BDEGENER[[#This Row],[MODELO]])</f>
        <v>MARCA: GENERAC
 MODELO: PG090</v>
      </c>
      <c r="AS93" s="683" t="str">
        <f>CONCATENATE("MARCA: ",BDEGENER[[#This Row],[MARCA DE MOTOR]],"
SERIE: ",BDEGENER[[#This Row],[SERIE DE MOTOR]])</f>
        <v>MARCA: GENERAC
SERIE: 3003430313</v>
      </c>
      <c r="AT93" s="683" t="str">
        <f>CONCATENATE("MARCA: ",BDEGENER[[#This Row],[MARCA ALTERNADOR ]],"
SERIE: ",BDEGENER[[#This Row],[SERIE DE ALTERNADOR]])</f>
        <v xml:space="preserve">MARCA: GENERAC
SERIE: </v>
      </c>
      <c r="AU93" s="683" t="str">
        <f>CONCATENATE("HORAS: ",BDEGENER[[#This Row],[HORAS]],"
KW-HR: ",BDEGENER[[#This Row],[KW-HORA]],"
VOLT.BATERIA: ",BDEGENER[[#This Row],[VOLTAJE DE BATERIA]],"
TEMPERATURA: ",BDEGENER[[#This Row],[TEMPERATURA DE AGUA]],"
PRES. ACEITE: ",BDEGENER[[#This Row],[PRESION DE ACEITE]])</f>
        <v>HORAS: 5274,9
KW-HR: 118870,7
VOLT.BATERIA: 14.1 V
TEMPERATURA: 190 °F
PRES. ACEITE: 55 PSI</v>
      </c>
      <c r="AV93" s="683">
        <f>COUNTIFS(Q93:Q2093,"MANTENIMIENTO CORRECTIVO",Y93:Y2093,BDEGENER[[#This Row],[SERIE]])</f>
        <v>0</v>
      </c>
      <c r="AW93" s="683">
        <f>COUNTIFS(Q93:Q2093,"MANTENIMIENTO PREVENTIVO",Y93:Y2093,BDEGENER[[#This Row],[SERIE]])</f>
        <v>9</v>
      </c>
      <c r="AX9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93" s="683">
        <f>COUNTIFS(BDEGENER[SERIE],BDEGENER[[#This Row],[SERIE]],BDEGENER[TIPO DE SERVICIO],"MANTENIMIENTO PREVENTIVO")</f>
        <v>9</v>
      </c>
      <c r="AZ93" s="683" t="str">
        <f>CONCATENATE("MANTENIMIENTO PREVENTIVO N°",BDEGENER[[#This Row],[GA1]])</f>
        <v>MANTENIMIENTO PREVENTIVO N°9</v>
      </c>
      <c r="BA93" s="683">
        <f>IF(BDEGENER[[#This Row],[SERVICIO]]=BDEGENER[[#This Row],[GA2]],BDEGENER[[#This Row],[HORAS]],"0")</f>
        <v>5274.9</v>
      </c>
      <c r="BB93" s="683">
        <f>SUMIF(BDEGENER[SERIE],BDEGENER[[#This Row],[SERIE]],BDEGENER[GA3])</f>
        <v>5274.9</v>
      </c>
      <c r="BC93" s="683" t="str">
        <f>CONCATENATE("MANT",COUNTIF($Y$7:Y93,Y93))</f>
        <v>MANT1</v>
      </c>
      <c r="BD93" s="683" t="str">
        <f>CONCATENATE(BDEGENER[[#This Row],[SERIE]],BDEGENER[[#This Row],[GA5]])</f>
        <v>3003566701MANT1</v>
      </c>
      <c r="BE93" s="683" t="str">
        <f>CONCATENATE(BDEGENER[[#This Row],[CODIGO PATRIMONIAL]],BDEGENER[[#This Row],[GA5]])</f>
        <v>NOR-GEG-0018MANT1</v>
      </c>
      <c r="BF93" s="683">
        <f>COUNTIF(BDEGENER[SERIE],BDEGENER[[#This Row],[SERIE]])</f>
        <v>10</v>
      </c>
      <c r="BG93" s="683" t="str">
        <f>CONCATENATE("F",COUNTIF($K$7:K93,K93))</f>
        <v>F2</v>
      </c>
      <c r="BH93" s="683" t="str">
        <f>CONCATENATE(BDEGENER[[#This Row],[FECHA DE SERVICIO]],BDEGENER[[#This Row],[N° DE REGISTROS DEL DIA]])</f>
        <v>44149F2</v>
      </c>
      <c r="BI93" s="684">
        <v>118870.7</v>
      </c>
      <c r="BJ93" s="683" t="s">
        <v>1544</v>
      </c>
      <c r="BK93" s="762"/>
    </row>
    <row r="94" spans="2:63" ht="69" hidden="1" x14ac:dyDescent="0.3">
      <c r="B94" s="2"/>
      <c r="C94" s="2"/>
      <c r="D94" s="2"/>
      <c r="E94" s="2"/>
      <c r="F94" s="2"/>
      <c r="G94" s="2"/>
      <c r="H94" s="2"/>
      <c r="I94" s="2"/>
      <c r="J94" s="685"/>
      <c r="K94" s="682">
        <v>44148</v>
      </c>
      <c r="L94" s="683" t="s">
        <v>181</v>
      </c>
      <c r="M94" s="683" t="s">
        <v>184</v>
      </c>
      <c r="N94" s="683" t="s">
        <v>183</v>
      </c>
      <c r="O94" s="683">
        <v>4500925048</v>
      </c>
      <c r="P94" s="688" t="s">
        <v>3618</v>
      </c>
      <c r="Q94" s="683" t="s">
        <v>37</v>
      </c>
      <c r="R94" s="683" t="s">
        <v>1782</v>
      </c>
      <c r="S94" s="686" t="s">
        <v>3619</v>
      </c>
      <c r="T94" s="683" t="s">
        <v>2870</v>
      </c>
      <c r="U94" s="683" t="s">
        <v>3620</v>
      </c>
      <c r="V94" s="683" t="s">
        <v>146</v>
      </c>
      <c r="W94" s="683" t="s">
        <v>914</v>
      </c>
      <c r="X94" s="691" t="s">
        <v>918</v>
      </c>
      <c r="Y94" s="687">
        <v>3004416580</v>
      </c>
      <c r="Z94" s="692"/>
      <c r="AA94" s="683" t="s">
        <v>33</v>
      </c>
      <c r="AB94" s="683" t="s">
        <v>34</v>
      </c>
      <c r="AC94" s="683" t="s">
        <v>230</v>
      </c>
      <c r="AD94" s="683" t="s">
        <v>1110</v>
      </c>
      <c r="AE94" s="683">
        <v>60</v>
      </c>
      <c r="AF94" s="684">
        <v>3113.9</v>
      </c>
      <c r="AG94" s="683" t="s">
        <v>243</v>
      </c>
      <c r="AH94" s="683" t="s">
        <v>220</v>
      </c>
      <c r="AI94" s="683" t="s">
        <v>33</v>
      </c>
      <c r="AJ94" s="683">
        <v>3004426061</v>
      </c>
      <c r="AK94" s="683" t="s">
        <v>33</v>
      </c>
      <c r="AL94" s="683">
        <v>107746810</v>
      </c>
      <c r="AM94" s="683" t="s">
        <v>1377</v>
      </c>
      <c r="AN94" s="683" t="s">
        <v>246</v>
      </c>
      <c r="AO94" s="683" t="s">
        <v>1427</v>
      </c>
      <c r="AP94" s="683" t="s">
        <v>240</v>
      </c>
      <c r="AQ94" s="688" t="str">
        <f>CONCATENATE("REG-",BDEGENER[[#This Row],[FECHA DE SERVICIO]],"-",BDEGENER[[#This Row],[SERIE]],"-",BDEGENER[[#This Row],[HORAS]])</f>
        <v>REG-44148-3004416580-3113,9</v>
      </c>
      <c r="AR94" s="683" t="str">
        <f>CONCATENATE("MARCA: ",BDEGENER[[#This Row],[MARCA]],"
 MODELO: ",BDEGENER[[#This Row],[MODELO]])</f>
        <v>MARCA: GENERAC
 MODELO: PG090</v>
      </c>
      <c r="AS94" s="683" t="str">
        <f>CONCATENATE("MARCA: ",BDEGENER[[#This Row],[MARCA DE MOTOR]],"
SERIE: ",BDEGENER[[#This Row],[SERIE DE MOTOR]])</f>
        <v>MARCA: GENERAC
SERIE: 3004426061</v>
      </c>
      <c r="AT94" s="683" t="str">
        <f>CONCATENATE("MARCA: ",BDEGENER[[#This Row],[MARCA ALTERNADOR ]],"
SERIE: ",BDEGENER[[#This Row],[SERIE DE ALTERNADOR]])</f>
        <v>MARCA: GENERAC
SERIE: 107746810</v>
      </c>
      <c r="AU94" s="683" t="str">
        <f>CONCATENATE("HORAS: ",BDEGENER[[#This Row],[HORAS]],"
KW-HR: ",BDEGENER[[#This Row],[KW-HORA]],"
VOLT.BATERIA: ",BDEGENER[[#This Row],[VOLTAJE DE BATERIA]],"
TEMPERATURA: ",BDEGENER[[#This Row],[TEMPERATURA DE AGUA]],"
PRES. ACEITE: ",BDEGENER[[#This Row],[PRESION DE ACEITE]])</f>
        <v>HORAS: 3113,9
KW-HR: 36656,7
VOLT.BATERIA: 13.8 V
TEMPERATURA: 198 °F
PRES. ACEITE: 60 PSI</v>
      </c>
      <c r="AV94" s="683">
        <f>COUNTIFS(Q94:Q2094,"MANTENIMIENTO CORRECTIVO",Y94:Y2094,BDEGENER[[#This Row],[SERIE]])</f>
        <v>2</v>
      </c>
      <c r="AW94" s="683">
        <f>COUNTIFS(Q94:Q2094,"MANTENIMIENTO PREVENTIVO",Y94:Y2094,BDEGENER[[#This Row],[SERIE]])</f>
        <v>8</v>
      </c>
      <c r="AX9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94" s="683">
        <f>COUNTIFS(BDEGENER[SERIE],BDEGENER[[#This Row],[SERIE]],BDEGENER[TIPO DE SERVICIO],"MANTENIMIENTO PREVENTIVO")</f>
        <v>8</v>
      </c>
      <c r="AZ94" s="683" t="str">
        <f>CONCATENATE("MANTENIMIENTO PREVENTIVO N°",BDEGENER[[#This Row],[GA1]])</f>
        <v>MANTENIMIENTO PREVENTIVO N°8</v>
      </c>
      <c r="BA94" s="683">
        <f>IF(BDEGENER[[#This Row],[SERVICIO]]=BDEGENER[[#This Row],[GA2]],BDEGENER[[#This Row],[HORAS]],"0")</f>
        <v>3113.9</v>
      </c>
      <c r="BB94" s="683">
        <f>SUMIF(BDEGENER[SERIE],BDEGENER[[#This Row],[SERIE]],BDEGENER[GA3])</f>
        <v>3113.9</v>
      </c>
      <c r="BC94" s="761" t="str">
        <f>CONCATENATE("MANT",COUNTIF($Y$7:Y94,Y94))</f>
        <v>MANT1</v>
      </c>
      <c r="BD94" s="683" t="str">
        <f>CONCATENATE(BDEGENER[[#This Row],[SERIE]],BDEGENER[[#This Row],[GA5]])</f>
        <v>3004416580MANT1</v>
      </c>
      <c r="BE94" s="683" t="str">
        <f>CONCATENATE(BDEGENER[[#This Row],[CODIGO PATRIMONIAL]],BDEGENER[[#This Row],[GA5]])</f>
        <v>MANT1</v>
      </c>
      <c r="BF94" s="683">
        <f>COUNTIF(BDEGENER[SERIE],BDEGENER[[#This Row],[SERIE]])</f>
        <v>14</v>
      </c>
      <c r="BG94" s="761" t="str">
        <f>CONCATENATE("F",COUNTIF($K$7:K94,K94))</f>
        <v>F1</v>
      </c>
      <c r="BH94" s="683" t="str">
        <f>CONCATENATE(BDEGENER[[#This Row],[FECHA DE SERVICIO]],BDEGENER[[#This Row],[N° DE REGISTROS DEL DIA]])</f>
        <v>44148F1</v>
      </c>
      <c r="BI94" s="684">
        <v>36656.699999999997</v>
      </c>
      <c r="BJ94" s="683" t="s">
        <v>1544</v>
      </c>
      <c r="BK94" s="762"/>
    </row>
    <row r="95" spans="2:63" ht="69" hidden="1" x14ac:dyDescent="0.3">
      <c r="B95" s="2"/>
      <c r="C95" s="2"/>
      <c r="D95" s="2"/>
      <c r="E95" s="2"/>
      <c r="F95" s="2"/>
      <c r="G95" s="2"/>
      <c r="H95" s="2"/>
      <c r="I95" s="2"/>
      <c r="J95" s="685"/>
      <c r="K95" s="682">
        <v>44148</v>
      </c>
      <c r="L95" s="683" t="s">
        <v>181</v>
      </c>
      <c r="M95" s="683" t="s">
        <v>187</v>
      </c>
      <c r="N95" s="683" t="s">
        <v>183</v>
      </c>
      <c r="O95" s="683">
        <v>4500873022</v>
      </c>
      <c r="P95" s="688" t="s">
        <v>3614</v>
      </c>
      <c r="Q95" s="683" t="s">
        <v>37</v>
      </c>
      <c r="R95" s="683" t="s">
        <v>1782</v>
      </c>
      <c r="S95" s="686" t="s">
        <v>3617</v>
      </c>
      <c r="T95" s="683" t="s">
        <v>2870</v>
      </c>
      <c r="U95" s="683" t="s">
        <v>2488</v>
      </c>
      <c r="V95" s="683" t="s">
        <v>146</v>
      </c>
      <c r="W95" s="683" t="s">
        <v>914</v>
      </c>
      <c r="X95" s="691" t="s">
        <v>918</v>
      </c>
      <c r="Y95" s="687">
        <v>3004337428</v>
      </c>
      <c r="Z95" s="692"/>
      <c r="AA95" s="683" t="s">
        <v>33</v>
      </c>
      <c r="AB95" s="683" t="s">
        <v>34</v>
      </c>
      <c r="AC95" s="683" t="s">
        <v>230</v>
      </c>
      <c r="AD95" s="683" t="s">
        <v>1110</v>
      </c>
      <c r="AE95" s="683">
        <v>60</v>
      </c>
      <c r="AF95" s="684">
        <v>1586.2</v>
      </c>
      <c r="AG95" s="683" t="s">
        <v>243</v>
      </c>
      <c r="AH95" s="683" t="s">
        <v>244</v>
      </c>
      <c r="AI95" s="683" t="s">
        <v>33</v>
      </c>
      <c r="AJ95" s="683">
        <v>3004133600</v>
      </c>
      <c r="AK95" s="683" t="s">
        <v>33</v>
      </c>
      <c r="AL95" s="683">
        <v>1063014</v>
      </c>
      <c r="AM95" s="683" t="s">
        <v>1121</v>
      </c>
      <c r="AN95" s="683" t="s">
        <v>1143</v>
      </c>
      <c r="AO95" s="683" t="s">
        <v>1318</v>
      </c>
      <c r="AP95" s="683" t="s">
        <v>240</v>
      </c>
      <c r="AQ95" s="688" t="str">
        <f>CONCATENATE("REG-",BDEGENER[[#This Row],[FECHA DE SERVICIO]],"-",BDEGENER[[#This Row],[SERIE]],"-",BDEGENER[[#This Row],[HORAS]])</f>
        <v>REG-44148-3004337428-1586,2</v>
      </c>
      <c r="AR95" s="683" t="str">
        <f>CONCATENATE("MARCA: ",BDEGENER[[#This Row],[MARCA]],"
 MODELO: ",BDEGENER[[#This Row],[MODELO]])</f>
        <v>MARCA: GENERAC
 MODELO: PG090</v>
      </c>
      <c r="AS95" s="683" t="str">
        <f>CONCATENATE("MARCA: ",BDEGENER[[#This Row],[MARCA DE MOTOR]],"
SERIE: ",BDEGENER[[#This Row],[SERIE DE MOTOR]])</f>
        <v>MARCA: GENERAC
SERIE: 3004133600</v>
      </c>
      <c r="AT95" s="683" t="str">
        <f>CONCATENATE("MARCA: ",BDEGENER[[#This Row],[MARCA ALTERNADOR ]],"
SERIE: ",BDEGENER[[#This Row],[SERIE DE ALTERNADOR]])</f>
        <v>MARCA: GENERAC
SERIE: 1063014</v>
      </c>
      <c r="AU95" s="683" t="str">
        <f>CONCATENATE("HORAS: ",BDEGENER[[#This Row],[HORAS]],"
KW-HR: ",BDEGENER[[#This Row],[KW-HORA]],"
VOLT.BATERIA: ",BDEGENER[[#This Row],[VOLTAJE DE BATERIA]],"
TEMPERATURA: ",BDEGENER[[#This Row],[TEMPERATURA DE AGUA]],"
PRES. ACEITE: ",BDEGENER[[#This Row],[PRESION DE ACEITE]])</f>
        <v>HORAS: 1586,2
KW-HR: 42769,3
VOLT.BATERIA: 13.7 V
TEMPERATURA: 197 °F
PRES. ACEITE: 58 PSI</v>
      </c>
      <c r="AV95" s="683">
        <f>COUNTIFS(Q95:Q2095,"MANTENIMIENTO CORRECTIVO",Y95:Y2095,BDEGENER[[#This Row],[SERIE]])</f>
        <v>1</v>
      </c>
      <c r="AW95" s="683">
        <f>COUNTIFS(Q95:Q2095,"MANTENIMIENTO PREVENTIVO",Y95:Y2095,BDEGENER[[#This Row],[SERIE]])</f>
        <v>6</v>
      </c>
      <c r="AX9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95" s="683">
        <f>COUNTIFS(BDEGENER[SERIE],BDEGENER[[#This Row],[SERIE]],BDEGENER[TIPO DE SERVICIO],"MANTENIMIENTO PREVENTIVO")</f>
        <v>6</v>
      </c>
      <c r="AZ95" s="683" t="str">
        <f>CONCATENATE("MANTENIMIENTO PREVENTIVO N°",BDEGENER[[#This Row],[GA1]])</f>
        <v>MANTENIMIENTO PREVENTIVO N°6</v>
      </c>
      <c r="BA95" s="683">
        <f>IF(BDEGENER[[#This Row],[SERVICIO]]=BDEGENER[[#This Row],[GA2]],BDEGENER[[#This Row],[HORAS]],"0")</f>
        <v>1586.2</v>
      </c>
      <c r="BB95" s="683">
        <f>SUMIF(BDEGENER[SERIE],BDEGENER[[#This Row],[SERIE]],BDEGENER[GA3])</f>
        <v>1586.2</v>
      </c>
      <c r="BC95" s="683" t="str">
        <f>CONCATENATE("MANT",COUNTIF($Y$7:Y95,Y95))</f>
        <v>MANT1</v>
      </c>
      <c r="BD95" s="683" t="str">
        <f>CONCATENATE(BDEGENER[[#This Row],[SERIE]],BDEGENER[[#This Row],[GA5]])</f>
        <v>3004337428MANT1</v>
      </c>
      <c r="BE95" s="683" t="str">
        <f>CONCATENATE(BDEGENER[[#This Row],[CODIGO PATRIMONIAL]],BDEGENER[[#This Row],[GA5]])</f>
        <v>MANT1</v>
      </c>
      <c r="BF95" s="683">
        <f>COUNTIF(BDEGENER[SERIE],BDEGENER[[#This Row],[SERIE]])</f>
        <v>9</v>
      </c>
      <c r="BG95" s="683" t="str">
        <f>CONCATENATE("F",COUNTIF($K$7:K95,K95))</f>
        <v>F2</v>
      </c>
      <c r="BH95" s="683" t="str">
        <f>CONCATENATE(BDEGENER[[#This Row],[FECHA DE SERVICIO]],BDEGENER[[#This Row],[N° DE REGISTROS DEL DIA]])</f>
        <v>44148F2</v>
      </c>
      <c r="BI95" s="684">
        <v>42769.3</v>
      </c>
      <c r="BJ95" s="683" t="s">
        <v>1544</v>
      </c>
      <c r="BK95" s="762"/>
    </row>
    <row r="96" spans="2:63" ht="69" hidden="1" x14ac:dyDescent="0.3">
      <c r="B96" s="2"/>
      <c r="C96" s="2"/>
      <c r="D96" s="2"/>
      <c r="E96" s="2"/>
      <c r="F96" s="2"/>
      <c r="G96" s="2"/>
      <c r="H96" s="2"/>
      <c r="I96" s="2"/>
      <c r="J96" s="685"/>
      <c r="K96" s="682">
        <v>44148</v>
      </c>
      <c r="L96" s="683" t="s">
        <v>181</v>
      </c>
      <c r="M96" s="683" t="s">
        <v>187</v>
      </c>
      <c r="N96" s="683" t="s">
        <v>183</v>
      </c>
      <c r="O96" s="683">
        <v>4500873022</v>
      </c>
      <c r="P96" s="688" t="s">
        <v>3614</v>
      </c>
      <c r="Q96" s="683" t="s">
        <v>37</v>
      </c>
      <c r="R96" s="683" t="s">
        <v>1782</v>
      </c>
      <c r="S96" s="686" t="s">
        <v>3615</v>
      </c>
      <c r="T96" s="683" t="s">
        <v>2870</v>
      </c>
      <c r="U96" s="683" t="s">
        <v>3616</v>
      </c>
      <c r="V96" s="683" t="s">
        <v>146</v>
      </c>
      <c r="W96" s="683" t="s">
        <v>914</v>
      </c>
      <c r="X96" s="691" t="s">
        <v>918</v>
      </c>
      <c r="Y96" s="687">
        <v>3004218547</v>
      </c>
      <c r="Z96" s="692"/>
      <c r="AA96" s="683" t="s">
        <v>33</v>
      </c>
      <c r="AB96" s="683" t="s">
        <v>34</v>
      </c>
      <c r="AC96" s="683" t="s">
        <v>230</v>
      </c>
      <c r="AD96" s="683" t="s">
        <v>1110</v>
      </c>
      <c r="AE96" s="683">
        <v>60</v>
      </c>
      <c r="AF96" s="684">
        <v>2015.6</v>
      </c>
      <c r="AG96" s="683" t="s">
        <v>243</v>
      </c>
      <c r="AH96" s="683" t="s">
        <v>220</v>
      </c>
      <c r="AI96" s="683" t="s">
        <v>33</v>
      </c>
      <c r="AJ96" s="683">
        <v>3003966252</v>
      </c>
      <c r="AK96" s="683" t="s">
        <v>33</v>
      </c>
      <c r="AL96" s="683">
        <v>10630140</v>
      </c>
      <c r="AM96" s="683" t="s">
        <v>1377</v>
      </c>
      <c r="AN96" s="683" t="s">
        <v>1352</v>
      </c>
      <c r="AO96" s="683" t="s">
        <v>1144</v>
      </c>
      <c r="AP96" s="683" t="s">
        <v>240</v>
      </c>
      <c r="AQ96" s="688" t="str">
        <f>CONCATENATE("REG-",BDEGENER[[#This Row],[FECHA DE SERVICIO]],"-",BDEGENER[[#This Row],[SERIE]],"-",BDEGENER[[#This Row],[HORAS]])</f>
        <v>REG-44148-3004218547-2015,6</v>
      </c>
      <c r="AR96" s="683" t="str">
        <f>CONCATENATE("MARCA: ",BDEGENER[[#This Row],[MARCA]],"
 MODELO: ",BDEGENER[[#This Row],[MODELO]])</f>
        <v>MARCA: GENERAC
 MODELO: PG090</v>
      </c>
      <c r="AS96" s="683" t="str">
        <f>CONCATENATE("MARCA: ",BDEGENER[[#This Row],[MARCA DE MOTOR]],"
SERIE: ",BDEGENER[[#This Row],[SERIE DE MOTOR]])</f>
        <v>MARCA: GENERAC
SERIE: 3003966252</v>
      </c>
      <c r="AT96" s="683" t="str">
        <f>CONCATENATE("MARCA: ",BDEGENER[[#This Row],[MARCA ALTERNADOR ]],"
SERIE: ",BDEGENER[[#This Row],[SERIE DE ALTERNADOR]])</f>
        <v>MARCA: GENERAC
SERIE: 10630140</v>
      </c>
      <c r="AU96" s="683" t="str">
        <f>CONCATENATE("HORAS: ",BDEGENER[[#This Row],[HORAS]],"
KW-HR: ",BDEGENER[[#This Row],[KW-HORA]],"
VOLT.BATERIA: ",BDEGENER[[#This Row],[VOLTAJE DE BATERIA]],"
TEMPERATURA: ",BDEGENER[[#This Row],[TEMPERATURA DE AGUA]],"
PRES. ACEITE: ",BDEGENER[[#This Row],[PRESION DE ACEITE]])</f>
        <v>HORAS: 2015,6
KW-HR: 59377,7
VOLT.BATERIA: 13.8 V
TEMPERATURA: 196 °F
PRES. ACEITE: 59 PSI</v>
      </c>
      <c r="AV96" s="683">
        <f>COUNTIFS(Q96:Q2096,"MANTENIMIENTO CORRECTIVO",Y96:Y2096,BDEGENER[[#This Row],[SERIE]])</f>
        <v>2</v>
      </c>
      <c r="AW96" s="683">
        <f>COUNTIFS(Q96:Q2096,"MANTENIMIENTO PREVENTIVO",Y96:Y2096,BDEGENER[[#This Row],[SERIE]])</f>
        <v>7</v>
      </c>
      <c r="AX9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96" s="683">
        <f>COUNTIFS(BDEGENER[SERIE],BDEGENER[[#This Row],[SERIE]],BDEGENER[TIPO DE SERVICIO],"MANTENIMIENTO PREVENTIVO")</f>
        <v>7</v>
      </c>
      <c r="AZ96" s="683" t="str">
        <f>CONCATENATE("MANTENIMIENTO PREVENTIVO N°",BDEGENER[[#This Row],[GA1]])</f>
        <v>MANTENIMIENTO PREVENTIVO N°7</v>
      </c>
      <c r="BA96" s="683">
        <f>IF(BDEGENER[[#This Row],[SERVICIO]]=BDEGENER[[#This Row],[GA2]],BDEGENER[[#This Row],[HORAS]],"0")</f>
        <v>2015.6</v>
      </c>
      <c r="BB96" s="683">
        <f>SUMIF(BDEGENER[SERIE],BDEGENER[[#This Row],[SERIE]],BDEGENER[GA3])</f>
        <v>2015.6</v>
      </c>
      <c r="BC96" s="683" t="str">
        <f>CONCATENATE("MANT",COUNTIF($Y$7:Y96,Y96))</f>
        <v>MANT1</v>
      </c>
      <c r="BD96" s="683" t="str">
        <f>CONCATENATE(BDEGENER[[#This Row],[SERIE]],BDEGENER[[#This Row],[GA5]])</f>
        <v>3004218547MANT1</v>
      </c>
      <c r="BE96" s="683" t="str">
        <f>CONCATENATE(BDEGENER[[#This Row],[CODIGO PATRIMONIAL]],BDEGENER[[#This Row],[GA5]])</f>
        <v>MANT1</v>
      </c>
      <c r="BF96" s="683">
        <f>COUNTIF(BDEGENER[SERIE],BDEGENER[[#This Row],[SERIE]])</f>
        <v>12</v>
      </c>
      <c r="BG96" s="683" t="str">
        <f>CONCATENATE("F",COUNTIF($K$7:K96,K96))</f>
        <v>F3</v>
      </c>
      <c r="BH96" s="683" t="str">
        <f>CONCATENATE(BDEGENER[[#This Row],[FECHA DE SERVICIO]],BDEGENER[[#This Row],[N° DE REGISTROS DEL DIA]])</f>
        <v>44148F3</v>
      </c>
      <c r="BI96" s="684">
        <v>59377.7</v>
      </c>
      <c r="BJ96" s="683" t="s">
        <v>1544</v>
      </c>
      <c r="BK96" s="762"/>
    </row>
    <row r="97" spans="2:63" ht="69" hidden="1" x14ac:dyDescent="0.3">
      <c r="B97" s="2"/>
      <c r="C97" s="2"/>
      <c r="D97" s="2"/>
      <c r="E97" s="2"/>
      <c r="F97" s="2"/>
      <c r="G97" s="2"/>
      <c r="H97" s="2"/>
      <c r="I97" s="2"/>
      <c r="J97" s="685"/>
      <c r="K97" s="682">
        <v>44148</v>
      </c>
      <c r="L97" s="683" t="s">
        <v>181</v>
      </c>
      <c r="M97" s="683" t="s">
        <v>187</v>
      </c>
      <c r="N97" s="683" t="s">
        <v>183</v>
      </c>
      <c r="O97" s="683"/>
      <c r="P97" s="683"/>
      <c r="Q97" s="683" t="s">
        <v>107</v>
      </c>
      <c r="R97" s="683"/>
      <c r="S97" s="686" t="s">
        <v>3609</v>
      </c>
      <c r="T97" s="683" t="s">
        <v>3610</v>
      </c>
      <c r="U97" s="683" t="s">
        <v>3611</v>
      </c>
      <c r="V97" s="683" t="s">
        <v>146</v>
      </c>
      <c r="W97" s="683" t="s">
        <v>914</v>
      </c>
      <c r="X97" s="691" t="s">
        <v>918</v>
      </c>
      <c r="Y97" s="687">
        <v>3004218547</v>
      </c>
      <c r="Z97" s="692"/>
      <c r="AA97" s="683" t="s">
        <v>33</v>
      </c>
      <c r="AB97" s="683" t="s">
        <v>34</v>
      </c>
      <c r="AC97" s="683" t="s">
        <v>230</v>
      </c>
      <c r="AD97" s="683"/>
      <c r="AE97" s="683"/>
      <c r="AF97" s="684">
        <v>2015.4</v>
      </c>
      <c r="AG97" s="683" t="s">
        <v>243</v>
      </c>
      <c r="AH97" s="683" t="s">
        <v>220</v>
      </c>
      <c r="AI97" s="683" t="s">
        <v>33</v>
      </c>
      <c r="AJ97" s="683">
        <v>3003966252</v>
      </c>
      <c r="AK97" s="683" t="s">
        <v>33</v>
      </c>
      <c r="AL97" s="683">
        <v>10630140</v>
      </c>
      <c r="AM97" s="683"/>
      <c r="AN97" s="683"/>
      <c r="AO97" s="683"/>
      <c r="AP97" s="683" t="s">
        <v>240</v>
      </c>
      <c r="AQ97" s="688" t="str">
        <f>CONCATENATE("REG-",BDEGENER[[#This Row],[FECHA DE SERVICIO]],"-",BDEGENER[[#This Row],[SERIE]],"-",BDEGENER[[#This Row],[HORAS]])</f>
        <v>REG-44148-3004218547-2015,4</v>
      </c>
      <c r="AR97" s="683" t="str">
        <f>CONCATENATE("MARCA: ",BDEGENER[[#This Row],[MARCA]],"
 MODELO: ",BDEGENER[[#This Row],[MODELO]])</f>
        <v>MARCA: GENERAC
 MODELO: PG090</v>
      </c>
      <c r="AS97" s="683" t="str">
        <f>CONCATENATE("MARCA: ",BDEGENER[[#This Row],[MARCA DE MOTOR]],"
SERIE: ",BDEGENER[[#This Row],[SERIE DE MOTOR]])</f>
        <v>MARCA: GENERAC
SERIE: 3003966252</v>
      </c>
      <c r="AT97" s="683" t="str">
        <f>CONCATENATE("MARCA: ",BDEGENER[[#This Row],[MARCA ALTERNADOR ]],"
SERIE: ",BDEGENER[[#This Row],[SERIE DE ALTERNADOR]])</f>
        <v>MARCA: GENERAC
SERIE: 10630140</v>
      </c>
      <c r="AU97" s="683" t="str">
        <f>CONCATENATE("HORAS: ",BDEGENER[[#This Row],[HORAS]],"
KW-HR: ",BDEGENER[[#This Row],[KW-HORA]],"
VOLT.BATERIA: ",BDEGENER[[#This Row],[VOLTAJE DE BATERIA]],"
TEMPERATURA: ",BDEGENER[[#This Row],[TEMPERATURA DE AGUA]],"
PRES. ACEITE: ",BDEGENER[[#This Row],[PRESION DE ACEITE]])</f>
        <v xml:space="preserve">HORAS: 2015,4
KW-HR: 54377,7
VOLT.BATERIA: 
TEMPERATURA: 
PRES. ACEITE: </v>
      </c>
      <c r="AV97" s="683">
        <f>COUNTIFS(Q97:Q2097,"MANTENIMIENTO CORRECTIVO",Y97:Y2097,BDEGENER[[#This Row],[SERIE]])</f>
        <v>2</v>
      </c>
      <c r="AW97" s="683">
        <f>COUNTIFS(Q97:Q2097,"MANTENIMIENTO PREVENTIVO",Y97:Y2097,BDEGENER[[#This Row],[SERIE]])</f>
        <v>6</v>
      </c>
      <c r="AX9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97" s="683">
        <f>COUNTIFS(BDEGENER[SERIE],BDEGENER[[#This Row],[SERIE]],BDEGENER[TIPO DE SERVICIO],"MANTENIMIENTO PREVENTIVO")</f>
        <v>7</v>
      </c>
      <c r="AZ97" s="683" t="str">
        <f>CONCATENATE("MANTENIMIENTO PREVENTIVO N°",BDEGENER[[#This Row],[GA1]])</f>
        <v>MANTENIMIENTO PREVENTIVO N°7</v>
      </c>
      <c r="BA97" s="683" t="str">
        <f>IF(BDEGENER[[#This Row],[SERVICIO]]=BDEGENER[[#This Row],[GA2]],BDEGENER[[#This Row],[HORAS]],"0")</f>
        <v>0</v>
      </c>
      <c r="BB97" s="683">
        <f>SUMIF(BDEGENER[SERIE],BDEGENER[[#This Row],[SERIE]],BDEGENER[GA3])</f>
        <v>2015.6</v>
      </c>
      <c r="BC97" s="761" t="str">
        <f>CONCATENATE("MANT",COUNTIF($Y$7:Y97,Y97))</f>
        <v>MANT2</v>
      </c>
      <c r="BD97" s="683" t="str">
        <f>CONCATENATE(BDEGENER[[#This Row],[SERIE]],BDEGENER[[#This Row],[GA5]])</f>
        <v>3004218547MANT2</v>
      </c>
      <c r="BE97" s="683" t="str">
        <f>CONCATENATE(BDEGENER[[#This Row],[CODIGO PATRIMONIAL]],BDEGENER[[#This Row],[GA5]])</f>
        <v>MANT2</v>
      </c>
      <c r="BF97" s="683">
        <f>COUNTIF(BDEGENER[SERIE],BDEGENER[[#This Row],[SERIE]])</f>
        <v>12</v>
      </c>
      <c r="BG97" s="761" t="str">
        <f>CONCATENATE("F",COUNTIF($K$7:K97,K97))</f>
        <v>F4</v>
      </c>
      <c r="BH97" s="683" t="str">
        <f>CONCATENATE(BDEGENER[[#This Row],[FECHA DE SERVICIO]],BDEGENER[[#This Row],[N° DE REGISTROS DEL DIA]])</f>
        <v>44148F4</v>
      </c>
      <c r="BI97" s="684">
        <v>54377.7</v>
      </c>
      <c r="BJ97" s="683" t="s">
        <v>1544</v>
      </c>
      <c r="BK97" s="762"/>
    </row>
    <row r="98" spans="2:63" ht="69" hidden="1" x14ac:dyDescent="0.3">
      <c r="B98" s="2"/>
      <c r="C98" s="2"/>
      <c r="D98" s="2"/>
      <c r="E98" s="2"/>
      <c r="F98" s="2"/>
      <c r="G98" s="2"/>
      <c r="H98" s="2"/>
      <c r="I98" s="2"/>
      <c r="J98" s="685"/>
      <c r="K98" s="682">
        <v>44147</v>
      </c>
      <c r="L98" s="683" t="s">
        <v>3765</v>
      </c>
      <c r="M98" s="683" t="s">
        <v>3766</v>
      </c>
      <c r="N98" s="683" t="s">
        <v>159</v>
      </c>
      <c r="O98" s="683"/>
      <c r="P98" s="683" t="s">
        <v>3767</v>
      </c>
      <c r="Q98" s="683" t="s">
        <v>2021</v>
      </c>
      <c r="R98" s="683" t="s">
        <v>3107</v>
      </c>
      <c r="S98" s="686" t="s">
        <v>3769</v>
      </c>
      <c r="T98" s="683" t="s">
        <v>3768</v>
      </c>
      <c r="U98" s="683"/>
      <c r="V98" s="683" t="s">
        <v>479</v>
      </c>
      <c r="W98" s="683" t="s">
        <v>914</v>
      </c>
      <c r="X98" s="691" t="s">
        <v>917</v>
      </c>
      <c r="Y98" s="687" t="s">
        <v>3770</v>
      </c>
      <c r="Z98" s="692" t="s">
        <v>159</v>
      </c>
      <c r="AA98" s="683" t="s">
        <v>33</v>
      </c>
      <c r="AB98" s="683" t="s">
        <v>3771</v>
      </c>
      <c r="AC98" s="683" t="s">
        <v>3772</v>
      </c>
      <c r="AD98" s="683" t="s">
        <v>3773</v>
      </c>
      <c r="AE98" s="683">
        <v>60</v>
      </c>
      <c r="AF98" s="684">
        <v>0</v>
      </c>
      <c r="AG98" s="683" t="s">
        <v>243</v>
      </c>
      <c r="AH98" s="683" t="s">
        <v>159</v>
      </c>
      <c r="AI98" s="683" t="s">
        <v>3774</v>
      </c>
      <c r="AJ98" s="683" t="s">
        <v>3775</v>
      </c>
      <c r="AK98" s="683" t="s">
        <v>159</v>
      </c>
      <c r="AL98" s="683">
        <v>2032820</v>
      </c>
      <c r="AM98" s="683" t="s">
        <v>2221</v>
      </c>
      <c r="AN98" s="683"/>
      <c r="AO98" s="683"/>
      <c r="AP98" s="683" t="s">
        <v>240</v>
      </c>
      <c r="AQ98" s="688" t="str">
        <f>CONCATENATE("REG-",BDEGENER[[#This Row],[FECHA DE SERVICIO]],"-",BDEGENER[[#This Row],[SERIE]],"-",BDEGENER[[#This Row],[HORAS]])</f>
        <v>REG-44147-PEE2616605-0</v>
      </c>
      <c r="AR98" s="683" t="str">
        <f>CONCATENATE("MARCA: ",BDEGENER[[#This Row],[MARCA]],"
 MODELO: ",BDEGENER[[#This Row],[MODELO]])</f>
        <v>MARCA: GENERAC
 MODELO: PMY155</v>
      </c>
      <c r="AS98" s="683" t="str">
        <f>CONCATENATE("MARCA: ",BDEGENER[[#This Row],[MARCA DE MOTOR]],"
SERIE: ",BDEGENER[[#This Row],[SERIE DE MOTOR]])</f>
        <v>MARCA: PERKINS / UO58442C
SERIE: 4202/1800</v>
      </c>
      <c r="AT98" s="683" t="str">
        <f>CONCATENATE("MARCA: ",BDEGENER[[#This Row],[MARCA ALTERNADOR ]],"
SERIE: ",BDEGENER[[#This Row],[SERIE DE ALTERNADOR]])</f>
        <v>MARCA: 
SERIE: 2032820</v>
      </c>
      <c r="AU98" s="683" t="str">
        <f>CONCATENATE("HORAS: ",BDEGENER[[#This Row],[HORAS]],"
KW-HR: ",BDEGENER[[#This Row],[KW-HORA]],"
VOLT.BATERIA: ",BDEGENER[[#This Row],[VOLTAJE DE BATERIA]],"
TEMPERATURA: ",BDEGENER[[#This Row],[TEMPERATURA DE AGUA]],"
PRES. ACEITE: ",BDEGENER[[#This Row],[PRESION DE ACEITE]])</f>
        <v xml:space="preserve">HORAS: 0
KW-HR: 
VOLT.BATERIA: 12 V
TEMPERATURA: 
PRES. ACEITE: </v>
      </c>
      <c r="AV98" s="683">
        <f>COUNTIFS(Q98:Q2098,"MANTENIMIENTO CORRECTIVO",Y98:Y2098,BDEGENER[[#This Row],[SERIE]])</f>
        <v>0</v>
      </c>
      <c r="AW98" s="683">
        <f>COUNTIFS(Q98:Q2098,"MANTENIMIENTO PREVENTIVO",Y98:Y2098,BDEGENER[[#This Row],[SERIE]])</f>
        <v>0</v>
      </c>
      <c r="AX9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98" s="683">
        <f>COUNTIFS(BDEGENER[SERIE],BDEGENER[[#This Row],[SERIE]],BDEGENER[TIPO DE SERVICIO],"MANTENIMIENTO PREVENTIVO")</f>
        <v>0</v>
      </c>
      <c r="AZ98" s="683" t="str">
        <f>CONCATENATE("MANTENIMIENTO PREVENTIVO N°",BDEGENER[[#This Row],[GA1]])</f>
        <v>MANTENIMIENTO PREVENTIVO N°0</v>
      </c>
      <c r="BA98" s="683" t="str">
        <f>IF(BDEGENER[[#This Row],[SERVICIO]]=BDEGENER[[#This Row],[GA2]],BDEGENER[[#This Row],[HORAS]],"0")</f>
        <v>0</v>
      </c>
      <c r="BB98" s="683">
        <f>SUMIF(BDEGENER[SERIE],BDEGENER[[#This Row],[SERIE]],BDEGENER[GA3])</f>
        <v>0</v>
      </c>
      <c r="BC98" s="683" t="str">
        <f>CONCATENATE("MANT",COUNTIF($Y$7:Y98,Y98))</f>
        <v>MANT1</v>
      </c>
      <c r="BD98" s="683" t="str">
        <f>CONCATENATE(BDEGENER[[#This Row],[SERIE]],BDEGENER[[#This Row],[GA5]])</f>
        <v>PEE2616605MANT1</v>
      </c>
      <c r="BE98" s="683" t="str">
        <f>CONCATENATE(BDEGENER[[#This Row],[CODIGO PATRIMONIAL]],BDEGENER[[#This Row],[GA5]])</f>
        <v>MANT1</v>
      </c>
      <c r="BF98" s="683">
        <f>COUNTIF(BDEGENER[SERIE],BDEGENER[[#This Row],[SERIE]])</f>
        <v>1</v>
      </c>
      <c r="BG98" s="683" t="str">
        <f>CONCATENATE("F",COUNTIF($K$7:K98,K98))</f>
        <v>F1</v>
      </c>
      <c r="BH98" s="683" t="str">
        <f>CONCATENATE(BDEGENER[[#This Row],[FECHA DE SERVICIO]],BDEGENER[[#This Row],[N° DE REGISTROS DEL DIA]])</f>
        <v>44147F1</v>
      </c>
      <c r="BI98" s="684"/>
      <c r="BJ98" s="683" t="s">
        <v>177</v>
      </c>
      <c r="BK98" s="762"/>
    </row>
    <row r="99" spans="2:63" ht="69" hidden="1" x14ac:dyDescent="0.3">
      <c r="B99" s="2"/>
      <c r="C99" s="2"/>
      <c r="D99" s="2"/>
      <c r="E99" s="2"/>
      <c r="F99" s="2"/>
      <c r="G99" s="2"/>
      <c r="H99" s="2"/>
      <c r="I99" s="2"/>
      <c r="J99" s="685"/>
      <c r="K99" s="682">
        <v>44147</v>
      </c>
      <c r="L99" s="683" t="s">
        <v>248</v>
      </c>
      <c r="M99" s="683" t="s">
        <v>2078</v>
      </c>
      <c r="N99" s="683" t="s">
        <v>1319</v>
      </c>
      <c r="O99" s="683"/>
      <c r="P99" s="683" t="s">
        <v>3624</v>
      </c>
      <c r="Q99" s="683" t="s">
        <v>2021</v>
      </c>
      <c r="R99" s="683" t="s">
        <v>1782</v>
      </c>
      <c r="S99" s="686" t="s">
        <v>3625</v>
      </c>
      <c r="T99" s="683" t="s">
        <v>3626</v>
      </c>
      <c r="U99" s="683"/>
      <c r="V99" s="683" t="s">
        <v>479</v>
      </c>
      <c r="W99" s="683" t="s">
        <v>914</v>
      </c>
      <c r="X99" s="691" t="s">
        <v>918</v>
      </c>
      <c r="Y99" s="687">
        <v>3005005010</v>
      </c>
      <c r="Z99" s="692">
        <v>24547</v>
      </c>
      <c r="AA99" s="683" t="s">
        <v>33</v>
      </c>
      <c r="AB99" s="683" t="s">
        <v>34</v>
      </c>
      <c r="AC99" s="683" t="s">
        <v>230</v>
      </c>
      <c r="AD99" s="683"/>
      <c r="AE99" s="683"/>
      <c r="AF99" s="684">
        <v>2239</v>
      </c>
      <c r="AG99" s="683" t="s">
        <v>243</v>
      </c>
      <c r="AH99" s="683" t="s">
        <v>220</v>
      </c>
      <c r="AI99" s="683" t="s">
        <v>33</v>
      </c>
      <c r="AJ99" s="683">
        <v>3005065416</v>
      </c>
      <c r="AK99" s="683" t="s">
        <v>33</v>
      </c>
      <c r="AL99" s="683">
        <v>139546230</v>
      </c>
      <c r="AM99" s="683"/>
      <c r="AN99" s="683"/>
      <c r="AO99" s="683"/>
      <c r="AP99" s="683" t="s">
        <v>240</v>
      </c>
      <c r="AQ99" s="688" t="str">
        <f>CONCATENATE("REG-",BDEGENER[[#This Row],[FECHA DE SERVICIO]],"-",BDEGENER[[#This Row],[SERIE]],"-",BDEGENER[[#This Row],[HORAS]])</f>
        <v>REG-44147-3005005010-2239</v>
      </c>
      <c r="AR99" s="683" t="str">
        <f>CONCATENATE("MARCA: ",BDEGENER[[#This Row],[MARCA]],"
 MODELO: ",BDEGENER[[#This Row],[MODELO]])</f>
        <v>MARCA: GENERAC
 MODELO: PG090</v>
      </c>
      <c r="AS99" s="683" t="str">
        <f>CONCATENATE("MARCA: ",BDEGENER[[#This Row],[MARCA DE MOTOR]],"
SERIE: ",BDEGENER[[#This Row],[SERIE DE MOTOR]])</f>
        <v>MARCA: GENERAC
SERIE: 3005065416</v>
      </c>
      <c r="AT99" s="683" t="str">
        <f>CONCATENATE("MARCA: ",BDEGENER[[#This Row],[MARCA ALTERNADOR ]],"
SERIE: ",BDEGENER[[#This Row],[SERIE DE ALTERNADOR]])</f>
        <v>MARCA: GENERAC
SERIE: 139546230</v>
      </c>
      <c r="AU99" s="683" t="str">
        <f>CONCATENATE("HORAS: ",BDEGENER[[#This Row],[HORAS]],"
KW-HR: ",BDEGENER[[#This Row],[KW-HORA]],"
VOLT.BATERIA: ",BDEGENER[[#This Row],[VOLTAJE DE BATERIA]],"
TEMPERATURA: ",BDEGENER[[#This Row],[TEMPERATURA DE AGUA]],"
PRES. ACEITE: ",BDEGENER[[#This Row],[PRESION DE ACEITE]])</f>
        <v xml:space="preserve">HORAS: 2239
KW-HR: 
VOLT.BATERIA: 
TEMPERATURA: 
PRES. ACEITE: </v>
      </c>
      <c r="AV99" s="683">
        <f>COUNTIFS(Q99:Q2099,"MANTENIMIENTO CORRECTIVO",Y99:Y2099,BDEGENER[[#This Row],[SERIE]])</f>
        <v>1</v>
      </c>
      <c r="AW99" s="683">
        <f>COUNTIFS(Q99:Q2099,"MANTENIMIENTO PREVENTIVO",Y99:Y2099,BDEGENER[[#This Row],[SERIE]])</f>
        <v>7</v>
      </c>
      <c r="AX9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99" s="683">
        <f>COUNTIFS(BDEGENER[SERIE],BDEGENER[[#This Row],[SERIE]],BDEGENER[TIPO DE SERVICIO],"MANTENIMIENTO PREVENTIVO")</f>
        <v>9</v>
      </c>
      <c r="AZ99" s="683" t="str">
        <f>CONCATENATE("MANTENIMIENTO PREVENTIVO N°",BDEGENER[[#This Row],[GA1]])</f>
        <v>MANTENIMIENTO PREVENTIVO N°9</v>
      </c>
      <c r="BA99" s="683" t="str">
        <f>IF(BDEGENER[[#This Row],[SERVICIO]]=BDEGENER[[#This Row],[GA2]],BDEGENER[[#This Row],[HORAS]],"0")</f>
        <v>0</v>
      </c>
      <c r="BB99" s="683">
        <f>SUMIF(BDEGENER[SERIE],BDEGENER[[#This Row],[SERIE]],BDEGENER[GA3])</f>
        <v>2557.3000000000002</v>
      </c>
      <c r="BC99" s="683" t="str">
        <f>CONCATENATE("MANT",COUNTIF($Y$7:Y99,Y99))</f>
        <v>MANT3</v>
      </c>
      <c r="BD99" s="683" t="str">
        <f>CONCATENATE(BDEGENER[[#This Row],[SERIE]],BDEGENER[[#This Row],[GA5]])</f>
        <v>3005005010MANT3</v>
      </c>
      <c r="BE99" s="683" t="str">
        <f>CONCATENATE(BDEGENER[[#This Row],[CODIGO PATRIMONIAL]],BDEGENER[[#This Row],[GA5]])</f>
        <v>24547MANT3</v>
      </c>
      <c r="BF99" s="683">
        <f>COUNTIF(BDEGENER[SERIE],BDEGENER[[#This Row],[SERIE]])</f>
        <v>14</v>
      </c>
      <c r="BG99" s="683" t="str">
        <f>CONCATENATE("F",COUNTIF($K$7:K99,K99))</f>
        <v>F2</v>
      </c>
      <c r="BH99" s="683" t="str">
        <f>CONCATENATE(BDEGENER[[#This Row],[FECHA DE SERVICIO]],BDEGENER[[#This Row],[N° DE REGISTROS DEL DIA]])</f>
        <v>44147F2</v>
      </c>
      <c r="BI99" s="684"/>
      <c r="BJ99" s="683" t="s">
        <v>1544</v>
      </c>
      <c r="BK99" s="762"/>
    </row>
    <row r="100" spans="2:63" ht="69" hidden="1" x14ac:dyDescent="0.3">
      <c r="B100" s="2"/>
      <c r="C100" s="2"/>
      <c r="D100" s="2"/>
      <c r="E100" s="2"/>
      <c r="F100" s="2"/>
      <c r="G100" s="2"/>
      <c r="H100" s="2"/>
      <c r="I100" s="2"/>
      <c r="J100" s="685"/>
      <c r="K100" s="682">
        <v>44146</v>
      </c>
      <c r="L100" s="683" t="s">
        <v>561</v>
      </c>
      <c r="M100" s="683" t="s">
        <v>2439</v>
      </c>
      <c r="N100" s="683" t="s">
        <v>564</v>
      </c>
      <c r="O100" s="683"/>
      <c r="P100" s="683"/>
      <c r="Q100" s="683" t="s">
        <v>108</v>
      </c>
      <c r="R100" s="683" t="s">
        <v>1782</v>
      </c>
      <c r="S100" s="686" t="s">
        <v>3674</v>
      </c>
      <c r="T100" s="683" t="s">
        <v>3675</v>
      </c>
      <c r="U100" s="683" t="s">
        <v>3676</v>
      </c>
      <c r="V100" s="683" t="s">
        <v>677</v>
      </c>
      <c r="W100" s="683" t="s">
        <v>914</v>
      </c>
      <c r="X100" s="691" t="s">
        <v>918</v>
      </c>
      <c r="Y100" s="687">
        <v>3003962766</v>
      </c>
      <c r="Z100" s="692" t="s">
        <v>2602</v>
      </c>
      <c r="AA100" s="683" t="s">
        <v>33</v>
      </c>
      <c r="AB100" s="683" t="s">
        <v>34</v>
      </c>
      <c r="AC100" s="683" t="s">
        <v>230</v>
      </c>
      <c r="AD100" s="683" t="s">
        <v>1123</v>
      </c>
      <c r="AE100" s="683">
        <v>60</v>
      </c>
      <c r="AF100" s="684">
        <v>4219.8</v>
      </c>
      <c r="AG100" s="683" t="s">
        <v>243</v>
      </c>
      <c r="AH100" s="683" t="s">
        <v>220</v>
      </c>
      <c r="AI100" s="683" t="s">
        <v>33</v>
      </c>
      <c r="AJ100" s="683">
        <v>3003966248</v>
      </c>
      <c r="AK100" s="683" t="s">
        <v>33</v>
      </c>
      <c r="AL100" s="683"/>
      <c r="AM100" s="683" t="s">
        <v>3423</v>
      </c>
      <c r="AN100" s="683" t="s">
        <v>1122</v>
      </c>
      <c r="AO100" s="683" t="s">
        <v>247</v>
      </c>
      <c r="AP100" s="683" t="s">
        <v>240</v>
      </c>
      <c r="AQ100" s="688" t="str">
        <f>CONCATENATE("REG-",BDEGENER[[#This Row],[FECHA DE SERVICIO]],"-",BDEGENER[[#This Row],[SERIE]],"-",BDEGENER[[#This Row],[HORAS]])</f>
        <v>REG-44146-3003962766-4219,8</v>
      </c>
      <c r="AR100" s="683" t="str">
        <f>CONCATENATE("MARCA: ",BDEGENER[[#This Row],[MARCA]],"
 MODELO: ",BDEGENER[[#This Row],[MODELO]])</f>
        <v>MARCA: GENERAC
 MODELO: PG090</v>
      </c>
      <c r="AS100" s="683" t="str">
        <f>CONCATENATE("MARCA: ",BDEGENER[[#This Row],[MARCA DE MOTOR]],"
SERIE: ",BDEGENER[[#This Row],[SERIE DE MOTOR]])</f>
        <v>MARCA: GENERAC
SERIE: 3003966248</v>
      </c>
      <c r="AT100" s="683" t="str">
        <f>CONCATENATE("MARCA: ",BDEGENER[[#This Row],[MARCA ALTERNADOR ]],"
SERIE: ",BDEGENER[[#This Row],[SERIE DE ALTERNADOR]])</f>
        <v xml:space="preserve">MARCA: GENERAC
SERIE: </v>
      </c>
      <c r="AU100" s="683" t="str">
        <f>CONCATENATE("HORAS: ",BDEGENER[[#This Row],[HORAS]],"
KW-HR: ",BDEGENER[[#This Row],[KW-HORA]],"
VOLT.BATERIA: ",BDEGENER[[#This Row],[VOLTAJE DE BATERIA]],"
TEMPERATURA: ",BDEGENER[[#This Row],[TEMPERATURA DE AGUA]],"
PRES. ACEITE: ",BDEGENER[[#This Row],[PRESION DE ACEITE]])</f>
        <v>HORAS: 4219,8
KW-HR: 78004,8
VOLT.BATERIA: 14.6 V
TEMPERATURA: 195 °F
PRES. ACEITE: 55 PSI</v>
      </c>
      <c r="AV100" s="683">
        <f>COUNTIFS(Q100:Q2100,"MANTENIMIENTO CORRECTIVO",Y100:Y2100,BDEGENER[[#This Row],[SERIE]])</f>
        <v>2</v>
      </c>
      <c r="AW100" s="683">
        <f>COUNTIFS(Q100:Q2100,"MANTENIMIENTO PREVENTIVO",Y100:Y2100,BDEGENER[[#This Row],[SERIE]])</f>
        <v>8</v>
      </c>
      <c r="AX10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00" s="683">
        <f>COUNTIFS(BDEGENER[SERIE],BDEGENER[[#This Row],[SERIE]],BDEGENER[TIPO DE SERVICIO],"MANTENIMIENTO PREVENTIVO")</f>
        <v>9</v>
      </c>
      <c r="AZ100" s="683" t="str">
        <f>CONCATENATE("MANTENIMIENTO PREVENTIVO N°",BDEGENER[[#This Row],[GA1]])</f>
        <v>MANTENIMIENTO PREVENTIVO N°9</v>
      </c>
      <c r="BA100" s="683" t="str">
        <f>IF(BDEGENER[[#This Row],[SERVICIO]]=BDEGENER[[#This Row],[GA2]],BDEGENER[[#This Row],[HORAS]],"0")</f>
        <v>0</v>
      </c>
      <c r="BB100" s="683">
        <f>SUMIF(BDEGENER[SERIE],BDEGENER[[#This Row],[SERIE]],BDEGENER[GA3])</f>
        <v>4662.2</v>
      </c>
      <c r="BC100" s="761" t="str">
        <f>CONCATENATE("MANT",COUNTIF($Y$7:Y100,Y100))</f>
        <v>MANT4</v>
      </c>
      <c r="BD100" s="683" t="str">
        <f>CONCATENATE(BDEGENER[[#This Row],[SERIE]],BDEGENER[[#This Row],[GA5]])</f>
        <v>3003962766MANT4</v>
      </c>
      <c r="BE100" s="683" t="str">
        <f>CONCATENATE(BDEGENER[[#This Row],[CODIGO PATRIMONIAL]],BDEGENER[[#This Row],[GA5]])</f>
        <v>SUR-GEG-0006MANT4</v>
      </c>
      <c r="BF100" s="683">
        <f>COUNTIF(BDEGENER[SERIE],BDEGENER[[#This Row],[SERIE]])</f>
        <v>16</v>
      </c>
      <c r="BG100" s="761" t="str">
        <f>CONCATENATE("F",COUNTIF($K$7:K100,K100))</f>
        <v>F1</v>
      </c>
      <c r="BH100" s="683" t="str">
        <f>CONCATENATE(BDEGENER[[#This Row],[FECHA DE SERVICIO]],BDEGENER[[#This Row],[N° DE REGISTROS DEL DIA]])</f>
        <v>44146F1</v>
      </c>
      <c r="BI100" s="684">
        <v>78004.800000000003</v>
      </c>
      <c r="BJ100" s="683" t="s">
        <v>1544</v>
      </c>
      <c r="BK100" s="762"/>
    </row>
    <row r="101" spans="2:63" ht="69" hidden="1" x14ac:dyDescent="0.3">
      <c r="B101" s="2"/>
      <c r="C101" s="2"/>
      <c r="D101" s="2"/>
      <c r="E101" s="2"/>
      <c r="F101" s="2"/>
      <c r="G101" s="2"/>
      <c r="H101" s="2"/>
      <c r="I101" s="2"/>
      <c r="J101" s="685"/>
      <c r="K101" s="682">
        <v>44144</v>
      </c>
      <c r="L101" s="683" t="s">
        <v>561</v>
      </c>
      <c r="M101" s="683" t="s">
        <v>583</v>
      </c>
      <c r="N101" s="683" t="s">
        <v>578</v>
      </c>
      <c r="O101" s="683"/>
      <c r="P101" s="683"/>
      <c r="Q101" s="683" t="s">
        <v>108</v>
      </c>
      <c r="R101" s="683" t="s">
        <v>1782</v>
      </c>
      <c r="S101" s="686" t="s">
        <v>3733</v>
      </c>
      <c r="T101" s="683" t="s">
        <v>2546</v>
      </c>
      <c r="U101" s="683"/>
      <c r="V101" s="683" t="s">
        <v>677</v>
      </c>
      <c r="W101" s="683" t="s">
        <v>913</v>
      </c>
      <c r="X101" s="691" t="s">
        <v>918</v>
      </c>
      <c r="Y101" s="687">
        <v>3003415544</v>
      </c>
      <c r="Z101" s="692" t="s">
        <v>2601</v>
      </c>
      <c r="AA101" s="683" t="s">
        <v>33</v>
      </c>
      <c r="AB101" s="683" t="s">
        <v>217</v>
      </c>
      <c r="AC101" s="683" t="s">
        <v>749</v>
      </c>
      <c r="AD101" s="683"/>
      <c r="AE101" s="683"/>
      <c r="AF101" s="684">
        <v>5533.4</v>
      </c>
      <c r="AG101" s="683" t="s">
        <v>243</v>
      </c>
      <c r="AH101" s="683" t="s">
        <v>1803</v>
      </c>
      <c r="AI101" s="683" t="s">
        <v>2553</v>
      </c>
      <c r="AJ101" s="683"/>
      <c r="AK101" s="683" t="s">
        <v>33</v>
      </c>
      <c r="AL101" s="683"/>
      <c r="AM101" s="683"/>
      <c r="AN101" s="683"/>
      <c r="AO101" s="683"/>
      <c r="AP101" s="683" t="s">
        <v>240</v>
      </c>
      <c r="AQ101" s="688" t="str">
        <f>CONCATENATE("REG-",BDEGENER[[#This Row],[FECHA DE SERVICIO]],"-",BDEGENER[[#This Row],[SERIE]],"-",BDEGENER[[#This Row],[HORAS]])</f>
        <v>REG-44144-3003415544-5533,4</v>
      </c>
      <c r="AR101" s="683" t="str">
        <f>CONCATENATE("MARCA: ",BDEGENER[[#This Row],[MARCA]],"
 MODELO: ",BDEGENER[[#This Row],[MODELO]])</f>
        <v>MARCA: GENERAC
 MODELO: RG022</v>
      </c>
      <c r="AS101" s="683" t="str">
        <f>CONCATENATE("MARCA: ",BDEGENER[[#This Row],[MARCA DE MOTOR]],"
SERIE: ",BDEGENER[[#This Row],[SERIE DE MOTOR]])</f>
        <v xml:space="preserve">MARCA: MITSUBISHI
SERIE: </v>
      </c>
      <c r="AT101" s="683" t="str">
        <f>CONCATENATE("MARCA: ",BDEGENER[[#This Row],[MARCA ALTERNADOR ]],"
SERIE: ",BDEGENER[[#This Row],[SERIE DE ALTERNADOR]])</f>
        <v xml:space="preserve">MARCA: GENERAC
SERIE: </v>
      </c>
      <c r="AU101" s="683" t="str">
        <f>CONCATENATE("HORAS: ",BDEGENER[[#This Row],[HORAS]],"
KW-HR: ",BDEGENER[[#This Row],[KW-HORA]],"
VOLT.BATERIA: ",BDEGENER[[#This Row],[VOLTAJE DE BATERIA]],"
TEMPERATURA: ",BDEGENER[[#This Row],[TEMPERATURA DE AGUA]],"
PRES. ACEITE: ",BDEGENER[[#This Row],[PRESION DE ACEITE]])</f>
        <v xml:space="preserve">HORAS: 5533,4
KW-HR: 
VOLT.BATERIA: 
TEMPERATURA: 
PRES. ACEITE: </v>
      </c>
      <c r="AV101" s="683">
        <f>COUNTIFS(Q101:Q2101,"MANTENIMIENTO CORRECTIVO",Y101:Y2101,BDEGENER[[#This Row],[SERIE]])</f>
        <v>2</v>
      </c>
      <c r="AW101" s="683">
        <f>COUNTIFS(Q101:Q2101,"MANTENIMIENTO PREVENTIVO",Y101:Y2101,BDEGENER[[#This Row],[SERIE]])</f>
        <v>9</v>
      </c>
      <c r="AX10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01" s="683">
        <f>COUNTIFS(BDEGENER[SERIE],BDEGENER[[#This Row],[SERIE]],BDEGENER[TIPO DE SERVICIO],"MANTENIMIENTO PREVENTIVO")</f>
        <v>9</v>
      </c>
      <c r="AZ101" s="683" t="str">
        <f>CONCATENATE("MANTENIMIENTO PREVENTIVO N°",BDEGENER[[#This Row],[GA1]])</f>
        <v>MANTENIMIENTO PREVENTIVO N°9</v>
      </c>
      <c r="BA101" s="683" t="str">
        <f>IF(BDEGENER[[#This Row],[SERVICIO]]=BDEGENER[[#This Row],[GA2]],BDEGENER[[#This Row],[HORAS]],"0")</f>
        <v>0</v>
      </c>
      <c r="BB101" s="683">
        <f>SUMIF(BDEGENER[SERIE],BDEGENER[[#This Row],[SERIE]],BDEGENER[GA3])</f>
        <v>5449.4</v>
      </c>
      <c r="BC101" s="683" t="str">
        <f>CONCATENATE("MANT",COUNTIF($Y$7:Y101,Y101))</f>
        <v>MANT1</v>
      </c>
      <c r="BD101" s="683" t="str">
        <f>CONCATENATE(BDEGENER[[#This Row],[SERIE]],BDEGENER[[#This Row],[GA5]])</f>
        <v>3003415544MANT1</v>
      </c>
      <c r="BE101" s="683" t="str">
        <f>CONCATENATE(BDEGENER[[#This Row],[CODIGO PATRIMONIAL]],BDEGENER[[#This Row],[GA5]])</f>
        <v>SUR-GEG-0005MANT1</v>
      </c>
      <c r="BF101" s="683">
        <f>COUNTIF(BDEGENER[SERIE],BDEGENER[[#This Row],[SERIE]])</f>
        <v>13</v>
      </c>
      <c r="BG101" s="683" t="str">
        <f>CONCATENATE("F",COUNTIF($K$7:K101,K101))</f>
        <v>F1</v>
      </c>
      <c r="BH101" s="683" t="str">
        <f>CONCATENATE(BDEGENER[[#This Row],[FECHA DE SERVICIO]],BDEGENER[[#This Row],[N° DE REGISTROS DEL DIA]])</f>
        <v>44144F1</v>
      </c>
      <c r="BI101" s="684"/>
      <c r="BJ101" s="683" t="s">
        <v>1544</v>
      </c>
      <c r="BK101" s="762"/>
    </row>
    <row r="102" spans="2:63" ht="69" hidden="1" x14ac:dyDescent="0.3">
      <c r="B102" s="2"/>
      <c r="C102" s="2"/>
      <c r="D102" s="2"/>
      <c r="E102" s="2"/>
      <c r="F102" s="2"/>
      <c r="G102" s="2"/>
      <c r="H102" s="2"/>
      <c r="I102" s="2"/>
      <c r="J102" s="685"/>
      <c r="K102" s="682">
        <v>44144</v>
      </c>
      <c r="L102" s="683" t="s">
        <v>561</v>
      </c>
      <c r="M102" s="683" t="s">
        <v>582</v>
      </c>
      <c r="N102" s="683" t="s">
        <v>578</v>
      </c>
      <c r="O102" s="683"/>
      <c r="P102" s="683"/>
      <c r="Q102" s="683" t="s">
        <v>108</v>
      </c>
      <c r="R102" s="683" t="s">
        <v>1782</v>
      </c>
      <c r="S102" s="686" t="s">
        <v>3733</v>
      </c>
      <c r="T102" s="683" t="s">
        <v>2546</v>
      </c>
      <c r="U102" s="683"/>
      <c r="V102" s="683" t="s">
        <v>677</v>
      </c>
      <c r="W102" s="683" t="s">
        <v>913</v>
      </c>
      <c r="X102" s="691" t="s">
        <v>918</v>
      </c>
      <c r="Y102" s="687">
        <v>3004370193</v>
      </c>
      <c r="Z102" s="692" t="s">
        <v>2599</v>
      </c>
      <c r="AA102" s="683" t="s">
        <v>33</v>
      </c>
      <c r="AB102" s="683" t="s">
        <v>217</v>
      </c>
      <c r="AC102" s="683" t="s">
        <v>749</v>
      </c>
      <c r="AD102" s="683"/>
      <c r="AE102" s="683"/>
      <c r="AF102" s="684">
        <v>3429.9</v>
      </c>
      <c r="AG102" s="683" t="s">
        <v>243</v>
      </c>
      <c r="AH102" s="683" t="s">
        <v>1803</v>
      </c>
      <c r="AI102" s="683" t="s">
        <v>2553</v>
      </c>
      <c r="AJ102" s="683" t="s">
        <v>3670</v>
      </c>
      <c r="AK102" s="683" t="s">
        <v>33</v>
      </c>
      <c r="AL102" s="683"/>
      <c r="AM102" s="683"/>
      <c r="AN102" s="683"/>
      <c r="AO102" s="683"/>
      <c r="AP102" s="683" t="s">
        <v>240</v>
      </c>
      <c r="AQ102" s="769" t="str">
        <f>CONCATENATE("REG-",BDEGENER[[#This Row],[FECHA DE SERVICIO]],"-",BDEGENER[[#This Row],[SERIE]],"-",BDEGENER[[#This Row],[HORAS]])</f>
        <v>REG-44144-3004370193-3429,9</v>
      </c>
      <c r="AR102" s="683" t="str">
        <f>CONCATENATE("MARCA: ",BDEGENER[[#This Row],[MARCA]],"
 MODELO: ",BDEGENER[[#This Row],[MODELO]])</f>
        <v>MARCA: GENERAC
 MODELO: RG022</v>
      </c>
      <c r="AS102" s="683" t="str">
        <f>CONCATENATE("MARCA: ",BDEGENER[[#This Row],[MARCA DE MOTOR]],"
SERIE: ",BDEGENER[[#This Row],[SERIE DE MOTOR]])</f>
        <v>MARCA: MITSUBISHI
SERIE: 4G6434M</v>
      </c>
      <c r="AT102" s="683" t="str">
        <f>CONCATENATE("MARCA: ",BDEGENER[[#This Row],[MARCA ALTERNADOR ]],"
SERIE: ",BDEGENER[[#This Row],[SERIE DE ALTERNADOR]])</f>
        <v xml:space="preserve">MARCA: GENERAC
SERIE: </v>
      </c>
      <c r="AU102" s="683" t="str">
        <f>CONCATENATE("HORAS: ",BDEGENER[[#This Row],[HORAS]],"
KW-HR: ",BDEGENER[[#This Row],[KW-HORA]],"
VOLT.BATERIA: ",BDEGENER[[#This Row],[VOLTAJE DE BATERIA]],"
TEMPERATURA: ",BDEGENER[[#This Row],[TEMPERATURA DE AGUA]],"
PRES. ACEITE: ",BDEGENER[[#This Row],[PRESION DE ACEITE]])</f>
        <v xml:space="preserve">HORAS: 3429,9
KW-HR: 
VOLT.BATERIA: 
TEMPERATURA: 
PRES. ACEITE: </v>
      </c>
      <c r="AV102" s="683">
        <f>COUNTIFS(Q102:Q2102,"MANTENIMIENTO CORRECTIVO",Y102:Y2102,BDEGENER[[#This Row],[SERIE]])</f>
        <v>2</v>
      </c>
      <c r="AW102" s="683">
        <f>COUNTIFS(Q102:Q2102,"MANTENIMIENTO PREVENTIVO",Y102:Y2102,BDEGENER[[#This Row],[SERIE]])</f>
        <v>8</v>
      </c>
      <c r="AX10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02" s="683">
        <f>COUNTIFS(BDEGENER[SERIE],BDEGENER[[#This Row],[SERIE]],BDEGENER[TIPO DE SERVICIO],"MANTENIMIENTO PREVENTIVO")</f>
        <v>9</v>
      </c>
      <c r="AZ102" s="683" t="str">
        <f>CONCATENATE("MANTENIMIENTO PREVENTIVO N°",BDEGENER[[#This Row],[GA1]])</f>
        <v>MANTENIMIENTO PREVENTIVO N°9</v>
      </c>
      <c r="BA102" s="683" t="str">
        <f>IF(BDEGENER[[#This Row],[SERVICIO]]=BDEGENER[[#This Row],[GA2]],BDEGENER[[#This Row],[HORAS]],"0")</f>
        <v>0</v>
      </c>
      <c r="BB102" s="683">
        <f>SUMIF(BDEGENER[SERIE],BDEGENER[[#This Row],[SERIE]],BDEGENER[GA3])</f>
        <v>3580.3</v>
      </c>
      <c r="BC102" s="683" t="str">
        <f>CONCATENATE("MANT",COUNTIF($Y$7:Y102,Y102))</f>
        <v>MANT4</v>
      </c>
      <c r="BD102" s="683" t="str">
        <f>CONCATENATE(BDEGENER[[#This Row],[SERIE]],BDEGENER[[#This Row],[GA5]])</f>
        <v>3004370193MANT4</v>
      </c>
      <c r="BE102" s="683" t="str">
        <f>CONCATENATE(BDEGENER[[#This Row],[CODIGO PATRIMONIAL]],BDEGENER[[#This Row],[GA5]])</f>
        <v>SUR-GEG-0003MANT4</v>
      </c>
      <c r="BF102" s="683">
        <f>COUNTIF(BDEGENER[SERIE],BDEGENER[[#This Row],[SERIE]])</f>
        <v>16</v>
      </c>
      <c r="BG102" s="683" t="str">
        <f>CONCATENATE("F",COUNTIF($K$7:K102,K102))</f>
        <v>F2</v>
      </c>
      <c r="BH102" s="683" t="str">
        <f>CONCATENATE(BDEGENER[[#This Row],[FECHA DE SERVICIO]],BDEGENER[[#This Row],[N° DE REGISTROS DEL DIA]])</f>
        <v>44144F2</v>
      </c>
      <c r="BI102" s="684"/>
      <c r="BJ102" s="683" t="s">
        <v>1544</v>
      </c>
      <c r="BK102" s="762"/>
    </row>
    <row r="103" spans="2:63" ht="69" hidden="1" x14ac:dyDescent="0.3">
      <c r="B103" s="2"/>
      <c r="C103" s="2"/>
      <c r="D103" s="2"/>
      <c r="E103" s="2"/>
      <c r="F103" s="2"/>
      <c r="G103" s="2"/>
      <c r="H103" s="2"/>
      <c r="I103" s="2"/>
      <c r="J103" s="685"/>
      <c r="K103" s="682">
        <v>44144</v>
      </c>
      <c r="L103" s="683" t="s">
        <v>561</v>
      </c>
      <c r="M103" s="683" t="s">
        <v>2890</v>
      </c>
      <c r="N103" s="683" t="s">
        <v>3093</v>
      </c>
      <c r="O103" s="683"/>
      <c r="P103" s="688" t="s">
        <v>3704</v>
      </c>
      <c r="Q103" s="683" t="s">
        <v>37</v>
      </c>
      <c r="R103" s="683" t="s">
        <v>1782</v>
      </c>
      <c r="S103" s="686" t="s">
        <v>3702</v>
      </c>
      <c r="T103" s="683" t="s">
        <v>3703</v>
      </c>
      <c r="U103" s="683" t="s">
        <v>2887</v>
      </c>
      <c r="V103" s="683" t="s">
        <v>677</v>
      </c>
      <c r="W103" s="683" t="s">
        <v>913</v>
      </c>
      <c r="X103" s="691" t="s">
        <v>918</v>
      </c>
      <c r="Y103" s="687">
        <v>3003415532</v>
      </c>
      <c r="Z103" s="692" t="s">
        <v>2606</v>
      </c>
      <c r="AA103" s="683" t="s">
        <v>33</v>
      </c>
      <c r="AB103" s="683" t="s">
        <v>217</v>
      </c>
      <c r="AC103" s="683" t="s">
        <v>749</v>
      </c>
      <c r="AD103" s="683" t="s">
        <v>1123</v>
      </c>
      <c r="AE103" s="683">
        <v>60</v>
      </c>
      <c r="AF103" s="684">
        <v>5439.7</v>
      </c>
      <c r="AG103" s="683" t="s">
        <v>243</v>
      </c>
      <c r="AH103" s="683" t="s">
        <v>1803</v>
      </c>
      <c r="AI103" s="683" t="s">
        <v>2553</v>
      </c>
      <c r="AJ103" s="683" t="s">
        <v>3343</v>
      </c>
      <c r="AK103" s="683" t="s">
        <v>33</v>
      </c>
      <c r="AL103" s="683"/>
      <c r="AM103" s="683" t="s">
        <v>245</v>
      </c>
      <c r="AN103" s="683"/>
      <c r="AO103" s="683"/>
      <c r="AP103" s="683" t="s">
        <v>240</v>
      </c>
      <c r="AQ103" s="688" t="str">
        <f>CONCATENATE("REG-",BDEGENER[[#This Row],[FECHA DE SERVICIO]],"-",BDEGENER[[#This Row],[SERIE]],"-",BDEGENER[[#This Row],[HORAS]])</f>
        <v>REG-44144-3003415532-5439,7</v>
      </c>
      <c r="AR103" s="683" t="str">
        <f>CONCATENATE("MARCA: ",BDEGENER[[#This Row],[MARCA]],"
 MODELO: ",BDEGENER[[#This Row],[MODELO]])</f>
        <v>MARCA: GENERAC
 MODELO: RG022</v>
      </c>
      <c r="AS103" s="683" t="str">
        <f>CONCATENATE("MARCA: ",BDEGENER[[#This Row],[MARCA DE MOTOR]],"
SERIE: ",BDEGENER[[#This Row],[SERIE DE MOTOR]])</f>
        <v>MARCA: MITSUBISHI
SERIE: STS6082/6G454M</v>
      </c>
      <c r="AT103" s="683" t="str">
        <f>CONCATENATE("MARCA: ",BDEGENER[[#This Row],[MARCA ALTERNADOR ]],"
SERIE: ",BDEGENER[[#This Row],[SERIE DE ALTERNADOR]])</f>
        <v xml:space="preserve">MARCA: GENERAC
SERIE: </v>
      </c>
      <c r="AU103" s="683" t="str">
        <f>CONCATENATE("HORAS: ",BDEGENER[[#This Row],[HORAS]],"
KW-HR: ",BDEGENER[[#This Row],[KW-HORA]],"
VOLT.BATERIA: ",BDEGENER[[#This Row],[VOLTAJE DE BATERIA]],"
TEMPERATURA: ",BDEGENER[[#This Row],[TEMPERATURA DE AGUA]],"
PRES. ACEITE: ",BDEGENER[[#This Row],[PRESION DE ACEITE]])</f>
        <v xml:space="preserve">HORAS: 5439,7
KW-HR: 
VOLT.BATERIA: 13.6 V
TEMPERATURA: 
PRES. ACEITE: </v>
      </c>
      <c r="AV103" s="683">
        <f>COUNTIFS(Q103:Q2103,"MANTENIMIENTO CORRECTIVO",Y103:Y2103,BDEGENER[[#This Row],[SERIE]])</f>
        <v>0</v>
      </c>
      <c r="AW103" s="683">
        <f>COUNTIFS(Q103:Q2103,"MANTENIMIENTO PREVENTIVO",Y103:Y2103,BDEGENER[[#This Row],[SERIE]])</f>
        <v>13</v>
      </c>
      <c r="AX10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N°13</v>
      </c>
      <c r="AY103" s="683">
        <f>COUNTIFS(BDEGENER[SERIE],BDEGENER[[#This Row],[SERIE]],BDEGENER[TIPO DE SERVICIO],"MANTENIMIENTO PREVENTIVO")</f>
        <v>14</v>
      </c>
      <c r="AZ103" s="683" t="str">
        <f>CONCATENATE("MANTENIMIENTO PREVENTIVO N°",BDEGENER[[#This Row],[GA1]])</f>
        <v>MANTENIMIENTO PREVENTIVO N°14</v>
      </c>
      <c r="BA103" s="683" t="str">
        <f>IF(BDEGENER[[#This Row],[SERVICIO]]=BDEGENER[[#This Row],[GA2]],BDEGENER[[#This Row],[HORAS]],"0")</f>
        <v>0</v>
      </c>
      <c r="BB103" s="683">
        <f>SUMIF(BDEGENER[SERIE],BDEGENER[[#This Row],[SERIE]],BDEGENER[GA3])</f>
        <v>5730.6</v>
      </c>
      <c r="BC103" s="761" t="str">
        <f>CONCATENATE("MANT",COUNTIF($Y$7:Y103,Y103))</f>
        <v>MANT2</v>
      </c>
      <c r="BD103" s="683" t="str">
        <f>CONCATENATE(BDEGENER[[#This Row],[SERIE]],BDEGENER[[#This Row],[GA5]])</f>
        <v>3003415532MANT2</v>
      </c>
      <c r="BE103" s="683" t="str">
        <f>CONCATENATE(BDEGENER[[#This Row],[CODIGO PATRIMONIAL]],BDEGENER[[#This Row],[GA5]])</f>
        <v>SUR-GEG-0010MANT2</v>
      </c>
      <c r="BF103" s="683">
        <f>COUNTIF(BDEGENER[SERIE],BDEGENER[[#This Row],[SERIE]])</f>
        <v>14</v>
      </c>
      <c r="BG103" s="761" t="str">
        <f>CONCATENATE("F",COUNTIF($K$7:K103,K103))</f>
        <v>F3</v>
      </c>
      <c r="BH103" s="683" t="str">
        <f>CONCATENATE(BDEGENER[[#This Row],[FECHA DE SERVICIO]],BDEGENER[[#This Row],[N° DE REGISTROS DEL DIA]])</f>
        <v>44144F3</v>
      </c>
      <c r="BI103" s="684"/>
      <c r="BJ103" s="683" t="s">
        <v>1544</v>
      </c>
      <c r="BK103" s="762"/>
    </row>
    <row r="104" spans="2:63" ht="69" hidden="1" x14ac:dyDescent="0.3">
      <c r="B104" s="2"/>
      <c r="C104" s="2"/>
      <c r="D104" s="2"/>
      <c r="E104" s="2"/>
      <c r="F104" s="2"/>
      <c r="G104" s="2"/>
      <c r="H104" s="2"/>
      <c r="I104" s="2"/>
      <c r="J104" s="685"/>
      <c r="K104" s="682">
        <v>44144</v>
      </c>
      <c r="L104" s="683" t="s">
        <v>561</v>
      </c>
      <c r="M104" s="683" t="s">
        <v>2659</v>
      </c>
      <c r="N104" s="683" t="s">
        <v>2660</v>
      </c>
      <c r="O104" s="683"/>
      <c r="P104" s="688" t="s">
        <v>3692</v>
      </c>
      <c r="Q104" s="683" t="s">
        <v>37</v>
      </c>
      <c r="R104" s="683" t="s">
        <v>1782</v>
      </c>
      <c r="S104" s="686" t="s">
        <v>3693</v>
      </c>
      <c r="T104" s="683" t="s">
        <v>3244</v>
      </c>
      <c r="U104" s="683" t="s">
        <v>3694</v>
      </c>
      <c r="V104" s="683" t="s">
        <v>677</v>
      </c>
      <c r="W104" s="683" t="s">
        <v>913</v>
      </c>
      <c r="X104" s="691" t="s">
        <v>918</v>
      </c>
      <c r="Y104" s="687">
        <v>3004597775</v>
      </c>
      <c r="Z104" s="692" t="s">
        <v>2608</v>
      </c>
      <c r="AA104" s="683" t="s">
        <v>33</v>
      </c>
      <c r="AB104" s="683" t="s">
        <v>217</v>
      </c>
      <c r="AC104" s="683" t="s">
        <v>749</v>
      </c>
      <c r="AD104" s="683" t="s">
        <v>1123</v>
      </c>
      <c r="AE104" s="683">
        <v>60</v>
      </c>
      <c r="AF104" s="684">
        <v>2331.8000000000002</v>
      </c>
      <c r="AG104" s="683" t="s">
        <v>243</v>
      </c>
      <c r="AH104" s="683" t="s">
        <v>1803</v>
      </c>
      <c r="AI104" s="683" t="s">
        <v>2553</v>
      </c>
      <c r="AJ104" s="683"/>
      <c r="AK104" s="683" t="s">
        <v>33</v>
      </c>
      <c r="AL104" s="683"/>
      <c r="AM104" s="683" t="s">
        <v>1193</v>
      </c>
      <c r="AN104" s="683"/>
      <c r="AO104" s="683"/>
      <c r="AP104" s="683" t="s">
        <v>240</v>
      </c>
      <c r="AQ104" s="688" t="str">
        <f>CONCATENATE("REG-",BDEGENER[[#This Row],[FECHA DE SERVICIO]],"-",BDEGENER[[#This Row],[SERIE]],"-",BDEGENER[[#This Row],[HORAS]])</f>
        <v>REG-44144-3004597775-2331,8</v>
      </c>
      <c r="AR104" s="683" t="str">
        <f>CONCATENATE("MARCA: ",BDEGENER[[#This Row],[MARCA]],"
 MODELO: ",BDEGENER[[#This Row],[MODELO]])</f>
        <v>MARCA: GENERAC
 MODELO: RG022</v>
      </c>
      <c r="AS104" s="683" t="str">
        <f>CONCATENATE("MARCA: ",BDEGENER[[#This Row],[MARCA DE MOTOR]],"
SERIE: ",BDEGENER[[#This Row],[SERIE DE MOTOR]])</f>
        <v xml:space="preserve">MARCA: MITSUBISHI
SERIE: </v>
      </c>
      <c r="AT104" s="683" t="str">
        <f>CONCATENATE("MARCA: ",BDEGENER[[#This Row],[MARCA ALTERNADOR ]],"
SERIE: ",BDEGENER[[#This Row],[SERIE DE ALTERNADOR]])</f>
        <v xml:space="preserve">MARCA: GENERAC
SERIE: </v>
      </c>
      <c r="AU104" s="683" t="str">
        <f>CONCATENATE("HORAS: ",BDEGENER[[#This Row],[HORAS]],"
KW-HR: ",BDEGENER[[#This Row],[KW-HORA]],"
VOLT.BATERIA: ",BDEGENER[[#This Row],[VOLTAJE DE BATERIA]],"
TEMPERATURA: ",BDEGENER[[#This Row],[TEMPERATURA DE AGUA]],"
PRES. ACEITE: ",BDEGENER[[#This Row],[PRESION DE ACEITE]])</f>
        <v xml:space="preserve">HORAS: 2331,8
KW-HR: 
VOLT.BATERIA: 13.1 V
TEMPERATURA: 
PRES. ACEITE: </v>
      </c>
      <c r="AV104" s="683">
        <f>COUNTIFS(Q104:Q2104,"MANTENIMIENTO CORRECTIVO",Y104:Y2104,BDEGENER[[#This Row],[SERIE]])</f>
        <v>0</v>
      </c>
      <c r="AW104" s="683">
        <f>COUNTIFS(Q104:Q2104,"MANTENIMIENTO PREVENTIVO",Y104:Y2104,BDEGENER[[#This Row],[SERIE]])</f>
        <v>6</v>
      </c>
      <c r="AX10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104" s="683">
        <f>COUNTIFS(BDEGENER[SERIE],BDEGENER[[#This Row],[SERIE]],BDEGENER[TIPO DE SERVICIO],"MANTENIMIENTO PREVENTIVO")</f>
        <v>7</v>
      </c>
      <c r="AZ104" s="683" t="str">
        <f>CONCATENATE("MANTENIMIENTO PREVENTIVO N°",BDEGENER[[#This Row],[GA1]])</f>
        <v>MANTENIMIENTO PREVENTIVO N°7</v>
      </c>
      <c r="BA104" s="683" t="str">
        <f>IF(BDEGENER[[#This Row],[SERVICIO]]=BDEGENER[[#This Row],[GA2]],BDEGENER[[#This Row],[HORAS]],"0")</f>
        <v>0</v>
      </c>
      <c r="BB104" s="683">
        <f>SUMIF(BDEGENER[SERIE],BDEGENER[[#This Row],[SERIE]],BDEGENER[GA3])</f>
        <v>2487</v>
      </c>
      <c r="BC104" s="683" t="str">
        <f>CONCATENATE("MANT",COUNTIF($Y$7:Y104,Y104))</f>
        <v>MANT2</v>
      </c>
      <c r="BD104" s="683" t="str">
        <f>CONCATENATE(BDEGENER[[#This Row],[SERIE]],BDEGENER[[#This Row],[GA5]])</f>
        <v>3004597775MANT2</v>
      </c>
      <c r="BE104" s="683" t="str">
        <f>CONCATENATE(BDEGENER[[#This Row],[CODIGO PATRIMONIAL]],BDEGENER[[#This Row],[GA5]])</f>
        <v>SUR-GEG-0012MANT2</v>
      </c>
      <c r="BF104" s="683">
        <f>COUNTIF(BDEGENER[SERIE],BDEGENER[[#This Row],[SERIE]])</f>
        <v>8</v>
      </c>
      <c r="BG104" s="683" t="str">
        <f>CONCATENATE("F",COUNTIF($K$7:K104,K104))</f>
        <v>F4</v>
      </c>
      <c r="BH104" s="683" t="str">
        <f>CONCATENATE(BDEGENER[[#This Row],[FECHA DE SERVICIO]],BDEGENER[[#This Row],[N° DE REGISTROS DEL DIA]])</f>
        <v>44144F4</v>
      </c>
      <c r="BI104" s="684"/>
      <c r="BJ104" s="683" t="s">
        <v>1544</v>
      </c>
      <c r="BK104" s="762"/>
    </row>
    <row r="105" spans="2:63" ht="69" hidden="1" x14ac:dyDescent="0.3">
      <c r="B105" s="2"/>
      <c r="C105" s="2"/>
      <c r="D105" s="2"/>
      <c r="E105" s="2"/>
      <c r="F105" s="2"/>
      <c r="G105" s="2"/>
      <c r="H105" s="2"/>
      <c r="I105" s="2"/>
      <c r="J105" s="685"/>
      <c r="K105" s="682">
        <v>44144</v>
      </c>
      <c r="L105" s="683" t="s">
        <v>561</v>
      </c>
      <c r="M105" s="683" t="s">
        <v>2554</v>
      </c>
      <c r="N105" s="683" t="s">
        <v>586</v>
      </c>
      <c r="O105" s="683">
        <v>4000034235</v>
      </c>
      <c r="P105" s="688" t="s">
        <v>3677</v>
      </c>
      <c r="Q105" s="683" t="s">
        <v>2021</v>
      </c>
      <c r="R105" s="683" t="s">
        <v>1782</v>
      </c>
      <c r="S105" s="686" t="s">
        <v>3678</v>
      </c>
      <c r="T105" s="683" t="s">
        <v>3679</v>
      </c>
      <c r="U105" s="683"/>
      <c r="V105" s="683" t="s">
        <v>150</v>
      </c>
      <c r="W105" s="683" t="s">
        <v>914</v>
      </c>
      <c r="X105" s="691" t="s">
        <v>918</v>
      </c>
      <c r="Y105" s="687">
        <v>3003566701</v>
      </c>
      <c r="Z105" s="692" t="s">
        <v>2616</v>
      </c>
      <c r="AA105" s="683" t="s">
        <v>33</v>
      </c>
      <c r="AB105" s="683" t="s">
        <v>34</v>
      </c>
      <c r="AC105" s="683" t="s">
        <v>230</v>
      </c>
      <c r="AD105" s="683" t="s">
        <v>1087</v>
      </c>
      <c r="AE105" s="683">
        <v>60</v>
      </c>
      <c r="AF105" s="684">
        <v>5222.5</v>
      </c>
      <c r="AG105" s="683" t="s">
        <v>1413</v>
      </c>
      <c r="AH105" s="683" t="s">
        <v>220</v>
      </c>
      <c r="AI105" s="683" t="s">
        <v>33</v>
      </c>
      <c r="AJ105" s="683">
        <v>3003430313</v>
      </c>
      <c r="AK105" s="683" t="s">
        <v>33</v>
      </c>
      <c r="AL105" s="683"/>
      <c r="AM105" s="683" t="s">
        <v>1142</v>
      </c>
      <c r="AN105" s="683" t="s">
        <v>2640</v>
      </c>
      <c r="AO105" s="683" t="s">
        <v>1146</v>
      </c>
      <c r="AP105" s="683" t="s">
        <v>240</v>
      </c>
      <c r="AQ105" s="688" t="str">
        <f>CONCATENATE("REG-",BDEGENER[[#This Row],[FECHA DE SERVICIO]],"-",BDEGENER[[#This Row],[SERIE]],"-",BDEGENER[[#This Row],[HORAS]])</f>
        <v>REG-44144-3003566701-5222,5</v>
      </c>
      <c r="AR105" s="683" t="str">
        <f>CONCATENATE("MARCA: ",BDEGENER[[#This Row],[MARCA]],"
 MODELO: ",BDEGENER[[#This Row],[MODELO]])</f>
        <v>MARCA: GENERAC
 MODELO: PG090</v>
      </c>
      <c r="AS105" s="683" t="str">
        <f>CONCATENATE("MARCA: ",BDEGENER[[#This Row],[MARCA DE MOTOR]],"
SERIE: ",BDEGENER[[#This Row],[SERIE DE MOTOR]])</f>
        <v>MARCA: GENERAC
SERIE: 3003430313</v>
      </c>
      <c r="AT105" s="683" t="str">
        <f>CONCATENATE("MARCA: ",BDEGENER[[#This Row],[MARCA ALTERNADOR ]],"
SERIE: ",BDEGENER[[#This Row],[SERIE DE ALTERNADOR]])</f>
        <v xml:space="preserve">MARCA: GENERAC
SERIE: </v>
      </c>
      <c r="AU105" s="683" t="str">
        <f>CONCATENATE("HORAS: ",BDEGENER[[#This Row],[HORAS]],"
KW-HR: ",BDEGENER[[#This Row],[KW-HORA]],"
VOLT.BATERIA: ",BDEGENER[[#This Row],[VOLTAJE DE BATERIA]],"
TEMPERATURA: ",BDEGENER[[#This Row],[TEMPERATURA DE AGUA]],"
PRES. ACEITE: ",BDEGENER[[#This Row],[PRESION DE ACEITE]])</f>
        <v>HORAS: 5222,5
KW-HR: 
VOLT.BATERIA: 14.4 V
TEMPERATURA: 167 °F
PRES. ACEITE: 62 PSI</v>
      </c>
      <c r="AV105" s="683">
        <f>COUNTIFS(Q105:Q2105,"MANTENIMIENTO CORRECTIVO",Y105:Y2105,BDEGENER[[#This Row],[SERIE]])</f>
        <v>0</v>
      </c>
      <c r="AW105" s="683">
        <f>COUNTIFS(Q105:Q2105,"MANTENIMIENTO PREVENTIVO",Y105:Y2105,BDEGENER[[#This Row],[SERIE]])</f>
        <v>8</v>
      </c>
      <c r="AX10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105" s="683">
        <f>COUNTIFS(BDEGENER[SERIE],BDEGENER[[#This Row],[SERIE]],BDEGENER[TIPO DE SERVICIO],"MANTENIMIENTO PREVENTIVO")</f>
        <v>9</v>
      </c>
      <c r="AZ105" s="683" t="str">
        <f>CONCATENATE("MANTENIMIENTO PREVENTIVO N°",BDEGENER[[#This Row],[GA1]])</f>
        <v>MANTENIMIENTO PREVENTIVO N°9</v>
      </c>
      <c r="BA105" s="683" t="str">
        <f>IF(BDEGENER[[#This Row],[SERVICIO]]=BDEGENER[[#This Row],[GA2]],BDEGENER[[#This Row],[HORAS]],"0")</f>
        <v>0</v>
      </c>
      <c r="BB105" s="683">
        <f>SUMIF(BDEGENER[SERIE],BDEGENER[[#This Row],[SERIE]],BDEGENER[GA3])</f>
        <v>5274.9</v>
      </c>
      <c r="BC105" s="683" t="str">
        <f>CONCATENATE("MANT",COUNTIF($Y$7:Y105,Y105))</f>
        <v>MANT2</v>
      </c>
      <c r="BD105" s="683" t="str">
        <f>CONCATENATE(BDEGENER[[#This Row],[SERIE]],BDEGENER[[#This Row],[GA5]])</f>
        <v>3003566701MANT2</v>
      </c>
      <c r="BE105" s="683" t="str">
        <f>CONCATENATE(BDEGENER[[#This Row],[CODIGO PATRIMONIAL]],BDEGENER[[#This Row],[GA5]])</f>
        <v>NOR-GEG-0018MANT2</v>
      </c>
      <c r="BF105" s="683">
        <f>COUNTIF(BDEGENER[SERIE],BDEGENER[[#This Row],[SERIE]])</f>
        <v>10</v>
      </c>
      <c r="BG105" s="683" t="str">
        <f>CONCATENATE("F",COUNTIF($K$7:K105,K105))</f>
        <v>F5</v>
      </c>
      <c r="BH105" s="683" t="str">
        <f>CONCATENATE(BDEGENER[[#This Row],[FECHA DE SERVICIO]],BDEGENER[[#This Row],[N° DE REGISTROS DEL DIA]])</f>
        <v>44144F5</v>
      </c>
      <c r="BI105" s="684"/>
      <c r="BJ105" s="683" t="s">
        <v>1544</v>
      </c>
      <c r="BK105" s="762" t="s">
        <v>2166</v>
      </c>
    </row>
    <row r="106" spans="2:63" ht="69" hidden="1" x14ac:dyDescent="0.3">
      <c r="B106" s="2"/>
      <c r="C106" s="2"/>
      <c r="D106" s="2"/>
      <c r="E106" s="2"/>
      <c r="F106" s="2"/>
      <c r="G106" s="2"/>
      <c r="H106" s="2"/>
      <c r="I106" s="2"/>
      <c r="J106" s="685"/>
      <c r="K106" s="682">
        <v>44141</v>
      </c>
      <c r="L106" s="683" t="s">
        <v>181</v>
      </c>
      <c r="M106" s="683" t="s">
        <v>182</v>
      </c>
      <c r="N106" s="683" t="s">
        <v>183</v>
      </c>
      <c r="O106" s="683"/>
      <c r="P106" s="683"/>
      <c r="Q106" s="683" t="s">
        <v>107</v>
      </c>
      <c r="R106" s="683" t="s">
        <v>3612</v>
      </c>
      <c r="S106" s="686" t="s">
        <v>3613</v>
      </c>
      <c r="T106" s="683" t="s">
        <v>1991</v>
      </c>
      <c r="U106" s="683" t="s">
        <v>2005</v>
      </c>
      <c r="V106" s="683" t="s">
        <v>146</v>
      </c>
      <c r="W106" s="683" t="s">
        <v>914</v>
      </c>
      <c r="X106" s="691" t="s">
        <v>918</v>
      </c>
      <c r="Y106" s="687">
        <v>3004256777</v>
      </c>
      <c r="Z106" s="692"/>
      <c r="AA106" s="683" t="s">
        <v>33</v>
      </c>
      <c r="AB106" s="683" t="s">
        <v>34</v>
      </c>
      <c r="AC106" s="683" t="s">
        <v>230</v>
      </c>
      <c r="AD106" s="683"/>
      <c r="AE106" s="683"/>
      <c r="AF106" s="684">
        <v>2460.5</v>
      </c>
      <c r="AG106" s="683" t="s">
        <v>243</v>
      </c>
      <c r="AH106" s="683" t="s">
        <v>220</v>
      </c>
      <c r="AI106" s="683" t="s">
        <v>33</v>
      </c>
      <c r="AJ106" s="683">
        <v>3003930235</v>
      </c>
      <c r="AK106" s="683" t="s">
        <v>33</v>
      </c>
      <c r="AL106" s="683">
        <v>10630250</v>
      </c>
      <c r="AM106" s="683"/>
      <c r="AN106" s="683"/>
      <c r="AO106" s="683"/>
      <c r="AP106" s="683" t="s">
        <v>240</v>
      </c>
      <c r="AQ106" s="688" t="str">
        <f>CONCATENATE("REG-",BDEGENER[[#This Row],[FECHA DE SERVICIO]],"-",BDEGENER[[#This Row],[SERIE]],"-",BDEGENER[[#This Row],[HORAS]])</f>
        <v>REG-44141-3004256777-2460,5</v>
      </c>
      <c r="AR106" s="683" t="str">
        <f>CONCATENATE("MARCA: ",BDEGENER[[#This Row],[MARCA]],"
 MODELO: ",BDEGENER[[#This Row],[MODELO]])</f>
        <v>MARCA: GENERAC
 MODELO: PG090</v>
      </c>
      <c r="AS106" s="683" t="str">
        <f>CONCATENATE("MARCA: ",BDEGENER[[#This Row],[MARCA DE MOTOR]],"
SERIE: ",BDEGENER[[#This Row],[SERIE DE MOTOR]])</f>
        <v>MARCA: GENERAC
SERIE: 3003930235</v>
      </c>
      <c r="AT106" s="683" t="str">
        <f>CONCATENATE("MARCA: ",BDEGENER[[#This Row],[MARCA ALTERNADOR ]],"
SERIE: ",BDEGENER[[#This Row],[SERIE DE ALTERNADOR]])</f>
        <v>MARCA: GENERAC
SERIE: 10630250</v>
      </c>
      <c r="AU106" s="683" t="str">
        <f>CONCATENATE("HORAS: ",BDEGENER[[#This Row],[HORAS]],"
KW-HR: ",BDEGENER[[#This Row],[KW-HORA]],"
VOLT.BATERIA: ",BDEGENER[[#This Row],[VOLTAJE DE BATERIA]],"
TEMPERATURA: ",BDEGENER[[#This Row],[TEMPERATURA DE AGUA]],"
PRES. ACEITE: ",BDEGENER[[#This Row],[PRESION DE ACEITE]])</f>
        <v xml:space="preserve">HORAS: 2460,5
KW-HR: 56533,7
VOLT.BATERIA: 
TEMPERATURA: 
PRES. ACEITE: </v>
      </c>
      <c r="AV106" s="683">
        <f>COUNTIFS(Q106:Q2106,"MANTENIMIENTO CORRECTIVO",Y106:Y2106,BDEGENER[[#This Row],[SERIE]])</f>
        <v>6</v>
      </c>
      <c r="AW106" s="683">
        <f>COUNTIFS(Q106:Q2106,"MANTENIMIENTO PREVENTIVO",Y106:Y2106,BDEGENER[[#This Row],[SERIE]])</f>
        <v>8</v>
      </c>
      <c r="AX10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N°6</v>
      </c>
      <c r="AY106" s="683">
        <f>COUNTIFS(BDEGENER[SERIE],BDEGENER[[#This Row],[SERIE]],BDEGENER[TIPO DE SERVICIO],"MANTENIMIENTO PREVENTIVO")</f>
        <v>9</v>
      </c>
      <c r="AZ106" s="683" t="str">
        <f>CONCATENATE("MANTENIMIENTO PREVENTIVO N°",BDEGENER[[#This Row],[GA1]])</f>
        <v>MANTENIMIENTO PREVENTIVO N°9</v>
      </c>
      <c r="BA106" s="683" t="str">
        <f>IF(BDEGENER[[#This Row],[SERVICIO]]=BDEGENER[[#This Row],[GA2]],BDEGENER[[#This Row],[HORAS]],"0")</f>
        <v>0</v>
      </c>
      <c r="BB106" s="683">
        <f>SUMIF(BDEGENER[SERIE],BDEGENER[[#This Row],[SERIE]],BDEGENER[GA3])</f>
        <v>2804.7</v>
      </c>
      <c r="BC106" s="761" t="str">
        <f>CONCATENATE("MANT",COUNTIF($Y$7:Y106,Y106))</f>
        <v>MANT2</v>
      </c>
      <c r="BD106" s="683" t="str">
        <f>CONCATENATE(BDEGENER[[#This Row],[SERIE]],BDEGENER[[#This Row],[GA5]])</f>
        <v>3004256777MANT2</v>
      </c>
      <c r="BE106" s="683" t="str">
        <f>CONCATENATE(BDEGENER[[#This Row],[CODIGO PATRIMONIAL]],BDEGENER[[#This Row],[GA5]])</f>
        <v>MANT2</v>
      </c>
      <c r="BF106" s="683">
        <f>COUNTIF(BDEGENER[SERIE],BDEGENER[[#This Row],[SERIE]])</f>
        <v>16</v>
      </c>
      <c r="BG106" s="761" t="str">
        <f>CONCATENATE("F",COUNTIF($K$7:K106,K106))</f>
        <v>F1</v>
      </c>
      <c r="BH106" s="683" t="str">
        <f>CONCATENATE(BDEGENER[[#This Row],[FECHA DE SERVICIO]],BDEGENER[[#This Row],[N° DE REGISTROS DEL DIA]])</f>
        <v>44141F1</v>
      </c>
      <c r="BI106" s="684">
        <v>56533.7</v>
      </c>
      <c r="BJ106" s="683" t="s">
        <v>1544</v>
      </c>
      <c r="BK106" s="762"/>
    </row>
    <row r="107" spans="2:63" ht="69" hidden="1" x14ac:dyDescent="0.3">
      <c r="B107" s="2"/>
      <c r="C107" s="2"/>
      <c r="D107" s="2"/>
      <c r="E107" s="2"/>
      <c r="F107" s="2"/>
      <c r="G107" s="2"/>
      <c r="H107" s="2"/>
      <c r="I107" s="2"/>
      <c r="J107" s="685"/>
      <c r="K107" s="682">
        <v>44140</v>
      </c>
      <c r="L107" s="683" t="s">
        <v>561</v>
      </c>
      <c r="M107" s="683" t="s">
        <v>2592</v>
      </c>
      <c r="N107" s="683" t="s">
        <v>586</v>
      </c>
      <c r="O107" s="683"/>
      <c r="P107" s="769" t="s">
        <v>3683</v>
      </c>
      <c r="Q107" s="683" t="s">
        <v>37</v>
      </c>
      <c r="R107" s="683" t="s">
        <v>1782</v>
      </c>
      <c r="S107" s="686" t="s">
        <v>3617</v>
      </c>
      <c r="T107" s="683" t="s">
        <v>3684</v>
      </c>
      <c r="U107" s="683" t="s">
        <v>2488</v>
      </c>
      <c r="V107" s="683" t="s">
        <v>147</v>
      </c>
      <c r="W107" s="683" t="s">
        <v>914</v>
      </c>
      <c r="X107" s="691" t="s">
        <v>918</v>
      </c>
      <c r="Y107" s="687">
        <v>3003963150</v>
      </c>
      <c r="Z107" s="692" t="s">
        <v>2618</v>
      </c>
      <c r="AA107" s="683" t="s">
        <v>33</v>
      </c>
      <c r="AB107" s="683" t="s">
        <v>34</v>
      </c>
      <c r="AC107" s="683" t="s">
        <v>230</v>
      </c>
      <c r="AD107" s="683" t="s">
        <v>1123</v>
      </c>
      <c r="AE107" s="683">
        <v>60</v>
      </c>
      <c r="AF107" s="684">
        <v>4620.5</v>
      </c>
      <c r="AG107" s="683" t="s">
        <v>243</v>
      </c>
      <c r="AH107" s="683" t="s">
        <v>220</v>
      </c>
      <c r="AI107" s="683" t="s">
        <v>33</v>
      </c>
      <c r="AJ107" s="683">
        <v>3003966249</v>
      </c>
      <c r="AK107" s="683" t="s">
        <v>33</v>
      </c>
      <c r="AL107" s="683"/>
      <c r="AM107" s="683" t="s">
        <v>1858</v>
      </c>
      <c r="AN107" s="683" t="s">
        <v>2547</v>
      </c>
      <c r="AO107" s="683" t="s">
        <v>1374</v>
      </c>
      <c r="AP107" s="683" t="s">
        <v>240</v>
      </c>
      <c r="AQ107" s="688" t="str">
        <f>CONCATENATE("REG-",BDEGENER[[#This Row],[FECHA DE SERVICIO]],"-",BDEGENER[[#This Row],[SERIE]],"-",BDEGENER[[#This Row],[HORAS]])</f>
        <v>REG-44140-3003963150-4620,5</v>
      </c>
      <c r="AR107" s="683" t="str">
        <f>CONCATENATE("MARCA: ",BDEGENER[[#This Row],[MARCA]],"
 MODELO: ",BDEGENER[[#This Row],[MODELO]])</f>
        <v>MARCA: GENERAC
 MODELO: PG090</v>
      </c>
      <c r="AS107" s="683" t="str">
        <f>CONCATENATE("MARCA: ",BDEGENER[[#This Row],[MARCA DE MOTOR]],"
SERIE: ",BDEGENER[[#This Row],[SERIE DE MOTOR]])</f>
        <v>MARCA: GENERAC
SERIE: 3003966249</v>
      </c>
      <c r="AT107" s="683" t="str">
        <f>CONCATENATE("MARCA: ",BDEGENER[[#This Row],[MARCA ALTERNADOR ]],"
SERIE: ",BDEGENER[[#This Row],[SERIE DE ALTERNADOR]])</f>
        <v xml:space="preserve">MARCA: GENERAC
SERIE: </v>
      </c>
      <c r="AU107" s="683" t="str">
        <f>CONCATENATE("HORAS: ",BDEGENER[[#This Row],[HORAS]],"
KW-HR: ",BDEGENER[[#This Row],[KW-HORA]],"
VOLT.BATERIA: ",BDEGENER[[#This Row],[VOLTAJE DE BATERIA]],"
TEMPERATURA: ",BDEGENER[[#This Row],[TEMPERATURA DE AGUA]],"
PRES. ACEITE: ",BDEGENER[[#This Row],[PRESION DE ACEITE]])</f>
        <v>HORAS: 4620,5
KW-HR: 116666
VOLT.BATERIA: 14.1 V
TEMPERATURA: 183 °F
PRES. ACEITE: 65 PSI</v>
      </c>
      <c r="AV107" s="683">
        <f>COUNTIFS(Q107:Q2107,"MANTENIMIENTO CORRECTIVO",Y107:Y2107,BDEGENER[[#This Row],[SERIE]])</f>
        <v>2</v>
      </c>
      <c r="AW107" s="683">
        <f>COUNTIFS(Q107:Q2107,"MANTENIMIENTO PREVENTIVO",Y107:Y2107,BDEGENER[[#This Row],[SERIE]])</f>
        <v>7</v>
      </c>
      <c r="AX10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07" s="683">
        <f>COUNTIFS(BDEGENER[SERIE],BDEGENER[[#This Row],[SERIE]],BDEGENER[TIPO DE SERVICIO],"MANTENIMIENTO PREVENTIVO")</f>
        <v>7</v>
      </c>
      <c r="AZ107" s="683" t="str">
        <f>CONCATENATE("MANTENIMIENTO PREVENTIVO N°",BDEGENER[[#This Row],[GA1]])</f>
        <v>MANTENIMIENTO PREVENTIVO N°7</v>
      </c>
      <c r="BA107" s="683">
        <f>IF(BDEGENER[[#This Row],[SERVICIO]]=BDEGENER[[#This Row],[GA2]],BDEGENER[[#This Row],[HORAS]],"0")</f>
        <v>4620.5</v>
      </c>
      <c r="BB107" s="683">
        <f>SUMIF(BDEGENER[SERIE],BDEGENER[[#This Row],[SERIE]],BDEGENER[GA3])</f>
        <v>4620.5</v>
      </c>
      <c r="BC107" s="683" t="str">
        <f>CONCATENATE("MANT",COUNTIF($Y$7:Y107,Y107))</f>
        <v>MANT1</v>
      </c>
      <c r="BD107" s="683" t="str">
        <f>CONCATENATE(BDEGENER[[#This Row],[SERIE]],BDEGENER[[#This Row],[GA5]])</f>
        <v>3003963150MANT1</v>
      </c>
      <c r="BE107" s="683" t="str">
        <f>CONCATENATE(BDEGENER[[#This Row],[CODIGO PATRIMONIAL]],BDEGENER[[#This Row],[GA5]])</f>
        <v>NOR-GEG-0020MANT1</v>
      </c>
      <c r="BF107" s="683">
        <f>COUNTIF(BDEGENER[SERIE],BDEGENER[[#This Row],[SERIE]])</f>
        <v>13</v>
      </c>
      <c r="BG107" s="683" t="str">
        <f>CONCATENATE("F",COUNTIF($K$7:K107,K107))</f>
        <v>F1</v>
      </c>
      <c r="BH107" s="683" t="str">
        <f>CONCATENATE(BDEGENER[[#This Row],[FECHA DE SERVICIO]],BDEGENER[[#This Row],[N° DE REGISTROS DEL DIA]])</f>
        <v>44140F1</v>
      </c>
      <c r="BI107" s="684">
        <v>116666</v>
      </c>
      <c r="BJ107" s="683" t="s">
        <v>1544</v>
      </c>
      <c r="BK107" s="762"/>
    </row>
    <row r="108" spans="2:63" ht="69" hidden="1" x14ac:dyDescent="0.3">
      <c r="B108" s="2"/>
      <c r="C108" s="2"/>
      <c r="D108" s="2"/>
      <c r="E108" s="2"/>
      <c r="F108" s="2"/>
      <c r="G108" s="2"/>
      <c r="H108" s="2"/>
      <c r="I108" s="2"/>
      <c r="J108" s="685"/>
      <c r="K108" s="682">
        <v>44140</v>
      </c>
      <c r="L108" s="683" t="s">
        <v>561</v>
      </c>
      <c r="M108" s="683" t="s">
        <v>588</v>
      </c>
      <c r="N108" s="683" t="s">
        <v>589</v>
      </c>
      <c r="O108" s="683"/>
      <c r="P108" s="688" t="s">
        <v>3656</v>
      </c>
      <c r="Q108" s="683" t="s">
        <v>37</v>
      </c>
      <c r="R108" s="683" t="s">
        <v>1782</v>
      </c>
      <c r="S108" s="686" t="s">
        <v>3657</v>
      </c>
      <c r="T108" s="683" t="s">
        <v>3658</v>
      </c>
      <c r="U108" s="683" t="s">
        <v>3659</v>
      </c>
      <c r="V108" s="683" t="s">
        <v>147</v>
      </c>
      <c r="W108" s="683" t="s">
        <v>914</v>
      </c>
      <c r="X108" s="691" t="s">
        <v>918</v>
      </c>
      <c r="Y108" s="687">
        <v>3003566699</v>
      </c>
      <c r="Z108" s="692" t="s">
        <v>2619</v>
      </c>
      <c r="AA108" s="683" t="s">
        <v>33</v>
      </c>
      <c r="AB108" s="683" t="s">
        <v>34</v>
      </c>
      <c r="AC108" s="683" t="s">
        <v>230</v>
      </c>
      <c r="AD108" s="683" t="s">
        <v>1123</v>
      </c>
      <c r="AE108" s="683">
        <v>60</v>
      </c>
      <c r="AF108" s="684">
        <v>7576.8</v>
      </c>
      <c r="AG108" s="683" t="s">
        <v>243</v>
      </c>
      <c r="AH108" s="683" t="s">
        <v>244</v>
      </c>
      <c r="AI108" s="683" t="s">
        <v>33</v>
      </c>
      <c r="AJ108" s="683">
        <v>3003412044</v>
      </c>
      <c r="AK108" s="683" t="s">
        <v>33</v>
      </c>
      <c r="AL108" s="683">
        <v>811745</v>
      </c>
      <c r="AM108" s="683" t="s">
        <v>1121</v>
      </c>
      <c r="AN108" s="683" t="s">
        <v>3660</v>
      </c>
      <c r="AO108" s="683" t="s">
        <v>1158</v>
      </c>
      <c r="AP108" s="683" t="s">
        <v>240</v>
      </c>
      <c r="AQ108" s="688" t="str">
        <f>CONCATENATE("REG-",BDEGENER[[#This Row],[FECHA DE SERVICIO]],"-",BDEGENER[[#This Row],[SERIE]],"-",BDEGENER[[#This Row],[HORAS]])</f>
        <v>REG-44140-3003566699-7576,8</v>
      </c>
      <c r="AR108" s="683" t="str">
        <f>CONCATENATE("MARCA: ",BDEGENER[[#This Row],[MARCA]],"
 MODELO: ",BDEGENER[[#This Row],[MODELO]])</f>
        <v>MARCA: GENERAC
 MODELO: PG090</v>
      </c>
      <c r="AS108" s="683" t="str">
        <f>CONCATENATE("MARCA: ",BDEGENER[[#This Row],[MARCA DE MOTOR]],"
SERIE: ",BDEGENER[[#This Row],[SERIE DE MOTOR]])</f>
        <v>MARCA: GENERAC
SERIE: 3003412044</v>
      </c>
      <c r="AT108" s="683" t="str">
        <f>CONCATENATE("MARCA: ",BDEGENER[[#This Row],[MARCA ALTERNADOR ]],"
SERIE: ",BDEGENER[[#This Row],[SERIE DE ALTERNADOR]])</f>
        <v>MARCA: GENERAC
SERIE: 811745</v>
      </c>
      <c r="AU108" s="683" t="str">
        <f>CONCATENATE("HORAS: ",BDEGENER[[#This Row],[HORAS]],"
KW-HR: ",BDEGENER[[#This Row],[KW-HORA]],"
VOLT.BATERIA: ",BDEGENER[[#This Row],[VOLTAJE DE BATERIA]],"
TEMPERATURA: ",BDEGENER[[#This Row],[TEMPERATURA DE AGUA]],"
PRES. ACEITE: ",BDEGENER[[#This Row],[PRESION DE ACEITE]])</f>
        <v>HORAS: 7576,8
KW-HR: 184066,5
VOLT.BATERIA: 13.7 V
TEMPERATURA: 166 °F
PRES. ACEITE: 53 PSI</v>
      </c>
      <c r="AV108" s="683">
        <f>COUNTIFS(Q108:Q2108,"MANTENIMIENTO CORRECTIVO",Y108:Y2108,BDEGENER[[#This Row],[SERIE]])</f>
        <v>4</v>
      </c>
      <c r="AW108" s="683">
        <f>COUNTIFS(Q108:Q2108,"MANTENIMIENTO PREVENTIVO",Y108:Y2108,BDEGENER[[#This Row],[SERIE]])</f>
        <v>10</v>
      </c>
      <c r="AX10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N°10</v>
      </c>
      <c r="AY108" s="683">
        <f>COUNTIFS(BDEGENER[SERIE],BDEGENER[[#This Row],[SERIE]],BDEGENER[TIPO DE SERVICIO],"MANTENIMIENTO PREVENTIVO")</f>
        <v>12</v>
      </c>
      <c r="AZ108" s="683" t="str">
        <f>CONCATENATE("MANTENIMIENTO PREVENTIVO N°",BDEGENER[[#This Row],[GA1]])</f>
        <v>MANTENIMIENTO PREVENTIVO N°12</v>
      </c>
      <c r="BA108" s="683" t="str">
        <f>IF(BDEGENER[[#This Row],[SERVICIO]]=BDEGENER[[#This Row],[GA2]],BDEGENER[[#This Row],[HORAS]],"0")</f>
        <v>0</v>
      </c>
      <c r="BB108" s="683">
        <f>SUMIF(BDEGENER[SERIE],BDEGENER[[#This Row],[SERIE]],BDEGENER[GA3])</f>
        <v>8154.7</v>
      </c>
      <c r="BC108" s="683" t="str">
        <f>CONCATENATE("MANT",COUNTIF($Y$7:Y108,Y108))</f>
        <v>MANT3</v>
      </c>
      <c r="BD108" s="683" t="str">
        <f>CONCATENATE(BDEGENER[[#This Row],[SERIE]],BDEGENER[[#This Row],[GA5]])</f>
        <v>3003566699MANT3</v>
      </c>
      <c r="BE108" s="683" t="str">
        <f>CONCATENATE(BDEGENER[[#This Row],[CODIGO PATRIMONIAL]],BDEGENER[[#This Row],[GA5]])</f>
        <v>NOR-GEG-0021MANT3</v>
      </c>
      <c r="BF108" s="683">
        <f>COUNTIF(BDEGENER[SERIE],BDEGENER[[#This Row],[SERIE]])</f>
        <v>17</v>
      </c>
      <c r="BG108" s="683" t="str">
        <f>CONCATENATE("F",COUNTIF($K$7:K108,K108))</f>
        <v>F2</v>
      </c>
      <c r="BH108" s="683" t="str">
        <f>CONCATENATE(BDEGENER[[#This Row],[FECHA DE SERVICIO]],BDEGENER[[#This Row],[N° DE REGISTROS DEL DIA]])</f>
        <v>44140F2</v>
      </c>
      <c r="BI108" s="684">
        <v>184066.5</v>
      </c>
      <c r="BJ108" s="683" t="s">
        <v>1544</v>
      </c>
      <c r="BK108" s="762" t="s">
        <v>2414</v>
      </c>
    </row>
    <row r="109" spans="2:63" ht="69" hidden="1" x14ac:dyDescent="0.3">
      <c r="B109" s="2"/>
      <c r="C109" s="2"/>
      <c r="D109" s="2"/>
      <c r="E109" s="2"/>
      <c r="F109" s="2"/>
      <c r="G109" s="2"/>
      <c r="H109" s="2"/>
      <c r="I109" s="2"/>
      <c r="J109" s="685"/>
      <c r="K109" s="682">
        <v>44140</v>
      </c>
      <c r="L109" s="683" t="s">
        <v>561</v>
      </c>
      <c r="M109" s="683" t="s">
        <v>2558</v>
      </c>
      <c r="N109" s="683" t="s">
        <v>586</v>
      </c>
      <c r="O109" s="683"/>
      <c r="P109" s="688" t="s">
        <v>3633</v>
      </c>
      <c r="Q109" s="683" t="s">
        <v>107</v>
      </c>
      <c r="R109" s="683" t="s">
        <v>1782</v>
      </c>
      <c r="S109" s="686" t="s">
        <v>3634</v>
      </c>
      <c r="T109" s="683" t="s">
        <v>2546</v>
      </c>
      <c r="U109" s="683" t="s">
        <v>3635</v>
      </c>
      <c r="V109" s="683" t="s">
        <v>147</v>
      </c>
      <c r="W109" s="683" t="s">
        <v>914</v>
      </c>
      <c r="X109" s="691" t="s">
        <v>918</v>
      </c>
      <c r="Y109" s="687">
        <v>3003932245</v>
      </c>
      <c r="Z109" s="692" t="s">
        <v>2617</v>
      </c>
      <c r="AA109" s="683" t="s">
        <v>33</v>
      </c>
      <c r="AB109" s="683" t="s">
        <v>34</v>
      </c>
      <c r="AC109" s="683" t="s">
        <v>235</v>
      </c>
      <c r="AD109" s="683"/>
      <c r="AE109" s="683"/>
      <c r="AF109" s="684">
        <v>6399.9</v>
      </c>
      <c r="AG109" s="683" t="s">
        <v>243</v>
      </c>
      <c r="AH109" s="683" t="s">
        <v>220</v>
      </c>
      <c r="AI109" s="683" t="s">
        <v>33</v>
      </c>
      <c r="AJ109" s="683">
        <v>3003963173</v>
      </c>
      <c r="AK109" s="683" t="s">
        <v>33</v>
      </c>
      <c r="AL109" s="683"/>
      <c r="AM109" s="683"/>
      <c r="AN109" s="683"/>
      <c r="AO109" s="683"/>
      <c r="AP109" s="683" t="s">
        <v>240</v>
      </c>
      <c r="AQ109" s="688" t="str">
        <f>CONCATENATE("REG-",BDEGENER[[#This Row],[FECHA DE SERVICIO]],"-",BDEGENER[[#This Row],[SERIE]],"-",BDEGENER[[#This Row],[HORAS]])</f>
        <v>REG-44140-3003932245-6399,9</v>
      </c>
      <c r="AR109" s="683" t="str">
        <f>CONCATENATE("MARCA: ",BDEGENER[[#This Row],[MARCA]],"
 MODELO: ",BDEGENER[[#This Row],[MODELO]])</f>
        <v>MARCA: GENERAC
 MODELO: PG090</v>
      </c>
      <c r="AS109" s="683" t="str">
        <f>CONCATENATE("MARCA: ",BDEGENER[[#This Row],[MARCA DE MOTOR]],"
SERIE: ",BDEGENER[[#This Row],[SERIE DE MOTOR]])</f>
        <v>MARCA: GENERAC
SERIE: 3003963173</v>
      </c>
      <c r="AT109" s="683" t="str">
        <f>CONCATENATE("MARCA: ",BDEGENER[[#This Row],[MARCA ALTERNADOR ]],"
SERIE: ",BDEGENER[[#This Row],[SERIE DE ALTERNADOR]])</f>
        <v xml:space="preserve">MARCA: GENERAC
SERIE: </v>
      </c>
      <c r="AU109" s="683" t="str">
        <f>CONCATENATE("HORAS: ",BDEGENER[[#This Row],[HORAS]],"
KW-HR: ",BDEGENER[[#This Row],[KW-HORA]],"
VOLT.BATERIA: ",BDEGENER[[#This Row],[VOLTAJE DE BATERIA]],"
TEMPERATURA: ",BDEGENER[[#This Row],[TEMPERATURA DE AGUA]],"
PRES. ACEITE: ",BDEGENER[[#This Row],[PRESION DE ACEITE]])</f>
        <v xml:space="preserve">HORAS: 6399,9
KW-HR: 
VOLT.BATERIA: 
TEMPERATURA: 
PRES. ACEITE: </v>
      </c>
      <c r="AV109" s="683">
        <f>COUNTIFS(Q109:Q2109,"MANTENIMIENTO CORRECTIVO",Y109:Y2109,BDEGENER[[#This Row],[SERIE]])</f>
        <v>1</v>
      </c>
      <c r="AW109" s="683">
        <f>COUNTIFS(Q109:Q2109,"MANTENIMIENTO PREVENTIVO",Y109:Y2109,BDEGENER[[#This Row],[SERIE]])</f>
        <v>8</v>
      </c>
      <c r="AX10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09" s="683">
        <f>COUNTIFS(BDEGENER[SERIE],BDEGENER[[#This Row],[SERIE]],BDEGENER[TIPO DE SERVICIO],"MANTENIMIENTO PREVENTIVO")</f>
        <v>9</v>
      </c>
      <c r="AZ109" s="683" t="str">
        <f>CONCATENATE("MANTENIMIENTO PREVENTIVO N°",BDEGENER[[#This Row],[GA1]])</f>
        <v>MANTENIMIENTO PREVENTIVO N°9</v>
      </c>
      <c r="BA109" s="683" t="str">
        <f>IF(BDEGENER[[#This Row],[SERVICIO]]=BDEGENER[[#This Row],[GA2]],BDEGENER[[#This Row],[HORAS]],"0")</f>
        <v>0</v>
      </c>
      <c r="BB109" s="683">
        <f>SUMIF(BDEGENER[SERIE],BDEGENER[[#This Row],[SERIE]],BDEGENER[GA3])</f>
        <v>6582.8</v>
      </c>
      <c r="BC109" s="761" t="str">
        <f>CONCATENATE("MANT",COUNTIF($Y$7:Y109,Y109))</f>
        <v>MANT2</v>
      </c>
      <c r="BD109" s="683" t="str">
        <f>CONCATENATE(BDEGENER[[#This Row],[SERIE]],BDEGENER[[#This Row],[GA5]])</f>
        <v>3003932245MANT2</v>
      </c>
      <c r="BE109" s="683" t="str">
        <f>CONCATENATE(BDEGENER[[#This Row],[CODIGO PATRIMONIAL]],BDEGENER[[#This Row],[GA5]])</f>
        <v>NOR-GEG-0019MANT2</v>
      </c>
      <c r="BF109" s="683">
        <f>COUNTIF(BDEGENER[SERIE],BDEGENER[[#This Row],[SERIE]])</f>
        <v>10</v>
      </c>
      <c r="BG109" s="761" t="str">
        <f>CONCATENATE("F",COUNTIF($K$7:K109,K109))</f>
        <v>F3</v>
      </c>
      <c r="BH109" s="683" t="str">
        <f>CONCATENATE(BDEGENER[[#This Row],[FECHA DE SERVICIO]],BDEGENER[[#This Row],[N° DE REGISTROS DEL DIA]])</f>
        <v>44140F3</v>
      </c>
      <c r="BI109" s="684"/>
      <c r="BJ109" s="683" t="s">
        <v>1544</v>
      </c>
      <c r="BK109" s="762"/>
    </row>
    <row r="110" spans="2:63" ht="69" hidden="1" x14ac:dyDescent="0.3">
      <c r="B110" s="2"/>
      <c r="C110" s="2"/>
      <c r="D110" s="2"/>
      <c r="E110" s="2"/>
      <c r="F110" s="2"/>
      <c r="G110" s="2"/>
      <c r="H110" s="2"/>
      <c r="I110" s="2"/>
      <c r="J110" s="685"/>
      <c r="K110" s="682">
        <v>44140</v>
      </c>
      <c r="L110" s="683" t="s">
        <v>561</v>
      </c>
      <c r="M110" s="683" t="s">
        <v>2558</v>
      </c>
      <c r="N110" s="683" t="s">
        <v>586</v>
      </c>
      <c r="O110" s="683"/>
      <c r="P110" s="688" t="s">
        <v>3630</v>
      </c>
      <c r="Q110" s="683" t="s">
        <v>37</v>
      </c>
      <c r="R110" s="683" t="s">
        <v>1782</v>
      </c>
      <c r="S110" s="686" t="s">
        <v>3631</v>
      </c>
      <c r="T110" s="683" t="s">
        <v>3632</v>
      </c>
      <c r="U110" s="683" t="s">
        <v>2488</v>
      </c>
      <c r="V110" s="683" t="s">
        <v>147</v>
      </c>
      <c r="W110" s="683" t="s">
        <v>914</v>
      </c>
      <c r="X110" s="691" t="s">
        <v>918</v>
      </c>
      <c r="Y110" s="687">
        <v>3003932245</v>
      </c>
      <c r="Z110" s="692" t="s">
        <v>2617</v>
      </c>
      <c r="AA110" s="683" t="s">
        <v>33</v>
      </c>
      <c r="AB110" s="683" t="s">
        <v>34</v>
      </c>
      <c r="AC110" s="683" t="s">
        <v>235</v>
      </c>
      <c r="AD110" s="683" t="s">
        <v>1123</v>
      </c>
      <c r="AE110" s="683">
        <v>60</v>
      </c>
      <c r="AF110" s="684">
        <v>6399.8</v>
      </c>
      <c r="AG110" s="683" t="s">
        <v>243</v>
      </c>
      <c r="AH110" s="683" t="s">
        <v>220</v>
      </c>
      <c r="AI110" s="683" t="s">
        <v>33</v>
      </c>
      <c r="AJ110" s="683">
        <v>3003963173</v>
      </c>
      <c r="AK110" s="683" t="s">
        <v>33</v>
      </c>
      <c r="AL110" s="683"/>
      <c r="AM110" s="683" t="s">
        <v>1121</v>
      </c>
      <c r="AN110" s="683" t="s">
        <v>1122</v>
      </c>
      <c r="AO110" s="683" t="s">
        <v>1349</v>
      </c>
      <c r="AP110" s="683" t="s">
        <v>240</v>
      </c>
      <c r="AQ110" s="688" t="str">
        <f>CONCATENATE("REG-",BDEGENER[[#This Row],[FECHA DE SERVICIO]],"-",BDEGENER[[#This Row],[SERIE]],"-",BDEGENER[[#This Row],[HORAS]])</f>
        <v>REG-44140-3003932245-6399,8</v>
      </c>
      <c r="AR110" s="683" t="str">
        <f>CONCATENATE("MARCA: ",BDEGENER[[#This Row],[MARCA]],"
 MODELO: ",BDEGENER[[#This Row],[MODELO]])</f>
        <v>MARCA: GENERAC
 MODELO: PG090</v>
      </c>
      <c r="AS110" s="683" t="str">
        <f>CONCATENATE("MARCA: ",BDEGENER[[#This Row],[MARCA DE MOTOR]],"
SERIE: ",BDEGENER[[#This Row],[SERIE DE MOTOR]])</f>
        <v>MARCA: GENERAC
SERIE: 3003963173</v>
      </c>
      <c r="AT110" s="683" t="str">
        <f>CONCATENATE("MARCA: ",BDEGENER[[#This Row],[MARCA ALTERNADOR ]],"
SERIE: ",BDEGENER[[#This Row],[SERIE DE ALTERNADOR]])</f>
        <v xml:space="preserve">MARCA: GENERAC
SERIE: </v>
      </c>
      <c r="AU110" s="683" t="str">
        <f>CONCATENATE("HORAS: ",BDEGENER[[#This Row],[HORAS]],"
KW-HR: ",BDEGENER[[#This Row],[KW-HORA]],"
VOLT.BATERIA: ",BDEGENER[[#This Row],[VOLTAJE DE BATERIA]],"
TEMPERATURA: ",BDEGENER[[#This Row],[TEMPERATURA DE AGUA]],"
PRES. ACEITE: ",BDEGENER[[#This Row],[PRESION DE ACEITE]])</f>
        <v>HORAS: 6399,8
KW-HR: 186667,7
VOLT.BATERIA: 13.7 V
TEMPERATURA: 195 °F
PRES. ACEITE: 56 PSI</v>
      </c>
      <c r="AV110" s="683">
        <f>COUNTIFS(Q110:Q2110,"MANTENIMIENTO CORRECTIVO",Y110:Y2110,BDEGENER[[#This Row],[SERIE]])</f>
        <v>0</v>
      </c>
      <c r="AW110" s="683">
        <f>COUNTIFS(Q110:Q2110,"MANTENIMIENTO PREVENTIVO",Y110:Y2110,BDEGENER[[#This Row],[SERIE]])</f>
        <v>8</v>
      </c>
      <c r="AX11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10" s="683">
        <f>COUNTIFS(BDEGENER[SERIE],BDEGENER[[#This Row],[SERIE]],BDEGENER[TIPO DE SERVICIO],"MANTENIMIENTO PREVENTIVO")</f>
        <v>9</v>
      </c>
      <c r="AZ110" s="683" t="str">
        <f>CONCATENATE("MANTENIMIENTO PREVENTIVO N°",BDEGENER[[#This Row],[GA1]])</f>
        <v>MANTENIMIENTO PREVENTIVO N°9</v>
      </c>
      <c r="BA110" s="683" t="str">
        <f>IF(BDEGENER[[#This Row],[SERVICIO]]=BDEGENER[[#This Row],[GA2]],BDEGENER[[#This Row],[HORAS]],"0")</f>
        <v>0</v>
      </c>
      <c r="BB110" s="683">
        <f>SUMIF(BDEGENER[SERIE],BDEGENER[[#This Row],[SERIE]],BDEGENER[GA3])</f>
        <v>6582.8</v>
      </c>
      <c r="BC110" s="683" t="str">
        <f>CONCATENATE("MANT",COUNTIF($Y$7:Y110,Y110))</f>
        <v>MANT3</v>
      </c>
      <c r="BD110" s="683" t="str">
        <f>CONCATENATE(BDEGENER[[#This Row],[SERIE]],BDEGENER[[#This Row],[GA5]])</f>
        <v>3003932245MANT3</v>
      </c>
      <c r="BE110" s="683" t="str">
        <f>CONCATENATE(BDEGENER[[#This Row],[CODIGO PATRIMONIAL]],BDEGENER[[#This Row],[GA5]])</f>
        <v>NOR-GEG-0019MANT3</v>
      </c>
      <c r="BF110" s="683">
        <f>COUNTIF(BDEGENER[SERIE],BDEGENER[[#This Row],[SERIE]])</f>
        <v>10</v>
      </c>
      <c r="BG110" s="683" t="str">
        <f>CONCATENATE("F",COUNTIF($K$7:K110,K110))</f>
        <v>F4</v>
      </c>
      <c r="BH110" s="683" t="str">
        <f>CONCATENATE(BDEGENER[[#This Row],[FECHA DE SERVICIO]],BDEGENER[[#This Row],[N° DE REGISTROS DEL DIA]])</f>
        <v>44140F4</v>
      </c>
      <c r="BI110" s="684">
        <v>186667.7</v>
      </c>
      <c r="BJ110" s="683" t="s">
        <v>1544</v>
      </c>
      <c r="BK110" s="762" t="s">
        <v>2326</v>
      </c>
    </row>
    <row r="111" spans="2:63" ht="69" hidden="1" x14ac:dyDescent="0.3">
      <c r="B111" s="2"/>
      <c r="C111" s="2"/>
      <c r="D111" s="2"/>
      <c r="E111" s="2"/>
      <c r="F111" s="2"/>
      <c r="G111" s="2"/>
      <c r="H111" s="2"/>
      <c r="I111" s="2"/>
      <c r="J111" s="685"/>
      <c r="K111" s="682">
        <v>44138</v>
      </c>
      <c r="L111" s="683" t="s">
        <v>181</v>
      </c>
      <c r="M111" s="683" t="s">
        <v>1395</v>
      </c>
      <c r="N111" s="683" t="s">
        <v>1547</v>
      </c>
      <c r="O111" s="683"/>
      <c r="P111" s="683"/>
      <c r="Q111" s="683" t="s">
        <v>107</v>
      </c>
      <c r="R111" s="683" t="s">
        <v>1782</v>
      </c>
      <c r="S111" s="686" t="s">
        <v>3863</v>
      </c>
      <c r="T111" s="683" t="s">
        <v>2546</v>
      </c>
      <c r="U111" s="683" t="s">
        <v>3864</v>
      </c>
      <c r="V111" s="683" t="s">
        <v>677</v>
      </c>
      <c r="W111" s="683" t="s">
        <v>914</v>
      </c>
      <c r="X111" s="691" t="s">
        <v>918</v>
      </c>
      <c r="Y111" s="687">
        <v>3004337430</v>
      </c>
      <c r="Z111" s="692" t="s">
        <v>192</v>
      </c>
      <c r="AA111" s="683" t="s">
        <v>33</v>
      </c>
      <c r="AB111" s="683" t="s">
        <v>34</v>
      </c>
      <c r="AC111" s="683" t="s">
        <v>230</v>
      </c>
      <c r="AD111" s="683" t="s">
        <v>1110</v>
      </c>
      <c r="AE111" s="683">
        <v>60</v>
      </c>
      <c r="AF111" s="684">
        <v>546.6</v>
      </c>
      <c r="AG111" s="683" t="s">
        <v>243</v>
      </c>
      <c r="AH111" s="683" t="s">
        <v>220</v>
      </c>
      <c r="AI111" s="683" t="s">
        <v>33</v>
      </c>
      <c r="AJ111" s="683">
        <v>3004346827</v>
      </c>
      <c r="AK111" s="683" t="s">
        <v>33</v>
      </c>
      <c r="AL111" s="683"/>
      <c r="AM111" s="683" t="s">
        <v>1094</v>
      </c>
      <c r="AN111" s="683" t="s">
        <v>1122</v>
      </c>
      <c r="AO111" s="683" t="s">
        <v>1149</v>
      </c>
      <c r="AP111" s="683" t="s">
        <v>240</v>
      </c>
      <c r="AQ111" s="688" t="str">
        <f>CONCATENATE("REG-",BDEGENER[[#This Row],[FECHA DE SERVICIO]],"-",BDEGENER[[#This Row],[SERIE]],"-",BDEGENER[[#This Row],[HORAS]])</f>
        <v>REG-44138-3004337430-546,6</v>
      </c>
      <c r="AR111" s="683" t="str">
        <f>CONCATENATE("MARCA: ",BDEGENER[[#This Row],[MARCA]],"
 MODELO: ",BDEGENER[[#This Row],[MODELO]])</f>
        <v>MARCA: GENERAC
 MODELO: PG090</v>
      </c>
      <c r="AS111" s="683" t="str">
        <f>CONCATENATE("MARCA: ",BDEGENER[[#This Row],[MARCA DE MOTOR]],"
SERIE: ",BDEGENER[[#This Row],[SERIE DE MOTOR]])</f>
        <v>MARCA: GENERAC
SERIE: 3004346827</v>
      </c>
      <c r="AT111" s="683" t="str">
        <f>CONCATENATE("MARCA: ",BDEGENER[[#This Row],[MARCA ALTERNADOR ]],"
SERIE: ",BDEGENER[[#This Row],[SERIE DE ALTERNADOR]])</f>
        <v xml:space="preserve">MARCA: GENERAC
SERIE: </v>
      </c>
      <c r="AU111" s="683" t="str">
        <f>CONCATENATE("HORAS: ",BDEGENER[[#This Row],[HORAS]],"
KW-HR: ",BDEGENER[[#This Row],[KW-HORA]],"
VOLT.BATERIA: ",BDEGENER[[#This Row],[VOLTAJE DE BATERIA]],"
TEMPERATURA: ",BDEGENER[[#This Row],[TEMPERATURA DE AGUA]],"
PRES. ACEITE: ",BDEGENER[[#This Row],[PRESION DE ACEITE]])</f>
        <v>HORAS: 546,6
KW-HR: 7286,7
VOLT.BATERIA: 13.5 V
TEMPERATURA: 195 °F
PRES. ACEITE: 61 PSI</v>
      </c>
      <c r="AV111" s="683">
        <f>COUNTIFS(Q111:Q2111,"MANTENIMIENTO CORRECTIVO",Y111:Y2111,BDEGENER[[#This Row],[SERIE]])</f>
        <v>2</v>
      </c>
      <c r="AW111" s="683">
        <f>COUNTIFS(Q111:Q2111,"MANTENIMIENTO PREVENTIVO",Y111:Y2111,BDEGENER[[#This Row],[SERIE]])</f>
        <v>3</v>
      </c>
      <c r="AX11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11" s="683">
        <f>COUNTIFS(BDEGENER[SERIE],BDEGENER[[#This Row],[SERIE]],BDEGENER[TIPO DE SERVICIO],"MANTENIMIENTO PREVENTIVO")</f>
        <v>3</v>
      </c>
      <c r="AZ111" s="683" t="str">
        <f>CONCATENATE("MANTENIMIENTO PREVENTIVO N°",BDEGENER[[#This Row],[GA1]])</f>
        <v>MANTENIMIENTO PREVENTIVO N°3</v>
      </c>
      <c r="BA111" s="683" t="str">
        <f>IF(BDEGENER[[#This Row],[SERVICIO]]=BDEGENER[[#This Row],[GA2]],BDEGENER[[#This Row],[HORAS]],"0")</f>
        <v>0</v>
      </c>
      <c r="BB111" s="683">
        <f>SUMIF(BDEGENER[SERIE],BDEGENER[[#This Row],[SERIE]],BDEGENER[GA3])</f>
        <v>596.6</v>
      </c>
      <c r="BC111" s="683" t="str">
        <f>CONCATENATE("MANT",COUNTIF($Y$7:Y111,Y111))</f>
        <v>MANT2</v>
      </c>
      <c r="BD111" s="683" t="str">
        <f>CONCATENATE(BDEGENER[[#This Row],[SERIE]],BDEGENER[[#This Row],[GA5]])</f>
        <v>3004337430MANT2</v>
      </c>
      <c r="BE111" s="683" t="str">
        <f>CONCATENATE(BDEGENER[[#This Row],[CODIGO PATRIMONIAL]],BDEGENER[[#This Row],[GA5]])</f>
        <v xml:space="preserve"> MANT2</v>
      </c>
      <c r="BF111" s="683">
        <f>COUNTIF(BDEGENER[SERIE],BDEGENER[[#This Row],[SERIE]])</f>
        <v>11</v>
      </c>
      <c r="BG111" s="683" t="str">
        <f>CONCATENATE("F",COUNTIF($K$7:K111,K111))</f>
        <v>F1</v>
      </c>
      <c r="BH111" s="683" t="str">
        <f>CONCATENATE(BDEGENER[[#This Row],[FECHA DE SERVICIO]],BDEGENER[[#This Row],[N° DE REGISTROS DEL DIA]])</f>
        <v>44138F1</v>
      </c>
      <c r="BI111" s="684">
        <v>7286.7</v>
      </c>
      <c r="BJ111" s="683" t="s">
        <v>1544</v>
      </c>
      <c r="BK111" s="762" t="s">
        <v>2175</v>
      </c>
    </row>
    <row r="112" spans="2:63" ht="69" hidden="1" x14ac:dyDescent="0.3">
      <c r="B112" s="2"/>
      <c r="C112" s="2"/>
      <c r="D112" s="2"/>
      <c r="E112" s="2"/>
      <c r="F112" s="2"/>
      <c r="G112" s="2"/>
      <c r="H112" s="2"/>
      <c r="I112" s="2"/>
      <c r="J112" s="685"/>
      <c r="K112" s="682">
        <v>44138</v>
      </c>
      <c r="L112" s="683" t="s">
        <v>181</v>
      </c>
      <c r="M112" s="683" t="s">
        <v>186</v>
      </c>
      <c r="N112" s="683" t="s">
        <v>1982</v>
      </c>
      <c r="O112" s="683">
        <v>4500873022</v>
      </c>
      <c r="P112" s="688" t="s">
        <v>3599</v>
      </c>
      <c r="Q112" s="683" t="s">
        <v>37</v>
      </c>
      <c r="R112" s="683" t="s">
        <v>1782</v>
      </c>
      <c r="S112" s="686" t="s">
        <v>3600</v>
      </c>
      <c r="T112" s="683" t="s">
        <v>3601</v>
      </c>
      <c r="U112" s="683" t="s">
        <v>2404</v>
      </c>
      <c r="V112" s="683" t="s">
        <v>147</v>
      </c>
      <c r="W112" s="683" t="s">
        <v>914</v>
      </c>
      <c r="X112" s="691" t="s">
        <v>918</v>
      </c>
      <c r="Y112" s="687">
        <v>3004337430</v>
      </c>
      <c r="Z112" s="692" t="s">
        <v>192</v>
      </c>
      <c r="AA112" s="683" t="s">
        <v>33</v>
      </c>
      <c r="AB112" s="683" t="s">
        <v>34</v>
      </c>
      <c r="AC112" s="683" t="s">
        <v>230</v>
      </c>
      <c r="AD112" s="683" t="s">
        <v>1110</v>
      </c>
      <c r="AE112" s="683">
        <v>60</v>
      </c>
      <c r="AF112" s="684">
        <v>596.6</v>
      </c>
      <c r="AG112" s="683" t="s">
        <v>243</v>
      </c>
      <c r="AH112" s="683" t="s">
        <v>220</v>
      </c>
      <c r="AI112" s="683" t="s">
        <v>33</v>
      </c>
      <c r="AJ112" s="683">
        <v>3004346827</v>
      </c>
      <c r="AK112" s="683" t="s">
        <v>33</v>
      </c>
      <c r="AL112" s="683"/>
      <c r="AM112" s="683" t="s">
        <v>1145</v>
      </c>
      <c r="AN112" s="683" t="s">
        <v>1352</v>
      </c>
      <c r="AO112" s="683" t="s">
        <v>1149</v>
      </c>
      <c r="AP112" s="683" t="s">
        <v>240</v>
      </c>
      <c r="AQ112" s="688" t="str">
        <f>CONCATENATE("REG-",BDEGENER[[#This Row],[FECHA DE SERVICIO]],"-",BDEGENER[[#This Row],[SERIE]],"-",BDEGENER[[#This Row],[HORAS]])</f>
        <v>REG-44138-3004337430-596,6</v>
      </c>
      <c r="AR112" s="683" t="str">
        <f>CONCATENATE("MARCA: ",BDEGENER[[#This Row],[MARCA]],"
 MODELO: ",BDEGENER[[#This Row],[MODELO]])</f>
        <v>MARCA: GENERAC
 MODELO: PG090</v>
      </c>
      <c r="AS112" s="683" t="str">
        <f>CONCATENATE("MARCA: ",BDEGENER[[#This Row],[MARCA DE MOTOR]],"
SERIE: ",BDEGENER[[#This Row],[SERIE DE MOTOR]])</f>
        <v>MARCA: GENERAC
SERIE: 3004346827</v>
      </c>
      <c r="AT112" s="683" t="str">
        <f>CONCATENATE("MARCA: ",BDEGENER[[#This Row],[MARCA ALTERNADOR ]],"
SERIE: ",BDEGENER[[#This Row],[SERIE DE ALTERNADOR]])</f>
        <v xml:space="preserve">MARCA: GENERAC
SERIE: </v>
      </c>
      <c r="AU112" s="683" t="str">
        <f>CONCATENATE("HORAS: ",BDEGENER[[#This Row],[HORAS]],"
KW-HR: ",BDEGENER[[#This Row],[KW-HORA]],"
VOLT.BATERIA: ",BDEGENER[[#This Row],[VOLTAJE DE BATERIA]],"
TEMPERATURA: ",BDEGENER[[#This Row],[TEMPERATURA DE AGUA]],"
PRES. ACEITE: ",BDEGENER[[#This Row],[PRESION DE ACEITE]])</f>
        <v>HORAS: 596,6
KW-HR: 7945,3
VOLT.BATERIA: 13.4 V
TEMPERATURA: 196 °F
PRES. ACEITE: 61 PSI</v>
      </c>
      <c r="AV112" s="683">
        <f>COUNTIFS(Q112:Q2112,"MANTENIMIENTO CORRECTIVO",Y112:Y2112,BDEGENER[[#This Row],[SERIE]])</f>
        <v>1</v>
      </c>
      <c r="AW112" s="683">
        <f>COUNTIFS(Q112:Q2112,"MANTENIMIENTO PREVENTIVO",Y112:Y2112,BDEGENER[[#This Row],[SERIE]])</f>
        <v>3</v>
      </c>
      <c r="AX11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12" s="683">
        <f>COUNTIFS(BDEGENER[SERIE],BDEGENER[[#This Row],[SERIE]],BDEGENER[TIPO DE SERVICIO],"MANTENIMIENTO PREVENTIVO")</f>
        <v>3</v>
      </c>
      <c r="AZ112" s="683" t="str">
        <f>CONCATENATE("MANTENIMIENTO PREVENTIVO N°",BDEGENER[[#This Row],[GA1]])</f>
        <v>MANTENIMIENTO PREVENTIVO N°3</v>
      </c>
      <c r="BA112" s="683">
        <f>IF(BDEGENER[[#This Row],[SERVICIO]]=BDEGENER[[#This Row],[GA2]],BDEGENER[[#This Row],[HORAS]],"0")</f>
        <v>596.6</v>
      </c>
      <c r="BB112" s="683">
        <f>SUMIF(BDEGENER[SERIE],BDEGENER[[#This Row],[SERIE]],BDEGENER[GA3])</f>
        <v>596.6</v>
      </c>
      <c r="BC112" s="761" t="str">
        <f>CONCATENATE("MANT",COUNTIF($Y$7:Y112,Y112))</f>
        <v>MANT3</v>
      </c>
      <c r="BD112" s="683" t="str">
        <f>CONCATENATE(BDEGENER[[#This Row],[SERIE]],BDEGENER[[#This Row],[GA5]])</f>
        <v>3004337430MANT3</v>
      </c>
      <c r="BE112" s="683" t="str">
        <f>CONCATENATE(BDEGENER[[#This Row],[CODIGO PATRIMONIAL]],BDEGENER[[#This Row],[GA5]])</f>
        <v xml:space="preserve"> MANT3</v>
      </c>
      <c r="BF112" s="683">
        <f>COUNTIF(BDEGENER[SERIE],BDEGENER[[#This Row],[SERIE]])</f>
        <v>11</v>
      </c>
      <c r="BG112" s="761" t="str">
        <f>CONCATENATE("F",COUNTIF($K$7:K112,K112))</f>
        <v>F2</v>
      </c>
      <c r="BH112" s="683" t="str">
        <f>CONCATENATE(BDEGENER[[#This Row],[FECHA DE SERVICIO]],BDEGENER[[#This Row],[N° DE REGISTROS DEL DIA]])</f>
        <v>44138F2</v>
      </c>
      <c r="BI112" s="684">
        <v>7945.3</v>
      </c>
      <c r="BJ112" s="683" t="s">
        <v>1544</v>
      </c>
      <c r="BK112" s="762" t="s">
        <v>3602</v>
      </c>
    </row>
    <row r="113" spans="2:63" ht="69" hidden="1" x14ac:dyDescent="0.3">
      <c r="B113" s="2"/>
      <c r="C113" s="2"/>
      <c r="D113" s="2"/>
      <c r="E113" s="2"/>
      <c r="F113" s="2"/>
      <c r="G113" s="2"/>
      <c r="H113" s="2"/>
      <c r="I113" s="2"/>
      <c r="J113" s="685"/>
      <c r="K113" s="682">
        <v>44134</v>
      </c>
      <c r="L113" s="683" t="s">
        <v>248</v>
      </c>
      <c r="M113" s="683" t="s">
        <v>3570</v>
      </c>
      <c r="N113" s="683" t="s">
        <v>3571</v>
      </c>
      <c r="O113" s="683"/>
      <c r="P113" s="688" t="s">
        <v>3574</v>
      </c>
      <c r="Q113" s="683" t="s">
        <v>37</v>
      </c>
      <c r="R113" s="683" t="s">
        <v>1782</v>
      </c>
      <c r="S113" s="686" t="s">
        <v>3572</v>
      </c>
      <c r="T113" s="683" t="s">
        <v>3573</v>
      </c>
      <c r="U113" s="683" t="s">
        <v>2404</v>
      </c>
      <c r="V113" s="683" t="s">
        <v>147</v>
      </c>
      <c r="W113" s="683" t="s">
        <v>914</v>
      </c>
      <c r="X113" s="691" t="s">
        <v>918</v>
      </c>
      <c r="Y113" s="687">
        <v>3004999911</v>
      </c>
      <c r="Z113" s="692">
        <v>24543</v>
      </c>
      <c r="AA113" s="683" t="s">
        <v>33</v>
      </c>
      <c r="AB113" s="683" t="s">
        <v>1728</v>
      </c>
      <c r="AC113" s="683" t="s">
        <v>528</v>
      </c>
      <c r="AD113" s="683" t="s">
        <v>1123</v>
      </c>
      <c r="AE113" s="683">
        <v>60</v>
      </c>
      <c r="AF113" s="684">
        <v>2978.8</v>
      </c>
      <c r="AG113" s="683" t="s">
        <v>243</v>
      </c>
      <c r="AH113" s="683" t="s">
        <v>220</v>
      </c>
      <c r="AI113" s="683" t="s">
        <v>1495</v>
      </c>
      <c r="AJ113" s="683" t="s">
        <v>1496</v>
      </c>
      <c r="AK113" s="683" t="s">
        <v>33</v>
      </c>
      <c r="AL113" s="683">
        <v>139546230</v>
      </c>
      <c r="AM113" s="683" t="s">
        <v>1121</v>
      </c>
      <c r="AN113" s="683" t="s">
        <v>2903</v>
      </c>
      <c r="AO113" s="683" t="s">
        <v>3531</v>
      </c>
      <c r="AP113" s="683" t="s">
        <v>240</v>
      </c>
      <c r="AQ113" s="688" t="str">
        <f>CONCATENATE("REG-",BDEGENER[[#This Row],[FECHA DE SERVICIO]],"-",BDEGENER[[#This Row],[SERIE]],"-",BDEGENER[[#This Row],[HORAS]])</f>
        <v>REG-44134-3004999911-2978,8</v>
      </c>
      <c r="AR113" s="683" t="str">
        <f>CONCATENATE("MARCA: ",BDEGENER[[#This Row],[MARCA]],"
 MODELO: ",BDEGENER[[#This Row],[MODELO]])</f>
        <v>MARCA: GENERAC
 MODELO: PG054</v>
      </c>
      <c r="AS113" s="683" t="str">
        <f>CONCATENATE("MARCA: ",BDEGENER[[#This Row],[MARCA DE MOTOR]],"
SERIE: ",BDEGENER[[#This Row],[SERIE DE MOTOR]])</f>
        <v>MARCA: FORD
SERIE: GP680AA</v>
      </c>
      <c r="AT113" s="683" t="str">
        <f>CONCATENATE("MARCA: ",BDEGENER[[#This Row],[MARCA ALTERNADOR ]],"
SERIE: ",BDEGENER[[#This Row],[SERIE DE ALTERNADOR]])</f>
        <v>MARCA: GENERAC
SERIE: 139546230</v>
      </c>
      <c r="AU113" s="683" t="str">
        <f>CONCATENATE("HORAS: ",BDEGENER[[#This Row],[HORAS]],"
KW-HR: ",BDEGENER[[#This Row],[KW-HORA]],"
VOLT.BATERIA: ",BDEGENER[[#This Row],[VOLTAJE DE BATERIA]],"
TEMPERATURA: ",BDEGENER[[#This Row],[TEMPERATURA DE AGUA]],"
PRES. ACEITE: ",BDEGENER[[#This Row],[PRESION DE ACEITE]])</f>
        <v>HORAS: 2978,8
KW-HR: 73784,6
VOLT.BATERIA: 13.7 V
TEMPERATURA: 191 °F
PRES. ACEITE: 73 PSI</v>
      </c>
      <c r="AV113" s="683">
        <f>COUNTIFS(Q113:Q2113,"MANTENIMIENTO CORRECTIVO",Y113:Y2113,BDEGENER[[#This Row],[SERIE]])</f>
        <v>0</v>
      </c>
      <c r="AW113" s="683">
        <f>COUNTIFS(Q113:Q2113,"MANTENIMIENTO PREVENTIVO",Y113:Y2113,BDEGENER[[#This Row],[SERIE]])</f>
        <v>9</v>
      </c>
      <c r="AX11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113" s="683">
        <f>COUNTIFS(BDEGENER[SERIE],BDEGENER[[#This Row],[SERIE]],BDEGENER[TIPO DE SERVICIO],"MANTENIMIENTO PREVENTIVO")</f>
        <v>12</v>
      </c>
      <c r="AZ113" s="683" t="str">
        <f>CONCATENATE("MANTENIMIENTO PREVENTIVO N°",BDEGENER[[#This Row],[GA1]])</f>
        <v>MANTENIMIENTO PREVENTIVO N°12</v>
      </c>
      <c r="BA113" s="683" t="str">
        <f>IF(BDEGENER[[#This Row],[SERVICIO]]=BDEGENER[[#This Row],[GA2]],BDEGENER[[#This Row],[HORAS]],"0")</f>
        <v>0</v>
      </c>
      <c r="BB113" s="683">
        <f>SUMIF(BDEGENER[SERIE],BDEGENER[[#This Row],[SERIE]],BDEGENER[GA3])</f>
        <v>3510.8</v>
      </c>
      <c r="BC113" s="683" t="str">
        <f>CONCATENATE("MANT",COUNTIF($Y$7:Y113,Y113))</f>
        <v>MANT4</v>
      </c>
      <c r="BD113" s="683" t="str">
        <f>CONCATENATE(BDEGENER[[#This Row],[SERIE]],BDEGENER[[#This Row],[GA5]])</f>
        <v>3004999911MANT4</v>
      </c>
      <c r="BE113" s="683" t="str">
        <f>CONCATENATE(BDEGENER[[#This Row],[CODIGO PATRIMONIAL]],BDEGENER[[#This Row],[GA5]])</f>
        <v>24543MANT4</v>
      </c>
      <c r="BF113" s="683">
        <f>COUNTIF(BDEGENER[SERIE],BDEGENER[[#This Row],[SERIE]])</f>
        <v>14</v>
      </c>
      <c r="BG113" s="683" t="str">
        <f>CONCATENATE("F",COUNTIF($K$7:K113,K113))</f>
        <v>F1</v>
      </c>
      <c r="BH113" s="683" t="str">
        <f>CONCATENATE(BDEGENER[[#This Row],[FECHA DE SERVICIO]],BDEGENER[[#This Row],[N° DE REGISTROS DEL DIA]])</f>
        <v>44134F1</v>
      </c>
      <c r="BI113" s="684">
        <v>73784.600000000006</v>
      </c>
      <c r="BJ113" s="683" t="s">
        <v>1544</v>
      </c>
      <c r="BK113" s="762" t="s">
        <v>788</v>
      </c>
    </row>
    <row r="114" spans="2:63" ht="69" hidden="1" x14ac:dyDescent="0.3">
      <c r="B114" s="2"/>
      <c r="C114" s="2"/>
      <c r="D114" s="2"/>
      <c r="E114" s="2"/>
      <c r="F114" s="2"/>
      <c r="G114" s="2"/>
      <c r="H114" s="2"/>
      <c r="I114" s="2"/>
      <c r="J114" s="685"/>
      <c r="K114" s="682">
        <v>44132</v>
      </c>
      <c r="L114" s="683" t="s">
        <v>181</v>
      </c>
      <c r="M114" s="683" t="s">
        <v>188</v>
      </c>
      <c r="N114" s="683" t="s">
        <v>183</v>
      </c>
      <c r="O114" s="683"/>
      <c r="P114" s="683"/>
      <c r="Q114" s="683" t="s">
        <v>107</v>
      </c>
      <c r="R114" s="683" t="s">
        <v>3564</v>
      </c>
      <c r="S114" s="686" t="s">
        <v>3567</v>
      </c>
      <c r="T114" s="683" t="s">
        <v>3568</v>
      </c>
      <c r="U114" s="683" t="s">
        <v>3569</v>
      </c>
      <c r="V114" s="683" t="s">
        <v>146</v>
      </c>
      <c r="W114" s="683" t="s">
        <v>914</v>
      </c>
      <c r="X114" s="691" t="s">
        <v>918</v>
      </c>
      <c r="Y114" s="687">
        <v>3004381437</v>
      </c>
      <c r="Z114" s="692"/>
      <c r="AA114" s="683" t="s">
        <v>33</v>
      </c>
      <c r="AB114" s="683" t="s">
        <v>34</v>
      </c>
      <c r="AC114" s="683" t="s">
        <v>230</v>
      </c>
      <c r="AD114" s="683"/>
      <c r="AE114" s="683"/>
      <c r="AF114" s="684">
        <v>2095.1</v>
      </c>
      <c r="AG114" s="683" t="s">
        <v>243</v>
      </c>
      <c r="AH114" s="683" t="s">
        <v>220</v>
      </c>
      <c r="AI114" s="683" t="s">
        <v>33</v>
      </c>
      <c r="AJ114" s="683">
        <v>3004346804</v>
      </c>
      <c r="AK114" s="683" t="s">
        <v>33</v>
      </c>
      <c r="AL114" s="683">
        <v>10630963</v>
      </c>
      <c r="AM114" s="683"/>
      <c r="AN114" s="683"/>
      <c r="AO114" s="683"/>
      <c r="AP114" s="683" t="s">
        <v>240</v>
      </c>
      <c r="AQ114" s="683" t="str">
        <f>CONCATENATE("REG-",BDEGENER[[#This Row],[FECHA DE SERVICIO]],"-",BDEGENER[[#This Row],[SERIE]],"-",BDEGENER[[#This Row],[HORAS]])</f>
        <v>REG-44132-3004381437-2095,1</v>
      </c>
      <c r="AR114" s="683" t="str">
        <f>CONCATENATE("MARCA: ",BDEGENER[[#This Row],[MARCA]],"
 MODELO: ",BDEGENER[[#This Row],[MODELO]])</f>
        <v>MARCA: GENERAC
 MODELO: PG090</v>
      </c>
      <c r="AS114" s="683" t="str">
        <f>CONCATENATE("MARCA: ",BDEGENER[[#This Row],[MARCA DE MOTOR]],"
SERIE: ",BDEGENER[[#This Row],[SERIE DE MOTOR]])</f>
        <v>MARCA: GENERAC
SERIE: 3004346804</v>
      </c>
      <c r="AT114" s="683" t="str">
        <f>CONCATENATE("MARCA: ",BDEGENER[[#This Row],[MARCA ALTERNADOR ]],"
SERIE: ",BDEGENER[[#This Row],[SERIE DE ALTERNADOR]])</f>
        <v>MARCA: GENERAC
SERIE: 10630963</v>
      </c>
      <c r="AU114" s="683" t="str">
        <f>CONCATENATE("HORAS: ",BDEGENER[[#This Row],[HORAS]],"
KW-HR: ",BDEGENER[[#This Row],[KW-HORA]],"
VOLT.BATERIA: ",BDEGENER[[#This Row],[VOLTAJE DE BATERIA]],"
TEMPERATURA: ",BDEGENER[[#This Row],[TEMPERATURA DE AGUA]],"
PRES. ACEITE: ",BDEGENER[[#This Row],[PRESION DE ACEITE]])</f>
        <v xml:space="preserve">HORAS: 2095,1
KW-HR: 41034,4
VOLT.BATERIA: 
TEMPERATURA: 
PRES. ACEITE: </v>
      </c>
      <c r="AV114" s="683">
        <f>COUNTIFS(Q114:Q2114,"MANTENIMIENTO CORRECTIVO",Y114:Y2114,BDEGENER[[#This Row],[SERIE]])</f>
        <v>3</v>
      </c>
      <c r="AW114" s="683">
        <f>COUNTIFS(Q114:Q2114,"MANTENIMIENTO PREVENTIVO",Y114:Y2114,BDEGENER[[#This Row],[SERIE]])</f>
        <v>7</v>
      </c>
      <c r="AX11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114" s="683">
        <f>COUNTIFS(BDEGENER[SERIE],BDEGENER[[#This Row],[SERIE]],BDEGENER[TIPO DE SERVICIO],"MANTENIMIENTO PREVENTIVO")</f>
        <v>8</v>
      </c>
      <c r="AZ114" s="683" t="str">
        <f>CONCATENATE("MANTENIMIENTO PREVENTIVO N°",BDEGENER[[#This Row],[GA1]])</f>
        <v>MANTENIMIENTO PREVENTIVO N°8</v>
      </c>
      <c r="BA114" s="683" t="str">
        <f>IF(BDEGENER[[#This Row],[SERVICIO]]=BDEGENER[[#This Row],[GA2]],BDEGENER[[#This Row],[HORAS]],"0")</f>
        <v>0</v>
      </c>
      <c r="BB114" s="683">
        <f>SUMIF(BDEGENER[SERIE],BDEGENER[[#This Row],[SERIE]],BDEGENER[GA3])</f>
        <v>2359.6</v>
      </c>
      <c r="BC114" s="683" t="str">
        <f>CONCATENATE("MANT",COUNTIF($Y$7:Y114,Y114))</f>
        <v>MANT2</v>
      </c>
      <c r="BD114" s="683" t="str">
        <f>CONCATENATE(BDEGENER[[#This Row],[SERIE]],BDEGENER[[#This Row],[GA5]])</f>
        <v>3004381437MANT2</v>
      </c>
      <c r="BE114" s="683" t="str">
        <f>CONCATENATE(BDEGENER[[#This Row],[CODIGO PATRIMONIAL]],BDEGENER[[#This Row],[GA5]])</f>
        <v>MANT2</v>
      </c>
      <c r="BF114" s="683">
        <f>COUNTIF(BDEGENER[SERIE],BDEGENER[[#This Row],[SERIE]])</f>
        <v>12</v>
      </c>
      <c r="BG114" s="683" t="str">
        <f>CONCATENATE("F",COUNTIF($K$7:K114,K114))</f>
        <v>F1</v>
      </c>
      <c r="BH114" s="683" t="str">
        <f>CONCATENATE(BDEGENER[[#This Row],[FECHA DE SERVICIO]],BDEGENER[[#This Row],[N° DE REGISTROS DEL DIA]])</f>
        <v>44132F1</v>
      </c>
      <c r="BI114" s="792">
        <v>41034.400000000001</v>
      </c>
      <c r="BJ114" s="683" t="s">
        <v>1544</v>
      </c>
      <c r="BK114" s="762"/>
    </row>
    <row r="115" spans="2:63" ht="69" hidden="1" x14ac:dyDescent="0.3">
      <c r="B115" s="2"/>
      <c r="C115" s="2"/>
      <c r="D115" s="2"/>
      <c r="E115" s="2"/>
      <c r="F115" s="2"/>
      <c r="G115" s="2"/>
      <c r="H115" s="2"/>
      <c r="I115" s="2"/>
      <c r="J115" s="685"/>
      <c r="K115" s="682">
        <v>44132</v>
      </c>
      <c r="L115" s="683" t="s">
        <v>181</v>
      </c>
      <c r="M115" s="683" t="s">
        <v>182</v>
      </c>
      <c r="N115" s="683" t="s">
        <v>183</v>
      </c>
      <c r="O115" s="683"/>
      <c r="P115" s="683"/>
      <c r="Q115" s="683" t="s">
        <v>107</v>
      </c>
      <c r="R115" s="683" t="s">
        <v>3564</v>
      </c>
      <c r="S115" s="686" t="s">
        <v>3565</v>
      </c>
      <c r="T115" s="683" t="s">
        <v>3566</v>
      </c>
      <c r="U115" s="683" t="s">
        <v>1276</v>
      </c>
      <c r="V115" s="683" t="s">
        <v>146</v>
      </c>
      <c r="W115" s="683" t="s">
        <v>914</v>
      </c>
      <c r="X115" s="691" t="s">
        <v>918</v>
      </c>
      <c r="Y115" s="687">
        <v>3004381435</v>
      </c>
      <c r="Z115" s="692"/>
      <c r="AA115" s="683" t="s">
        <v>33</v>
      </c>
      <c r="AB115" s="683" t="s">
        <v>34</v>
      </c>
      <c r="AC115" s="683" t="s">
        <v>230</v>
      </c>
      <c r="AD115" s="683"/>
      <c r="AE115" s="683"/>
      <c r="AF115" s="684">
        <v>1805.2</v>
      </c>
      <c r="AG115" s="683" t="s">
        <v>243</v>
      </c>
      <c r="AH115" s="683" t="s">
        <v>220</v>
      </c>
      <c r="AI115" s="683" t="s">
        <v>33</v>
      </c>
      <c r="AJ115" s="683">
        <v>3004346796</v>
      </c>
      <c r="AK115" s="683" t="s">
        <v>33</v>
      </c>
      <c r="AL115" s="683">
        <v>10630960</v>
      </c>
      <c r="AM115" s="683"/>
      <c r="AN115" s="683"/>
      <c r="AO115" s="683"/>
      <c r="AP115" s="683" t="s">
        <v>240</v>
      </c>
      <c r="AQ115" s="683" t="str">
        <f>CONCATENATE("REG-",BDEGENER[[#This Row],[FECHA DE SERVICIO]],"-",BDEGENER[[#This Row],[SERIE]],"-",BDEGENER[[#This Row],[HORAS]])</f>
        <v>REG-44132-3004381435-1805,2</v>
      </c>
      <c r="AR115" s="683" t="str">
        <f>CONCATENATE("MARCA: ",BDEGENER[[#This Row],[MARCA]],"
 MODELO: ",BDEGENER[[#This Row],[MODELO]])</f>
        <v>MARCA: GENERAC
 MODELO: PG090</v>
      </c>
      <c r="AS115" s="683" t="str">
        <f>CONCATENATE("MARCA: ",BDEGENER[[#This Row],[MARCA DE MOTOR]],"
SERIE: ",BDEGENER[[#This Row],[SERIE DE MOTOR]])</f>
        <v>MARCA: GENERAC
SERIE: 3004346796</v>
      </c>
      <c r="AT115" s="683" t="str">
        <f>CONCATENATE("MARCA: ",BDEGENER[[#This Row],[MARCA ALTERNADOR ]],"
SERIE: ",BDEGENER[[#This Row],[SERIE DE ALTERNADOR]])</f>
        <v>MARCA: GENERAC
SERIE: 10630960</v>
      </c>
      <c r="AU115" s="683" t="str">
        <f>CONCATENATE("HORAS: ",BDEGENER[[#This Row],[HORAS]],"
KW-HR: ",BDEGENER[[#This Row],[KW-HORA]],"
VOLT.BATERIA: ",BDEGENER[[#This Row],[VOLTAJE DE BATERIA]],"
TEMPERATURA: ",BDEGENER[[#This Row],[TEMPERATURA DE AGUA]],"
PRES. ACEITE: ",BDEGENER[[#This Row],[PRESION DE ACEITE]])</f>
        <v xml:space="preserve">HORAS: 1805,2
KW-HR: 33155,7
VOLT.BATERIA: 
TEMPERATURA: 
PRES. ACEITE: </v>
      </c>
      <c r="AV115" s="683">
        <f>COUNTIFS(Q115:Q2115,"MANTENIMIENTO CORRECTIVO",Y115:Y2115,BDEGENER[[#This Row],[SERIE]])</f>
        <v>3</v>
      </c>
      <c r="AW115" s="683">
        <f>COUNTIFS(Q115:Q2115,"MANTENIMIENTO PREVENTIVO",Y115:Y2115,BDEGENER[[#This Row],[SERIE]])</f>
        <v>7</v>
      </c>
      <c r="AX11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115" s="683">
        <f>COUNTIFS(BDEGENER[SERIE],BDEGENER[[#This Row],[SERIE]],BDEGENER[TIPO DE SERVICIO],"MANTENIMIENTO PREVENTIVO")</f>
        <v>8</v>
      </c>
      <c r="AZ115" s="683" t="str">
        <f>CONCATENATE("MANTENIMIENTO PREVENTIVO N°",BDEGENER[[#This Row],[GA1]])</f>
        <v>MANTENIMIENTO PREVENTIVO N°8</v>
      </c>
      <c r="BA115" s="683" t="str">
        <f>IF(BDEGENER[[#This Row],[SERVICIO]]=BDEGENER[[#This Row],[GA2]],BDEGENER[[#This Row],[HORAS]],"0")</f>
        <v>0</v>
      </c>
      <c r="BB115" s="683">
        <f>SUMIF(BDEGENER[SERIE],BDEGENER[[#This Row],[SERIE]],BDEGENER[GA3])</f>
        <v>2141.3000000000002</v>
      </c>
      <c r="BC115" s="761" t="str">
        <f>CONCATENATE("MANT",COUNTIF($Y$7:Y115,Y115))</f>
        <v>MANT2</v>
      </c>
      <c r="BD115" s="683" t="str">
        <f>CONCATENATE(BDEGENER[[#This Row],[SERIE]],BDEGENER[[#This Row],[GA5]])</f>
        <v>3004381435MANT2</v>
      </c>
      <c r="BE115" s="683" t="str">
        <f>CONCATENATE(BDEGENER[[#This Row],[CODIGO PATRIMONIAL]],BDEGENER[[#This Row],[GA5]])</f>
        <v>MANT2</v>
      </c>
      <c r="BF115" s="683">
        <f>COUNTIF(BDEGENER[SERIE],BDEGENER[[#This Row],[SERIE]])</f>
        <v>13</v>
      </c>
      <c r="BG115" s="761" t="str">
        <f>CONCATENATE("F",COUNTIF($K$7:K115,K115))</f>
        <v>F2</v>
      </c>
      <c r="BH115" s="683" t="str">
        <f>CONCATENATE(BDEGENER[[#This Row],[FECHA DE SERVICIO]],BDEGENER[[#This Row],[N° DE REGISTROS DEL DIA]])</f>
        <v>44132F2</v>
      </c>
      <c r="BI115" s="684">
        <v>33155.699999999997</v>
      </c>
      <c r="BJ115" s="683" t="s">
        <v>1544</v>
      </c>
      <c r="BK115" s="762"/>
    </row>
    <row r="116" spans="2:63" ht="69" hidden="1" x14ac:dyDescent="0.3">
      <c r="B116" s="2"/>
      <c r="C116" s="2"/>
      <c r="D116" s="2"/>
      <c r="E116" s="2"/>
      <c r="F116" s="2"/>
      <c r="G116" s="2"/>
      <c r="H116" s="2"/>
      <c r="I116" s="2"/>
      <c r="J116" s="685"/>
      <c r="K116" s="682">
        <v>44132</v>
      </c>
      <c r="L116" s="683" t="s">
        <v>181</v>
      </c>
      <c r="M116" s="683" t="s">
        <v>188</v>
      </c>
      <c r="N116" s="683" t="s">
        <v>183</v>
      </c>
      <c r="O116" s="683"/>
      <c r="P116" s="683"/>
      <c r="Q116" s="683" t="s">
        <v>107</v>
      </c>
      <c r="R116" s="683" t="s">
        <v>3564</v>
      </c>
      <c r="S116" s="686" t="s">
        <v>3565</v>
      </c>
      <c r="T116" s="683" t="s">
        <v>3566</v>
      </c>
      <c r="U116" s="683" t="s">
        <v>1276</v>
      </c>
      <c r="V116" s="683" t="s">
        <v>146</v>
      </c>
      <c r="W116" s="683" t="s">
        <v>914</v>
      </c>
      <c r="X116" s="691" t="s">
        <v>918</v>
      </c>
      <c r="Y116" s="687">
        <v>3004416582</v>
      </c>
      <c r="Z116" s="692"/>
      <c r="AA116" s="683" t="s">
        <v>33</v>
      </c>
      <c r="AB116" s="683" t="s">
        <v>34</v>
      </c>
      <c r="AC116" s="683" t="s">
        <v>230</v>
      </c>
      <c r="AD116" s="683"/>
      <c r="AE116" s="683"/>
      <c r="AF116" s="684">
        <v>1926.7</v>
      </c>
      <c r="AG116" s="683" t="s">
        <v>243</v>
      </c>
      <c r="AH116" s="683" t="s">
        <v>220</v>
      </c>
      <c r="AI116" s="683" t="s">
        <v>33</v>
      </c>
      <c r="AJ116" s="683">
        <v>3004309061</v>
      </c>
      <c r="AK116" s="683" t="s">
        <v>33</v>
      </c>
      <c r="AL116" s="683">
        <v>107748830</v>
      </c>
      <c r="AM116" s="683"/>
      <c r="AN116" s="683"/>
      <c r="AO116" s="683"/>
      <c r="AP116" s="683" t="s">
        <v>240</v>
      </c>
      <c r="AQ116" s="683" t="str">
        <f>CONCATENATE("REG-",BDEGENER[[#This Row],[FECHA DE SERVICIO]],"-",BDEGENER[[#This Row],[SERIE]],"-",BDEGENER[[#This Row],[HORAS]])</f>
        <v>REG-44132-3004416582-1926,7</v>
      </c>
      <c r="AR116" s="683" t="str">
        <f>CONCATENATE("MARCA: ",BDEGENER[[#This Row],[MARCA]],"
 MODELO: ",BDEGENER[[#This Row],[MODELO]])</f>
        <v>MARCA: GENERAC
 MODELO: PG090</v>
      </c>
      <c r="AS116" s="683" t="str">
        <f>CONCATENATE("MARCA: ",BDEGENER[[#This Row],[MARCA DE MOTOR]],"
SERIE: ",BDEGENER[[#This Row],[SERIE DE MOTOR]])</f>
        <v>MARCA: GENERAC
SERIE: 3004309061</v>
      </c>
      <c r="AT116" s="683" t="str">
        <f>CONCATENATE("MARCA: ",BDEGENER[[#This Row],[MARCA ALTERNADOR ]],"
SERIE: ",BDEGENER[[#This Row],[SERIE DE ALTERNADOR]])</f>
        <v>MARCA: GENERAC
SERIE: 107748830</v>
      </c>
      <c r="AU116" s="683" t="str">
        <f>CONCATENATE("HORAS: ",BDEGENER[[#This Row],[HORAS]],"
KW-HR: ",BDEGENER[[#This Row],[KW-HORA]],"
VOLT.BATERIA: ",BDEGENER[[#This Row],[VOLTAJE DE BATERIA]],"
TEMPERATURA: ",BDEGENER[[#This Row],[TEMPERATURA DE AGUA]],"
PRES. ACEITE: ",BDEGENER[[#This Row],[PRESION DE ACEITE]])</f>
        <v xml:space="preserve">HORAS: 1926,7
KW-HR: 48273
VOLT.BATERIA: 
TEMPERATURA: 
PRES. ACEITE: </v>
      </c>
      <c r="AV116" s="683">
        <f>COUNTIFS(Q116:Q2116,"MANTENIMIENTO CORRECTIVO",Y116:Y2116,BDEGENER[[#This Row],[SERIE]])</f>
        <v>3</v>
      </c>
      <c r="AW116" s="683">
        <f>COUNTIFS(Q116:Q2116,"MANTENIMIENTO PREVENTIVO",Y116:Y2116,BDEGENER[[#This Row],[SERIE]])</f>
        <v>6</v>
      </c>
      <c r="AX11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116" s="683">
        <f>COUNTIFS(BDEGENER[SERIE],BDEGENER[[#This Row],[SERIE]],BDEGENER[TIPO DE SERVICIO],"MANTENIMIENTO PREVENTIVO")</f>
        <v>7</v>
      </c>
      <c r="AZ116" s="683" t="str">
        <f>CONCATENATE("MANTENIMIENTO PREVENTIVO N°",BDEGENER[[#This Row],[GA1]])</f>
        <v>MANTENIMIENTO PREVENTIVO N°7</v>
      </c>
      <c r="BA116" s="683" t="str">
        <f>IF(BDEGENER[[#This Row],[SERVICIO]]=BDEGENER[[#This Row],[GA2]],BDEGENER[[#This Row],[HORAS]],"0")</f>
        <v>0</v>
      </c>
      <c r="BB116" s="683">
        <f>SUMIF(BDEGENER[SERIE],BDEGENER[[#This Row],[SERIE]],BDEGENER[GA3])</f>
        <v>2342.3000000000002</v>
      </c>
      <c r="BC116" s="683" t="str">
        <f>CONCATENATE("MANT",COUNTIF($Y$7:Y116,Y116))</f>
        <v>MANT2</v>
      </c>
      <c r="BD116" s="683" t="str">
        <f>CONCATENATE(BDEGENER[[#This Row],[SERIE]],BDEGENER[[#This Row],[GA5]])</f>
        <v>3004416582MANT2</v>
      </c>
      <c r="BE116" s="683" t="str">
        <f>CONCATENATE(BDEGENER[[#This Row],[CODIGO PATRIMONIAL]],BDEGENER[[#This Row],[GA5]])</f>
        <v>MANT2</v>
      </c>
      <c r="BF116" s="683">
        <f>COUNTIF(BDEGENER[SERIE],BDEGENER[[#This Row],[SERIE]])</f>
        <v>11</v>
      </c>
      <c r="BG116" s="683" t="str">
        <f>CONCATENATE("F",COUNTIF($K$7:K116,K116))</f>
        <v>F3</v>
      </c>
      <c r="BH116" s="683" t="str">
        <f>CONCATENATE(BDEGENER[[#This Row],[FECHA DE SERVICIO]],BDEGENER[[#This Row],[N° DE REGISTROS DEL DIA]])</f>
        <v>44132F3</v>
      </c>
      <c r="BI116" s="684">
        <v>48273</v>
      </c>
      <c r="BJ116" s="683" t="s">
        <v>1544</v>
      </c>
      <c r="BK116" s="762"/>
    </row>
    <row r="117" spans="2:63" ht="69" hidden="1" x14ac:dyDescent="0.3">
      <c r="B117" s="2"/>
      <c r="C117" s="2"/>
      <c r="D117" s="2"/>
      <c r="E117" s="2"/>
      <c r="F117" s="2"/>
      <c r="G117" s="2"/>
      <c r="H117" s="2"/>
      <c r="I117" s="2"/>
      <c r="J117" s="685"/>
      <c r="K117" s="682">
        <v>44132</v>
      </c>
      <c r="L117" s="683" t="s">
        <v>181</v>
      </c>
      <c r="M117" s="683" t="s">
        <v>184</v>
      </c>
      <c r="N117" s="683" t="s">
        <v>183</v>
      </c>
      <c r="O117" s="683">
        <v>4500925048</v>
      </c>
      <c r="P117" s="683" t="s">
        <v>3561</v>
      </c>
      <c r="Q117" s="683" t="s">
        <v>37</v>
      </c>
      <c r="R117" s="683" t="s">
        <v>1782</v>
      </c>
      <c r="S117" s="686" t="s">
        <v>3558</v>
      </c>
      <c r="T117" s="683" t="s">
        <v>3562</v>
      </c>
      <c r="U117" s="683" t="s">
        <v>3559</v>
      </c>
      <c r="V117" s="683" t="s">
        <v>146</v>
      </c>
      <c r="W117" s="683" t="s">
        <v>914</v>
      </c>
      <c r="X117" s="691" t="s">
        <v>918</v>
      </c>
      <c r="Y117" s="687">
        <v>3004227749</v>
      </c>
      <c r="Z117" s="692"/>
      <c r="AA117" s="683" t="s">
        <v>33</v>
      </c>
      <c r="AB117" s="683" t="s">
        <v>34</v>
      </c>
      <c r="AC117" s="683" t="s">
        <v>230</v>
      </c>
      <c r="AD117" s="683" t="s">
        <v>1110</v>
      </c>
      <c r="AE117" s="683">
        <v>60</v>
      </c>
      <c r="AF117" s="684">
        <v>2404.1999999999998</v>
      </c>
      <c r="AG117" s="683" t="s">
        <v>243</v>
      </c>
      <c r="AH117" s="683" t="s">
        <v>220</v>
      </c>
      <c r="AI117" s="683" t="s">
        <v>33</v>
      </c>
      <c r="AJ117" s="683">
        <v>3004231901</v>
      </c>
      <c r="AK117" s="683" t="s">
        <v>33</v>
      </c>
      <c r="AL117" s="683">
        <v>10630140</v>
      </c>
      <c r="AM117" s="683" t="s">
        <v>1121</v>
      </c>
      <c r="AN117" s="683" t="s">
        <v>246</v>
      </c>
      <c r="AO117" s="683" t="s">
        <v>1166</v>
      </c>
      <c r="AP117" s="683" t="s">
        <v>240</v>
      </c>
      <c r="AQ117" s="688" t="str">
        <f>CONCATENATE("REG-",BDEGENER[[#This Row],[FECHA DE SERVICIO]],"-",BDEGENER[[#This Row],[SERIE]],"-",BDEGENER[[#This Row],[HORAS]])</f>
        <v>REG-44132-3004227749-2404,2</v>
      </c>
      <c r="AR117" s="683" t="str">
        <f>CONCATENATE("MARCA: ",BDEGENER[[#This Row],[MARCA]],"
 MODELO: ",BDEGENER[[#This Row],[MODELO]])</f>
        <v>MARCA: GENERAC
 MODELO: PG090</v>
      </c>
      <c r="AS117" s="683" t="str">
        <f>CONCATENATE("MARCA: ",BDEGENER[[#This Row],[MARCA DE MOTOR]],"
SERIE: ",BDEGENER[[#This Row],[SERIE DE MOTOR]])</f>
        <v>MARCA: GENERAC
SERIE: 3004231901</v>
      </c>
      <c r="AT117" s="683" t="str">
        <f>CONCATENATE("MARCA: ",BDEGENER[[#This Row],[MARCA ALTERNADOR ]],"
SERIE: ",BDEGENER[[#This Row],[SERIE DE ALTERNADOR]])</f>
        <v>MARCA: GENERAC
SERIE: 10630140</v>
      </c>
      <c r="AU117" s="683" t="str">
        <f>CONCATENATE("HORAS: ",BDEGENER[[#This Row],[HORAS]],"
KW-HR: ",BDEGENER[[#This Row],[KW-HORA]],"
VOLT.BATERIA: ",BDEGENER[[#This Row],[VOLTAJE DE BATERIA]],"
TEMPERATURA: ",BDEGENER[[#This Row],[TEMPERATURA DE AGUA]],"
PRES. ACEITE: ",BDEGENER[[#This Row],[PRESION DE ACEITE]])</f>
        <v>HORAS: 2404,2
KW-HR: 63781
VOLT.BATERIA: 13.7 V
TEMPERATURA: 198 °F
PRES. ACEITE: 57 PSI</v>
      </c>
      <c r="AV117" s="683">
        <f>COUNTIFS(Q117:Q2117,"MANTENIMIENTO CORRECTIVO",Y117:Y2117,BDEGENER[[#This Row],[SERIE]])</f>
        <v>4</v>
      </c>
      <c r="AW117" s="683">
        <f>COUNTIFS(Q117:Q2117,"MANTENIMIENTO PREVENTIVO",Y117:Y2117,BDEGENER[[#This Row],[SERIE]])</f>
        <v>8</v>
      </c>
      <c r="AX11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17" s="683">
        <f>COUNTIFS(BDEGENER[SERIE],BDEGENER[[#This Row],[SERIE]],BDEGENER[TIPO DE SERVICIO],"MANTENIMIENTO PREVENTIVO")</f>
        <v>8</v>
      </c>
      <c r="AZ117" s="683" t="str">
        <f>CONCATENATE("MANTENIMIENTO PREVENTIVO N°",BDEGENER[[#This Row],[GA1]])</f>
        <v>MANTENIMIENTO PREVENTIVO N°8</v>
      </c>
      <c r="BA117" s="683">
        <f>IF(BDEGENER[[#This Row],[SERVICIO]]=BDEGENER[[#This Row],[GA2]],BDEGENER[[#This Row],[HORAS]],"0")</f>
        <v>2404.1999999999998</v>
      </c>
      <c r="BB117" s="683">
        <f>SUMIF(BDEGENER[SERIE],BDEGENER[[#This Row],[SERIE]],BDEGENER[GA3])</f>
        <v>2404.1999999999998</v>
      </c>
      <c r="BC117" s="683" t="str">
        <f>CONCATENATE("MANT",COUNTIF($Y$7:Y117,Y117))</f>
        <v>MANT2</v>
      </c>
      <c r="BD117" s="683" t="str">
        <f>CONCATENATE(BDEGENER[[#This Row],[SERIE]],BDEGENER[[#This Row],[GA5]])</f>
        <v>3004227749MANT2</v>
      </c>
      <c r="BE117" s="683" t="str">
        <f>CONCATENATE(BDEGENER[[#This Row],[CODIGO PATRIMONIAL]],BDEGENER[[#This Row],[GA5]])</f>
        <v>MANT2</v>
      </c>
      <c r="BF117" s="683">
        <f>COUNTIF(BDEGENER[SERIE],BDEGENER[[#This Row],[SERIE]])</f>
        <v>16</v>
      </c>
      <c r="BG117" s="683" t="str">
        <f>CONCATENATE("F",COUNTIF($K$7:K117,K117))</f>
        <v>F4</v>
      </c>
      <c r="BH117" s="683" t="str">
        <f>CONCATENATE(BDEGENER[[#This Row],[FECHA DE SERVICIO]],BDEGENER[[#This Row],[N° DE REGISTROS DEL DIA]])</f>
        <v>44132F4</v>
      </c>
      <c r="BI117" s="684">
        <v>63781</v>
      </c>
      <c r="BJ117" s="683" t="s">
        <v>1544</v>
      </c>
      <c r="BK117" s="762" t="s">
        <v>2536</v>
      </c>
    </row>
    <row r="118" spans="2:63" ht="69" hidden="1" x14ac:dyDescent="0.3">
      <c r="B118" s="2"/>
      <c r="C118" s="2"/>
      <c r="D118" s="2"/>
      <c r="E118" s="2"/>
      <c r="F118" s="2"/>
      <c r="G118" s="2"/>
      <c r="H118" s="2"/>
      <c r="I118" s="2"/>
      <c r="J118" s="685"/>
      <c r="K118" s="682">
        <v>44132</v>
      </c>
      <c r="L118" s="683" t="s">
        <v>181</v>
      </c>
      <c r="M118" s="683" t="s">
        <v>182</v>
      </c>
      <c r="N118" s="683" t="s">
        <v>183</v>
      </c>
      <c r="O118" s="683">
        <v>4500925048</v>
      </c>
      <c r="P118" s="683" t="s">
        <v>3556</v>
      </c>
      <c r="Q118" s="683" t="s">
        <v>37</v>
      </c>
      <c r="R118" s="683" t="s">
        <v>1782</v>
      </c>
      <c r="S118" s="686" t="s">
        <v>3558</v>
      </c>
      <c r="T118" s="683" t="s">
        <v>3563</v>
      </c>
      <c r="U118" s="683" t="s">
        <v>3559</v>
      </c>
      <c r="V118" s="683" t="s">
        <v>146</v>
      </c>
      <c r="W118" s="683" t="s">
        <v>914</v>
      </c>
      <c r="X118" s="691" t="s">
        <v>918</v>
      </c>
      <c r="Y118" s="687">
        <v>3004256777</v>
      </c>
      <c r="Z118" s="692"/>
      <c r="AA118" s="683" t="s">
        <v>33</v>
      </c>
      <c r="AB118" s="683" t="s">
        <v>34</v>
      </c>
      <c r="AC118" s="683" t="s">
        <v>230</v>
      </c>
      <c r="AD118" s="683" t="s">
        <v>1110</v>
      </c>
      <c r="AE118" s="683">
        <v>60</v>
      </c>
      <c r="AF118" s="684">
        <v>2456.8000000000002</v>
      </c>
      <c r="AG118" s="683" t="s">
        <v>243</v>
      </c>
      <c r="AH118" s="683" t="s">
        <v>220</v>
      </c>
      <c r="AI118" s="683" t="s">
        <v>33</v>
      </c>
      <c r="AJ118" s="683">
        <v>3003930235</v>
      </c>
      <c r="AK118" s="683" t="s">
        <v>33</v>
      </c>
      <c r="AL118" s="683">
        <v>10630250</v>
      </c>
      <c r="AM118" s="683" t="s">
        <v>1377</v>
      </c>
      <c r="AN118" s="683" t="s">
        <v>1143</v>
      </c>
      <c r="AO118" s="683" t="s">
        <v>3560</v>
      </c>
      <c r="AP118" s="683" t="s">
        <v>240</v>
      </c>
      <c r="AQ118" s="688" t="str">
        <f>CONCATENATE("REG-",BDEGENER[[#This Row],[FECHA DE SERVICIO]],"-",BDEGENER[[#This Row],[SERIE]],"-",BDEGENER[[#This Row],[HORAS]])</f>
        <v>REG-44132-3004256777-2456,8</v>
      </c>
      <c r="AR118" s="683" t="str">
        <f>CONCATENATE("MARCA: ",BDEGENER[[#This Row],[MARCA]],"
 MODELO: ",BDEGENER[[#This Row],[MODELO]])</f>
        <v>MARCA: GENERAC
 MODELO: PG090</v>
      </c>
      <c r="AS118" s="683" t="str">
        <f>CONCATENATE("MARCA: ",BDEGENER[[#This Row],[MARCA DE MOTOR]],"
SERIE: ",BDEGENER[[#This Row],[SERIE DE MOTOR]])</f>
        <v>MARCA: GENERAC
SERIE: 3003930235</v>
      </c>
      <c r="AT118" s="683" t="str">
        <f>CONCATENATE("MARCA: ",BDEGENER[[#This Row],[MARCA ALTERNADOR ]],"
SERIE: ",BDEGENER[[#This Row],[SERIE DE ALTERNADOR]])</f>
        <v>MARCA: GENERAC
SERIE: 10630250</v>
      </c>
      <c r="AU118" s="683" t="str">
        <f>CONCATENATE("HORAS: ",BDEGENER[[#This Row],[HORAS]],"
KW-HR: ",BDEGENER[[#This Row],[KW-HORA]],"
VOLT.BATERIA: ",BDEGENER[[#This Row],[VOLTAJE DE BATERIA]],"
TEMPERATURA: ",BDEGENER[[#This Row],[TEMPERATURA DE AGUA]],"
PRES. ACEITE: ",BDEGENER[[#This Row],[PRESION DE ACEITE]])</f>
        <v>HORAS: 2456,8
KW-HR: 56512,6
VOLT.BATERIA: 13.8 V
TEMPERATURA: 197 °F
PRES. ACEITE: 46 PSI</v>
      </c>
      <c r="AV118" s="683">
        <f>COUNTIFS(Q118:Q2118,"MANTENIMIENTO CORRECTIVO",Y118:Y2118,BDEGENER[[#This Row],[SERIE]])</f>
        <v>5</v>
      </c>
      <c r="AW118" s="683">
        <f>COUNTIFS(Q118:Q2118,"MANTENIMIENTO PREVENTIVO",Y118:Y2118,BDEGENER[[#This Row],[SERIE]])</f>
        <v>8</v>
      </c>
      <c r="AX11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18" s="683">
        <f>COUNTIFS(BDEGENER[SERIE],BDEGENER[[#This Row],[SERIE]],BDEGENER[TIPO DE SERVICIO],"MANTENIMIENTO PREVENTIVO")</f>
        <v>9</v>
      </c>
      <c r="AZ118" s="683" t="str">
        <f>CONCATENATE("MANTENIMIENTO PREVENTIVO N°",BDEGENER[[#This Row],[GA1]])</f>
        <v>MANTENIMIENTO PREVENTIVO N°9</v>
      </c>
      <c r="BA118" s="683" t="str">
        <f>IF(BDEGENER[[#This Row],[SERVICIO]]=BDEGENER[[#This Row],[GA2]],BDEGENER[[#This Row],[HORAS]],"0")</f>
        <v>0</v>
      </c>
      <c r="BB118" s="683">
        <f>SUMIF(BDEGENER[SERIE],BDEGENER[[#This Row],[SERIE]],BDEGENER[GA3])</f>
        <v>2804.7</v>
      </c>
      <c r="BC118" s="761" t="str">
        <f>CONCATENATE("MANT",COUNTIF($Y$7:Y118,Y118))</f>
        <v>MANT3</v>
      </c>
      <c r="BD118" s="683" t="str">
        <f>CONCATENATE(BDEGENER[[#This Row],[SERIE]],BDEGENER[[#This Row],[GA5]])</f>
        <v>3004256777MANT3</v>
      </c>
      <c r="BE118" s="683" t="str">
        <f>CONCATENATE(BDEGENER[[#This Row],[CODIGO PATRIMONIAL]],BDEGENER[[#This Row],[GA5]])</f>
        <v>MANT3</v>
      </c>
      <c r="BF118" s="683">
        <f>COUNTIF(BDEGENER[SERIE],BDEGENER[[#This Row],[SERIE]])</f>
        <v>16</v>
      </c>
      <c r="BG118" s="761" t="str">
        <f>CONCATENATE("F",COUNTIF($K$7:K118,K118))</f>
        <v>F5</v>
      </c>
      <c r="BH118" s="683" t="str">
        <f>CONCATENATE(BDEGENER[[#This Row],[FECHA DE SERVICIO]],BDEGENER[[#This Row],[N° DE REGISTROS DEL DIA]])</f>
        <v>44132F5</v>
      </c>
      <c r="BI118" s="684">
        <v>56512.6</v>
      </c>
      <c r="BJ118" s="683" t="s">
        <v>1544</v>
      </c>
      <c r="BK118" s="762" t="s">
        <v>2860</v>
      </c>
    </row>
    <row r="119" spans="2:63" ht="69" hidden="1" x14ac:dyDescent="0.3">
      <c r="B119" s="2"/>
      <c r="C119" s="2"/>
      <c r="D119" s="2"/>
      <c r="E119" s="2"/>
      <c r="F119" s="2"/>
      <c r="G119" s="2"/>
      <c r="H119" s="2"/>
      <c r="I119" s="2"/>
      <c r="J119" s="685"/>
      <c r="K119" s="682">
        <v>44132</v>
      </c>
      <c r="L119" s="683" t="s">
        <v>181</v>
      </c>
      <c r="M119" s="683" t="s">
        <v>182</v>
      </c>
      <c r="N119" s="683" t="s">
        <v>183</v>
      </c>
      <c r="O119" s="683">
        <v>4500873022</v>
      </c>
      <c r="P119" s="683" t="s">
        <v>3556</v>
      </c>
      <c r="Q119" s="683" t="s">
        <v>37</v>
      </c>
      <c r="R119" s="683" t="s">
        <v>1782</v>
      </c>
      <c r="S119" s="686" t="s">
        <v>3044</v>
      </c>
      <c r="T119" s="683" t="s">
        <v>3557</v>
      </c>
      <c r="U119" s="683" t="s">
        <v>2488</v>
      </c>
      <c r="V119" s="683" t="s">
        <v>146</v>
      </c>
      <c r="W119" s="683" t="s">
        <v>914</v>
      </c>
      <c r="X119" s="691" t="s">
        <v>918</v>
      </c>
      <c r="Y119" s="687">
        <v>3004381435</v>
      </c>
      <c r="Z119" s="692"/>
      <c r="AA119" s="683" t="s">
        <v>33</v>
      </c>
      <c r="AB119" s="683" t="s">
        <v>34</v>
      </c>
      <c r="AC119" s="683" t="s">
        <v>230</v>
      </c>
      <c r="AD119" s="683" t="s">
        <v>1110</v>
      </c>
      <c r="AE119" s="683">
        <v>60</v>
      </c>
      <c r="AF119" s="684">
        <v>1852.2</v>
      </c>
      <c r="AG119" s="683" t="s">
        <v>243</v>
      </c>
      <c r="AH119" s="683" t="s">
        <v>220</v>
      </c>
      <c r="AI119" s="683" t="s">
        <v>33</v>
      </c>
      <c r="AJ119" s="683">
        <v>3004346796</v>
      </c>
      <c r="AK119" s="683" t="s">
        <v>33</v>
      </c>
      <c r="AL119" s="683">
        <v>10630960</v>
      </c>
      <c r="AM119" s="683" t="s">
        <v>1121</v>
      </c>
      <c r="AN119" s="683" t="s">
        <v>246</v>
      </c>
      <c r="AO119" s="683" t="s">
        <v>1144</v>
      </c>
      <c r="AP119" s="683" t="s">
        <v>240</v>
      </c>
      <c r="AQ119" s="688" t="str">
        <f>CONCATENATE("REG-",BDEGENER[[#This Row],[FECHA DE SERVICIO]],"-",BDEGENER[[#This Row],[SERIE]],"-",BDEGENER[[#This Row],[HORAS]])</f>
        <v>REG-44132-3004381435-1852,2</v>
      </c>
      <c r="AR119" s="683" t="str">
        <f>CONCATENATE("MARCA: ",BDEGENER[[#This Row],[MARCA]],"
 MODELO: ",BDEGENER[[#This Row],[MODELO]])</f>
        <v>MARCA: GENERAC
 MODELO: PG090</v>
      </c>
      <c r="AS119" s="683" t="str">
        <f>CONCATENATE("MARCA: ",BDEGENER[[#This Row],[MARCA DE MOTOR]],"
SERIE: ",BDEGENER[[#This Row],[SERIE DE MOTOR]])</f>
        <v>MARCA: GENERAC
SERIE: 3004346796</v>
      </c>
      <c r="AT119" s="683" t="str">
        <f>CONCATENATE("MARCA: ",BDEGENER[[#This Row],[MARCA ALTERNADOR ]],"
SERIE: ",BDEGENER[[#This Row],[SERIE DE ALTERNADOR]])</f>
        <v>MARCA: GENERAC
SERIE: 10630960</v>
      </c>
      <c r="AU119" s="683" t="str">
        <f>CONCATENATE("HORAS: ",BDEGENER[[#This Row],[HORAS]],"
KW-HR: ",BDEGENER[[#This Row],[KW-HORA]],"
VOLT.BATERIA: ",BDEGENER[[#This Row],[VOLTAJE DE BATERIA]],"
TEMPERATURA: ",BDEGENER[[#This Row],[TEMPERATURA DE AGUA]],"
PRES. ACEITE: ",BDEGENER[[#This Row],[PRESION DE ACEITE]])</f>
        <v>HORAS: 1852,2
KW-HR: 34801,7
VOLT.BATERIA: 13.7 V
TEMPERATURA: 198 °F
PRES. ACEITE: 59 PSI</v>
      </c>
      <c r="AV119" s="683">
        <f>COUNTIFS(Q119:Q2119,"MANTENIMIENTO CORRECTIVO",Y119:Y2119,BDEGENER[[#This Row],[SERIE]])</f>
        <v>2</v>
      </c>
      <c r="AW119" s="683">
        <f>COUNTIFS(Q119:Q2119,"MANTENIMIENTO PREVENTIVO",Y119:Y2119,BDEGENER[[#This Row],[SERIE]])</f>
        <v>7</v>
      </c>
      <c r="AX11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19" s="683">
        <f>COUNTIFS(BDEGENER[SERIE],BDEGENER[[#This Row],[SERIE]],BDEGENER[TIPO DE SERVICIO],"MANTENIMIENTO PREVENTIVO")</f>
        <v>8</v>
      </c>
      <c r="AZ119" s="683" t="str">
        <f>CONCATENATE("MANTENIMIENTO PREVENTIVO N°",BDEGENER[[#This Row],[GA1]])</f>
        <v>MANTENIMIENTO PREVENTIVO N°8</v>
      </c>
      <c r="BA119" s="683" t="str">
        <f>IF(BDEGENER[[#This Row],[SERVICIO]]=BDEGENER[[#This Row],[GA2]],BDEGENER[[#This Row],[HORAS]],"0")</f>
        <v>0</v>
      </c>
      <c r="BB119" s="683">
        <f>SUMIF(BDEGENER[SERIE],BDEGENER[[#This Row],[SERIE]],BDEGENER[GA3])</f>
        <v>2141.3000000000002</v>
      </c>
      <c r="BC119" s="683" t="str">
        <f>CONCATENATE("MANT",COUNTIF($Y$7:Y119,Y119))</f>
        <v>MANT3</v>
      </c>
      <c r="BD119" s="683" t="str">
        <f>CONCATENATE(BDEGENER[[#This Row],[SERIE]],BDEGENER[[#This Row],[GA5]])</f>
        <v>3004381435MANT3</v>
      </c>
      <c r="BE119" s="683" t="str">
        <f>CONCATENATE(BDEGENER[[#This Row],[CODIGO PATRIMONIAL]],BDEGENER[[#This Row],[GA5]])</f>
        <v>MANT3</v>
      </c>
      <c r="BF119" s="683">
        <f>COUNTIF(BDEGENER[SERIE],BDEGENER[[#This Row],[SERIE]])</f>
        <v>13</v>
      </c>
      <c r="BG119" s="683" t="str">
        <f>CONCATENATE("F",COUNTIF($K$7:K119,K119))</f>
        <v>F6</v>
      </c>
      <c r="BH119" s="683" t="str">
        <f>CONCATENATE(BDEGENER[[#This Row],[FECHA DE SERVICIO]],BDEGENER[[#This Row],[N° DE REGISTROS DEL DIA]])</f>
        <v>44132F6</v>
      </c>
      <c r="BI119" s="684">
        <v>34801.699999999997</v>
      </c>
      <c r="BJ119" s="683" t="s">
        <v>1544</v>
      </c>
      <c r="BK119" s="762" t="s">
        <v>2536</v>
      </c>
    </row>
    <row r="120" spans="2:63" ht="69" hidden="1" x14ac:dyDescent="0.3">
      <c r="B120" s="2"/>
      <c r="C120" s="2"/>
      <c r="D120" s="2"/>
      <c r="E120" s="2"/>
      <c r="F120" s="2"/>
      <c r="G120" s="2"/>
      <c r="H120" s="2"/>
      <c r="I120" s="2"/>
      <c r="J120" s="685"/>
      <c r="K120" s="682">
        <v>44131</v>
      </c>
      <c r="L120" s="683" t="s">
        <v>181</v>
      </c>
      <c r="M120" s="683" t="s">
        <v>186</v>
      </c>
      <c r="N120" s="683" t="s">
        <v>1982</v>
      </c>
      <c r="O120" s="683"/>
      <c r="P120" s="683" t="s">
        <v>3596</v>
      </c>
      <c r="Q120" s="683" t="s">
        <v>2021</v>
      </c>
      <c r="R120" s="683" t="s">
        <v>1782</v>
      </c>
      <c r="S120" s="686" t="s">
        <v>3597</v>
      </c>
      <c r="T120" s="683" t="s">
        <v>3598</v>
      </c>
      <c r="U120" s="683"/>
      <c r="V120" s="683" t="s">
        <v>479</v>
      </c>
      <c r="W120" s="683" t="s">
        <v>914</v>
      </c>
      <c r="X120" s="691" t="s">
        <v>918</v>
      </c>
      <c r="Y120" s="687">
        <v>3004337430</v>
      </c>
      <c r="Z120" s="692" t="s">
        <v>192</v>
      </c>
      <c r="AA120" s="683" t="s">
        <v>33</v>
      </c>
      <c r="AB120" s="683" t="s">
        <v>34</v>
      </c>
      <c r="AC120" s="683" t="s">
        <v>230</v>
      </c>
      <c r="AD120" s="683"/>
      <c r="AE120" s="683"/>
      <c r="AF120" s="684">
        <v>594.6</v>
      </c>
      <c r="AG120" s="683" t="s">
        <v>243</v>
      </c>
      <c r="AH120" s="683" t="s">
        <v>220</v>
      </c>
      <c r="AI120" s="683" t="s">
        <v>33</v>
      </c>
      <c r="AJ120" s="683">
        <v>3004346827</v>
      </c>
      <c r="AK120" s="683" t="s">
        <v>33</v>
      </c>
      <c r="AL120" s="683"/>
      <c r="AM120" s="683"/>
      <c r="AN120" s="683"/>
      <c r="AO120" s="683"/>
      <c r="AP120" s="683" t="s">
        <v>240</v>
      </c>
      <c r="AQ120" s="688" t="str">
        <f>CONCATENATE("REG-",BDEGENER[[#This Row],[FECHA DE SERVICIO]],"-",BDEGENER[[#This Row],[SERIE]],"-",BDEGENER[[#This Row],[HORAS]])</f>
        <v>REG-44131-3004337430-594,6</v>
      </c>
      <c r="AR120" s="683" t="str">
        <f>CONCATENATE("MARCA: ",BDEGENER[[#This Row],[MARCA]],"
 MODELO: ",BDEGENER[[#This Row],[MODELO]])</f>
        <v>MARCA: GENERAC
 MODELO: PG090</v>
      </c>
      <c r="AS120" s="683" t="str">
        <f>CONCATENATE("MARCA: ",BDEGENER[[#This Row],[MARCA DE MOTOR]],"
SERIE: ",BDEGENER[[#This Row],[SERIE DE MOTOR]])</f>
        <v>MARCA: GENERAC
SERIE: 3004346827</v>
      </c>
      <c r="AT120" s="683" t="str">
        <f>CONCATENATE("MARCA: ",BDEGENER[[#This Row],[MARCA ALTERNADOR ]],"
SERIE: ",BDEGENER[[#This Row],[SERIE DE ALTERNADOR]])</f>
        <v xml:space="preserve">MARCA: GENERAC
SERIE: </v>
      </c>
      <c r="AU120" s="683" t="str">
        <f>CONCATENATE("HORAS: ",BDEGENER[[#This Row],[HORAS]],"
KW-HR: ",BDEGENER[[#This Row],[KW-HORA]],"
VOLT.BATERIA: ",BDEGENER[[#This Row],[VOLTAJE DE BATERIA]],"
TEMPERATURA: ",BDEGENER[[#This Row],[TEMPERATURA DE AGUA]],"
PRES. ACEITE: ",BDEGENER[[#This Row],[PRESION DE ACEITE]])</f>
        <v xml:space="preserve">HORAS: 594,6
KW-HR: 
VOLT.BATERIA: 
TEMPERATURA: 
PRES. ACEITE: </v>
      </c>
      <c r="AV120" s="683">
        <f>COUNTIFS(Q120:Q2120,"MANTENIMIENTO CORRECTIVO",Y120:Y2120,BDEGENER[[#This Row],[SERIE]])</f>
        <v>1</v>
      </c>
      <c r="AW120" s="683">
        <f>COUNTIFS(Q120:Q2120,"MANTENIMIENTO PREVENTIVO",Y120:Y2120,BDEGENER[[#This Row],[SERIE]])</f>
        <v>2</v>
      </c>
      <c r="AX12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120" s="683">
        <f>COUNTIFS(BDEGENER[SERIE],BDEGENER[[#This Row],[SERIE]],BDEGENER[TIPO DE SERVICIO],"MANTENIMIENTO PREVENTIVO")</f>
        <v>3</v>
      </c>
      <c r="AZ120" s="683" t="str">
        <f>CONCATENATE("MANTENIMIENTO PREVENTIVO N°",BDEGENER[[#This Row],[GA1]])</f>
        <v>MANTENIMIENTO PREVENTIVO N°3</v>
      </c>
      <c r="BA120" s="683" t="str">
        <f>IF(BDEGENER[[#This Row],[SERVICIO]]=BDEGENER[[#This Row],[GA2]],BDEGENER[[#This Row],[HORAS]],"0")</f>
        <v>0</v>
      </c>
      <c r="BB120" s="683">
        <f>SUMIF(BDEGENER[SERIE],BDEGENER[[#This Row],[SERIE]],BDEGENER[GA3])</f>
        <v>596.6</v>
      </c>
      <c r="BC120" s="683" t="str">
        <f>CONCATENATE("MANT",COUNTIF($Y$7:Y120,Y120))</f>
        <v>MANT4</v>
      </c>
      <c r="BD120" s="683" t="str">
        <f>CONCATENATE(BDEGENER[[#This Row],[SERIE]],BDEGENER[[#This Row],[GA5]])</f>
        <v>3004337430MANT4</v>
      </c>
      <c r="BE120" s="683" t="str">
        <f>CONCATENATE(BDEGENER[[#This Row],[CODIGO PATRIMONIAL]],BDEGENER[[#This Row],[GA5]])</f>
        <v xml:space="preserve"> MANT4</v>
      </c>
      <c r="BF120" s="683">
        <f>COUNTIF(BDEGENER[SERIE],BDEGENER[[#This Row],[SERIE]])</f>
        <v>11</v>
      </c>
      <c r="BG120" s="683" t="str">
        <f>CONCATENATE("F",COUNTIF($K$7:K120,K120))</f>
        <v>F1</v>
      </c>
      <c r="BH120" s="683" t="str">
        <f>CONCATENATE(BDEGENER[[#This Row],[FECHA DE SERVICIO]],BDEGENER[[#This Row],[N° DE REGISTROS DEL DIA]])</f>
        <v>44131F1</v>
      </c>
      <c r="BI120" s="684"/>
      <c r="BJ120" s="683" t="s">
        <v>1544</v>
      </c>
      <c r="BK120" s="762"/>
    </row>
    <row r="121" spans="2:63" ht="69" hidden="1" x14ac:dyDescent="0.3">
      <c r="B121" s="2"/>
      <c r="C121" s="2"/>
      <c r="D121" s="2"/>
      <c r="E121" s="2"/>
      <c r="F121" s="2"/>
      <c r="G121" s="2"/>
      <c r="H121" s="2"/>
      <c r="I121" s="2"/>
      <c r="J121" s="685"/>
      <c r="K121" s="682">
        <v>44131</v>
      </c>
      <c r="L121" s="683" t="s">
        <v>181</v>
      </c>
      <c r="M121" s="683" t="s">
        <v>186</v>
      </c>
      <c r="N121" s="683" t="s">
        <v>1982</v>
      </c>
      <c r="O121" s="683"/>
      <c r="P121" s="683"/>
      <c r="Q121" s="683" t="s">
        <v>108</v>
      </c>
      <c r="R121" s="683" t="s">
        <v>1782</v>
      </c>
      <c r="S121" s="686" t="s">
        <v>3547</v>
      </c>
      <c r="T121" s="683" t="s">
        <v>3471</v>
      </c>
      <c r="U121" s="683"/>
      <c r="V121" s="683" t="s">
        <v>147</v>
      </c>
      <c r="W121" s="683" t="s">
        <v>914</v>
      </c>
      <c r="X121" s="691" t="s">
        <v>918</v>
      </c>
      <c r="Y121" s="687">
        <v>3004327721</v>
      </c>
      <c r="Z121" s="692"/>
      <c r="AA121" s="683" t="s">
        <v>33</v>
      </c>
      <c r="AB121" s="683" t="s">
        <v>34</v>
      </c>
      <c r="AC121" s="683" t="s">
        <v>230</v>
      </c>
      <c r="AD121" s="683"/>
      <c r="AE121" s="683"/>
      <c r="AF121" s="684">
        <v>2223.6</v>
      </c>
      <c r="AG121" s="683" t="s">
        <v>243</v>
      </c>
      <c r="AH121" s="683" t="s">
        <v>244</v>
      </c>
      <c r="AI121" s="683" t="s">
        <v>33</v>
      </c>
      <c r="AJ121" s="683">
        <v>3004346806</v>
      </c>
      <c r="AK121" s="683" t="s">
        <v>33</v>
      </c>
      <c r="AL121" s="683"/>
      <c r="AM121" s="683"/>
      <c r="AN121" s="683"/>
      <c r="AO121" s="683"/>
      <c r="AP121" s="683" t="s">
        <v>557</v>
      </c>
      <c r="AQ121" s="688" t="str">
        <f>CONCATENATE("REG-",BDEGENER[[#This Row],[FECHA DE SERVICIO]],"-",BDEGENER[[#This Row],[SERIE]],"-",BDEGENER[[#This Row],[HORAS]])</f>
        <v>REG-44131-3004327721-2223,6</v>
      </c>
      <c r="AR121" s="683" t="str">
        <f>CONCATENATE("MARCA: ",BDEGENER[[#This Row],[MARCA]],"
 MODELO: ",BDEGENER[[#This Row],[MODELO]])</f>
        <v>MARCA: GENERAC
 MODELO: PG090</v>
      </c>
      <c r="AS121" s="683" t="str">
        <f>CONCATENATE("MARCA: ",BDEGENER[[#This Row],[MARCA DE MOTOR]],"
SERIE: ",BDEGENER[[#This Row],[SERIE DE MOTOR]])</f>
        <v>MARCA: GENERAC
SERIE: 3004346806</v>
      </c>
      <c r="AT121" s="683" t="str">
        <f>CONCATENATE("MARCA: ",BDEGENER[[#This Row],[MARCA ALTERNADOR ]],"
SERIE: ",BDEGENER[[#This Row],[SERIE DE ALTERNADOR]])</f>
        <v xml:space="preserve">MARCA: GENERAC
SERIE: </v>
      </c>
      <c r="AU121" s="683" t="str">
        <f>CONCATENATE("HORAS: ",BDEGENER[[#This Row],[HORAS]],"
KW-HR: ",BDEGENER[[#This Row],[KW-HORA]],"
VOLT.BATERIA: ",BDEGENER[[#This Row],[VOLTAJE DE BATERIA]],"
TEMPERATURA: ",BDEGENER[[#This Row],[TEMPERATURA DE AGUA]],"
PRES. ACEITE: ",BDEGENER[[#This Row],[PRESION DE ACEITE]])</f>
        <v xml:space="preserve">HORAS: 2223,6
KW-HR: 57457,2
VOLT.BATERIA: 
TEMPERATURA: 
PRES. ACEITE: </v>
      </c>
      <c r="AV121" s="683">
        <f>COUNTIFS(Q121:Q2121,"MANTENIMIENTO CORRECTIVO",Y121:Y2121,BDEGENER[[#This Row],[SERIE]])</f>
        <v>2</v>
      </c>
      <c r="AW121" s="683">
        <f>COUNTIFS(Q121:Q2121,"MANTENIMIENTO PREVENTIVO",Y121:Y2121,BDEGENER[[#This Row],[SERIE]])</f>
        <v>7</v>
      </c>
      <c r="AX12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21" s="683">
        <f>COUNTIFS(BDEGENER[SERIE],BDEGENER[[#This Row],[SERIE]],BDEGENER[TIPO DE SERVICIO],"MANTENIMIENTO PREVENTIVO")</f>
        <v>7</v>
      </c>
      <c r="AZ121" s="683" t="str">
        <f>CONCATENATE("MANTENIMIENTO PREVENTIVO N°",BDEGENER[[#This Row],[GA1]])</f>
        <v>MANTENIMIENTO PREVENTIVO N°7</v>
      </c>
      <c r="BA121" s="683" t="str">
        <f>IF(BDEGENER[[#This Row],[SERVICIO]]=BDEGENER[[#This Row],[GA2]],BDEGENER[[#This Row],[HORAS]],"0")</f>
        <v>0</v>
      </c>
      <c r="BB121" s="683">
        <f>SUMIF(BDEGENER[SERIE],BDEGENER[[#This Row],[SERIE]],BDEGENER[GA3])</f>
        <v>2098.4</v>
      </c>
      <c r="BC121" s="761" t="str">
        <f>CONCATENATE("MANT",COUNTIF($Y$7:Y121,Y121))</f>
        <v>MANT1</v>
      </c>
      <c r="BD121" s="683" t="str">
        <f>CONCATENATE(BDEGENER[[#This Row],[SERIE]],BDEGENER[[#This Row],[GA5]])</f>
        <v>3004327721MANT1</v>
      </c>
      <c r="BE121" s="683" t="str">
        <f>CONCATENATE(BDEGENER[[#This Row],[CODIGO PATRIMONIAL]],BDEGENER[[#This Row],[GA5]])</f>
        <v>MANT1</v>
      </c>
      <c r="BF121" s="683">
        <f>COUNTIF(BDEGENER[SERIE],BDEGENER[[#This Row],[SERIE]])</f>
        <v>11</v>
      </c>
      <c r="BG121" s="761" t="str">
        <f>CONCATENATE("F",COUNTIF($K$7:K121,K121))</f>
        <v>F2</v>
      </c>
      <c r="BH121" s="683" t="str">
        <f>CONCATENATE(BDEGENER[[#This Row],[FECHA DE SERVICIO]],BDEGENER[[#This Row],[N° DE REGISTROS DEL DIA]])</f>
        <v>44131F2</v>
      </c>
      <c r="BI121" s="684">
        <v>57457.2</v>
      </c>
      <c r="BJ121" s="683" t="s">
        <v>1544</v>
      </c>
      <c r="BK121" s="762"/>
    </row>
    <row r="122" spans="2:63" ht="69" hidden="1" x14ac:dyDescent="0.3">
      <c r="B122" s="2"/>
      <c r="C122" s="2"/>
      <c r="D122" s="2"/>
      <c r="E122" s="2"/>
      <c r="F122" s="2"/>
      <c r="G122" s="2"/>
      <c r="H122" s="2"/>
      <c r="I122" s="2"/>
      <c r="J122" s="685"/>
      <c r="K122" s="682">
        <v>44129</v>
      </c>
      <c r="L122" s="683" t="s">
        <v>181</v>
      </c>
      <c r="M122" s="683" t="s">
        <v>1395</v>
      </c>
      <c r="N122" s="683" t="s">
        <v>1547</v>
      </c>
      <c r="O122" s="683"/>
      <c r="P122" s="683"/>
      <c r="Q122" s="683" t="s">
        <v>108</v>
      </c>
      <c r="R122" s="683" t="s">
        <v>1782</v>
      </c>
      <c r="S122" s="686" t="s">
        <v>3915</v>
      </c>
      <c r="T122" s="683" t="s">
        <v>3916</v>
      </c>
      <c r="U122" s="683" t="s">
        <v>3917</v>
      </c>
      <c r="V122" s="683" t="s">
        <v>479</v>
      </c>
      <c r="W122" s="683" t="s">
        <v>914</v>
      </c>
      <c r="X122" s="691" t="s">
        <v>918</v>
      </c>
      <c r="Y122" s="687">
        <v>3004290368</v>
      </c>
      <c r="Z122" s="692"/>
      <c r="AA122" s="683" t="s">
        <v>33</v>
      </c>
      <c r="AB122" s="683" t="s">
        <v>34</v>
      </c>
      <c r="AC122" s="683" t="s">
        <v>230</v>
      </c>
      <c r="AD122" s="683"/>
      <c r="AE122" s="683"/>
      <c r="AF122" s="684" t="s">
        <v>177</v>
      </c>
      <c r="AG122" s="683" t="s">
        <v>243</v>
      </c>
      <c r="AH122" s="683" t="s">
        <v>220</v>
      </c>
      <c r="AI122" s="683" t="s">
        <v>33</v>
      </c>
      <c r="AJ122" s="683">
        <v>3004034816</v>
      </c>
      <c r="AK122" s="683" t="s">
        <v>33</v>
      </c>
      <c r="AL122" s="683">
        <v>106312930</v>
      </c>
      <c r="AM122" s="683"/>
      <c r="AN122" s="683"/>
      <c r="AO122" s="683"/>
      <c r="AP122" s="683" t="s">
        <v>557</v>
      </c>
      <c r="AQ122" s="683" t="str">
        <f>CONCATENATE("REG-",BDEGENER[[#This Row],[FECHA DE SERVICIO]],"-",BDEGENER[[#This Row],[SERIE]],"-",BDEGENER[[#This Row],[HORAS]])</f>
        <v>REG-44129-3004290368-NR</v>
      </c>
      <c r="AR122" s="683" t="str">
        <f>CONCATENATE("MARCA: ",BDEGENER[[#This Row],[MARCA]],"
 MODELO: ",BDEGENER[[#This Row],[MODELO]])</f>
        <v>MARCA: GENERAC
 MODELO: PG090</v>
      </c>
      <c r="AS122" s="683" t="str">
        <f>CONCATENATE("MARCA: ",BDEGENER[[#This Row],[MARCA DE MOTOR]],"
SERIE: ",BDEGENER[[#This Row],[SERIE DE MOTOR]])</f>
        <v>MARCA: GENERAC
SERIE: 3004034816</v>
      </c>
      <c r="AT122" s="683" t="str">
        <f>CONCATENATE("MARCA: ",BDEGENER[[#This Row],[MARCA ALTERNADOR ]],"
SERIE: ",BDEGENER[[#This Row],[SERIE DE ALTERNADOR]])</f>
        <v>MARCA: GENERAC
SERIE: 106312930</v>
      </c>
      <c r="AU122" s="683"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122" s="683">
        <f>COUNTIFS(Q122:Q2122,"MANTENIMIENTO CORRECTIVO",Y122:Y2122,BDEGENER[[#This Row],[SERIE]])</f>
        <v>3</v>
      </c>
      <c r="AW122" s="683">
        <f>COUNTIFS(Q122:Q2122,"MANTENIMIENTO PREVENTIVO",Y122:Y2122,BDEGENER[[#This Row],[SERIE]])</f>
        <v>6</v>
      </c>
      <c r="AX12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22" s="683">
        <f>COUNTIFS(BDEGENER[SERIE],BDEGENER[[#This Row],[SERIE]],BDEGENER[TIPO DE SERVICIO],"MANTENIMIENTO PREVENTIVO")</f>
        <v>6</v>
      </c>
      <c r="AZ122" s="683" t="str">
        <f>CONCATENATE("MANTENIMIENTO PREVENTIVO N°",BDEGENER[[#This Row],[GA1]])</f>
        <v>MANTENIMIENTO PREVENTIVO N°6</v>
      </c>
      <c r="BA122" s="683" t="str">
        <f>IF(BDEGENER[[#This Row],[SERVICIO]]=BDEGENER[[#This Row],[GA2]],BDEGENER[[#This Row],[HORAS]],"0")</f>
        <v>0</v>
      </c>
      <c r="BB122" s="683">
        <f>SUMIF(BDEGENER[SERIE],BDEGENER[[#This Row],[SERIE]],BDEGENER[GA3])</f>
        <v>2259.3000000000002</v>
      </c>
      <c r="BC122" s="683" t="str">
        <f>CONCATENATE("MANT",COUNTIF($Y$7:Y122,Y122))</f>
        <v>MANT3</v>
      </c>
      <c r="BD122" s="683" t="str">
        <f>CONCATENATE(BDEGENER[[#This Row],[SERIE]],BDEGENER[[#This Row],[GA5]])</f>
        <v>3004290368MANT3</v>
      </c>
      <c r="BE122" s="683" t="str">
        <f>CONCATENATE(BDEGENER[[#This Row],[CODIGO PATRIMONIAL]],BDEGENER[[#This Row],[GA5]])</f>
        <v>MANT3</v>
      </c>
      <c r="BF122" s="683">
        <f>COUNTIF(BDEGENER[SERIE],BDEGENER[[#This Row],[SERIE]])</f>
        <v>15</v>
      </c>
      <c r="BG122" s="683" t="str">
        <f>CONCATENATE("F",COUNTIF($K$7:K122,K122))</f>
        <v>F1</v>
      </c>
      <c r="BH122" s="683" t="str">
        <f>CONCATENATE(BDEGENER[[#This Row],[FECHA DE SERVICIO]],BDEGENER[[#This Row],[N° DE REGISTROS DEL DIA]])</f>
        <v>44129F1</v>
      </c>
      <c r="BI122" s="684"/>
      <c r="BJ122" s="683" t="s">
        <v>1544</v>
      </c>
      <c r="BK122" s="762"/>
    </row>
    <row r="123" spans="2:63" ht="69" hidden="1" x14ac:dyDescent="0.3">
      <c r="B123" s="2"/>
      <c r="C123" s="2"/>
      <c r="D123" s="2"/>
      <c r="E123" s="2"/>
      <c r="F123" s="2"/>
      <c r="G123" s="2"/>
      <c r="H123" s="2"/>
      <c r="I123" s="2"/>
      <c r="J123" s="685"/>
      <c r="K123" s="682">
        <v>44129</v>
      </c>
      <c r="L123" s="683" t="s">
        <v>181</v>
      </c>
      <c r="M123" s="683" t="s">
        <v>1395</v>
      </c>
      <c r="N123" s="683" t="s">
        <v>1547</v>
      </c>
      <c r="O123" s="683"/>
      <c r="P123" s="683"/>
      <c r="Q123" s="683" t="s">
        <v>108</v>
      </c>
      <c r="R123" s="683" t="s">
        <v>1782</v>
      </c>
      <c r="S123" s="686" t="s">
        <v>3915</v>
      </c>
      <c r="T123" s="683" t="s">
        <v>3916</v>
      </c>
      <c r="U123" s="683" t="s">
        <v>3917</v>
      </c>
      <c r="V123" s="683" t="s">
        <v>479</v>
      </c>
      <c r="W123" s="683" t="s">
        <v>914</v>
      </c>
      <c r="X123" s="691" t="s">
        <v>918</v>
      </c>
      <c r="Y123" s="687">
        <v>3004290366</v>
      </c>
      <c r="Z123" s="692"/>
      <c r="AA123" s="683" t="s">
        <v>33</v>
      </c>
      <c r="AB123" s="683" t="s">
        <v>34</v>
      </c>
      <c r="AC123" s="683" t="s">
        <v>230</v>
      </c>
      <c r="AD123" s="683"/>
      <c r="AE123" s="683"/>
      <c r="AF123" s="684" t="s">
        <v>177</v>
      </c>
      <c r="AG123" s="683" t="s">
        <v>243</v>
      </c>
      <c r="AH123" s="683" t="s">
        <v>220</v>
      </c>
      <c r="AI123" s="683" t="s">
        <v>33</v>
      </c>
      <c r="AJ123" s="683">
        <v>3004295604</v>
      </c>
      <c r="AK123" s="683" t="s">
        <v>33</v>
      </c>
      <c r="AL123" s="683">
        <v>10631290</v>
      </c>
      <c r="AM123" s="683"/>
      <c r="AN123" s="683"/>
      <c r="AO123" s="683"/>
      <c r="AP123" s="683" t="s">
        <v>557</v>
      </c>
      <c r="AQ123" s="683" t="str">
        <f>CONCATENATE("REG-",BDEGENER[[#This Row],[FECHA DE SERVICIO]],"-",BDEGENER[[#This Row],[SERIE]],"-",BDEGENER[[#This Row],[HORAS]])</f>
        <v>REG-44129-3004290366-NR</v>
      </c>
      <c r="AR123" s="683" t="str">
        <f>CONCATENATE("MARCA: ",BDEGENER[[#This Row],[MARCA]],"
 MODELO: ",BDEGENER[[#This Row],[MODELO]])</f>
        <v>MARCA: GENERAC
 MODELO: PG090</v>
      </c>
      <c r="AS123" s="683" t="str">
        <f>CONCATENATE("MARCA: ",BDEGENER[[#This Row],[MARCA DE MOTOR]],"
SERIE: ",BDEGENER[[#This Row],[SERIE DE MOTOR]])</f>
        <v>MARCA: GENERAC
SERIE: 3004295604</v>
      </c>
      <c r="AT123" s="683" t="str">
        <f>CONCATENATE("MARCA: ",BDEGENER[[#This Row],[MARCA ALTERNADOR ]],"
SERIE: ",BDEGENER[[#This Row],[SERIE DE ALTERNADOR]])</f>
        <v>MARCA: GENERAC
SERIE: 10631290</v>
      </c>
      <c r="AU123" s="683"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123" s="683">
        <f>COUNTIFS(Q123:Q2123,"MANTENIMIENTO CORRECTIVO",Y123:Y2123,BDEGENER[[#This Row],[SERIE]])</f>
        <v>2</v>
      </c>
      <c r="AW123" s="683">
        <f>COUNTIFS(Q123:Q2123,"MANTENIMIENTO PREVENTIVO",Y123:Y2123,BDEGENER[[#This Row],[SERIE]])</f>
        <v>6</v>
      </c>
      <c r="AX12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23" s="683">
        <f>COUNTIFS(BDEGENER[SERIE],BDEGENER[[#This Row],[SERIE]],BDEGENER[TIPO DE SERVICIO],"MANTENIMIENTO PREVENTIVO")</f>
        <v>7</v>
      </c>
      <c r="AZ123" s="683" t="str">
        <f>CONCATENATE("MANTENIMIENTO PREVENTIVO N°",BDEGENER[[#This Row],[GA1]])</f>
        <v>MANTENIMIENTO PREVENTIVO N°7</v>
      </c>
      <c r="BA123" s="683" t="str">
        <f>IF(BDEGENER[[#This Row],[SERVICIO]]=BDEGENER[[#This Row],[GA2]],BDEGENER[[#This Row],[HORAS]],"0")</f>
        <v>0</v>
      </c>
      <c r="BB123" s="683">
        <f>SUMIF(BDEGENER[SERIE],BDEGENER[[#This Row],[SERIE]],BDEGENER[GA3])</f>
        <v>2629.6</v>
      </c>
      <c r="BC123" s="683" t="str">
        <f>CONCATENATE("MANT",COUNTIF($Y$7:Y123,Y123))</f>
        <v>MANT2</v>
      </c>
      <c r="BD123" s="683" t="str">
        <f>CONCATENATE(BDEGENER[[#This Row],[SERIE]],BDEGENER[[#This Row],[GA5]])</f>
        <v>3004290366MANT2</v>
      </c>
      <c r="BE123" s="683" t="str">
        <f>CONCATENATE(BDEGENER[[#This Row],[CODIGO PATRIMONIAL]],BDEGENER[[#This Row],[GA5]])</f>
        <v>MANT2</v>
      </c>
      <c r="BF123" s="683">
        <f>COUNTIF(BDEGENER[SERIE],BDEGENER[[#This Row],[SERIE]])</f>
        <v>14</v>
      </c>
      <c r="BG123" s="683" t="str">
        <f>CONCATENATE("F",COUNTIF($K$7:K123,K123))</f>
        <v>F2</v>
      </c>
      <c r="BH123" s="683" t="str">
        <f>CONCATENATE(BDEGENER[[#This Row],[FECHA DE SERVICIO]],BDEGENER[[#This Row],[N° DE REGISTROS DEL DIA]])</f>
        <v>44129F2</v>
      </c>
      <c r="BI123" s="684"/>
      <c r="BJ123" s="683" t="s">
        <v>1544</v>
      </c>
      <c r="BK123" s="762"/>
    </row>
    <row r="124" spans="2:63" ht="69" hidden="1" x14ac:dyDescent="0.3">
      <c r="B124" s="2"/>
      <c r="C124" s="2"/>
      <c r="D124" s="2"/>
      <c r="E124" s="2"/>
      <c r="F124" s="2"/>
      <c r="G124" s="2"/>
      <c r="H124" s="2"/>
      <c r="I124" s="2"/>
      <c r="J124" s="685"/>
      <c r="K124" s="682">
        <v>44128</v>
      </c>
      <c r="L124" s="683" t="s">
        <v>181</v>
      </c>
      <c r="M124" s="683" t="s">
        <v>185</v>
      </c>
      <c r="N124" s="683" t="s">
        <v>183</v>
      </c>
      <c r="O124" s="683">
        <v>4500873022</v>
      </c>
      <c r="P124" s="683" t="s">
        <v>3520</v>
      </c>
      <c r="Q124" s="683" t="s">
        <v>37</v>
      </c>
      <c r="R124" s="683" t="s">
        <v>1782</v>
      </c>
      <c r="S124" s="686" t="s">
        <v>3521</v>
      </c>
      <c r="T124" s="683" t="s">
        <v>3522</v>
      </c>
      <c r="U124" s="683" t="s">
        <v>2488</v>
      </c>
      <c r="V124" s="683" t="s">
        <v>146</v>
      </c>
      <c r="W124" s="683" t="s">
        <v>914</v>
      </c>
      <c r="X124" s="691" t="s">
        <v>918</v>
      </c>
      <c r="Y124" s="687">
        <v>3004416581</v>
      </c>
      <c r="Z124" s="692"/>
      <c r="AA124" s="683" t="s">
        <v>33</v>
      </c>
      <c r="AB124" s="683" t="s">
        <v>34</v>
      </c>
      <c r="AC124" s="683" t="s">
        <v>230</v>
      </c>
      <c r="AD124" s="683" t="s">
        <v>1110</v>
      </c>
      <c r="AE124" s="683">
        <v>60</v>
      </c>
      <c r="AF124" s="684">
        <v>1333.4</v>
      </c>
      <c r="AG124" s="683" t="s">
        <v>243</v>
      </c>
      <c r="AH124" s="683" t="s">
        <v>220</v>
      </c>
      <c r="AI124" s="683" t="s">
        <v>33</v>
      </c>
      <c r="AJ124" s="683">
        <v>3004309056</v>
      </c>
      <c r="AK124" s="683" t="s">
        <v>33</v>
      </c>
      <c r="AL124" s="683">
        <v>107748810</v>
      </c>
      <c r="AM124" s="683" t="s">
        <v>1377</v>
      </c>
      <c r="AN124" s="683" t="s">
        <v>1143</v>
      </c>
      <c r="AO124" s="683" t="s">
        <v>1144</v>
      </c>
      <c r="AP124" s="683" t="s">
        <v>240</v>
      </c>
      <c r="AQ124" s="688" t="str">
        <f>CONCATENATE("REG-",BDEGENER[[#This Row],[FECHA DE SERVICIO]],"-",BDEGENER[[#This Row],[SERIE]],"-",BDEGENER[[#This Row],[HORAS]])</f>
        <v>REG-44128-3004416581-1333,4</v>
      </c>
      <c r="AR124" s="683" t="str">
        <f>CONCATENATE("MARCA: ",BDEGENER[[#This Row],[MARCA]],"
 MODELO: ",BDEGENER[[#This Row],[MODELO]])</f>
        <v>MARCA: GENERAC
 MODELO: PG090</v>
      </c>
      <c r="AS124" s="683" t="str">
        <f>CONCATENATE("MARCA: ",BDEGENER[[#This Row],[MARCA DE MOTOR]],"
SERIE: ",BDEGENER[[#This Row],[SERIE DE MOTOR]])</f>
        <v>MARCA: GENERAC
SERIE: 3004309056</v>
      </c>
      <c r="AT124" s="683" t="str">
        <f>CONCATENATE("MARCA: ",BDEGENER[[#This Row],[MARCA ALTERNADOR ]],"
SERIE: ",BDEGENER[[#This Row],[SERIE DE ALTERNADOR]])</f>
        <v>MARCA: GENERAC
SERIE: 107748810</v>
      </c>
      <c r="AU124" s="683" t="str">
        <f>CONCATENATE("HORAS: ",BDEGENER[[#This Row],[HORAS]],"
KW-HR: ",BDEGENER[[#This Row],[KW-HORA]],"
VOLT.BATERIA: ",BDEGENER[[#This Row],[VOLTAJE DE BATERIA]],"
TEMPERATURA: ",BDEGENER[[#This Row],[TEMPERATURA DE AGUA]],"
PRES. ACEITE: ",BDEGENER[[#This Row],[PRESION DE ACEITE]])</f>
        <v>HORAS: 1333,4
KW-HR: 22950
VOLT.BATERIA: 13.8 V
TEMPERATURA: 197 °F
PRES. ACEITE: 59 PSI</v>
      </c>
      <c r="AV124" s="683">
        <f>COUNTIFS(Q124:Q2124,"MANTENIMIENTO CORRECTIVO",Y124:Y2124,BDEGENER[[#This Row],[SERIE]])</f>
        <v>2</v>
      </c>
      <c r="AW124" s="683">
        <f>COUNTIFS(Q124:Q2124,"MANTENIMIENTO PREVENTIVO",Y124:Y2124,BDEGENER[[#This Row],[SERIE]])</f>
        <v>5</v>
      </c>
      <c r="AX12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124" s="683">
        <f>COUNTIFS(BDEGENER[SERIE],BDEGENER[[#This Row],[SERIE]],BDEGENER[TIPO DE SERVICIO],"MANTENIMIENTO PREVENTIVO")</f>
        <v>6</v>
      </c>
      <c r="AZ124" s="683" t="str">
        <f>CONCATENATE("MANTENIMIENTO PREVENTIVO N°",BDEGENER[[#This Row],[GA1]])</f>
        <v>MANTENIMIENTO PREVENTIVO N°6</v>
      </c>
      <c r="BA124" s="683" t="str">
        <f>IF(BDEGENER[[#This Row],[SERVICIO]]=BDEGENER[[#This Row],[GA2]],BDEGENER[[#This Row],[HORAS]],"0")</f>
        <v>0</v>
      </c>
      <c r="BB124" s="683">
        <f>SUMIF(BDEGENER[SERIE],BDEGENER[[#This Row],[SERIE]],BDEGENER[GA3])</f>
        <v>1659.1</v>
      </c>
      <c r="BC124" s="761" t="str">
        <f>CONCATENATE("MANT",COUNTIF($Y$7:Y124,Y124))</f>
        <v>MANT2</v>
      </c>
      <c r="BD124" s="683" t="str">
        <f>CONCATENATE(BDEGENER[[#This Row],[SERIE]],BDEGENER[[#This Row],[GA5]])</f>
        <v>3004416581MANT2</v>
      </c>
      <c r="BE124" s="683" t="str">
        <f>CONCATENATE(BDEGENER[[#This Row],[CODIGO PATRIMONIAL]],BDEGENER[[#This Row],[GA5]])</f>
        <v>MANT2</v>
      </c>
      <c r="BF124" s="683">
        <f>COUNTIF(BDEGENER[SERIE],BDEGENER[[#This Row],[SERIE]])</f>
        <v>11</v>
      </c>
      <c r="BG124" s="761" t="str">
        <f>CONCATENATE("F",COUNTIF($K$7:K124,K124))</f>
        <v>F1</v>
      </c>
      <c r="BH124" s="683" t="str">
        <f>CONCATENATE(BDEGENER[[#This Row],[FECHA DE SERVICIO]],BDEGENER[[#This Row],[N° DE REGISTROS DEL DIA]])</f>
        <v>44128F1</v>
      </c>
      <c r="BI124" s="684">
        <v>22950</v>
      </c>
      <c r="BJ124" s="683" t="s">
        <v>1544</v>
      </c>
      <c r="BK124" s="762" t="s">
        <v>2164</v>
      </c>
    </row>
    <row r="125" spans="2:63" ht="69" hidden="1" x14ac:dyDescent="0.3">
      <c r="B125" s="2"/>
      <c r="C125" s="2"/>
      <c r="D125" s="2"/>
      <c r="E125" s="2"/>
      <c r="F125" s="2"/>
      <c r="G125" s="2"/>
      <c r="H125" s="2"/>
      <c r="I125" s="2"/>
      <c r="J125" s="685"/>
      <c r="K125" s="682">
        <v>44128</v>
      </c>
      <c r="L125" s="683" t="s">
        <v>181</v>
      </c>
      <c r="M125" s="683" t="s">
        <v>188</v>
      </c>
      <c r="N125" s="683" t="s">
        <v>183</v>
      </c>
      <c r="O125" s="683">
        <v>4500873022</v>
      </c>
      <c r="P125" s="683" t="s">
        <v>3496</v>
      </c>
      <c r="Q125" s="683" t="s">
        <v>37</v>
      </c>
      <c r="R125" s="683" t="s">
        <v>1782</v>
      </c>
      <c r="S125" s="686" t="s">
        <v>3044</v>
      </c>
      <c r="T125" s="683" t="s">
        <v>2870</v>
      </c>
      <c r="U125" s="683" t="s">
        <v>2488</v>
      </c>
      <c r="V125" s="683" t="s">
        <v>146</v>
      </c>
      <c r="W125" s="683" t="s">
        <v>914</v>
      </c>
      <c r="X125" s="691" t="s">
        <v>918</v>
      </c>
      <c r="Y125" s="687">
        <v>3004290369</v>
      </c>
      <c r="Z125" s="692"/>
      <c r="AA125" s="683" t="s">
        <v>33</v>
      </c>
      <c r="AB125" s="683" t="s">
        <v>34</v>
      </c>
      <c r="AC125" s="683" t="s">
        <v>230</v>
      </c>
      <c r="AD125" s="683" t="s">
        <v>1110</v>
      </c>
      <c r="AE125" s="683">
        <v>60</v>
      </c>
      <c r="AF125" s="684">
        <v>1869.9</v>
      </c>
      <c r="AG125" s="683" t="s">
        <v>243</v>
      </c>
      <c r="AH125" s="683" t="s">
        <v>220</v>
      </c>
      <c r="AI125" s="683" t="s">
        <v>33</v>
      </c>
      <c r="AJ125" s="683">
        <v>3004308219</v>
      </c>
      <c r="AK125" s="683" t="s">
        <v>33</v>
      </c>
      <c r="AL125" s="683">
        <v>1063018</v>
      </c>
      <c r="AM125" s="683" t="s">
        <v>1121</v>
      </c>
      <c r="AN125" s="683" t="s">
        <v>246</v>
      </c>
      <c r="AO125" s="683" t="s">
        <v>1144</v>
      </c>
      <c r="AP125" s="683" t="s">
        <v>240</v>
      </c>
      <c r="AQ125" s="688" t="str">
        <f>CONCATENATE("REG-",BDEGENER[[#This Row],[FECHA DE SERVICIO]],"-",BDEGENER[[#This Row],[SERIE]],"-",BDEGENER[[#This Row],[HORAS]])</f>
        <v>REG-44128-3004290369-1869,9</v>
      </c>
      <c r="AR125" s="683" t="str">
        <f>CONCATENATE("MARCA: ",BDEGENER[[#This Row],[MARCA]],"
 MODELO: ",BDEGENER[[#This Row],[MODELO]])</f>
        <v>MARCA: GENERAC
 MODELO: PG090</v>
      </c>
      <c r="AS125" s="683" t="str">
        <f>CONCATENATE("MARCA: ",BDEGENER[[#This Row],[MARCA DE MOTOR]],"
SERIE: ",BDEGENER[[#This Row],[SERIE DE MOTOR]])</f>
        <v>MARCA: GENERAC
SERIE: 3004308219</v>
      </c>
      <c r="AT125" s="683" t="str">
        <f>CONCATENATE("MARCA: ",BDEGENER[[#This Row],[MARCA ALTERNADOR ]],"
SERIE: ",BDEGENER[[#This Row],[SERIE DE ALTERNADOR]])</f>
        <v>MARCA: GENERAC
SERIE: 1063018</v>
      </c>
      <c r="AU125" s="683" t="str">
        <f>CONCATENATE("HORAS: ",BDEGENER[[#This Row],[HORAS]],"
KW-HR: ",BDEGENER[[#This Row],[KW-HORA]],"
VOLT.BATERIA: ",BDEGENER[[#This Row],[VOLTAJE DE BATERIA]],"
TEMPERATURA: ",BDEGENER[[#This Row],[TEMPERATURA DE AGUA]],"
PRES. ACEITE: ",BDEGENER[[#This Row],[PRESION DE ACEITE]])</f>
        <v>HORAS: 1869,9
KW-HR: 43208,1
VOLT.BATERIA: 13.7 V
TEMPERATURA: 198 °F
PRES. ACEITE: 59 PSI</v>
      </c>
      <c r="AV125" s="683">
        <f>COUNTIFS(Q125:Q2125,"MANTENIMIENTO CORRECTIVO",Y125:Y2125,BDEGENER[[#This Row],[SERIE]])</f>
        <v>2</v>
      </c>
      <c r="AW125" s="683">
        <f>COUNTIFS(Q125:Q2125,"MANTENIMIENTO PREVENTIVO",Y125:Y2125,BDEGENER[[#This Row],[SERIE]])</f>
        <v>6</v>
      </c>
      <c r="AX12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125" s="683">
        <f>COUNTIFS(BDEGENER[SERIE],BDEGENER[[#This Row],[SERIE]],BDEGENER[TIPO DE SERVICIO],"MANTENIMIENTO PREVENTIVO")</f>
        <v>7</v>
      </c>
      <c r="AZ125" s="683" t="str">
        <f>CONCATENATE("MANTENIMIENTO PREVENTIVO N°",BDEGENER[[#This Row],[GA1]])</f>
        <v>MANTENIMIENTO PREVENTIVO N°7</v>
      </c>
      <c r="BA125" s="683" t="str">
        <f>IF(BDEGENER[[#This Row],[SERVICIO]]=BDEGENER[[#This Row],[GA2]],BDEGENER[[#This Row],[HORAS]],"0")</f>
        <v>0</v>
      </c>
      <c r="BB125" s="683">
        <f>SUMIF(BDEGENER[SERIE],BDEGENER[[#This Row],[SERIE]],BDEGENER[GA3])</f>
        <v>2294</v>
      </c>
      <c r="BC125" s="683" t="str">
        <f>CONCATENATE("MANT",COUNTIF($Y$7:Y125,Y125))</f>
        <v>MANT2</v>
      </c>
      <c r="BD125" s="683" t="str">
        <f>CONCATENATE(BDEGENER[[#This Row],[SERIE]],BDEGENER[[#This Row],[GA5]])</f>
        <v>3004290369MANT2</v>
      </c>
      <c r="BE125" s="683" t="str">
        <f>CONCATENATE(BDEGENER[[#This Row],[CODIGO PATRIMONIAL]],BDEGENER[[#This Row],[GA5]])</f>
        <v>MANT2</v>
      </c>
      <c r="BF125" s="683">
        <f>COUNTIF(BDEGENER[SERIE],BDEGENER[[#This Row],[SERIE]])</f>
        <v>11</v>
      </c>
      <c r="BG125" s="683" t="str">
        <f>CONCATENATE("F",COUNTIF($K$7:K125,K125))</f>
        <v>F2</v>
      </c>
      <c r="BH125" s="683" t="str">
        <f>CONCATENATE(BDEGENER[[#This Row],[FECHA DE SERVICIO]],BDEGENER[[#This Row],[N° DE REGISTROS DEL DIA]])</f>
        <v>44128F2</v>
      </c>
      <c r="BI125" s="684">
        <v>43208.1</v>
      </c>
      <c r="BJ125" s="683" t="s">
        <v>1544</v>
      </c>
      <c r="BK125" s="762" t="s">
        <v>3497</v>
      </c>
    </row>
    <row r="126" spans="2:63" ht="69" hidden="1" x14ac:dyDescent="0.3">
      <c r="B126" s="2"/>
      <c r="C126" s="2"/>
      <c r="D126" s="2"/>
      <c r="E126" s="2"/>
      <c r="F126" s="2"/>
      <c r="G126" s="2"/>
      <c r="H126" s="2"/>
      <c r="I126" s="2"/>
      <c r="J126" s="685"/>
      <c r="K126" s="682">
        <v>44127</v>
      </c>
      <c r="L126" s="683" t="s">
        <v>181</v>
      </c>
      <c r="M126" s="683" t="s">
        <v>187</v>
      </c>
      <c r="N126" s="683" t="s">
        <v>183</v>
      </c>
      <c r="O126" s="683"/>
      <c r="P126" s="683"/>
      <c r="Q126" s="683" t="s">
        <v>107</v>
      </c>
      <c r="R126" s="683" t="s">
        <v>3736</v>
      </c>
      <c r="S126" s="686" t="s">
        <v>3737</v>
      </c>
      <c r="T126" s="683" t="s">
        <v>3738</v>
      </c>
      <c r="U126" s="683" t="s">
        <v>3739</v>
      </c>
      <c r="V126" s="683" t="s">
        <v>146</v>
      </c>
      <c r="W126" s="683" t="s">
        <v>914</v>
      </c>
      <c r="X126" s="691" t="s">
        <v>918</v>
      </c>
      <c r="Y126" s="687">
        <v>3004418790</v>
      </c>
      <c r="Z126" s="692"/>
      <c r="AA126" s="683" t="s">
        <v>33</v>
      </c>
      <c r="AB126" s="683" t="s">
        <v>34</v>
      </c>
      <c r="AC126" s="683" t="s">
        <v>230</v>
      </c>
      <c r="AD126" s="683"/>
      <c r="AE126" s="683"/>
      <c r="AF126" s="684">
        <v>2172</v>
      </c>
      <c r="AG126" s="683" t="s">
        <v>243</v>
      </c>
      <c r="AH126" s="683" t="s">
        <v>220</v>
      </c>
      <c r="AI126" s="683" t="s">
        <v>33</v>
      </c>
      <c r="AJ126" s="683">
        <v>3005413982</v>
      </c>
      <c r="AK126" s="683" t="s">
        <v>33</v>
      </c>
      <c r="AL126" s="683">
        <v>107745310</v>
      </c>
      <c r="AM126" s="683"/>
      <c r="AN126" s="683"/>
      <c r="AO126" s="683"/>
      <c r="AP126" s="683" t="s">
        <v>240</v>
      </c>
      <c r="AQ126" s="683" t="str">
        <f>CONCATENATE("REG-",BDEGENER[[#This Row],[FECHA DE SERVICIO]],"-",BDEGENER[[#This Row],[SERIE]],"-",BDEGENER[[#This Row],[HORAS]])</f>
        <v>REG-44127-3004418790-2172</v>
      </c>
      <c r="AR126" s="683" t="str">
        <f>CONCATENATE("MARCA: ",BDEGENER[[#This Row],[MARCA]],"
 MODELO: ",BDEGENER[[#This Row],[MODELO]])</f>
        <v>MARCA: GENERAC
 MODELO: PG090</v>
      </c>
      <c r="AS126" s="683" t="str">
        <f>CONCATENATE("MARCA: ",BDEGENER[[#This Row],[MARCA DE MOTOR]],"
SERIE: ",BDEGENER[[#This Row],[SERIE DE MOTOR]])</f>
        <v>MARCA: GENERAC
SERIE: 3005413982</v>
      </c>
      <c r="AT126" s="683" t="str">
        <f>CONCATENATE("MARCA: ",BDEGENER[[#This Row],[MARCA ALTERNADOR ]],"
SERIE: ",BDEGENER[[#This Row],[SERIE DE ALTERNADOR]])</f>
        <v>MARCA: GENERAC
SERIE: 107745310</v>
      </c>
      <c r="AU126" s="683" t="str">
        <f>CONCATENATE("HORAS: ",BDEGENER[[#This Row],[HORAS]],"
KW-HR: ",BDEGENER[[#This Row],[KW-HORA]],"
VOLT.BATERIA: ",BDEGENER[[#This Row],[VOLTAJE DE BATERIA]],"
TEMPERATURA: ",BDEGENER[[#This Row],[TEMPERATURA DE AGUA]],"
PRES. ACEITE: ",BDEGENER[[#This Row],[PRESION DE ACEITE]])</f>
        <v xml:space="preserve">HORAS: 2172
KW-HR: 46220,1
VOLT.BATERIA: 
TEMPERATURA: 
PRES. ACEITE: </v>
      </c>
      <c r="AV126" s="683">
        <f>COUNTIFS(Q126:Q2126,"MANTENIMIENTO CORRECTIVO",Y126:Y2126,BDEGENER[[#This Row],[SERIE]])</f>
        <v>2</v>
      </c>
      <c r="AW126" s="683">
        <f>COUNTIFS(Q126:Q2126,"MANTENIMIENTO PREVENTIVO",Y126:Y2126,BDEGENER[[#This Row],[SERIE]])</f>
        <v>7</v>
      </c>
      <c r="AX12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26" s="683">
        <f>COUNTIFS(BDEGENER[SERIE],BDEGENER[[#This Row],[SERIE]],BDEGENER[TIPO DE SERVICIO],"MANTENIMIENTO PREVENTIVO")</f>
        <v>8</v>
      </c>
      <c r="AZ126" s="683" t="str">
        <f>CONCATENATE("MANTENIMIENTO PREVENTIVO N°",BDEGENER[[#This Row],[GA1]])</f>
        <v>MANTENIMIENTO PREVENTIVO N°8</v>
      </c>
      <c r="BA126" s="683" t="str">
        <f>IF(BDEGENER[[#This Row],[SERVICIO]]=BDEGENER[[#This Row],[GA2]],BDEGENER[[#This Row],[HORAS]],"0")</f>
        <v>0</v>
      </c>
      <c r="BB126" s="683">
        <f>SUMIF(BDEGENER[SERIE],BDEGENER[[#This Row],[SERIE]],BDEGENER[GA3])</f>
        <v>2579.3000000000002</v>
      </c>
      <c r="BC126" s="683" t="str">
        <f>CONCATENATE("MANT",COUNTIF($Y$7:Y126,Y126))</f>
        <v>MANT3</v>
      </c>
      <c r="BD126" s="683" t="str">
        <f>CONCATENATE(BDEGENER[[#This Row],[SERIE]],BDEGENER[[#This Row],[GA5]])</f>
        <v>3004418790MANT3</v>
      </c>
      <c r="BE126" s="683" t="str">
        <f>CONCATENATE(BDEGENER[[#This Row],[CODIGO PATRIMONIAL]],BDEGENER[[#This Row],[GA5]])</f>
        <v>MANT3</v>
      </c>
      <c r="BF126" s="683">
        <f>COUNTIF(BDEGENER[SERIE],BDEGENER[[#This Row],[SERIE]])</f>
        <v>14</v>
      </c>
      <c r="BG126" s="683" t="str">
        <f>CONCATENATE("F",COUNTIF($K$7:K126,K126))</f>
        <v>F1</v>
      </c>
      <c r="BH126" s="683" t="str">
        <f>CONCATENATE(BDEGENER[[#This Row],[FECHA DE SERVICIO]],BDEGENER[[#This Row],[N° DE REGISTROS DEL DIA]])</f>
        <v>44127F1</v>
      </c>
      <c r="BI126" s="684">
        <v>46220.1</v>
      </c>
      <c r="BJ126" s="683" t="s">
        <v>1544</v>
      </c>
      <c r="BK126" s="762"/>
    </row>
    <row r="127" spans="2:63" ht="69" hidden="1" x14ac:dyDescent="0.3">
      <c r="B127" s="2"/>
      <c r="C127" s="2"/>
      <c r="D127" s="2"/>
      <c r="E127" s="2"/>
      <c r="F127" s="2"/>
      <c r="G127" s="2"/>
      <c r="H127" s="2"/>
      <c r="I127" s="2"/>
      <c r="J127" s="685"/>
      <c r="K127" s="682">
        <v>44127</v>
      </c>
      <c r="L127" s="683" t="s">
        <v>248</v>
      </c>
      <c r="M127" s="683" t="s">
        <v>2226</v>
      </c>
      <c r="N127" s="683" t="s">
        <v>2230</v>
      </c>
      <c r="O127" s="683"/>
      <c r="P127" s="683"/>
      <c r="Q127" s="683" t="s">
        <v>107</v>
      </c>
      <c r="R127" s="683" t="s">
        <v>3527</v>
      </c>
      <c r="S127" s="686" t="s">
        <v>3528</v>
      </c>
      <c r="T127" s="683" t="s">
        <v>3529</v>
      </c>
      <c r="U127" s="683" t="s">
        <v>2780</v>
      </c>
      <c r="V127" s="683" t="s">
        <v>146</v>
      </c>
      <c r="W127" s="683" t="s">
        <v>914</v>
      </c>
      <c r="X127" s="691" t="s">
        <v>917</v>
      </c>
      <c r="Y127" s="687">
        <v>3002933964</v>
      </c>
      <c r="Z127" s="692"/>
      <c r="AA127" s="683" t="s">
        <v>33</v>
      </c>
      <c r="AB127" s="683" t="s">
        <v>1446</v>
      </c>
      <c r="AC127" s="683" t="s">
        <v>1445</v>
      </c>
      <c r="AD127" s="683" t="s">
        <v>1087</v>
      </c>
      <c r="AE127" s="683">
        <v>61.2</v>
      </c>
      <c r="AF127" s="684">
        <v>1384.32</v>
      </c>
      <c r="AG127" s="683" t="s">
        <v>243</v>
      </c>
      <c r="AH127" s="683" t="s">
        <v>1946</v>
      </c>
      <c r="AI127" s="683" t="s">
        <v>844</v>
      </c>
      <c r="AJ127" s="683" t="s">
        <v>1951</v>
      </c>
      <c r="AK127" s="683" t="s">
        <v>1448</v>
      </c>
      <c r="AL127" s="683" t="s">
        <v>1952</v>
      </c>
      <c r="AM127" s="683" t="s">
        <v>1858</v>
      </c>
      <c r="AN127" s="683" t="s">
        <v>3530</v>
      </c>
      <c r="AO127" s="683" t="s">
        <v>3531</v>
      </c>
      <c r="AP127" s="683" t="s">
        <v>240</v>
      </c>
      <c r="AQ127" s="688" t="str">
        <f>CONCATENATE("REG-",BDEGENER[[#This Row],[FECHA DE SERVICIO]],"-",BDEGENER[[#This Row],[SERIE]],"-",BDEGENER[[#This Row],[HORAS]])</f>
        <v>REG-44127-3002933964-1384,32</v>
      </c>
      <c r="AR127" s="683" t="str">
        <f>CONCATENATE("MARCA: ",BDEGENER[[#This Row],[MARCA]],"
 MODELO: ",BDEGENER[[#This Row],[MODELO]])</f>
        <v>MARCA: GENERAC
 MODELO: PLY125</v>
      </c>
      <c r="AS127" s="683" t="str">
        <f>CONCATENATE("MARCA: ",BDEGENER[[#This Row],[MARCA DE MOTOR]],"
SERIE: ",BDEGENER[[#This Row],[SERIE DE MOTOR]])</f>
        <v>MARCA: PERKINS
SERIE: PP71370U061051C</v>
      </c>
      <c r="AT127" s="683" t="str">
        <f>CONCATENATE("MARCA: ",BDEGENER[[#This Row],[MARCA ALTERNADOR ]],"
SERIE: ",BDEGENER[[#This Row],[SERIE DE ALTERNADOR]])</f>
        <v>MARCA: LEROY SOMER
SERIE: 346063/19</v>
      </c>
      <c r="AU127" s="683" t="str">
        <f>CONCATENATE("HORAS: ",BDEGENER[[#This Row],[HORAS]],"
KW-HR: ",BDEGENER[[#This Row],[KW-HORA]],"
VOLT.BATERIA: ",BDEGENER[[#This Row],[VOLTAJE DE BATERIA]],"
TEMPERATURA: ",BDEGENER[[#This Row],[TEMPERATURA DE AGUA]],"
PRES. ACEITE: ",BDEGENER[[#This Row],[PRESION DE ACEITE]])</f>
        <v>HORAS: 1384,32
KW-HR: 
VOLT.BATERIA: 14.1 V
TEMPERATURA: 154 °F
PRES. ACEITE: 73 PSI</v>
      </c>
      <c r="AV127" s="683">
        <f>COUNTIFS(Q127:Q2127,"MANTENIMIENTO CORRECTIVO",Y127:Y2127,BDEGENER[[#This Row],[SERIE]])</f>
        <v>2</v>
      </c>
      <c r="AW127" s="683">
        <f>COUNTIFS(Q127:Q2127,"MANTENIMIENTO PREVENTIVO",Y127:Y2127,BDEGENER[[#This Row],[SERIE]])</f>
        <v>3</v>
      </c>
      <c r="AX12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27" s="683">
        <f>COUNTIFS(BDEGENER[SERIE],BDEGENER[[#This Row],[SERIE]],BDEGENER[TIPO DE SERVICIO],"MANTENIMIENTO PREVENTIVO")</f>
        <v>4</v>
      </c>
      <c r="AZ127" s="683" t="str">
        <f>CONCATENATE("MANTENIMIENTO PREVENTIVO N°",BDEGENER[[#This Row],[GA1]])</f>
        <v>MANTENIMIENTO PREVENTIVO N°4</v>
      </c>
      <c r="BA127" s="683" t="str">
        <f>IF(BDEGENER[[#This Row],[SERVICIO]]=BDEGENER[[#This Row],[GA2]],BDEGENER[[#This Row],[HORAS]],"0")</f>
        <v>0</v>
      </c>
      <c r="BB127" s="683">
        <f>SUMIF(BDEGENER[SERIE],BDEGENER[[#This Row],[SERIE]],BDEGENER[GA3])</f>
        <v>1609.45</v>
      </c>
      <c r="BC127" s="761" t="str">
        <f>CONCATENATE("MANT",COUNTIF($Y$7:Y127,Y127))</f>
        <v>MANT2</v>
      </c>
      <c r="BD127" s="683" t="str">
        <f>CONCATENATE(BDEGENER[[#This Row],[SERIE]],BDEGENER[[#This Row],[GA5]])</f>
        <v>3002933964MANT2</v>
      </c>
      <c r="BE127" s="683" t="str">
        <f>CONCATENATE(BDEGENER[[#This Row],[CODIGO PATRIMONIAL]],BDEGENER[[#This Row],[GA5]])</f>
        <v>MANT2</v>
      </c>
      <c r="BF127" s="683">
        <f>COUNTIF(BDEGENER[SERIE],BDEGENER[[#This Row],[SERIE]])</f>
        <v>8</v>
      </c>
      <c r="BG127" s="761" t="str">
        <f>CONCATENATE("F",COUNTIF($K$7:K127,K127))</f>
        <v>F2</v>
      </c>
      <c r="BH127" s="683" t="str">
        <f>CONCATENATE(BDEGENER[[#This Row],[FECHA DE SERVICIO]],BDEGENER[[#This Row],[N° DE REGISTROS DEL DIA]])</f>
        <v>44127F2</v>
      </c>
      <c r="BI127" s="684"/>
      <c r="BJ127" s="683" t="s">
        <v>1544</v>
      </c>
      <c r="BK127" s="762" t="s">
        <v>2326</v>
      </c>
    </row>
    <row r="128" spans="2:63" ht="69" hidden="1" x14ac:dyDescent="0.3">
      <c r="B128" s="2"/>
      <c r="C128" s="2"/>
      <c r="D128" s="2"/>
      <c r="E128" s="2"/>
      <c r="F128" s="2"/>
      <c r="G128" s="2"/>
      <c r="H128" s="2"/>
      <c r="I128" s="2"/>
      <c r="J128" s="685"/>
      <c r="K128" s="682">
        <v>44127</v>
      </c>
      <c r="L128" s="683" t="s">
        <v>181</v>
      </c>
      <c r="M128" s="683" t="s">
        <v>188</v>
      </c>
      <c r="N128" s="683" t="s">
        <v>183</v>
      </c>
      <c r="O128" s="683">
        <v>4500925048</v>
      </c>
      <c r="P128" s="683" t="s">
        <v>3495</v>
      </c>
      <c r="Q128" s="683" t="s">
        <v>37</v>
      </c>
      <c r="R128" s="683" t="s">
        <v>1782</v>
      </c>
      <c r="S128" s="686" t="s">
        <v>3682</v>
      </c>
      <c r="T128" s="683" t="s">
        <v>3681</v>
      </c>
      <c r="U128" s="683" t="s">
        <v>3680</v>
      </c>
      <c r="V128" s="683" t="s">
        <v>146</v>
      </c>
      <c r="W128" s="683" t="s">
        <v>914</v>
      </c>
      <c r="X128" s="691" t="s">
        <v>918</v>
      </c>
      <c r="Y128" s="687">
        <v>3004337388</v>
      </c>
      <c r="Z128" s="692"/>
      <c r="AA128" s="683" t="s">
        <v>33</v>
      </c>
      <c r="AB128" s="683" t="s">
        <v>34</v>
      </c>
      <c r="AC128" s="683" t="s">
        <v>230</v>
      </c>
      <c r="AD128" s="683" t="s">
        <v>1110</v>
      </c>
      <c r="AE128" s="683">
        <v>60</v>
      </c>
      <c r="AF128" s="684">
        <v>2129.8000000000002</v>
      </c>
      <c r="AG128" s="683" t="s">
        <v>243</v>
      </c>
      <c r="AH128" s="683" t="s">
        <v>220</v>
      </c>
      <c r="AI128" s="683" t="s">
        <v>33</v>
      </c>
      <c r="AJ128" s="683">
        <v>3004346829</v>
      </c>
      <c r="AK128" s="683" t="s">
        <v>33</v>
      </c>
      <c r="AL128" s="683">
        <v>10630871</v>
      </c>
      <c r="AM128" s="683" t="s">
        <v>1121</v>
      </c>
      <c r="AN128" s="683" t="s">
        <v>1143</v>
      </c>
      <c r="AO128" s="683" t="s">
        <v>1318</v>
      </c>
      <c r="AP128" s="683" t="s">
        <v>240</v>
      </c>
      <c r="AQ128" s="688" t="str">
        <f>CONCATENATE("REG-",BDEGENER[[#This Row],[FECHA DE SERVICIO]],"-",BDEGENER[[#This Row],[SERIE]],"-",BDEGENER[[#This Row],[HORAS]])</f>
        <v>REG-44127-3004337388-2129,8</v>
      </c>
      <c r="AR128" s="683" t="str">
        <f>CONCATENATE("MARCA: ",BDEGENER[[#This Row],[MARCA]],"
 MODELO: ",BDEGENER[[#This Row],[MODELO]])</f>
        <v>MARCA: GENERAC
 MODELO: PG090</v>
      </c>
      <c r="AS128" s="683" t="str">
        <f>CONCATENATE("MARCA: ",BDEGENER[[#This Row],[MARCA DE MOTOR]],"
SERIE: ",BDEGENER[[#This Row],[SERIE DE MOTOR]])</f>
        <v>MARCA: GENERAC
SERIE: 3004346829</v>
      </c>
      <c r="AT128" s="683" t="str">
        <f>CONCATENATE("MARCA: ",BDEGENER[[#This Row],[MARCA ALTERNADOR ]],"
SERIE: ",BDEGENER[[#This Row],[SERIE DE ALTERNADOR]])</f>
        <v>MARCA: GENERAC
SERIE: 10630871</v>
      </c>
      <c r="AU128" s="683" t="str">
        <f>CONCATENATE("HORAS: ",BDEGENER[[#This Row],[HORAS]],"
KW-HR: ",BDEGENER[[#This Row],[KW-HORA]],"
VOLT.BATERIA: ",BDEGENER[[#This Row],[VOLTAJE DE BATERIA]],"
TEMPERATURA: ",BDEGENER[[#This Row],[TEMPERATURA DE AGUA]],"
PRES. ACEITE: ",BDEGENER[[#This Row],[PRESION DE ACEITE]])</f>
        <v>HORAS: 2129,8
KW-HR: 39537,3
VOLT.BATERIA: 13.7 V
TEMPERATURA: 197 °F
PRES. ACEITE: 58 PSI</v>
      </c>
      <c r="AV128" s="683">
        <f>COUNTIFS(Q128:Q2128,"MANTENIMIENTO CORRECTIVO",Y128:Y2128,BDEGENER[[#This Row],[SERIE]])</f>
        <v>4</v>
      </c>
      <c r="AW128" s="683">
        <f>COUNTIFS(Q128:Q2128,"MANTENIMIENTO PREVENTIVO",Y128:Y2128,BDEGENER[[#This Row],[SERIE]])</f>
        <v>7</v>
      </c>
      <c r="AX12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28" s="683">
        <f>COUNTIFS(BDEGENER[SERIE],BDEGENER[[#This Row],[SERIE]],BDEGENER[TIPO DE SERVICIO],"MANTENIMIENTO PREVENTIVO")</f>
        <v>7</v>
      </c>
      <c r="AZ128" s="683" t="str">
        <f>CONCATENATE("MANTENIMIENTO PREVENTIVO N°",BDEGENER[[#This Row],[GA1]])</f>
        <v>MANTENIMIENTO PREVENTIVO N°7</v>
      </c>
      <c r="BA128" s="683">
        <f>IF(BDEGENER[[#This Row],[SERVICIO]]=BDEGENER[[#This Row],[GA2]],BDEGENER[[#This Row],[HORAS]],"0")</f>
        <v>2129.8000000000002</v>
      </c>
      <c r="BB128" s="683">
        <f>SUMIF(BDEGENER[SERIE],BDEGENER[[#This Row],[SERIE]],BDEGENER[GA3])</f>
        <v>2129.8000000000002</v>
      </c>
      <c r="BC128" s="683" t="str">
        <f>CONCATENATE("MANT",COUNTIF($Y$7:Y128,Y128))</f>
        <v>MANT1</v>
      </c>
      <c r="BD128" s="683" t="str">
        <f>CONCATENATE(BDEGENER[[#This Row],[SERIE]],BDEGENER[[#This Row],[GA5]])</f>
        <v>3004337388MANT1</v>
      </c>
      <c r="BE128" s="683" t="str">
        <f>CONCATENATE(BDEGENER[[#This Row],[CODIGO PATRIMONIAL]],BDEGENER[[#This Row],[GA5]])</f>
        <v>MANT1</v>
      </c>
      <c r="BF128" s="683">
        <f>COUNTIF(BDEGENER[SERIE],BDEGENER[[#This Row],[SERIE]])</f>
        <v>14</v>
      </c>
      <c r="BG128" s="683" t="str">
        <f>CONCATENATE("F",COUNTIF($K$7:K128,K128))</f>
        <v>F3</v>
      </c>
      <c r="BH128" s="683" t="str">
        <f>CONCATENATE(BDEGENER[[#This Row],[FECHA DE SERVICIO]],BDEGENER[[#This Row],[N° DE REGISTROS DEL DIA]])</f>
        <v>44127F3</v>
      </c>
      <c r="BI128" s="684">
        <v>39537.300000000003</v>
      </c>
      <c r="BJ128" s="683" t="s">
        <v>1544</v>
      </c>
      <c r="BK128" s="762" t="s">
        <v>2860</v>
      </c>
    </row>
    <row r="129" spans="2:63" ht="69" hidden="1" x14ac:dyDescent="0.3">
      <c r="B129" s="2"/>
      <c r="C129" s="2"/>
      <c r="D129" s="2"/>
      <c r="E129" s="2"/>
      <c r="F129" s="2"/>
      <c r="G129" s="2"/>
      <c r="H129" s="2"/>
      <c r="I129" s="2"/>
      <c r="J129" s="685"/>
      <c r="K129" s="682">
        <v>44127</v>
      </c>
      <c r="L129" s="683" t="s">
        <v>181</v>
      </c>
      <c r="M129" s="683" t="s">
        <v>188</v>
      </c>
      <c r="N129" s="683" t="s">
        <v>183</v>
      </c>
      <c r="O129" s="683">
        <v>4500873022</v>
      </c>
      <c r="P129" s="683" t="s">
        <v>3495</v>
      </c>
      <c r="Q129" s="683" t="s">
        <v>37</v>
      </c>
      <c r="R129" s="683" t="s">
        <v>1782</v>
      </c>
      <c r="S129" s="686" t="s">
        <v>3044</v>
      </c>
      <c r="T129" s="683" t="s">
        <v>2870</v>
      </c>
      <c r="U129" s="683" t="s">
        <v>2488</v>
      </c>
      <c r="V129" s="683" t="s">
        <v>146</v>
      </c>
      <c r="W129" s="683" t="s">
        <v>914</v>
      </c>
      <c r="X129" s="691" t="s">
        <v>918</v>
      </c>
      <c r="Y129" s="687">
        <v>3004416582</v>
      </c>
      <c r="Z129" s="692"/>
      <c r="AA129" s="683" t="s">
        <v>33</v>
      </c>
      <c r="AB129" s="683" t="s">
        <v>34</v>
      </c>
      <c r="AC129" s="683" t="s">
        <v>230</v>
      </c>
      <c r="AD129" s="683" t="s">
        <v>1110</v>
      </c>
      <c r="AE129" s="683">
        <v>60</v>
      </c>
      <c r="AF129" s="684">
        <v>1926.9</v>
      </c>
      <c r="AG129" s="683" t="s">
        <v>243</v>
      </c>
      <c r="AH129" s="683" t="s">
        <v>220</v>
      </c>
      <c r="AI129" s="683" t="s">
        <v>33</v>
      </c>
      <c r="AJ129" s="683">
        <v>3004309061</v>
      </c>
      <c r="AK129" s="683" t="s">
        <v>33</v>
      </c>
      <c r="AL129" s="683">
        <v>107748830</v>
      </c>
      <c r="AM129" s="683" t="s">
        <v>1121</v>
      </c>
      <c r="AN129" s="683" t="s">
        <v>246</v>
      </c>
      <c r="AO129" s="683" t="s">
        <v>1144</v>
      </c>
      <c r="AP129" s="683" t="s">
        <v>240</v>
      </c>
      <c r="AQ129" s="688" t="str">
        <f>CONCATENATE("REG-",BDEGENER[[#This Row],[FECHA DE SERVICIO]],"-",BDEGENER[[#This Row],[SERIE]],"-",BDEGENER[[#This Row],[HORAS]])</f>
        <v>REG-44127-3004416582-1926,9</v>
      </c>
      <c r="AR129" s="683" t="str">
        <f>CONCATENATE("MARCA: ",BDEGENER[[#This Row],[MARCA]],"
 MODELO: ",BDEGENER[[#This Row],[MODELO]])</f>
        <v>MARCA: GENERAC
 MODELO: PG090</v>
      </c>
      <c r="AS129" s="683" t="str">
        <f>CONCATENATE("MARCA: ",BDEGENER[[#This Row],[MARCA DE MOTOR]],"
SERIE: ",BDEGENER[[#This Row],[SERIE DE MOTOR]])</f>
        <v>MARCA: GENERAC
SERIE: 3004309061</v>
      </c>
      <c r="AT129" s="683" t="str">
        <f>CONCATENATE("MARCA: ",BDEGENER[[#This Row],[MARCA ALTERNADOR ]],"
SERIE: ",BDEGENER[[#This Row],[SERIE DE ALTERNADOR]])</f>
        <v>MARCA: GENERAC
SERIE: 107748830</v>
      </c>
      <c r="AU129" s="683" t="str">
        <f>CONCATENATE("HORAS: ",BDEGENER[[#This Row],[HORAS]],"
KW-HR: ",BDEGENER[[#This Row],[KW-HORA]],"
VOLT.BATERIA: ",BDEGENER[[#This Row],[VOLTAJE DE BATERIA]],"
TEMPERATURA: ",BDEGENER[[#This Row],[TEMPERATURA DE AGUA]],"
PRES. ACEITE: ",BDEGENER[[#This Row],[PRESION DE ACEITE]])</f>
        <v>HORAS: 1926,9
KW-HR: 48273
VOLT.BATERIA: 13.7 V
TEMPERATURA: 198 °F
PRES. ACEITE: 59 PSI</v>
      </c>
      <c r="AV129" s="683">
        <f>COUNTIFS(Q129:Q2129,"MANTENIMIENTO CORRECTIVO",Y129:Y2129,BDEGENER[[#This Row],[SERIE]])</f>
        <v>2</v>
      </c>
      <c r="AW129" s="683">
        <f>COUNTIFS(Q129:Q2129,"MANTENIMIENTO PREVENTIVO",Y129:Y2129,BDEGENER[[#This Row],[SERIE]])</f>
        <v>6</v>
      </c>
      <c r="AX12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129" s="683">
        <f>COUNTIFS(BDEGENER[SERIE],BDEGENER[[#This Row],[SERIE]],BDEGENER[TIPO DE SERVICIO],"MANTENIMIENTO PREVENTIVO")</f>
        <v>7</v>
      </c>
      <c r="AZ129" s="683" t="str">
        <f>CONCATENATE("MANTENIMIENTO PREVENTIVO N°",BDEGENER[[#This Row],[GA1]])</f>
        <v>MANTENIMIENTO PREVENTIVO N°7</v>
      </c>
      <c r="BA129" s="683" t="str">
        <f>IF(BDEGENER[[#This Row],[SERVICIO]]=BDEGENER[[#This Row],[GA2]],BDEGENER[[#This Row],[HORAS]],"0")</f>
        <v>0</v>
      </c>
      <c r="BB129" s="683">
        <f>SUMIF(BDEGENER[SERIE],BDEGENER[[#This Row],[SERIE]],BDEGENER[GA3])</f>
        <v>2342.3000000000002</v>
      </c>
      <c r="BC129" s="683" t="str">
        <f>CONCATENATE("MANT",COUNTIF($Y$7:Y129,Y129))</f>
        <v>MANT3</v>
      </c>
      <c r="BD129" s="683" t="str">
        <f>CONCATENATE(BDEGENER[[#This Row],[SERIE]],BDEGENER[[#This Row],[GA5]])</f>
        <v>3004416582MANT3</v>
      </c>
      <c r="BE129" s="683" t="str">
        <f>CONCATENATE(BDEGENER[[#This Row],[CODIGO PATRIMONIAL]],BDEGENER[[#This Row],[GA5]])</f>
        <v>MANT3</v>
      </c>
      <c r="BF129" s="683">
        <f>COUNTIF(BDEGENER[SERIE],BDEGENER[[#This Row],[SERIE]])</f>
        <v>11</v>
      </c>
      <c r="BG129" s="683" t="str">
        <f>CONCATENATE("F",COUNTIF($K$7:K129,K129))</f>
        <v>F4</v>
      </c>
      <c r="BH129" s="683" t="str">
        <f>CONCATENATE(BDEGENER[[#This Row],[FECHA DE SERVICIO]],BDEGENER[[#This Row],[N° DE REGISTROS DEL DIA]])</f>
        <v>44127F4</v>
      </c>
      <c r="BI129" s="684">
        <v>48273</v>
      </c>
      <c r="BJ129" s="683" t="s">
        <v>1544</v>
      </c>
      <c r="BK129" s="762" t="s">
        <v>2536</v>
      </c>
    </row>
    <row r="130" spans="2:63" ht="69" hidden="1" x14ac:dyDescent="0.3">
      <c r="B130" s="2"/>
      <c r="C130" s="2"/>
      <c r="D130" s="2"/>
      <c r="E130" s="2"/>
      <c r="F130" s="2"/>
      <c r="G130" s="2"/>
      <c r="H130" s="2"/>
      <c r="I130" s="2"/>
      <c r="J130" s="685"/>
      <c r="K130" s="682">
        <v>44126</v>
      </c>
      <c r="L130" s="683" t="s">
        <v>181</v>
      </c>
      <c r="M130" s="683" t="s">
        <v>189</v>
      </c>
      <c r="N130" s="683" t="s">
        <v>1982</v>
      </c>
      <c r="O130" s="683"/>
      <c r="P130" s="688" t="s">
        <v>3540</v>
      </c>
      <c r="Q130" s="683" t="s">
        <v>108</v>
      </c>
      <c r="R130" s="683" t="s">
        <v>1782</v>
      </c>
      <c r="S130" s="686" t="s">
        <v>3541</v>
      </c>
      <c r="T130" s="683" t="s">
        <v>3542</v>
      </c>
      <c r="U130" s="683" t="s">
        <v>2918</v>
      </c>
      <c r="V130" s="683" t="s">
        <v>147</v>
      </c>
      <c r="W130" s="683" t="s">
        <v>914</v>
      </c>
      <c r="X130" s="691" t="s">
        <v>918</v>
      </c>
      <c r="Y130" s="687">
        <v>3004331708</v>
      </c>
      <c r="Z130" s="692"/>
      <c r="AA130" s="683" t="s">
        <v>33</v>
      </c>
      <c r="AB130" s="683" t="s">
        <v>34</v>
      </c>
      <c r="AC130" s="683" t="s">
        <v>230</v>
      </c>
      <c r="AD130" s="683"/>
      <c r="AE130" s="683"/>
      <c r="AF130" s="684">
        <v>2000.7</v>
      </c>
      <c r="AG130" s="683" t="s">
        <v>243</v>
      </c>
      <c r="AH130" s="683" t="s">
        <v>220</v>
      </c>
      <c r="AI130" s="683" t="s">
        <v>33</v>
      </c>
      <c r="AJ130" s="683">
        <v>3004309058</v>
      </c>
      <c r="AK130" s="683" t="s">
        <v>33</v>
      </c>
      <c r="AL130" s="683">
        <v>106302850</v>
      </c>
      <c r="AM130" s="683"/>
      <c r="AN130" s="683"/>
      <c r="AO130" s="683"/>
      <c r="AP130" s="683" t="s">
        <v>557</v>
      </c>
      <c r="AQ130" s="688" t="str">
        <f>CONCATENATE("REG-",BDEGENER[[#This Row],[FECHA DE SERVICIO]],"-",BDEGENER[[#This Row],[SERIE]],"-",BDEGENER[[#This Row],[HORAS]])</f>
        <v>REG-44126-3004331708-2000,7</v>
      </c>
      <c r="AR130" s="683" t="str">
        <f>CONCATENATE("MARCA: ",BDEGENER[[#This Row],[MARCA]],"
 MODELO: ",BDEGENER[[#This Row],[MODELO]])</f>
        <v>MARCA: GENERAC
 MODELO: PG090</v>
      </c>
      <c r="AS130" s="683" t="str">
        <f>CONCATENATE("MARCA: ",BDEGENER[[#This Row],[MARCA DE MOTOR]],"
SERIE: ",BDEGENER[[#This Row],[SERIE DE MOTOR]])</f>
        <v>MARCA: GENERAC
SERIE: 3004309058</v>
      </c>
      <c r="AT130" s="683" t="str">
        <f>CONCATENATE("MARCA: ",BDEGENER[[#This Row],[MARCA ALTERNADOR ]],"
SERIE: ",BDEGENER[[#This Row],[SERIE DE ALTERNADOR]])</f>
        <v>MARCA: GENERAC
SERIE: 106302850</v>
      </c>
      <c r="AU130" s="683" t="str">
        <f>CONCATENATE("HORAS: ",BDEGENER[[#This Row],[HORAS]],"
KW-HR: ",BDEGENER[[#This Row],[KW-HORA]],"
VOLT.BATERIA: ",BDEGENER[[#This Row],[VOLTAJE DE BATERIA]],"
TEMPERATURA: ",BDEGENER[[#This Row],[TEMPERATURA DE AGUA]],"
PRES. ACEITE: ",BDEGENER[[#This Row],[PRESION DE ACEITE]])</f>
        <v xml:space="preserve">HORAS: 2000,7
KW-HR: 
VOLT.BATERIA: 
TEMPERATURA: 
PRES. ACEITE: </v>
      </c>
      <c r="AV130" s="683">
        <f>COUNTIFS(Q130:Q2130,"MANTENIMIENTO CORRECTIVO",Y130:Y2130,BDEGENER[[#This Row],[SERIE]])</f>
        <v>4</v>
      </c>
      <c r="AW130" s="683">
        <f>COUNTIFS(Q130:Q2130,"MANTENIMIENTO PREVENTIVO",Y130:Y2130,BDEGENER[[#This Row],[SERIE]])</f>
        <v>6</v>
      </c>
      <c r="AX13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30" s="683">
        <f>COUNTIFS(BDEGENER[SERIE],BDEGENER[[#This Row],[SERIE]],BDEGENER[TIPO DE SERVICIO],"MANTENIMIENTO PREVENTIVO")</f>
        <v>6</v>
      </c>
      <c r="AZ130" s="683" t="str">
        <f>CONCATENATE("MANTENIMIENTO PREVENTIVO N°",BDEGENER[[#This Row],[GA1]])</f>
        <v>MANTENIMIENTO PREVENTIVO N°6</v>
      </c>
      <c r="BA130" s="683" t="str">
        <f>IF(BDEGENER[[#This Row],[SERVICIO]]=BDEGENER[[#This Row],[GA2]],BDEGENER[[#This Row],[HORAS]],"0")</f>
        <v>0</v>
      </c>
      <c r="BB130" s="683">
        <f>SUMIF(BDEGENER[SERIE],BDEGENER[[#This Row],[SERIE]],BDEGENER[GA3])</f>
        <v>1635.5</v>
      </c>
      <c r="BC130" s="761" t="str">
        <f>CONCATENATE("MANT",COUNTIF($Y$7:Y130,Y130))</f>
        <v>MANT1</v>
      </c>
      <c r="BD130" s="683" t="str">
        <f>CONCATENATE(BDEGENER[[#This Row],[SERIE]],BDEGENER[[#This Row],[GA5]])</f>
        <v>3004331708MANT1</v>
      </c>
      <c r="BE130" s="683" t="str">
        <f>CONCATENATE(BDEGENER[[#This Row],[CODIGO PATRIMONIAL]],BDEGENER[[#This Row],[GA5]])</f>
        <v>MANT1</v>
      </c>
      <c r="BF130" s="683">
        <f>COUNTIF(BDEGENER[SERIE],BDEGENER[[#This Row],[SERIE]])</f>
        <v>13</v>
      </c>
      <c r="BG130" s="761" t="str">
        <f>CONCATENATE("F",COUNTIF($K$7:K130,K130))</f>
        <v>F1</v>
      </c>
      <c r="BH130" s="683" t="str">
        <f>CONCATENATE(BDEGENER[[#This Row],[FECHA DE SERVICIO]],BDEGENER[[#This Row],[N° DE REGISTROS DEL DIA]])</f>
        <v>44126F1</v>
      </c>
      <c r="BI130" s="684"/>
      <c r="BJ130" s="683" t="s">
        <v>1544</v>
      </c>
      <c r="BK130" s="762"/>
    </row>
    <row r="131" spans="2:63" ht="69" hidden="1" x14ac:dyDescent="0.3">
      <c r="B131" s="2"/>
      <c r="C131" s="2"/>
      <c r="D131" s="2"/>
      <c r="E131" s="2"/>
      <c r="F131" s="2"/>
      <c r="G131" s="2"/>
      <c r="H131" s="2"/>
      <c r="I131" s="2"/>
      <c r="J131" s="685"/>
      <c r="K131" s="682">
        <v>44126</v>
      </c>
      <c r="L131" s="683" t="s">
        <v>181</v>
      </c>
      <c r="M131" s="683" t="s">
        <v>189</v>
      </c>
      <c r="N131" s="683" t="s">
        <v>1982</v>
      </c>
      <c r="O131" s="683">
        <v>4500853877</v>
      </c>
      <c r="P131" s="688" t="s">
        <v>3537</v>
      </c>
      <c r="Q131" s="683" t="s">
        <v>37</v>
      </c>
      <c r="R131" s="683" t="s">
        <v>1782</v>
      </c>
      <c r="S131" s="686" t="s">
        <v>3538</v>
      </c>
      <c r="T131" s="683" t="s">
        <v>2546</v>
      </c>
      <c r="U131" s="683" t="s">
        <v>3539</v>
      </c>
      <c r="V131" s="683" t="s">
        <v>147</v>
      </c>
      <c r="W131" s="683" t="s">
        <v>914</v>
      </c>
      <c r="X131" s="691" t="s">
        <v>918</v>
      </c>
      <c r="Y131" s="687">
        <v>3004327723</v>
      </c>
      <c r="Z131" s="692"/>
      <c r="AA131" s="683" t="s">
        <v>33</v>
      </c>
      <c r="AB131" s="683" t="s">
        <v>34</v>
      </c>
      <c r="AC131" s="683" t="s">
        <v>230</v>
      </c>
      <c r="AD131" s="683" t="s">
        <v>1110</v>
      </c>
      <c r="AE131" s="683">
        <v>60</v>
      </c>
      <c r="AF131" s="684">
        <v>2080.4</v>
      </c>
      <c r="AG131" s="683" t="s">
        <v>243</v>
      </c>
      <c r="AH131" s="683" t="s">
        <v>220</v>
      </c>
      <c r="AI131" s="683" t="s">
        <v>33</v>
      </c>
      <c r="AJ131" s="683">
        <v>3004346813</v>
      </c>
      <c r="AK131" s="683" t="s">
        <v>33</v>
      </c>
      <c r="AL131" s="683">
        <v>106302070</v>
      </c>
      <c r="AM131" s="683" t="s">
        <v>1377</v>
      </c>
      <c r="AN131" s="683" t="s">
        <v>1953</v>
      </c>
      <c r="AO131" s="683" t="s">
        <v>1374</v>
      </c>
      <c r="AP131" s="683" t="s">
        <v>240</v>
      </c>
      <c r="AQ131" s="688" t="str">
        <f>CONCATENATE("REG-",BDEGENER[[#This Row],[FECHA DE SERVICIO]],"-",BDEGENER[[#This Row],[SERIE]],"-",BDEGENER[[#This Row],[HORAS]])</f>
        <v>REG-44126-3004327723-2080,4</v>
      </c>
      <c r="AR131" s="683" t="str">
        <f>CONCATENATE("MARCA: ",BDEGENER[[#This Row],[MARCA]],"
 MODELO: ",BDEGENER[[#This Row],[MODELO]])</f>
        <v>MARCA: GENERAC
 MODELO: PG090</v>
      </c>
      <c r="AS131" s="683" t="str">
        <f>CONCATENATE("MARCA: ",BDEGENER[[#This Row],[MARCA DE MOTOR]],"
SERIE: ",BDEGENER[[#This Row],[SERIE DE MOTOR]])</f>
        <v>MARCA: GENERAC
SERIE: 3004346813</v>
      </c>
      <c r="AT131" s="683" t="str">
        <f>CONCATENATE("MARCA: ",BDEGENER[[#This Row],[MARCA ALTERNADOR ]],"
SERIE: ",BDEGENER[[#This Row],[SERIE DE ALTERNADOR]])</f>
        <v>MARCA: GENERAC
SERIE: 106302070</v>
      </c>
      <c r="AU131" s="683" t="str">
        <f>CONCATENATE("HORAS: ",BDEGENER[[#This Row],[HORAS]],"
KW-HR: ",BDEGENER[[#This Row],[KW-HORA]],"
VOLT.BATERIA: ",BDEGENER[[#This Row],[VOLTAJE DE BATERIA]],"
TEMPERATURA: ",BDEGENER[[#This Row],[TEMPERATURA DE AGUA]],"
PRES. ACEITE: ",BDEGENER[[#This Row],[PRESION DE ACEITE]])</f>
        <v>HORAS: 2080,4
KW-HR: 
VOLT.BATERIA: 13.8 V
TEMPERATURA: 148 °F
PRES. ACEITE: 65 PSI</v>
      </c>
      <c r="AV131" s="683">
        <f>COUNTIFS(Q131:Q2131,"MANTENIMIENTO CORRECTIVO",Y131:Y2131,BDEGENER[[#This Row],[SERIE]])</f>
        <v>1</v>
      </c>
      <c r="AW131" s="683">
        <f>COUNTIFS(Q131:Q2131,"MANTENIMIENTO PREVENTIVO",Y131:Y2131,BDEGENER[[#This Row],[SERIE]])</f>
        <v>7</v>
      </c>
      <c r="AX13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31" s="683">
        <f>COUNTIFS(BDEGENER[SERIE],BDEGENER[[#This Row],[SERIE]],BDEGENER[TIPO DE SERVICIO],"MANTENIMIENTO PREVENTIVO")</f>
        <v>8</v>
      </c>
      <c r="AZ131" s="683" t="str">
        <f>CONCATENATE("MANTENIMIENTO PREVENTIVO N°",BDEGENER[[#This Row],[GA1]])</f>
        <v>MANTENIMIENTO PREVENTIVO N°8</v>
      </c>
      <c r="BA131" s="683" t="str">
        <f>IF(BDEGENER[[#This Row],[SERVICIO]]=BDEGENER[[#This Row],[GA2]],BDEGENER[[#This Row],[HORAS]],"0")</f>
        <v>0</v>
      </c>
      <c r="BB131" s="683">
        <f>SUMIF(BDEGENER[SERIE],BDEGENER[[#This Row],[SERIE]],BDEGENER[GA3])</f>
        <v>6883.3</v>
      </c>
      <c r="BC131" s="683" t="str">
        <f>CONCATENATE("MANT",COUNTIF($Y$7:Y131,Y131))</f>
        <v>MANT2</v>
      </c>
      <c r="BD131" s="683" t="str">
        <f>CONCATENATE(BDEGENER[[#This Row],[SERIE]],BDEGENER[[#This Row],[GA5]])</f>
        <v>3004327723MANT2</v>
      </c>
      <c r="BE131" s="683" t="str">
        <f>CONCATENATE(BDEGENER[[#This Row],[CODIGO PATRIMONIAL]],BDEGENER[[#This Row],[GA5]])</f>
        <v>MANT2</v>
      </c>
      <c r="BF131" s="683">
        <f>COUNTIF(BDEGENER[SERIE],BDEGENER[[#This Row],[SERIE]])</f>
        <v>11</v>
      </c>
      <c r="BG131" s="683" t="str">
        <f>CONCATENATE("F",COUNTIF($K$7:K131,K131))</f>
        <v>F2</v>
      </c>
      <c r="BH131" s="683" t="str">
        <f>CONCATENATE(BDEGENER[[#This Row],[FECHA DE SERVICIO]],BDEGENER[[#This Row],[N° DE REGISTROS DEL DIA]])</f>
        <v>44126F2</v>
      </c>
      <c r="BI131" s="684"/>
      <c r="BJ131" s="683" t="s">
        <v>1544</v>
      </c>
      <c r="BK131" s="762" t="s">
        <v>2515</v>
      </c>
    </row>
    <row r="132" spans="2:63" ht="69" hidden="1" x14ac:dyDescent="0.3">
      <c r="B132" s="2"/>
      <c r="C132" s="2"/>
      <c r="D132" s="2"/>
      <c r="E132" s="2"/>
      <c r="F132" s="2"/>
      <c r="G132" s="2"/>
      <c r="H132" s="2"/>
      <c r="I132" s="2"/>
      <c r="J132" s="685"/>
      <c r="K132" s="682">
        <v>44126</v>
      </c>
      <c r="L132" s="683" t="s">
        <v>181</v>
      </c>
      <c r="M132" s="683" t="s">
        <v>189</v>
      </c>
      <c r="N132" s="683" t="s">
        <v>1982</v>
      </c>
      <c r="O132" s="683">
        <v>4500853877</v>
      </c>
      <c r="P132" s="688" t="s">
        <v>3534</v>
      </c>
      <c r="Q132" s="683" t="s">
        <v>37</v>
      </c>
      <c r="R132" s="683" t="s">
        <v>1782</v>
      </c>
      <c r="S132" s="686" t="s">
        <v>3535</v>
      </c>
      <c r="T132" s="683" t="s">
        <v>2870</v>
      </c>
      <c r="U132" s="683" t="s">
        <v>3536</v>
      </c>
      <c r="V132" s="683" t="s">
        <v>147</v>
      </c>
      <c r="W132" s="683" t="s">
        <v>914</v>
      </c>
      <c r="X132" s="691" t="s">
        <v>918</v>
      </c>
      <c r="Y132" s="687">
        <v>3004331709</v>
      </c>
      <c r="Z132" s="692"/>
      <c r="AA132" s="683" t="s">
        <v>33</v>
      </c>
      <c r="AB132" s="683" t="s">
        <v>34</v>
      </c>
      <c r="AC132" s="683" t="s">
        <v>230</v>
      </c>
      <c r="AD132" s="683" t="s">
        <v>1110</v>
      </c>
      <c r="AE132" s="683">
        <v>60</v>
      </c>
      <c r="AF132" s="684">
        <v>2248.5</v>
      </c>
      <c r="AG132" s="683" t="s">
        <v>243</v>
      </c>
      <c r="AH132" s="683" t="s">
        <v>220</v>
      </c>
      <c r="AI132" s="683" t="s">
        <v>33</v>
      </c>
      <c r="AJ132" s="683"/>
      <c r="AK132" s="683" t="s">
        <v>33</v>
      </c>
      <c r="AL132" s="683">
        <v>106302870</v>
      </c>
      <c r="AM132" s="683" t="s">
        <v>1094</v>
      </c>
      <c r="AN132" s="683" t="s">
        <v>2039</v>
      </c>
      <c r="AO132" s="683" t="s">
        <v>2019</v>
      </c>
      <c r="AP132" s="683" t="s">
        <v>240</v>
      </c>
      <c r="AQ132" s="688" t="str">
        <f>CONCATENATE("REG-",BDEGENER[[#This Row],[FECHA DE SERVICIO]],"-",BDEGENER[[#This Row],[SERIE]],"-",BDEGENER[[#This Row],[HORAS]])</f>
        <v>REG-44126-3004331709-2248,5</v>
      </c>
      <c r="AR132" s="683" t="str">
        <f>CONCATENATE("MARCA: ",BDEGENER[[#This Row],[MARCA]],"
 MODELO: ",BDEGENER[[#This Row],[MODELO]])</f>
        <v>MARCA: GENERAC
 MODELO: PG090</v>
      </c>
      <c r="AS132" s="683" t="str">
        <f>CONCATENATE("MARCA: ",BDEGENER[[#This Row],[MARCA DE MOTOR]],"
SERIE: ",BDEGENER[[#This Row],[SERIE DE MOTOR]])</f>
        <v xml:space="preserve">MARCA: GENERAC
SERIE: </v>
      </c>
      <c r="AT132" s="683" t="str">
        <f>CONCATENATE("MARCA: ",BDEGENER[[#This Row],[MARCA ALTERNADOR ]],"
SERIE: ",BDEGENER[[#This Row],[SERIE DE ALTERNADOR]])</f>
        <v>MARCA: GENERAC
SERIE: 106302870</v>
      </c>
      <c r="AU132" s="683" t="str">
        <f>CONCATENATE("HORAS: ",BDEGENER[[#This Row],[HORAS]],"
KW-HR: ",BDEGENER[[#This Row],[KW-HORA]],"
VOLT.BATERIA: ",BDEGENER[[#This Row],[VOLTAJE DE BATERIA]],"
TEMPERATURA: ",BDEGENER[[#This Row],[TEMPERATURA DE AGUA]],"
PRES. ACEITE: ",BDEGENER[[#This Row],[PRESION DE ACEITE]])</f>
        <v>HORAS: 2248,5
KW-HR: 54679,8
VOLT.BATERIA: 13.5 V
TEMPERATURA: 170 °F
PRES. ACEITE: 64 PSI</v>
      </c>
      <c r="AV132" s="683">
        <f>COUNTIFS(Q132:Q2132,"MANTENIMIENTO CORRECTIVO",Y132:Y2132,BDEGENER[[#This Row],[SERIE]])</f>
        <v>2</v>
      </c>
      <c r="AW132" s="683">
        <f>COUNTIFS(Q132:Q2132,"MANTENIMIENTO PREVENTIVO",Y132:Y2132,BDEGENER[[#This Row],[SERIE]])</f>
        <v>7</v>
      </c>
      <c r="AX13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32" s="683">
        <f>COUNTIFS(BDEGENER[SERIE],BDEGENER[[#This Row],[SERIE]],BDEGENER[TIPO DE SERVICIO],"MANTENIMIENTO PREVENTIVO")</f>
        <v>7</v>
      </c>
      <c r="AZ132" s="683" t="str">
        <f>CONCATENATE("MANTENIMIENTO PREVENTIVO N°",BDEGENER[[#This Row],[GA1]])</f>
        <v>MANTENIMIENTO PREVENTIVO N°7</v>
      </c>
      <c r="BA132" s="683">
        <f>IF(BDEGENER[[#This Row],[SERVICIO]]=BDEGENER[[#This Row],[GA2]],BDEGENER[[#This Row],[HORAS]],"0")</f>
        <v>2248.5</v>
      </c>
      <c r="BB132" s="683">
        <f>SUMIF(BDEGENER[SERIE],BDEGENER[[#This Row],[SERIE]],BDEGENER[GA3])</f>
        <v>2248.5</v>
      </c>
      <c r="BC132" s="683" t="str">
        <f>CONCATENATE("MANT",COUNTIF($Y$7:Y132,Y132))</f>
        <v>MANT1</v>
      </c>
      <c r="BD132" s="683" t="str">
        <f>CONCATENATE(BDEGENER[[#This Row],[SERIE]],BDEGENER[[#This Row],[GA5]])</f>
        <v>3004331709MANT1</v>
      </c>
      <c r="BE132" s="683" t="str">
        <f>CONCATENATE(BDEGENER[[#This Row],[CODIGO PATRIMONIAL]],BDEGENER[[#This Row],[GA5]])</f>
        <v>MANT1</v>
      </c>
      <c r="BF132" s="683">
        <f>COUNTIF(BDEGENER[SERIE],BDEGENER[[#This Row],[SERIE]])</f>
        <v>11</v>
      </c>
      <c r="BG132" s="683" t="str">
        <f>CONCATENATE("F",COUNTIF($K$7:K132,K132))</f>
        <v>F3</v>
      </c>
      <c r="BH132" s="683" t="str">
        <f>CONCATENATE(BDEGENER[[#This Row],[FECHA DE SERVICIO]],BDEGENER[[#This Row],[N° DE REGISTROS DEL DIA]])</f>
        <v>44126F3</v>
      </c>
      <c r="BI132" s="684">
        <v>54679.8</v>
      </c>
      <c r="BJ132" s="683" t="s">
        <v>1544</v>
      </c>
      <c r="BK132" s="762" t="s">
        <v>2515</v>
      </c>
    </row>
    <row r="133" spans="2:63" ht="69" hidden="1" x14ac:dyDescent="0.3">
      <c r="B133" s="2"/>
      <c r="C133" s="2"/>
      <c r="D133" s="2"/>
      <c r="E133" s="2"/>
      <c r="F133" s="2"/>
      <c r="G133" s="2"/>
      <c r="H133" s="2"/>
      <c r="I133" s="2"/>
      <c r="J133" s="685"/>
      <c r="K133" s="682">
        <v>44126</v>
      </c>
      <c r="L133" s="683" t="s">
        <v>181</v>
      </c>
      <c r="M133" s="683" t="s">
        <v>189</v>
      </c>
      <c r="N133" s="683" t="s">
        <v>1982</v>
      </c>
      <c r="O133" s="683">
        <v>4500853877</v>
      </c>
      <c r="P133" s="688" t="s">
        <v>3532</v>
      </c>
      <c r="Q133" s="683" t="s">
        <v>37</v>
      </c>
      <c r="R133" s="683" t="s">
        <v>1782</v>
      </c>
      <c r="S133" s="686" t="s">
        <v>3533</v>
      </c>
      <c r="T133" s="683" t="s">
        <v>2870</v>
      </c>
      <c r="U133" s="683" t="s">
        <v>3178</v>
      </c>
      <c r="V133" s="683" t="s">
        <v>147</v>
      </c>
      <c r="W133" s="683" t="s">
        <v>914</v>
      </c>
      <c r="X133" s="691" t="s">
        <v>918</v>
      </c>
      <c r="Y133" s="687">
        <v>3004331705</v>
      </c>
      <c r="Z133" s="692"/>
      <c r="AA133" s="683" t="s">
        <v>33</v>
      </c>
      <c r="AB133" s="683" t="s">
        <v>34</v>
      </c>
      <c r="AC133" s="683" t="s">
        <v>230</v>
      </c>
      <c r="AD133" s="683" t="s">
        <v>1110</v>
      </c>
      <c r="AE133" s="683">
        <v>60</v>
      </c>
      <c r="AF133" s="684">
        <v>2381.3000000000002</v>
      </c>
      <c r="AG133" s="683" t="s">
        <v>243</v>
      </c>
      <c r="AH133" s="683" t="s">
        <v>220</v>
      </c>
      <c r="AI133" s="683" t="s">
        <v>33</v>
      </c>
      <c r="AJ133" s="683">
        <v>3004346813</v>
      </c>
      <c r="AK133" s="683" t="s">
        <v>33</v>
      </c>
      <c r="AL133" s="683"/>
      <c r="AM133" s="683" t="s">
        <v>1094</v>
      </c>
      <c r="AN133" s="683" t="s">
        <v>1505</v>
      </c>
      <c r="AO133" s="683" t="s">
        <v>1354</v>
      </c>
      <c r="AP133" s="683" t="s">
        <v>240</v>
      </c>
      <c r="AQ133" s="744" t="str">
        <f>CONCATENATE("REG-",BDEGENER[[#This Row],[FECHA DE SERVICIO]],"-",BDEGENER[[#This Row],[SERIE]],"-",BDEGENER[[#This Row],[HORAS]])</f>
        <v>REG-44126-3004331705-2381,3</v>
      </c>
      <c r="AR133" s="683" t="str">
        <f>CONCATENATE("MARCA: ",BDEGENER[[#This Row],[MARCA]],"
 MODELO: ",BDEGENER[[#This Row],[MODELO]])</f>
        <v>MARCA: GENERAC
 MODELO: PG090</v>
      </c>
      <c r="AS133" s="683" t="str">
        <f>CONCATENATE("MARCA: ",BDEGENER[[#This Row],[MARCA DE MOTOR]],"
SERIE: ",BDEGENER[[#This Row],[SERIE DE MOTOR]])</f>
        <v>MARCA: GENERAC
SERIE: 3004346813</v>
      </c>
      <c r="AT133" s="683" t="str">
        <f>CONCATENATE("MARCA: ",BDEGENER[[#This Row],[MARCA ALTERNADOR ]],"
SERIE: ",BDEGENER[[#This Row],[SERIE DE ALTERNADOR]])</f>
        <v xml:space="preserve">MARCA: GENERAC
SERIE: </v>
      </c>
      <c r="AU133" s="683" t="str">
        <f>CONCATENATE("HORAS: ",BDEGENER[[#This Row],[HORAS]],"
KW-HR: ",BDEGENER[[#This Row],[KW-HORA]],"
VOLT.BATERIA: ",BDEGENER[[#This Row],[VOLTAJE DE BATERIA]],"
TEMPERATURA: ",BDEGENER[[#This Row],[TEMPERATURA DE AGUA]],"
PRES. ACEITE: ",BDEGENER[[#This Row],[PRESION DE ACEITE]])</f>
        <v>HORAS: 2381,3
KW-HR: 
VOLT.BATERIA: 13.5 V
TEMPERATURA: 194 °F
PRES. ACEITE: 63 PSI</v>
      </c>
      <c r="AV133" s="683">
        <f>COUNTIFS(Q133:Q2133,"MANTENIMIENTO CORRECTIVO",Y133:Y2133,BDEGENER[[#This Row],[SERIE]])</f>
        <v>1</v>
      </c>
      <c r="AW133" s="683">
        <f>COUNTIFS(Q133:Q2133,"MANTENIMIENTO PREVENTIVO",Y133:Y2133,BDEGENER[[#This Row],[SERIE]])</f>
        <v>8</v>
      </c>
      <c r="AX13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33" s="683">
        <f>COUNTIFS(BDEGENER[SERIE],BDEGENER[[#This Row],[SERIE]],BDEGENER[TIPO DE SERVICIO],"MANTENIMIENTO PREVENTIVO")</f>
        <v>8</v>
      </c>
      <c r="AZ133" s="683" t="str">
        <f>CONCATENATE("MANTENIMIENTO PREVENTIVO N°",BDEGENER[[#This Row],[GA1]])</f>
        <v>MANTENIMIENTO PREVENTIVO N°8</v>
      </c>
      <c r="BA133" s="683">
        <f>IF(BDEGENER[[#This Row],[SERVICIO]]=BDEGENER[[#This Row],[GA2]],BDEGENER[[#This Row],[HORAS]],"0")</f>
        <v>2381.3000000000002</v>
      </c>
      <c r="BB133" s="683">
        <f>SUMIF(BDEGENER[SERIE],BDEGENER[[#This Row],[SERIE]],BDEGENER[GA3])</f>
        <v>2381.3000000000002</v>
      </c>
      <c r="BC133" s="761" t="str">
        <f>CONCATENATE("MANT",COUNTIF($Y$7:Y133,Y133))</f>
        <v>MANT1</v>
      </c>
      <c r="BD133" s="683" t="str">
        <f>CONCATENATE(BDEGENER[[#This Row],[SERIE]],BDEGENER[[#This Row],[GA5]])</f>
        <v>3004331705MANT1</v>
      </c>
      <c r="BE133" s="683" t="str">
        <f>CONCATENATE(BDEGENER[[#This Row],[CODIGO PATRIMONIAL]],BDEGENER[[#This Row],[GA5]])</f>
        <v>MANT1</v>
      </c>
      <c r="BF133" s="683">
        <f>COUNTIF(BDEGENER[SERIE],BDEGENER[[#This Row],[SERIE]])</f>
        <v>10</v>
      </c>
      <c r="BG133" s="761" t="str">
        <f>CONCATENATE("F",COUNTIF($K$7:K133,K133))</f>
        <v>F4</v>
      </c>
      <c r="BH133" s="683" t="str">
        <f>CONCATENATE(BDEGENER[[#This Row],[FECHA DE SERVICIO]],BDEGENER[[#This Row],[N° DE REGISTROS DEL DIA]])</f>
        <v>44126F4</v>
      </c>
      <c r="BI133" s="684"/>
      <c r="BJ133" s="683" t="s">
        <v>1544</v>
      </c>
      <c r="BK133" s="762" t="s">
        <v>2515</v>
      </c>
    </row>
    <row r="134" spans="2:63" ht="69" hidden="1" x14ac:dyDescent="0.3">
      <c r="B134" s="2"/>
      <c r="C134" s="2"/>
      <c r="D134" s="2"/>
      <c r="E134" s="2"/>
      <c r="F134" s="2"/>
      <c r="G134" s="2"/>
      <c r="H134" s="2"/>
      <c r="I134" s="2"/>
      <c r="J134" s="685"/>
      <c r="K134" s="682">
        <v>44126</v>
      </c>
      <c r="L134" s="683" t="s">
        <v>181</v>
      </c>
      <c r="M134" s="683" t="s">
        <v>187</v>
      </c>
      <c r="N134" s="683" t="s">
        <v>183</v>
      </c>
      <c r="O134" s="683">
        <v>4500925048</v>
      </c>
      <c r="P134" s="688" t="s">
        <v>3491</v>
      </c>
      <c r="Q134" s="683" t="s">
        <v>37</v>
      </c>
      <c r="R134" s="683" t="s">
        <v>1782</v>
      </c>
      <c r="S134" s="686" t="s">
        <v>3492</v>
      </c>
      <c r="T134" s="683" t="s">
        <v>3493</v>
      </c>
      <c r="U134" s="683" t="s">
        <v>3494</v>
      </c>
      <c r="V134" s="683" t="s">
        <v>146</v>
      </c>
      <c r="W134" s="683" t="s">
        <v>914</v>
      </c>
      <c r="X134" s="691" t="s">
        <v>918</v>
      </c>
      <c r="Y134" s="687">
        <v>3004418790</v>
      </c>
      <c r="Z134" s="692"/>
      <c r="AA134" s="683" t="s">
        <v>33</v>
      </c>
      <c r="AB134" s="683" t="s">
        <v>34</v>
      </c>
      <c r="AC134" s="683" t="s">
        <v>230</v>
      </c>
      <c r="AD134" s="683" t="s">
        <v>1110</v>
      </c>
      <c r="AE134" s="683">
        <v>60</v>
      </c>
      <c r="AF134" s="684">
        <v>2171.8000000000002</v>
      </c>
      <c r="AG134" s="683" t="s">
        <v>243</v>
      </c>
      <c r="AH134" s="683" t="s">
        <v>220</v>
      </c>
      <c r="AI134" s="683" t="s">
        <v>33</v>
      </c>
      <c r="AJ134" s="683">
        <v>3005413982</v>
      </c>
      <c r="AK134" s="683" t="s">
        <v>33</v>
      </c>
      <c r="AL134" s="683">
        <v>107745310</v>
      </c>
      <c r="AM134" s="683" t="s">
        <v>1377</v>
      </c>
      <c r="AN134" s="683" t="s">
        <v>1352</v>
      </c>
      <c r="AO134" s="683" t="s">
        <v>247</v>
      </c>
      <c r="AP134" s="683" t="s">
        <v>240</v>
      </c>
      <c r="AQ134" s="688" t="str">
        <f>CONCATENATE("REG-",BDEGENER[[#This Row],[FECHA DE SERVICIO]],"-",BDEGENER[[#This Row],[SERIE]],"-",BDEGENER[[#This Row],[HORAS]])</f>
        <v>REG-44126-3004418790-2171,8</v>
      </c>
      <c r="AR134" s="683" t="str">
        <f>CONCATENATE("MARCA: ",BDEGENER[[#This Row],[MARCA]],"
 MODELO: ",BDEGENER[[#This Row],[MODELO]])</f>
        <v>MARCA: GENERAC
 MODELO: PG090</v>
      </c>
      <c r="AS134" s="683" t="str">
        <f>CONCATENATE("MARCA: ",BDEGENER[[#This Row],[MARCA DE MOTOR]],"
SERIE: ",BDEGENER[[#This Row],[SERIE DE MOTOR]])</f>
        <v>MARCA: GENERAC
SERIE: 3005413982</v>
      </c>
      <c r="AT134" s="683" t="str">
        <f>CONCATENATE("MARCA: ",BDEGENER[[#This Row],[MARCA ALTERNADOR ]],"
SERIE: ",BDEGENER[[#This Row],[SERIE DE ALTERNADOR]])</f>
        <v>MARCA: GENERAC
SERIE: 107745310</v>
      </c>
      <c r="AU134" s="683" t="str">
        <f>CONCATENATE("HORAS: ",BDEGENER[[#This Row],[HORAS]],"
KW-HR: ",BDEGENER[[#This Row],[KW-HORA]],"
VOLT.BATERIA: ",BDEGENER[[#This Row],[VOLTAJE DE BATERIA]],"
TEMPERATURA: ",BDEGENER[[#This Row],[TEMPERATURA DE AGUA]],"
PRES. ACEITE: ",BDEGENER[[#This Row],[PRESION DE ACEITE]])</f>
        <v>HORAS: 2171,8
KW-HR: 46221,5
VOLT.BATERIA: 13.8 V
TEMPERATURA: 196 °F
PRES. ACEITE: 55 PSI</v>
      </c>
      <c r="AV134" s="683">
        <f>COUNTIFS(Q134:Q2134,"MANTENIMIENTO CORRECTIVO",Y134:Y2134,BDEGENER[[#This Row],[SERIE]])</f>
        <v>1</v>
      </c>
      <c r="AW134" s="683">
        <f>COUNTIFS(Q134:Q2134,"MANTENIMIENTO PREVENTIVO",Y134:Y2134,BDEGENER[[#This Row],[SERIE]])</f>
        <v>7</v>
      </c>
      <c r="AX13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34" s="683">
        <f>COUNTIFS(BDEGENER[SERIE],BDEGENER[[#This Row],[SERIE]],BDEGENER[TIPO DE SERVICIO],"MANTENIMIENTO PREVENTIVO")</f>
        <v>8</v>
      </c>
      <c r="AZ134" s="683" t="str">
        <f>CONCATENATE("MANTENIMIENTO PREVENTIVO N°",BDEGENER[[#This Row],[GA1]])</f>
        <v>MANTENIMIENTO PREVENTIVO N°8</v>
      </c>
      <c r="BA134" s="683" t="str">
        <f>IF(BDEGENER[[#This Row],[SERVICIO]]=BDEGENER[[#This Row],[GA2]],BDEGENER[[#This Row],[HORAS]],"0")</f>
        <v>0</v>
      </c>
      <c r="BB134" s="683">
        <f>SUMIF(BDEGENER[SERIE],BDEGENER[[#This Row],[SERIE]],BDEGENER[GA3])</f>
        <v>2579.3000000000002</v>
      </c>
      <c r="BC134" s="683" t="str">
        <f>CONCATENATE("MANT",COUNTIF($Y$7:Y134,Y134))</f>
        <v>MANT4</v>
      </c>
      <c r="BD134" s="683" t="str">
        <f>CONCATENATE(BDEGENER[[#This Row],[SERIE]],BDEGENER[[#This Row],[GA5]])</f>
        <v>3004418790MANT4</v>
      </c>
      <c r="BE134" s="683" t="str">
        <f>CONCATENATE(BDEGENER[[#This Row],[CODIGO PATRIMONIAL]],BDEGENER[[#This Row],[GA5]])</f>
        <v>MANT4</v>
      </c>
      <c r="BF134" s="683">
        <f>COUNTIF(BDEGENER[SERIE],BDEGENER[[#This Row],[SERIE]])</f>
        <v>14</v>
      </c>
      <c r="BG134" s="683" t="str">
        <f>CONCATENATE("F",COUNTIF($K$7:K134,K134))</f>
        <v>F5</v>
      </c>
      <c r="BH134" s="683" t="str">
        <f>CONCATENATE(BDEGENER[[#This Row],[FECHA DE SERVICIO]],BDEGENER[[#This Row],[N° DE REGISTROS DEL DIA]])</f>
        <v>44126F5</v>
      </c>
      <c r="BI134" s="684">
        <v>46221.5</v>
      </c>
      <c r="BJ134" s="683" t="s">
        <v>1544</v>
      </c>
      <c r="BK134" s="762" t="s">
        <v>2740</v>
      </c>
    </row>
    <row r="135" spans="2:63" ht="69" hidden="1" x14ac:dyDescent="0.3">
      <c r="B135" s="2"/>
      <c r="C135" s="2"/>
      <c r="D135" s="2"/>
      <c r="E135" s="2"/>
      <c r="F135" s="2"/>
      <c r="G135" s="2"/>
      <c r="H135" s="2"/>
      <c r="I135" s="2"/>
      <c r="J135" s="685"/>
      <c r="K135" s="682">
        <v>44125</v>
      </c>
      <c r="L135" s="683" t="s">
        <v>181</v>
      </c>
      <c r="M135" s="683" t="s">
        <v>187</v>
      </c>
      <c r="N135" s="683" t="s">
        <v>183</v>
      </c>
      <c r="O135" s="683">
        <v>4500925048</v>
      </c>
      <c r="P135" s="683" t="s">
        <v>3485</v>
      </c>
      <c r="Q135" s="683" t="s">
        <v>37</v>
      </c>
      <c r="R135" s="683" t="s">
        <v>1782</v>
      </c>
      <c r="S135" s="686" t="s">
        <v>3486</v>
      </c>
      <c r="T135" s="761" t="s">
        <v>3655</v>
      </c>
      <c r="U135" s="683" t="s">
        <v>3487</v>
      </c>
      <c r="V135" s="683" t="s">
        <v>146</v>
      </c>
      <c r="W135" s="683" t="s">
        <v>914</v>
      </c>
      <c r="X135" s="691" t="s">
        <v>918</v>
      </c>
      <c r="Y135" s="687">
        <v>3004214491</v>
      </c>
      <c r="Z135" s="692"/>
      <c r="AA135" s="683" t="s">
        <v>33</v>
      </c>
      <c r="AB135" s="683" t="s">
        <v>34</v>
      </c>
      <c r="AC135" s="683" t="s">
        <v>230</v>
      </c>
      <c r="AD135" s="683" t="s">
        <v>1110</v>
      </c>
      <c r="AE135" s="683">
        <v>60</v>
      </c>
      <c r="AF135" s="684">
        <v>2283.1</v>
      </c>
      <c r="AG135" s="683" t="s">
        <v>243</v>
      </c>
      <c r="AH135" s="683" t="s">
        <v>244</v>
      </c>
      <c r="AI135" s="683" t="s">
        <v>33</v>
      </c>
      <c r="AJ135" s="683">
        <v>3004133600</v>
      </c>
      <c r="AK135" s="683" t="s">
        <v>33</v>
      </c>
      <c r="AL135" s="683">
        <v>1063014</v>
      </c>
      <c r="AM135" s="683" t="s">
        <v>1121</v>
      </c>
      <c r="AN135" s="683" t="s">
        <v>1352</v>
      </c>
      <c r="AO135" s="683" t="s">
        <v>1318</v>
      </c>
      <c r="AP135" s="683" t="s">
        <v>240</v>
      </c>
      <c r="AQ135" s="688" t="str">
        <f>CONCATENATE("REG-",BDEGENER[[#This Row],[FECHA DE SERVICIO]],"-",BDEGENER[[#This Row],[SERIE]],"-",BDEGENER[[#This Row],[HORAS]])</f>
        <v>REG-44125-3004214491-2283,1</v>
      </c>
      <c r="AR135" s="683" t="str">
        <f>CONCATENATE("MARCA: ",BDEGENER[[#This Row],[MARCA]],"
 MODELO: ",BDEGENER[[#This Row],[MODELO]])</f>
        <v>MARCA: GENERAC
 MODELO: PG090</v>
      </c>
      <c r="AS135" s="683" t="str">
        <f>CONCATENATE("MARCA: ",BDEGENER[[#This Row],[MARCA DE MOTOR]],"
SERIE: ",BDEGENER[[#This Row],[SERIE DE MOTOR]])</f>
        <v>MARCA: GENERAC
SERIE: 3004133600</v>
      </c>
      <c r="AT135" s="683" t="str">
        <f>CONCATENATE("MARCA: ",BDEGENER[[#This Row],[MARCA ALTERNADOR ]],"
SERIE: ",BDEGENER[[#This Row],[SERIE DE ALTERNADOR]])</f>
        <v>MARCA: GENERAC
SERIE: 1063014</v>
      </c>
      <c r="AU135" s="683" t="str">
        <f>CONCATENATE("HORAS: ",BDEGENER[[#This Row],[HORAS]],"
KW-HR: ",BDEGENER[[#This Row],[KW-HORA]],"
VOLT.BATERIA: ",BDEGENER[[#This Row],[VOLTAJE DE BATERIA]],"
TEMPERATURA: ",BDEGENER[[#This Row],[TEMPERATURA DE AGUA]],"
PRES. ACEITE: ",BDEGENER[[#This Row],[PRESION DE ACEITE]])</f>
        <v>HORAS: 2283,1
KW-HR: 37576,8
VOLT.BATERIA: 13.7 V
TEMPERATURA: 196 °F
PRES. ACEITE: 58 PSI</v>
      </c>
      <c r="AV135" s="683">
        <f>COUNTIFS(Q135:Q2135,"MANTENIMIENTO CORRECTIVO",Y135:Y2135,BDEGENER[[#This Row],[SERIE]])</f>
        <v>6</v>
      </c>
      <c r="AW135" s="683">
        <f>COUNTIFS(Q135:Q2135,"MANTENIMIENTO PREVENTIVO",Y135:Y2135,BDEGENER[[#This Row],[SERIE]])</f>
        <v>8</v>
      </c>
      <c r="AX13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35" s="683">
        <f>COUNTIFS(BDEGENER[SERIE],BDEGENER[[#This Row],[SERIE]],BDEGENER[TIPO DE SERVICIO],"MANTENIMIENTO PREVENTIVO")</f>
        <v>9</v>
      </c>
      <c r="AZ135" s="683" t="str">
        <f>CONCATENATE("MANTENIMIENTO PREVENTIVO N°",BDEGENER[[#This Row],[GA1]])</f>
        <v>MANTENIMIENTO PREVENTIVO N°9</v>
      </c>
      <c r="BA135" s="683" t="str">
        <f>IF(BDEGENER[[#This Row],[SERVICIO]]=BDEGENER[[#This Row],[GA2]],BDEGENER[[#This Row],[HORAS]],"0")</f>
        <v>0</v>
      </c>
      <c r="BB135" s="683">
        <f>SUMIF(BDEGENER[SERIE],BDEGENER[[#This Row],[SERIE]],BDEGENER[GA3])</f>
        <v>2751</v>
      </c>
      <c r="BC135" s="683" t="str">
        <f>CONCATENATE("MANT",COUNTIF($Y$7:Y135,Y135))</f>
        <v>MANT2</v>
      </c>
      <c r="BD135" s="683" t="str">
        <f>CONCATENATE(BDEGENER[[#This Row],[SERIE]],BDEGENER[[#This Row],[GA5]])</f>
        <v>3004214491MANT2</v>
      </c>
      <c r="BE135" s="683" t="str">
        <f>CONCATENATE(BDEGENER[[#This Row],[CODIGO PATRIMONIAL]],BDEGENER[[#This Row],[GA5]])</f>
        <v>MANT2</v>
      </c>
      <c r="BF135" s="683">
        <f>COUNTIF(BDEGENER[SERIE],BDEGENER[[#This Row],[SERIE]])</f>
        <v>18</v>
      </c>
      <c r="BG135" s="683" t="str">
        <f>CONCATENATE("F",COUNTIF($K$7:K135,K135))</f>
        <v>F1</v>
      </c>
      <c r="BH135" s="683" t="str">
        <f>CONCATENATE(BDEGENER[[#This Row],[FECHA DE SERVICIO]],BDEGENER[[#This Row],[N° DE REGISTROS DEL DIA]])</f>
        <v>44125F1</v>
      </c>
      <c r="BI135" s="684">
        <v>37576.800000000003</v>
      </c>
      <c r="BJ135" s="683" t="s">
        <v>1544</v>
      </c>
      <c r="BK135" s="762" t="s">
        <v>2860</v>
      </c>
    </row>
    <row r="136" spans="2:63" ht="69" hidden="1" x14ac:dyDescent="0.3">
      <c r="B136" s="2"/>
      <c r="C136" s="2"/>
      <c r="D136" s="2"/>
      <c r="E136" s="2"/>
      <c r="F136" s="2"/>
      <c r="G136" s="2"/>
      <c r="H136" s="2"/>
      <c r="I136" s="2"/>
      <c r="J136" s="685"/>
      <c r="K136" s="682">
        <v>44125</v>
      </c>
      <c r="L136" s="683" t="s">
        <v>248</v>
      </c>
      <c r="M136" s="683" t="s">
        <v>3106</v>
      </c>
      <c r="N136" s="683" t="s">
        <v>275</v>
      </c>
      <c r="O136" s="683"/>
      <c r="P136" s="688" t="s">
        <v>3523</v>
      </c>
      <c r="Q136" s="683" t="s">
        <v>37</v>
      </c>
      <c r="R136" s="683" t="s">
        <v>1782</v>
      </c>
      <c r="S136" s="686" t="s">
        <v>3524</v>
      </c>
      <c r="T136" s="683" t="s">
        <v>2870</v>
      </c>
      <c r="U136" s="683" t="s">
        <v>3525</v>
      </c>
      <c r="V136" s="683" t="s">
        <v>147</v>
      </c>
      <c r="W136" s="683" t="s">
        <v>914</v>
      </c>
      <c r="X136" s="691" t="s">
        <v>917</v>
      </c>
      <c r="Y136" s="687">
        <v>3005786151</v>
      </c>
      <c r="Z136" s="692" t="s">
        <v>159</v>
      </c>
      <c r="AA136" s="683" t="s">
        <v>33</v>
      </c>
      <c r="AB136" s="683" t="s">
        <v>3109</v>
      </c>
      <c r="AC136" s="683" t="s">
        <v>3110</v>
      </c>
      <c r="AD136" s="683" t="s">
        <v>1087</v>
      </c>
      <c r="AE136" s="683">
        <v>60</v>
      </c>
      <c r="AF136" s="684">
        <v>376.51</v>
      </c>
      <c r="AG136" s="683" t="s">
        <v>243</v>
      </c>
      <c r="AH136" s="683" t="s">
        <v>3111</v>
      </c>
      <c r="AI136" s="683" t="s">
        <v>844</v>
      </c>
      <c r="AJ136" s="683" t="s">
        <v>3112</v>
      </c>
      <c r="AK136" s="683" t="s">
        <v>3113</v>
      </c>
      <c r="AL136" s="683">
        <v>36888300001</v>
      </c>
      <c r="AM136" s="683" t="s">
        <v>1094</v>
      </c>
      <c r="AN136" s="683" t="s">
        <v>3526</v>
      </c>
      <c r="AO136" s="683" t="s">
        <v>1971</v>
      </c>
      <c r="AP136" s="683" t="s">
        <v>240</v>
      </c>
      <c r="AQ136" s="688" t="str">
        <f>CONCATENATE("REG-",BDEGENER[[#This Row],[FECHA DE SERVICIO]],"-",BDEGENER[[#This Row],[SERIE]],"-",BDEGENER[[#This Row],[HORAS]])</f>
        <v>REG-44125-3005786151-376,51</v>
      </c>
      <c r="AR136" s="683" t="str">
        <f>CONCATENATE("MARCA: ",BDEGENER[[#This Row],[MARCA]],"
 MODELO: ",BDEGENER[[#This Row],[MODELO]])</f>
        <v>MARCA: GENERAC
 MODELO: PLY200</v>
      </c>
      <c r="AS136" s="683" t="str">
        <f>CONCATENATE("MARCA: ",BDEGENER[[#This Row],[MARCA DE MOTOR]],"
SERIE: ",BDEGENER[[#This Row],[SERIE DE MOTOR]])</f>
        <v>MARCA: PERKINS
SERIE: PWR024528E</v>
      </c>
      <c r="AT136" s="683" t="str">
        <f>CONCATENATE("MARCA: ",BDEGENER[[#This Row],[MARCA ALTERNADOR ]],"
SERIE: ",BDEGENER[[#This Row],[SERIE DE ALTERNADOR]])</f>
        <v>MARCA: LEROY SOMMER
SERIE: 36888300001</v>
      </c>
      <c r="AU136" s="683" t="str">
        <f>CONCATENATE("HORAS: ",BDEGENER[[#This Row],[HORAS]],"
KW-HR: ",BDEGENER[[#This Row],[KW-HORA]],"
VOLT.BATERIA: ",BDEGENER[[#This Row],[VOLTAJE DE BATERIA]],"
TEMPERATURA: ",BDEGENER[[#This Row],[TEMPERATURA DE AGUA]],"
PRES. ACEITE: ",BDEGENER[[#This Row],[PRESION DE ACEITE]])</f>
        <v>HORAS: 376,51
KW-HR: 46342,7
VOLT.BATERIA: 13.5 V
TEMPERATURA: 141 °F
PRES. ACEITE: 77 PSI</v>
      </c>
      <c r="AV136" s="683">
        <f>COUNTIFS(Q136:Q2136,"MANTENIMIENTO CORRECTIVO",Y136:Y2136,BDEGENER[[#This Row],[SERIE]])</f>
        <v>0</v>
      </c>
      <c r="AW136" s="683">
        <f>COUNTIFS(Q136:Q2136,"MANTENIMIENTO PREVENTIVO",Y136:Y2136,BDEGENER[[#This Row],[SERIE]])</f>
        <v>2</v>
      </c>
      <c r="AX13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36" s="683">
        <f>COUNTIFS(BDEGENER[SERIE],BDEGENER[[#This Row],[SERIE]],BDEGENER[TIPO DE SERVICIO],"MANTENIMIENTO PREVENTIVO")</f>
        <v>3</v>
      </c>
      <c r="AZ136" s="683" t="str">
        <f>CONCATENATE("MANTENIMIENTO PREVENTIVO N°",BDEGENER[[#This Row],[GA1]])</f>
        <v>MANTENIMIENTO PREVENTIVO N°3</v>
      </c>
      <c r="BA136" s="683" t="str">
        <f>IF(BDEGENER[[#This Row],[SERVICIO]]=BDEGENER[[#This Row],[GA2]],BDEGENER[[#This Row],[HORAS]],"0")</f>
        <v>0</v>
      </c>
      <c r="BB136" s="683">
        <f>SUMIF(BDEGENER[SERIE],BDEGENER[[#This Row],[SERIE]],BDEGENER[GA3])</f>
        <v>646</v>
      </c>
      <c r="BC136" s="761" t="str">
        <f>CONCATENATE("MANT",COUNTIF($Y$7:Y136,Y136))</f>
        <v>MANT2</v>
      </c>
      <c r="BD136" s="683" t="str">
        <f>CONCATENATE(BDEGENER[[#This Row],[SERIE]],BDEGENER[[#This Row],[GA5]])</f>
        <v>3005786151MANT2</v>
      </c>
      <c r="BE136" s="683" t="str">
        <f>CONCATENATE(BDEGENER[[#This Row],[CODIGO PATRIMONIAL]],BDEGENER[[#This Row],[GA5]])</f>
        <v>MANT2</v>
      </c>
      <c r="BF136" s="683">
        <f>COUNTIF(BDEGENER[SERIE],BDEGENER[[#This Row],[SERIE]])</f>
        <v>4</v>
      </c>
      <c r="BG136" s="761" t="str">
        <f>CONCATENATE("F",COUNTIF($K$7:K136,K136))</f>
        <v>F2</v>
      </c>
      <c r="BH136" s="683" t="str">
        <f>CONCATENATE(BDEGENER[[#This Row],[FECHA DE SERVICIO]],BDEGENER[[#This Row],[N° DE REGISTROS DEL DIA]])</f>
        <v>44125F2</v>
      </c>
      <c r="BI136" s="684">
        <v>46342.7</v>
      </c>
      <c r="BJ136" s="683" t="s">
        <v>1544</v>
      </c>
      <c r="BK136" s="762"/>
    </row>
    <row r="137" spans="2:63" ht="69" hidden="1" x14ac:dyDescent="0.3">
      <c r="B137" s="2"/>
      <c r="C137" s="2"/>
      <c r="D137" s="2"/>
      <c r="E137" s="2"/>
      <c r="F137" s="2"/>
      <c r="G137" s="2"/>
      <c r="H137" s="2"/>
      <c r="I137" s="2"/>
      <c r="J137" s="685"/>
      <c r="K137" s="682">
        <v>44125</v>
      </c>
      <c r="L137" s="683" t="s">
        <v>248</v>
      </c>
      <c r="M137" s="683" t="s">
        <v>2226</v>
      </c>
      <c r="N137" s="683" t="s">
        <v>2230</v>
      </c>
      <c r="O137" s="683"/>
      <c r="P137" s="688" t="s">
        <v>3516</v>
      </c>
      <c r="Q137" s="683" t="s">
        <v>37</v>
      </c>
      <c r="R137" s="683" t="s">
        <v>1782</v>
      </c>
      <c r="S137" s="686" t="s">
        <v>3517</v>
      </c>
      <c r="T137" s="683" t="s">
        <v>3518</v>
      </c>
      <c r="U137" s="683" t="s">
        <v>3519</v>
      </c>
      <c r="V137" s="683" t="s">
        <v>147</v>
      </c>
      <c r="W137" s="683" t="s">
        <v>914</v>
      </c>
      <c r="X137" s="691" t="s">
        <v>917</v>
      </c>
      <c r="Y137" s="687">
        <v>3002933964</v>
      </c>
      <c r="Z137" s="692"/>
      <c r="AA137" s="683" t="s">
        <v>33</v>
      </c>
      <c r="AB137" s="683" t="s">
        <v>1446</v>
      </c>
      <c r="AC137" s="683" t="s">
        <v>1445</v>
      </c>
      <c r="AD137" s="683" t="s">
        <v>1087</v>
      </c>
      <c r="AE137" s="683">
        <v>60</v>
      </c>
      <c r="AF137" s="684">
        <v>1365.32</v>
      </c>
      <c r="AG137" s="683" t="s">
        <v>243</v>
      </c>
      <c r="AH137" s="683" t="s">
        <v>1946</v>
      </c>
      <c r="AI137" s="683" t="s">
        <v>844</v>
      </c>
      <c r="AJ137" s="683" t="s">
        <v>1951</v>
      </c>
      <c r="AK137" s="683" t="s">
        <v>1448</v>
      </c>
      <c r="AL137" s="683" t="s">
        <v>1952</v>
      </c>
      <c r="AM137" s="683" t="s">
        <v>1858</v>
      </c>
      <c r="AN137" s="683" t="s">
        <v>2533</v>
      </c>
      <c r="AO137" s="683" t="s">
        <v>1443</v>
      </c>
      <c r="AP137" s="683" t="s">
        <v>240</v>
      </c>
      <c r="AQ137" s="688" t="str">
        <f>CONCATENATE("REG-",BDEGENER[[#This Row],[FECHA DE SERVICIO]],"-",BDEGENER[[#This Row],[SERIE]],"-",BDEGENER[[#This Row],[HORAS]])</f>
        <v>REG-44125-3002933964-1365,32</v>
      </c>
      <c r="AR137" s="683" t="str">
        <f>CONCATENATE("MARCA: ",BDEGENER[[#This Row],[MARCA]],"
 MODELO: ",BDEGENER[[#This Row],[MODELO]])</f>
        <v>MARCA: GENERAC
 MODELO: PLY125</v>
      </c>
      <c r="AS137" s="683" t="str">
        <f>CONCATENATE("MARCA: ",BDEGENER[[#This Row],[MARCA DE MOTOR]],"
SERIE: ",BDEGENER[[#This Row],[SERIE DE MOTOR]])</f>
        <v>MARCA: PERKINS
SERIE: PP71370U061051C</v>
      </c>
      <c r="AT137" s="683" t="str">
        <f>CONCATENATE("MARCA: ",BDEGENER[[#This Row],[MARCA ALTERNADOR ]],"
SERIE: ",BDEGENER[[#This Row],[SERIE DE ALTERNADOR]])</f>
        <v>MARCA: LEROY SOMER
SERIE: 346063/19</v>
      </c>
      <c r="AU137" s="683" t="str">
        <f>CONCATENATE("HORAS: ",BDEGENER[[#This Row],[HORAS]],"
KW-HR: ",BDEGENER[[#This Row],[KW-HORA]],"
VOLT.BATERIA: ",BDEGENER[[#This Row],[VOLTAJE DE BATERIA]],"
TEMPERATURA: ",BDEGENER[[#This Row],[TEMPERATURA DE AGUA]],"
PRES. ACEITE: ",BDEGENER[[#This Row],[PRESION DE ACEITE]])</f>
        <v>HORAS: 1365,32
KW-HR: 55490
VOLT.BATERIA: 14.1 V
TEMPERATURA: 152 °F
PRES. ACEITE: 80 PSI</v>
      </c>
      <c r="AV137" s="683">
        <f>COUNTIFS(Q137:Q2137,"MANTENIMIENTO CORRECTIVO",Y137:Y2137,BDEGENER[[#This Row],[SERIE]])</f>
        <v>1</v>
      </c>
      <c r="AW137" s="683">
        <f>COUNTIFS(Q137:Q2137,"MANTENIMIENTO PREVENTIVO",Y137:Y2137,BDEGENER[[#This Row],[SERIE]])</f>
        <v>3</v>
      </c>
      <c r="AX13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37" s="683">
        <f>COUNTIFS(BDEGENER[SERIE],BDEGENER[[#This Row],[SERIE]],BDEGENER[TIPO DE SERVICIO],"MANTENIMIENTO PREVENTIVO")</f>
        <v>4</v>
      </c>
      <c r="AZ137" s="683" t="str">
        <f>CONCATENATE("MANTENIMIENTO PREVENTIVO N°",BDEGENER[[#This Row],[GA1]])</f>
        <v>MANTENIMIENTO PREVENTIVO N°4</v>
      </c>
      <c r="BA137" s="683" t="str">
        <f>IF(BDEGENER[[#This Row],[SERVICIO]]=BDEGENER[[#This Row],[GA2]],BDEGENER[[#This Row],[HORAS]],"0")</f>
        <v>0</v>
      </c>
      <c r="BB137" s="683">
        <f>SUMIF(BDEGENER[SERIE],BDEGENER[[#This Row],[SERIE]],BDEGENER[GA3])</f>
        <v>1609.45</v>
      </c>
      <c r="BC137" s="683" t="str">
        <f>CONCATENATE("MANT",COUNTIF($Y$7:Y137,Y137))</f>
        <v>MANT3</v>
      </c>
      <c r="BD137" s="683" t="str">
        <f>CONCATENATE(BDEGENER[[#This Row],[SERIE]],BDEGENER[[#This Row],[GA5]])</f>
        <v>3002933964MANT3</v>
      </c>
      <c r="BE137" s="683" t="str">
        <f>CONCATENATE(BDEGENER[[#This Row],[CODIGO PATRIMONIAL]],BDEGENER[[#This Row],[GA5]])</f>
        <v>MANT3</v>
      </c>
      <c r="BF137" s="683">
        <f>COUNTIF(BDEGENER[SERIE],BDEGENER[[#This Row],[SERIE]])</f>
        <v>8</v>
      </c>
      <c r="BG137" s="683" t="str">
        <f>CONCATENATE("F",COUNTIF($K$7:K137,K137))</f>
        <v>F3</v>
      </c>
      <c r="BH137" s="683" t="str">
        <f>CONCATENATE(BDEGENER[[#This Row],[FECHA DE SERVICIO]],BDEGENER[[#This Row],[N° DE REGISTROS DEL DIA]])</f>
        <v>44125F3</v>
      </c>
      <c r="BI137" s="684">
        <v>55490</v>
      </c>
      <c r="BJ137" s="683" t="s">
        <v>1544</v>
      </c>
      <c r="BK137" s="762" t="s">
        <v>2414</v>
      </c>
    </row>
    <row r="138" spans="2:63" ht="69" hidden="1" x14ac:dyDescent="0.3">
      <c r="B138" s="2"/>
      <c r="C138" s="2"/>
      <c r="D138" s="2"/>
      <c r="E138" s="2"/>
      <c r="F138" s="2"/>
      <c r="G138" s="2"/>
      <c r="H138" s="2"/>
      <c r="I138" s="2"/>
      <c r="J138" s="685"/>
      <c r="K138" s="682">
        <v>44125</v>
      </c>
      <c r="L138" s="683" t="s">
        <v>248</v>
      </c>
      <c r="M138" s="683" t="s">
        <v>2226</v>
      </c>
      <c r="N138" s="683" t="s">
        <v>2230</v>
      </c>
      <c r="O138" s="683"/>
      <c r="P138" s="688" t="s">
        <v>3512</v>
      </c>
      <c r="Q138" s="683" t="s">
        <v>37</v>
      </c>
      <c r="R138" s="683" t="s">
        <v>1782</v>
      </c>
      <c r="S138" s="686" t="s">
        <v>3513</v>
      </c>
      <c r="T138" s="683" t="s">
        <v>3514</v>
      </c>
      <c r="U138" s="683" t="s">
        <v>3515</v>
      </c>
      <c r="V138" s="683" t="s">
        <v>147</v>
      </c>
      <c r="W138" s="683" t="s">
        <v>914</v>
      </c>
      <c r="X138" s="691" t="s">
        <v>917</v>
      </c>
      <c r="Y138" s="687">
        <v>3002933963</v>
      </c>
      <c r="Z138" s="692"/>
      <c r="AA138" s="683" t="s">
        <v>33</v>
      </c>
      <c r="AB138" s="683" t="s">
        <v>1446</v>
      </c>
      <c r="AC138" s="683" t="s">
        <v>1445</v>
      </c>
      <c r="AD138" s="683" t="s">
        <v>1123</v>
      </c>
      <c r="AE138" s="683">
        <v>60</v>
      </c>
      <c r="AF138" s="684">
        <v>1242.5999999999999</v>
      </c>
      <c r="AG138" s="683" t="s">
        <v>243</v>
      </c>
      <c r="AH138" s="683" t="s">
        <v>1946</v>
      </c>
      <c r="AI138" s="683" t="s">
        <v>844</v>
      </c>
      <c r="AJ138" s="683" t="s">
        <v>1947</v>
      </c>
      <c r="AK138" s="683" t="s">
        <v>1448</v>
      </c>
      <c r="AL138" s="683" t="s">
        <v>1948</v>
      </c>
      <c r="AM138" s="683" t="s">
        <v>1377</v>
      </c>
      <c r="AN138" s="683" t="s">
        <v>1562</v>
      </c>
      <c r="AO138" s="683" t="s">
        <v>1177</v>
      </c>
      <c r="AP138" s="683" t="s">
        <v>240</v>
      </c>
      <c r="AQ138" s="688" t="str">
        <f>CONCATENATE("REG-",BDEGENER[[#This Row],[FECHA DE SERVICIO]],"-",BDEGENER[[#This Row],[SERIE]],"-",BDEGENER[[#This Row],[HORAS]])</f>
        <v>REG-44125-3002933963-1242,6</v>
      </c>
      <c r="AR138" s="683" t="str">
        <f>CONCATENATE("MARCA: ",BDEGENER[[#This Row],[MARCA]],"
 MODELO: ",BDEGENER[[#This Row],[MODELO]])</f>
        <v>MARCA: GENERAC
 MODELO: PLY125</v>
      </c>
      <c r="AS138" s="683" t="str">
        <f>CONCATENATE("MARCA: ",BDEGENER[[#This Row],[MARCA DE MOTOR]],"
SERIE: ",BDEGENER[[#This Row],[SERIE DE MOTOR]])</f>
        <v>MARCA: PERKINS
SERIE: PP71370U061050C</v>
      </c>
      <c r="AT138" s="683" t="str">
        <f>CONCATENATE("MARCA: ",BDEGENER[[#This Row],[MARCA ALTERNADOR ]],"
SERIE: ",BDEGENER[[#This Row],[SERIE DE ALTERNADOR]])</f>
        <v>MARCA: LEROY SOMER
SERIE: 346063/18</v>
      </c>
      <c r="AU138" s="683" t="str">
        <f>CONCATENATE("HORAS: ",BDEGENER[[#This Row],[HORAS]],"
KW-HR: ",BDEGENER[[#This Row],[KW-HORA]],"
VOLT.BATERIA: ",BDEGENER[[#This Row],[VOLTAJE DE BATERIA]],"
TEMPERATURA: ",BDEGENER[[#This Row],[TEMPERATURA DE AGUA]],"
PRES. ACEITE: ",BDEGENER[[#This Row],[PRESION DE ACEITE]])</f>
        <v>HORAS: 1242,6
KW-HR: 41202,4
VOLT.BATERIA: 13.8 V
TEMPERATURA: 131 °F
PRES. ACEITE: 84 PSI</v>
      </c>
      <c r="AV138" s="683">
        <f>COUNTIFS(Q138:Q2138,"MANTENIMIENTO CORRECTIVO",Y138:Y2138,BDEGENER[[#This Row],[SERIE]])</f>
        <v>0</v>
      </c>
      <c r="AW138" s="683">
        <f>COUNTIFS(Q138:Q2138,"MANTENIMIENTO PREVENTIVO",Y138:Y2138,BDEGENER[[#This Row],[SERIE]])</f>
        <v>4</v>
      </c>
      <c r="AX13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138" s="683">
        <f>COUNTIFS(BDEGENER[SERIE],BDEGENER[[#This Row],[SERIE]],BDEGENER[TIPO DE SERVICIO],"MANTENIMIENTO PREVENTIVO")</f>
        <v>5</v>
      </c>
      <c r="AZ138" s="683" t="str">
        <f>CONCATENATE("MANTENIMIENTO PREVENTIVO N°",BDEGENER[[#This Row],[GA1]])</f>
        <v>MANTENIMIENTO PREVENTIVO N°5</v>
      </c>
      <c r="BA138" s="683" t="str">
        <f>IF(BDEGENER[[#This Row],[SERVICIO]]=BDEGENER[[#This Row],[GA2]],BDEGENER[[#This Row],[HORAS]],"0")</f>
        <v>0</v>
      </c>
      <c r="BB138" s="683">
        <f>SUMIF(BDEGENER[SERIE],BDEGENER[[#This Row],[SERIE]],BDEGENER[GA3])</f>
        <v>1473.6</v>
      </c>
      <c r="BC138" s="683" t="str">
        <f>CONCATENATE("MANT",COUNTIF($Y$7:Y138,Y138))</f>
        <v>MANT2</v>
      </c>
      <c r="BD138" s="683" t="str">
        <f>CONCATENATE(BDEGENER[[#This Row],[SERIE]],BDEGENER[[#This Row],[GA5]])</f>
        <v>3002933963MANT2</v>
      </c>
      <c r="BE138" s="683" t="str">
        <f>CONCATENATE(BDEGENER[[#This Row],[CODIGO PATRIMONIAL]],BDEGENER[[#This Row],[GA5]])</f>
        <v>MANT2</v>
      </c>
      <c r="BF138" s="683">
        <f>COUNTIF(BDEGENER[SERIE],BDEGENER[[#This Row],[SERIE]])</f>
        <v>7</v>
      </c>
      <c r="BG138" s="683" t="str">
        <f>CONCATENATE("F",COUNTIF($K$7:K138,K138))</f>
        <v>F4</v>
      </c>
      <c r="BH138" s="683" t="str">
        <f>CONCATENATE(BDEGENER[[#This Row],[FECHA DE SERVICIO]],BDEGENER[[#This Row],[N° DE REGISTROS DEL DIA]])</f>
        <v>44125F4</v>
      </c>
      <c r="BI138" s="684">
        <v>41202.400000000001</v>
      </c>
      <c r="BJ138" s="683" t="s">
        <v>1544</v>
      </c>
      <c r="BK138" s="762" t="s">
        <v>2414</v>
      </c>
    </row>
    <row r="139" spans="2:63" ht="69" hidden="1" x14ac:dyDescent="0.3">
      <c r="B139" s="2"/>
      <c r="C139" s="2"/>
      <c r="D139" s="2"/>
      <c r="E139" s="2"/>
      <c r="F139" s="2"/>
      <c r="G139" s="2"/>
      <c r="H139" s="2"/>
      <c r="I139" s="2"/>
      <c r="J139" s="685"/>
      <c r="K139" s="682">
        <v>44124</v>
      </c>
      <c r="L139" s="683" t="s">
        <v>181</v>
      </c>
      <c r="M139" s="683" t="s">
        <v>184</v>
      </c>
      <c r="N139" s="683" t="s">
        <v>183</v>
      </c>
      <c r="O139" s="683"/>
      <c r="P139" s="683"/>
      <c r="Q139" s="683" t="s">
        <v>107</v>
      </c>
      <c r="R139" s="683" t="s">
        <v>1782</v>
      </c>
      <c r="S139" s="686" t="s">
        <v>3740</v>
      </c>
      <c r="T139" s="683" t="s">
        <v>3741</v>
      </c>
      <c r="U139" s="683" t="s">
        <v>3309</v>
      </c>
      <c r="V139" s="683" t="s">
        <v>146</v>
      </c>
      <c r="W139" s="683" t="s">
        <v>914</v>
      </c>
      <c r="X139" s="691" t="s">
        <v>918</v>
      </c>
      <c r="Y139" s="687">
        <v>3004402508</v>
      </c>
      <c r="Z139" s="692"/>
      <c r="AA139" s="683" t="s">
        <v>33</v>
      </c>
      <c r="AB139" s="683" t="s">
        <v>34</v>
      </c>
      <c r="AC139" s="683" t="s">
        <v>230</v>
      </c>
      <c r="AD139" s="683"/>
      <c r="AE139" s="683"/>
      <c r="AF139" s="684">
        <v>2079.6</v>
      </c>
      <c r="AG139" s="683" t="s">
        <v>243</v>
      </c>
      <c r="AH139" s="683" t="s">
        <v>220</v>
      </c>
      <c r="AI139" s="683" t="s">
        <v>33</v>
      </c>
      <c r="AJ139" s="683">
        <v>3004425773</v>
      </c>
      <c r="AK139" s="683" t="s">
        <v>33</v>
      </c>
      <c r="AL139" s="683">
        <v>106310050</v>
      </c>
      <c r="AM139" s="683"/>
      <c r="AN139" s="683"/>
      <c r="AO139" s="683"/>
      <c r="AP139" s="683" t="s">
        <v>240</v>
      </c>
      <c r="AQ139" s="683" t="str">
        <f>CONCATENATE("REG-",BDEGENER[[#This Row],[FECHA DE SERVICIO]],"-",BDEGENER[[#This Row],[SERIE]],"-",BDEGENER[[#This Row],[HORAS]])</f>
        <v>REG-44124-3004402508-2079,6</v>
      </c>
      <c r="AR139" s="683" t="str">
        <f>CONCATENATE("MARCA: ",BDEGENER[[#This Row],[MARCA]],"
 MODELO: ",BDEGENER[[#This Row],[MODELO]])</f>
        <v>MARCA: GENERAC
 MODELO: PG090</v>
      </c>
      <c r="AS139" s="683" t="str">
        <f>CONCATENATE("MARCA: ",BDEGENER[[#This Row],[MARCA DE MOTOR]],"
SERIE: ",BDEGENER[[#This Row],[SERIE DE MOTOR]])</f>
        <v>MARCA: GENERAC
SERIE: 3004425773</v>
      </c>
      <c r="AT139" s="683" t="str">
        <f>CONCATENATE("MARCA: ",BDEGENER[[#This Row],[MARCA ALTERNADOR ]],"
SERIE: ",BDEGENER[[#This Row],[SERIE DE ALTERNADOR]])</f>
        <v>MARCA: GENERAC
SERIE: 106310050</v>
      </c>
      <c r="AU139" s="683" t="str">
        <f>CONCATENATE("HORAS: ",BDEGENER[[#This Row],[HORAS]],"
KW-HR: ",BDEGENER[[#This Row],[KW-HORA]],"
VOLT.BATERIA: ",BDEGENER[[#This Row],[VOLTAJE DE BATERIA]],"
TEMPERATURA: ",BDEGENER[[#This Row],[TEMPERATURA DE AGUA]],"
PRES. ACEITE: ",BDEGENER[[#This Row],[PRESION DE ACEITE]])</f>
        <v xml:space="preserve">HORAS: 2079,6
KW-HR: 30022,5
VOLT.BATERIA: 
TEMPERATURA: 
PRES. ACEITE: </v>
      </c>
      <c r="AV139" s="683">
        <f>COUNTIFS(Q139:Q2139,"MANTENIMIENTO CORRECTIVO",Y139:Y2139,BDEGENER[[#This Row],[SERIE]])</f>
        <v>4</v>
      </c>
      <c r="AW139" s="683">
        <f>COUNTIFS(Q139:Q2139,"MANTENIMIENTO PREVENTIVO",Y139:Y2139,BDEGENER[[#This Row],[SERIE]])</f>
        <v>7</v>
      </c>
      <c r="AX13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139" s="683">
        <f>COUNTIFS(BDEGENER[SERIE],BDEGENER[[#This Row],[SERIE]],BDEGENER[TIPO DE SERVICIO],"MANTENIMIENTO PREVENTIVO")</f>
        <v>8</v>
      </c>
      <c r="AZ139" s="683" t="str">
        <f>CONCATENATE("MANTENIMIENTO PREVENTIVO N°",BDEGENER[[#This Row],[GA1]])</f>
        <v>MANTENIMIENTO PREVENTIVO N°8</v>
      </c>
      <c r="BA139" s="683" t="str">
        <f>IF(BDEGENER[[#This Row],[SERVICIO]]=BDEGENER[[#This Row],[GA2]],BDEGENER[[#This Row],[HORAS]],"0")</f>
        <v>0</v>
      </c>
      <c r="BB139" s="683">
        <f>SUMIF(BDEGENER[SERIE],BDEGENER[[#This Row],[SERIE]],BDEGENER[GA3])</f>
        <v>2186.3000000000002</v>
      </c>
      <c r="BC139" s="761" t="str">
        <f>CONCATENATE("MANT",COUNTIF($Y$7:Y139,Y139))</f>
        <v>MANT2</v>
      </c>
      <c r="BD139" s="683" t="str">
        <f>CONCATENATE(BDEGENER[[#This Row],[SERIE]],BDEGENER[[#This Row],[GA5]])</f>
        <v>3004402508MANT2</v>
      </c>
      <c r="BE139" s="683" t="str">
        <f>CONCATENATE(BDEGENER[[#This Row],[CODIGO PATRIMONIAL]],BDEGENER[[#This Row],[GA5]])</f>
        <v>MANT2</v>
      </c>
      <c r="BF139" s="683">
        <f>COUNTIF(BDEGENER[SERIE],BDEGENER[[#This Row],[SERIE]])</f>
        <v>15</v>
      </c>
      <c r="BG139" s="761" t="str">
        <f>CONCATENATE("F",COUNTIF($K$7:K139,K139))</f>
        <v>F1</v>
      </c>
      <c r="BH139" s="683" t="str">
        <f>CONCATENATE(BDEGENER[[#This Row],[FECHA DE SERVICIO]],BDEGENER[[#This Row],[N° DE REGISTROS DEL DIA]])</f>
        <v>44124F1</v>
      </c>
      <c r="BI139" s="684">
        <v>30022.5</v>
      </c>
      <c r="BJ139" s="683" t="s">
        <v>1544</v>
      </c>
      <c r="BK139" s="762"/>
    </row>
    <row r="140" spans="2:63" ht="69" hidden="1" x14ac:dyDescent="0.3">
      <c r="B140" s="2"/>
      <c r="C140" s="2"/>
      <c r="D140" s="2"/>
      <c r="E140" s="2"/>
      <c r="F140" s="2"/>
      <c r="G140" s="2"/>
      <c r="H140" s="2"/>
      <c r="I140" s="2"/>
      <c r="J140" s="685"/>
      <c r="K140" s="682">
        <v>44124</v>
      </c>
      <c r="L140" s="683" t="s">
        <v>181</v>
      </c>
      <c r="M140" s="683" t="s">
        <v>190</v>
      </c>
      <c r="N140" s="683" t="s">
        <v>183</v>
      </c>
      <c r="O140" s="683"/>
      <c r="P140" s="683"/>
      <c r="Q140" s="683" t="s">
        <v>107</v>
      </c>
      <c r="R140" s="683"/>
      <c r="S140" s="686" t="s">
        <v>3742</v>
      </c>
      <c r="T140" s="683" t="s">
        <v>3743</v>
      </c>
      <c r="U140" s="683" t="s">
        <v>3744</v>
      </c>
      <c r="V140" s="683" t="s">
        <v>146</v>
      </c>
      <c r="W140" s="683" t="s">
        <v>914</v>
      </c>
      <c r="X140" s="691" t="s">
        <v>918</v>
      </c>
      <c r="Y140" s="687">
        <v>3004336197</v>
      </c>
      <c r="Z140" s="692"/>
      <c r="AA140" s="683" t="s">
        <v>33</v>
      </c>
      <c r="AB140" s="683" t="s">
        <v>34</v>
      </c>
      <c r="AC140" s="683" t="s">
        <v>230</v>
      </c>
      <c r="AD140" s="683"/>
      <c r="AE140" s="683"/>
      <c r="AF140" s="684">
        <v>2494.3000000000002</v>
      </c>
      <c r="AG140" s="683" t="s">
        <v>243</v>
      </c>
      <c r="AH140" s="683" t="s">
        <v>220</v>
      </c>
      <c r="AI140" s="683" t="s">
        <v>33</v>
      </c>
      <c r="AJ140" s="683">
        <v>3004309062</v>
      </c>
      <c r="AK140" s="683" t="s">
        <v>33</v>
      </c>
      <c r="AL140" s="683">
        <v>10650720</v>
      </c>
      <c r="AM140" s="683"/>
      <c r="AN140" s="683"/>
      <c r="AO140" s="683"/>
      <c r="AP140" s="683" t="s">
        <v>240</v>
      </c>
      <c r="AQ140" s="683" t="str">
        <f>CONCATENATE("REG-",BDEGENER[[#This Row],[FECHA DE SERVICIO]],"-",BDEGENER[[#This Row],[SERIE]],"-",BDEGENER[[#This Row],[HORAS]])</f>
        <v>REG-44124-3004336197-2494,3</v>
      </c>
      <c r="AR140" s="683" t="str">
        <f>CONCATENATE("MARCA: ",BDEGENER[[#This Row],[MARCA]],"
 MODELO: ",BDEGENER[[#This Row],[MODELO]])</f>
        <v>MARCA: GENERAC
 MODELO: PG090</v>
      </c>
      <c r="AS140" s="683" t="str">
        <f>CONCATENATE("MARCA: ",BDEGENER[[#This Row],[MARCA DE MOTOR]],"
SERIE: ",BDEGENER[[#This Row],[SERIE DE MOTOR]])</f>
        <v>MARCA: GENERAC
SERIE: 3004309062</v>
      </c>
      <c r="AT140" s="683" t="str">
        <f>CONCATENATE("MARCA: ",BDEGENER[[#This Row],[MARCA ALTERNADOR ]],"
SERIE: ",BDEGENER[[#This Row],[SERIE DE ALTERNADOR]])</f>
        <v>MARCA: GENERAC
SERIE: 10650720</v>
      </c>
      <c r="AU140" s="683" t="str">
        <f>CONCATENATE("HORAS: ",BDEGENER[[#This Row],[HORAS]],"
KW-HR: ",BDEGENER[[#This Row],[KW-HORA]],"
VOLT.BATERIA: ",BDEGENER[[#This Row],[VOLTAJE DE BATERIA]],"
TEMPERATURA: ",BDEGENER[[#This Row],[TEMPERATURA DE AGUA]],"
PRES. ACEITE: ",BDEGENER[[#This Row],[PRESION DE ACEITE]])</f>
        <v xml:space="preserve">HORAS: 2494,3
KW-HR: 59957,7
VOLT.BATERIA: 
TEMPERATURA: 
PRES. ACEITE: </v>
      </c>
      <c r="AV140" s="683">
        <f>COUNTIFS(Q140:Q2140,"MANTENIMIENTO CORRECTIVO",Y140:Y2140,BDEGENER[[#This Row],[SERIE]])</f>
        <v>5</v>
      </c>
      <c r="AW140" s="683">
        <f>COUNTIFS(Q140:Q2140,"MANTENIMIENTO PREVENTIVO",Y140:Y2140,BDEGENER[[#This Row],[SERIE]])</f>
        <v>8</v>
      </c>
      <c r="AX14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N°5</v>
      </c>
      <c r="AY140" s="683">
        <f>COUNTIFS(BDEGENER[SERIE],BDEGENER[[#This Row],[SERIE]],BDEGENER[TIPO DE SERVICIO],"MANTENIMIENTO PREVENTIVO")</f>
        <v>9</v>
      </c>
      <c r="AZ140" s="683" t="str">
        <f>CONCATENATE("MANTENIMIENTO PREVENTIVO N°",BDEGENER[[#This Row],[GA1]])</f>
        <v>MANTENIMIENTO PREVENTIVO N°9</v>
      </c>
      <c r="BA140" s="683" t="str">
        <f>IF(BDEGENER[[#This Row],[SERVICIO]]=BDEGENER[[#This Row],[GA2]],BDEGENER[[#This Row],[HORAS]],"0")</f>
        <v>0</v>
      </c>
      <c r="BB140" s="683">
        <f>SUMIF(BDEGENER[SERIE],BDEGENER[[#This Row],[SERIE]],BDEGENER[GA3])</f>
        <v>2922.3</v>
      </c>
      <c r="BC140" s="683" t="str">
        <f>CONCATENATE("MANT",COUNTIF($Y$7:Y140,Y140))</f>
        <v>MANT2</v>
      </c>
      <c r="BD140" s="683" t="str">
        <f>CONCATENATE(BDEGENER[[#This Row],[SERIE]],BDEGENER[[#This Row],[GA5]])</f>
        <v>3004336197MANT2</v>
      </c>
      <c r="BE140" s="683" t="str">
        <f>CONCATENATE(BDEGENER[[#This Row],[CODIGO PATRIMONIAL]],BDEGENER[[#This Row],[GA5]])</f>
        <v>MANT2</v>
      </c>
      <c r="BF140" s="683">
        <f>COUNTIF(BDEGENER[SERIE],BDEGENER[[#This Row],[SERIE]])</f>
        <v>17</v>
      </c>
      <c r="BG140" s="683" t="str">
        <f>CONCATENATE("F",COUNTIF($K$7:K140,K140))</f>
        <v>F2</v>
      </c>
      <c r="BH140" s="683" t="str">
        <f>CONCATENATE(BDEGENER[[#This Row],[FECHA DE SERVICIO]],BDEGENER[[#This Row],[N° DE REGISTROS DEL DIA]])</f>
        <v>44124F2</v>
      </c>
      <c r="BI140" s="684">
        <v>59957.7</v>
      </c>
      <c r="BJ140" s="683" t="s">
        <v>1544</v>
      </c>
      <c r="BK140" s="762"/>
    </row>
    <row r="141" spans="2:63" ht="69" hidden="1" x14ac:dyDescent="0.3">
      <c r="B141" s="2"/>
      <c r="C141" s="2"/>
      <c r="D141" s="2"/>
      <c r="E141" s="2"/>
      <c r="F141" s="2"/>
      <c r="G141" s="2"/>
      <c r="H141" s="2"/>
      <c r="I141" s="2"/>
      <c r="J141" s="685"/>
      <c r="K141" s="682">
        <v>44124</v>
      </c>
      <c r="L141" s="683" t="s">
        <v>561</v>
      </c>
      <c r="M141" s="683" t="s">
        <v>2558</v>
      </c>
      <c r="N141" s="683" t="s">
        <v>586</v>
      </c>
      <c r="O141" s="683"/>
      <c r="P141" s="688" t="s">
        <v>3509</v>
      </c>
      <c r="Q141" s="683" t="s">
        <v>37</v>
      </c>
      <c r="R141" s="683" t="s">
        <v>1782</v>
      </c>
      <c r="S141" s="686" t="s">
        <v>3510</v>
      </c>
      <c r="T141" s="683" t="s">
        <v>2870</v>
      </c>
      <c r="U141" s="683" t="s">
        <v>2404</v>
      </c>
      <c r="V141" s="683" t="s">
        <v>147</v>
      </c>
      <c r="W141" s="683" t="s">
        <v>914</v>
      </c>
      <c r="X141" s="691" t="s">
        <v>918</v>
      </c>
      <c r="Y141" s="687">
        <v>3003932245</v>
      </c>
      <c r="Z141" s="692" t="s">
        <v>2617</v>
      </c>
      <c r="AA141" s="683" t="s">
        <v>33</v>
      </c>
      <c r="AB141" s="683" t="s">
        <v>34</v>
      </c>
      <c r="AC141" s="683" t="s">
        <v>235</v>
      </c>
      <c r="AD141" s="683" t="s">
        <v>1123</v>
      </c>
      <c r="AE141" s="683">
        <v>60</v>
      </c>
      <c r="AF141" s="684">
        <v>6194.9</v>
      </c>
      <c r="AG141" s="683" t="s">
        <v>243</v>
      </c>
      <c r="AH141" s="683" t="s">
        <v>220</v>
      </c>
      <c r="AI141" s="683" t="s">
        <v>33</v>
      </c>
      <c r="AJ141" s="683">
        <v>3003963173</v>
      </c>
      <c r="AK141" s="683" t="s">
        <v>33</v>
      </c>
      <c r="AL141" s="683"/>
      <c r="AM141" s="683" t="s">
        <v>1377</v>
      </c>
      <c r="AN141" s="683" t="s">
        <v>3511</v>
      </c>
      <c r="AO141" s="683" t="s">
        <v>247</v>
      </c>
      <c r="AP141" s="683" t="s">
        <v>240</v>
      </c>
      <c r="AQ141" s="688" t="str">
        <f>CONCATENATE("REG-",BDEGENER[[#This Row],[FECHA DE SERVICIO]],"-",BDEGENER[[#This Row],[SERIE]],"-",BDEGENER[[#This Row],[HORAS]])</f>
        <v>REG-44124-3003932245-6194,9</v>
      </c>
      <c r="AR141" s="683" t="str">
        <f>CONCATENATE("MARCA: ",BDEGENER[[#This Row],[MARCA]],"
 MODELO: ",BDEGENER[[#This Row],[MODELO]])</f>
        <v>MARCA: GENERAC
 MODELO: PG090</v>
      </c>
      <c r="AS141" s="683" t="str">
        <f>CONCATENATE("MARCA: ",BDEGENER[[#This Row],[MARCA DE MOTOR]],"
SERIE: ",BDEGENER[[#This Row],[SERIE DE MOTOR]])</f>
        <v>MARCA: GENERAC
SERIE: 3003963173</v>
      </c>
      <c r="AT141" s="683" t="str">
        <f>CONCATENATE("MARCA: ",BDEGENER[[#This Row],[MARCA ALTERNADOR ]],"
SERIE: ",BDEGENER[[#This Row],[SERIE DE ALTERNADOR]])</f>
        <v xml:space="preserve">MARCA: GENERAC
SERIE: </v>
      </c>
      <c r="AU141" s="683" t="str">
        <f>CONCATENATE("HORAS: ",BDEGENER[[#This Row],[HORAS]],"
KW-HR: ",BDEGENER[[#This Row],[KW-HORA]],"
VOLT.BATERIA: ",BDEGENER[[#This Row],[VOLTAJE DE BATERIA]],"
TEMPERATURA: ",BDEGENER[[#This Row],[TEMPERATURA DE AGUA]],"
PRES. ACEITE: ",BDEGENER[[#This Row],[PRESION DE ACEITE]])</f>
        <v>HORAS: 6194,9
KW-HR: 18741,1
VOLT.BATERIA: 13.8 V
TEMPERATURA: 157 °F
PRES. ACEITE: 55 PSI</v>
      </c>
      <c r="AV141" s="683">
        <f>COUNTIFS(Q141:Q2141,"MANTENIMIENTO CORRECTIVO",Y141:Y2141,BDEGENER[[#This Row],[SERIE]])</f>
        <v>0</v>
      </c>
      <c r="AW141" s="683">
        <f>COUNTIFS(Q141:Q2141,"MANTENIMIENTO PREVENTIVO",Y141:Y2141,BDEGENER[[#This Row],[SERIE]])</f>
        <v>7</v>
      </c>
      <c r="AX14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41" s="683">
        <f>COUNTIFS(BDEGENER[SERIE],BDEGENER[[#This Row],[SERIE]],BDEGENER[TIPO DE SERVICIO],"MANTENIMIENTO PREVENTIVO")</f>
        <v>9</v>
      </c>
      <c r="AZ141" s="683" t="str">
        <f>CONCATENATE("MANTENIMIENTO PREVENTIVO N°",BDEGENER[[#This Row],[GA1]])</f>
        <v>MANTENIMIENTO PREVENTIVO N°9</v>
      </c>
      <c r="BA141" s="683" t="str">
        <f>IF(BDEGENER[[#This Row],[SERVICIO]]=BDEGENER[[#This Row],[GA2]],BDEGENER[[#This Row],[HORAS]],"0")</f>
        <v>0</v>
      </c>
      <c r="BB141" s="683">
        <f>SUMIF(BDEGENER[SERIE],BDEGENER[[#This Row],[SERIE]],BDEGENER[GA3])</f>
        <v>6582.8</v>
      </c>
      <c r="BC141" s="683" t="str">
        <f>CONCATENATE("MANT",COUNTIF($Y$7:Y141,Y141))</f>
        <v>MANT4</v>
      </c>
      <c r="BD141" s="683" t="str">
        <f>CONCATENATE(BDEGENER[[#This Row],[SERIE]],BDEGENER[[#This Row],[GA5]])</f>
        <v>3003932245MANT4</v>
      </c>
      <c r="BE141" s="683" t="str">
        <f>CONCATENATE(BDEGENER[[#This Row],[CODIGO PATRIMONIAL]],BDEGENER[[#This Row],[GA5]])</f>
        <v>NOR-GEG-0019MANT4</v>
      </c>
      <c r="BF141" s="683">
        <f>COUNTIF(BDEGENER[SERIE],BDEGENER[[#This Row],[SERIE]])</f>
        <v>10</v>
      </c>
      <c r="BG141" s="683" t="str">
        <f>CONCATENATE("F",COUNTIF($K$7:K141,K141))</f>
        <v>F3</v>
      </c>
      <c r="BH141" s="683" t="str">
        <f>CONCATENATE(BDEGENER[[#This Row],[FECHA DE SERVICIO]],BDEGENER[[#This Row],[N° DE REGISTROS DEL DIA]])</f>
        <v>44124F3</v>
      </c>
      <c r="BI141" s="684">
        <v>18741.099999999999</v>
      </c>
      <c r="BJ141" s="683" t="s">
        <v>1544</v>
      </c>
      <c r="BK141" s="762"/>
    </row>
    <row r="142" spans="2:63" ht="69" hidden="1" x14ac:dyDescent="0.3">
      <c r="B142" s="2"/>
      <c r="C142" s="2"/>
      <c r="D142" s="2"/>
      <c r="E142" s="2"/>
      <c r="F142" s="2"/>
      <c r="G142" s="2"/>
      <c r="H142" s="2"/>
      <c r="I142" s="2"/>
      <c r="J142" s="685"/>
      <c r="K142" s="682">
        <v>44124</v>
      </c>
      <c r="L142" s="683" t="s">
        <v>561</v>
      </c>
      <c r="M142" s="683" t="s">
        <v>2450</v>
      </c>
      <c r="N142" s="683" t="s">
        <v>584</v>
      </c>
      <c r="O142" s="683"/>
      <c r="P142" s="688" t="s">
        <v>3506</v>
      </c>
      <c r="Q142" s="683" t="s">
        <v>37</v>
      </c>
      <c r="R142" s="683" t="s">
        <v>1782</v>
      </c>
      <c r="S142" s="686" t="s">
        <v>3507</v>
      </c>
      <c r="T142" s="683" t="s">
        <v>2870</v>
      </c>
      <c r="U142" s="683" t="s">
        <v>3508</v>
      </c>
      <c r="V142" s="683" t="s">
        <v>147</v>
      </c>
      <c r="W142" s="683" t="s">
        <v>913</v>
      </c>
      <c r="X142" s="691" t="s">
        <v>918</v>
      </c>
      <c r="Y142" s="687">
        <v>3003987064</v>
      </c>
      <c r="Z142" s="692" t="s">
        <v>2614</v>
      </c>
      <c r="AA142" s="683" t="s">
        <v>33</v>
      </c>
      <c r="AB142" s="683" t="s">
        <v>217</v>
      </c>
      <c r="AC142" s="683" t="s">
        <v>749</v>
      </c>
      <c r="AD142" s="683" t="s">
        <v>1123</v>
      </c>
      <c r="AE142" s="683">
        <v>60</v>
      </c>
      <c r="AF142" s="684">
        <v>5570.3</v>
      </c>
      <c r="AG142" s="683" t="s">
        <v>243</v>
      </c>
      <c r="AH142" s="683" t="s">
        <v>1803</v>
      </c>
      <c r="AI142" s="683" t="s">
        <v>2553</v>
      </c>
      <c r="AJ142" s="683"/>
      <c r="AK142" s="683" t="s">
        <v>33</v>
      </c>
      <c r="AL142" s="683"/>
      <c r="AM142" s="683" t="s">
        <v>2319</v>
      </c>
      <c r="AN142" s="683"/>
      <c r="AO142" s="683"/>
      <c r="AP142" s="683" t="s">
        <v>240</v>
      </c>
      <c r="AQ142" s="688" t="str">
        <f>CONCATENATE("REG-",BDEGENER[[#This Row],[FECHA DE SERVICIO]],"-",BDEGENER[[#This Row],[SERIE]],"-",BDEGENER[[#This Row],[HORAS]])</f>
        <v>REG-44124-3003987064-5570,3</v>
      </c>
      <c r="AR142" s="683" t="str">
        <f>CONCATENATE("MARCA: ",BDEGENER[[#This Row],[MARCA]],"
 MODELO: ",BDEGENER[[#This Row],[MODELO]])</f>
        <v>MARCA: GENERAC
 MODELO: RG022</v>
      </c>
      <c r="AS142" s="683" t="str">
        <f>CONCATENATE("MARCA: ",BDEGENER[[#This Row],[MARCA DE MOTOR]],"
SERIE: ",BDEGENER[[#This Row],[SERIE DE MOTOR]])</f>
        <v xml:space="preserve">MARCA: MITSUBISHI
SERIE: </v>
      </c>
      <c r="AT142" s="683" t="str">
        <f>CONCATENATE("MARCA: ",BDEGENER[[#This Row],[MARCA ALTERNADOR ]],"
SERIE: ",BDEGENER[[#This Row],[SERIE DE ALTERNADOR]])</f>
        <v xml:space="preserve">MARCA: GENERAC
SERIE: </v>
      </c>
      <c r="AU142" s="683" t="str">
        <f>CONCATENATE("HORAS: ",BDEGENER[[#This Row],[HORAS]],"
KW-HR: ",BDEGENER[[#This Row],[KW-HORA]],"
VOLT.BATERIA: ",BDEGENER[[#This Row],[VOLTAJE DE BATERIA]],"
TEMPERATURA: ",BDEGENER[[#This Row],[TEMPERATURA DE AGUA]],"
PRES. ACEITE: ",BDEGENER[[#This Row],[PRESION DE ACEITE]])</f>
        <v xml:space="preserve">HORAS: 5570,3
KW-HR: 
VOLT.BATERIA: 14.3 V
TEMPERATURA: 
PRES. ACEITE: </v>
      </c>
      <c r="AV142" s="683">
        <f>COUNTIFS(Q142:Q2142,"MANTENIMIENTO CORRECTIVO",Y142:Y2142,BDEGENER[[#This Row],[SERIE]])</f>
        <v>0</v>
      </c>
      <c r="AW142" s="683">
        <f>COUNTIFS(Q142:Q2142,"MANTENIMIENTO PREVENTIVO",Y142:Y2142,BDEGENER[[#This Row],[SERIE]])</f>
        <v>9</v>
      </c>
      <c r="AX14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142" s="683">
        <f>COUNTIFS(BDEGENER[SERIE],BDEGENER[[#This Row],[SERIE]],BDEGENER[TIPO DE SERVICIO],"MANTENIMIENTO PREVENTIVO")</f>
        <v>11</v>
      </c>
      <c r="AZ142" s="683" t="str">
        <f>CONCATENATE("MANTENIMIENTO PREVENTIVO N°",BDEGENER[[#This Row],[GA1]])</f>
        <v>MANTENIMIENTO PREVENTIVO N°11</v>
      </c>
      <c r="BA142" s="683" t="str">
        <f>IF(BDEGENER[[#This Row],[SERVICIO]]=BDEGENER[[#This Row],[GA2]],BDEGENER[[#This Row],[HORAS]],"0")</f>
        <v>0</v>
      </c>
      <c r="BB142" s="683">
        <f>SUMIF(BDEGENER[SERIE],BDEGENER[[#This Row],[SERIE]],BDEGENER[GA3])</f>
        <v>6420.8</v>
      </c>
      <c r="BC142" s="761" t="str">
        <f>CONCATENATE("MANT",COUNTIF($Y$7:Y142,Y142))</f>
        <v>MANT4</v>
      </c>
      <c r="BD142" s="683" t="str">
        <f>CONCATENATE(BDEGENER[[#This Row],[SERIE]],BDEGENER[[#This Row],[GA5]])</f>
        <v>3003987064MANT4</v>
      </c>
      <c r="BE142" s="683" t="str">
        <f>CONCATENATE(BDEGENER[[#This Row],[CODIGO PATRIMONIAL]],BDEGENER[[#This Row],[GA5]])</f>
        <v>NOR-GEG-0016MANT4</v>
      </c>
      <c r="BF142" s="683">
        <f>COUNTIF(BDEGENER[SERIE],BDEGENER[[#This Row],[SERIE]])</f>
        <v>12</v>
      </c>
      <c r="BG142" s="761" t="str">
        <f>CONCATENATE("F",COUNTIF($K$7:K142,K142))</f>
        <v>F4</v>
      </c>
      <c r="BH142" s="683" t="str">
        <f>CONCATENATE(BDEGENER[[#This Row],[FECHA DE SERVICIO]],BDEGENER[[#This Row],[N° DE REGISTROS DEL DIA]])</f>
        <v>44124F4</v>
      </c>
      <c r="BI142" s="684"/>
      <c r="BJ142" s="683" t="s">
        <v>1544</v>
      </c>
      <c r="BK142" s="762"/>
    </row>
    <row r="143" spans="2:63" ht="69" hidden="1" x14ac:dyDescent="0.3">
      <c r="B143" s="2"/>
      <c r="C143" s="2"/>
      <c r="D143" s="2"/>
      <c r="E143" s="2"/>
      <c r="F143" s="2"/>
      <c r="G143" s="2"/>
      <c r="H143" s="2"/>
      <c r="I143" s="2"/>
      <c r="J143" s="685"/>
      <c r="K143" s="682">
        <v>44124</v>
      </c>
      <c r="L143" s="683" t="s">
        <v>561</v>
      </c>
      <c r="M143" s="683" t="s">
        <v>588</v>
      </c>
      <c r="N143" s="683" t="s">
        <v>589</v>
      </c>
      <c r="O143" s="683"/>
      <c r="P143" s="688" t="s">
        <v>3504</v>
      </c>
      <c r="Q143" s="683" t="s">
        <v>37</v>
      </c>
      <c r="R143" s="683" t="s">
        <v>1782</v>
      </c>
      <c r="S143" s="686" t="s">
        <v>3505</v>
      </c>
      <c r="T143" s="683" t="s">
        <v>2989</v>
      </c>
      <c r="U143" s="683" t="s">
        <v>2488</v>
      </c>
      <c r="V143" s="683" t="s">
        <v>147</v>
      </c>
      <c r="W143" s="683" t="s">
        <v>914</v>
      </c>
      <c r="X143" s="691" t="s">
        <v>918</v>
      </c>
      <c r="Y143" s="687">
        <v>3003566699</v>
      </c>
      <c r="Z143" s="692" t="s">
        <v>2619</v>
      </c>
      <c r="AA143" s="683" t="s">
        <v>33</v>
      </c>
      <c r="AB143" s="683" t="s">
        <v>34</v>
      </c>
      <c r="AC143" s="683" t="s">
        <v>230</v>
      </c>
      <c r="AD143" s="683" t="s">
        <v>1123</v>
      </c>
      <c r="AE143" s="683">
        <v>60</v>
      </c>
      <c r="AF143" s="684">
        <v>7304.7</v>
      </c>
      <c r="AG143" s="683" t="s">
        <v>243</v>
      </c>
      <c r="AH143" s="683" t="s">
        <v>244</v>
      </c>
      <c r="AI143" s="683" t="s">
        <v>33</v>
      </c>
      <c r="AJ143" s="683">
        <v>3003412044</v>
      </c>
      <c r="AK143" s="683" t="s">
        <v>33</v>
      </c>
      <c r="AL143" s="683">
        <v>811745</v>
      </c>
      <c r="AM143" s="683" t="s">
        <v>1145</v>
      </c>
      <c r="AN143" s="683" t="s">
        <v>2878</v>
      </c>
      <c r="AO143" s="683" t="s">
        <v>1349</v>
      </c>
      <c r="AP143" s="683" t="s">
        <v>240</v>
      </c>
      <c r="AQ143" s="688" t="str">
        <f>CONCATENATE("REG-",BDEGENER[[#This Row],[FECHA DE SERVICIO]],"-",BDEGENER[[#This Row],[SERIE]],"-",BDEGENER[[#This Row],[HORAS]])</f>
        <v>REG-44124-3003566699-7304,7</v>
      </c>
      <c r="AR143" s="683" t="str">
        <f>CONCATENATE("MARCA: ",BDEGENER[[#This Row],[MARCA]],"
 MODELO: ",BDEGENER[[#This Row],[MODELO]])</f>
        <v>MARCA: GENERAC
 MODELO: PG090</v>
      </c>
      <c r="AS143" s="683" t="str">
        <f>CONCATENATE("MARCA: ",BDEGENER[[#This Row],[MARCA DE MOTOR]],"
SERIE: ",BDEGENER[[#This Row],[SERIE DE MOTOR]])</f>
        <v>MARCA: GENERAC
SERIE: 3003412044</v>
      </c>
      <c r="AT143" s="683" t="str">
        <f>CONCATENATE("MARCA: ",BDEGENER[[#This Row],[MARCA ALTERNADOR ]],"
SERIE: ",BDEGENER[[#This Row],[SERIE DE ALTERNADOR]])</f>
        <v>MARCA: GENERAC
SERIE: 811745</v>
      </c>
      <c r="AU143" s="683" t="str">
        <f>CONCATENATE("HORAS: ",BDEGENER[[#This Row],[HORAS]],"
KW-HR: ",BDEGENER[[#This Row],[KW-HORA]],"
VOLT.BATERIA: ",BDEGENER[[#This Row],[VOLTAJE DE BATERIA]],"
TEMPERATURA: ",BDEGENER[[#This Row],[TEMPERATURA DE AGUA]],"
PRES. ACEITE: ",BDEGENER[[#This Row],[PRESION DE ACEITE]])</f>
        <v>HORAS: 7304,7
KW-HR: 174645,4
VOLT.BATERIA: 13.4 V
TEMPERATURA: 155 °F
PRES. ACEITE: 56 PSI</v>
      </c>
      <c r="AV143" s="683">
        <f>COUNTIFS(Q143:Q2143,"MANTENIMIENTO CORRECTIVO",Y143:Y2143,BDEGENER[[#This Row],[SERIE]])</f>
        <v>4</v>
      </c>
      <c r="AW143" s="683">
        <f>COUNTIFS(Q143:Q2143,"MANTENIMIENTO PREVENTIVO",Y143:Y2143,BDEGENER[[#This Row],[SERIE]])</f>
        <v>9</v>
      </c>
      <c r="AX14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143" s="683">
        <f>COUNTIFS(BDEGENER[SERIE],BDEGENER[[#This Row],[SERIE]],BDEGENER[TIPO DE SERVICIO],"MANTENIMIENTO PREVENTIVO")</f>
        <v>12</v>
      </c>
      <c r="AZ143" s="683" t="str">
        <f>CONCATENATE("MANTENIMIENTO PREVENTIVO N°",BDEGENER[[#This Row],[GA1]])</f>
        <v>MANTENIMIENTO PREVENTIVO N°12</v>
      </c>
      <c r="BA143" s="683" t="str">
        <f>IF(BDEGENER[[#This Row],[SERVICIO]]=BDEGENER[[#This Row],[GA2]],BDEGENER[[#This Row],[HORAS]],"0")</f>
        <v>0</v>
      </c>
      <c r="BB143" s="683">
        <f>SUMIF(BDEGENER[SERIE],BDEGENER[[#This Row],[SERIE]],BDEGENER[GA3])</f>
        <v>8154.7</v>
      </c>
      <c r="BC143" s="683" t="str">
        <f>CONCATENATE("MANT",COUNTIF($Y$7:Y143,Y143))</f>
        <v>MANT4</v>
      </c>
      <c r="BD143" s="683" t="str">
        <f>CONCATENATE(BDEGENER[[#This Row],[SERIE]],BDEGENER[[#This Row],[GA5]])</f>
        <v>3003566699MANT4</v>
      </c>
      <c r="BE143" s="683" t="str">
        <f>CONCATENATE(BDEGENER[[#This Row],[CODIGO PATRIMONIAL]],BDEGENER[[#This Row],[GA5]])</f>
        <v>NOR-GEG-0021MANT4</v>
      </c>
      <c r="BF143" s="683">
        <f>COUNTIF(BDEGENER[SERIE],BDEGENER[[#This Row],[SERIE]])</f>
        <v>17</v>
      </c>
      <c r="BG143" s="683" t="str">
        <f>CONCATENATE("F",COUNTIF($K$7:K143,K143))</f>
        <v>F5</v>
      </c>
      <c r="BH143" s="683" t="str">
        <f>CONCATENATE(BDEGENER[[#This Row],[FECHA DE SERVICIO]],BDEGENER[[#This Row],[N° DE REGISTROS DEL DIA]])</f>
        <v>44124F5</v>
      </c>
      <c r="BI143" s="684">
        <v>174645.4</v>
      </c>
      <c r="BJ143" s="683" t="s">
        <v>1544</v>
      </c>
      <c r="BK143" s="762" t="s">
        <v>853</v>
      </c>
    </row>
    <row r="144" spans="2:63" ht="69" hidden="1" x14ac:dyDescent="0.3">
      <c r="B144" s="2"/>
      <c r="C144" s="2"/>
      <c r="D144" s="2"/>
      <c r="E144" s="2"/>
      <c r="F144" s="2"/>
      <c r="G144" s="2"/>
      <c r="H144" s="2"/>
      <c r="I144" s="2"/>
      <c r="J144" s="685"/>
      <c r="K144" s="682">
        <v>44123</v>
      </c>
      <c r="L144" s="683" t="s">
        <v>561</v>
      </c>
      <c r="M144" s="683" t="s">
        <v>2439</v>
      </c>
      <c r="N144" s="683" t="s">
        <v>564</v>
      </c>
      <c r="O144" s="683"/>
      <c r="P144" s="688" t="s">
        <v>3480</v>
      </c>
      <c r="Q144" s="683" t="s">
        <v>37</v>
      </c>
      <c r="R144" s="683" t="s">
        <v>1782</v>
      </c>
      <c r="S144" s="686" t="s">
        <v>3477</v>
      </c>
      <c r="T144" s="683" t="s">
        <v>3244</v>
      </c>
      <c r="U144" s="683" t="s">
        <v>3478</v>
      </c>
      <c r="V144" s="683" t="s">
        <v>147</v>
      </c>
      <c r="W144" s="683" t="s">
        <v>914</v>
      </c>
      <c r="X144" s="691" t="s">
        <v>918</v>
      </c>
      <c r="Y144" s="687">
        <v>3003962766</v>
      </c>
      <c r="Z144" s="692" t="s">
        <v>2602</v>
      </c>
      <c r="AA144" s="683" t="s">
        <v>33</v>
      </c>
      <c r="AB144" s="683" t="s">
        <v>34</v>
      </c>
      <c r="AC144" s="683" t="s">
        <v>230</v>
      </c>
      <c r="AD144" s="683" t="s">
        <v>1123</v>
      </c>
      <c r="AE144" s="683">
        <v>60</v>
      </c>
      <c r="AF144" s="684">
        <v>4181.8</v>
      </c>
      <c r="AG144" s="683" t="s">
        <v>243</v>
      </c>
      <c r="AH144" s="683" t="s">
        <v>220</v>
      </c>
      <c r="AI144" s="683" t="s">
        <v>33</v>
      </c>
      <c r="AJ144" s="683">
        <v>3003966248</v>
      </c>
      <c r="AK144" s="683" t="s">
        <v>33</v>
      </c>
      <c r="AL144" s="683"/>
      <c r="AM144" s="683" t="s">
        <v>3423</v>
      </c>
      <c r="AN144" s="683" t="s">
        <v>3479</v>
      </c>
      <c r="AO144" s="683" t="s">
        <v>1144</v>
      </c>
      <c r="AP144" s="683" t="s">
        <v>240</v>
      </c>
      <c r="AQ144" s="688" t="str">
        <f>CONCATENATE("REG-",BDEGENER[[#This Row],[FECHA DE SERVICIO]],"-",BDEGENER[[#This Row],[SERIE]],"-",BDEGENER[[#This Row],[HORAS]])</f>
        <v>REG-44123-3003962766-4181,8</v>
      </c>
      <c r="AR144" s="683" t="str">
        <f>CONCATENATE("MARCA: ",BDEGENER[[#This Row],[MARCA]],"
 MODELO: ",BDEGENER[[#This Row],[MODELO]])</f>
        <v>MARCA: GENERAC
 MODELO: PG090</v>
      </c>
      <c r="AS144" s="683" t="str">
        <f>CONCATENATE("MARCA: ",BDEGENER[[#This Row],[MARCA DE MOTOR]],"
SERIE: ",BDEGENER[[#This Row],[SERIE DE MOTOR]])</f>
        <v>MARCA: GENERAC
SERIE: 3003966248</v>
      </c>
      <c r="AT144" s="683" t="str">
        <f>CONCATENATE("MARCA: ",BDEGENER[[#This Row],[MARCA ALTERNADOR ]],"
SERIE: ",BDEGENER[[#This Row],[SERIE DE ALTERNADOR]])</f>
        <v xml:space="preserve">MARCA: GENERAC
SERIE: </v>
      </c>
      <c r="AU144" s="683" t="str">
        <f>CONCATENATE("HORAS: ",BDEGENER[[#This Row],[HORAS]],"
KW-HR: ",BDEGENER[[#This Row],[KW-HORA]],"
VOLT.BATERIA: ",BDEGENER[[#This Row],[VOLTAJE DE BATERIA]],"
TEMPERATURA: ",BDEGENER[[#This Row],[TEMPERATURA DE AGUA]],"
PRES. ACEITE: ",BDEGENER[[#This Row],[PRESION DE ACEITE]])</f>
        <v>HORAS: 4181,8
KW-HR: 
VOLT.BATERIA: 14.6 V
TEMPERATURA: 195°F
PRES. ACEITE: 59 PSI</v>
      </c>
      <c r="AV144" s="683">
        <f>COUNTIFS(Q144:Q2144,"MANTENIMIENTO CORRECTIVO",Y144:Y2144,BDEGENER[[#This Row],[SERIE]])</f>
        <v>2</v>
      </c>
      <c r="AW144" s="683">
        <f>COUNTIFS(Q144:Q2144,"MANTENIMIENTO PREVENTIVO",Y144:Y2144,BDEGENER[[#This Row],[SERIE]])</f>
        <v>8</v>
      </c>
      <c r="AX14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44" s="683">
        <f>COUNTIFS(BDEGENER[SERIE],BDEGENER[[#This Row],[SERIE]],BDEGENER[TIPO DE SERVICIO],"MANTENIMIENTO PREVENTIVO")</f>
        <v>9</v>
      </c>
      <c r="AZ144" s="683" t="str">
        <f>CONCATENATE("MANTENIMIENTO PREVENTIVO N°",BDEGENER[[#This Row],[GA1]])</f>
        <v>MANTENIMIENTO PREVENTIVO N°9</v>
      </c>
      <c r="BA144" s="683" t="str">
        <f>IF(BDEGENER[[#This Row],[SERVICIO]]=BDEGENER[[#This Row],[GA2]],BDEGENER[[#This Row],[HORAS]],"0")</f>
        <v>0</v>
      </c>
      <c r="BB144" s="683">
        <f>SUMIF(BDEGENER[SERIE],BDEGENER[[#This Row],[SERIE]],BDEGENER[GA3])</f>
        <v>4662.2</v>
      </c>
      <c r="BC144" s="683" t="str">
        <f>CONCATENATE("MANT",COUNTIF($Y$7:Y144,Y144))</f>
        <v>MANT5</v>
      </c>
      <c r="BD144" s="683" t="str">
        <f>CONCATENATE(BDEGENER[[#This Row],[SERIE]],BDEGENER[[#This Row],[GA5]])</f>
        <v>3003962766MANT5</v>
      </c>
      <c r="BE144" s="683" t="str">
        <f>CONCATENATE(BDEGENER[[#This Row],[CODIGO PATRIMONIAL]],BDEGENER[[#This Row],[GA5]])</f>
        <v>SUR-GEG-0006MANT5</v>
      </c>
      <c r="BF144" s="683">
        <f>COUNTIF(BDEGENER[SERIE],BDEGENER[[#This Row],[SERIE]])</f>
        <v>16</v>
      </c>
      <c r="BG144" s="683" t="str">
        <f>CONCATENATE("F",COUNTIF($K$7:K144,K144))</f>
        <v>F1</v>
      </c>
      <c r="BH144" s="683" t="str">
        <f>CONCATENATE(BDEGENER[[#This Row],[FECHA DE SERVICIO]],BDEGENER[[#This Row],[N° DE REGISTROS DEL DIA]])</f>
        <v>44123F1</v>
      </c>
      <c r="BI144" s="684"/>
      <c r="BJ144" s="683" t="s">
        <v>1544</v>
      </c>
      <c r="BK144" s="762"/>
    </row>
    <row r="145" spans="2:63" ht="69" hidden="1" x14ac:dyDescent="0.3">
      <c r="B145" s="2"/>
      <c r="C145" s="2"/>
      <c r="D145" s="2"/>
      <c r="E145" s="2"/>
      <c r="F145" s="2"/>
      <c r="G145" s="2"/>
      <c r="H145" s="2"/>
      <c r="I145" s="2"/>
      <c r="J145" s="685"/>
      <c r="K145" s="682">
        <v>44123</v>
      </c>
      <c r="L145" s="683" t="s">
        <v>561</v>
      </c>
      <c r="M145" s="683" t="s">
        <v>2445</v>
      </c>
      <c r="N145" s="683" t="s">
        <v>2549</v>
      </c>
      <c r="O145" s="683"/>
      <c r="P145" s="688" t="s">
        <v>3473</v>
      </c>
      <c r="Q145" s="683" t="s">
        <v>37</v>
      </c>
      <c r="R145" s="683" t="s">
        <v>1782</v>
      </c>
      <c r="S145" s="686" t="s">
        <v>3474</v>
      </c>
      <c r="T145" s="683" t="s">
        <v>3475</v>
      </c>
      <c r="U145" s="683" t="s">
        <v>3476</v>
      </c>
      <c r="V145" s="683" t="s">
        <v>147</v>
      </c>
      <c r="W145" s="683" t="s">
        <v>913</v>
      </c>
      <c r="X145" s="691" t="s">
        <v>918</v>
      </c>
      <c r="Y145" s="687">
        <v>3004597773</v>
      </c>
      <c r="Z145" s="692" t="s">
        <v>2609</v>
      </c>
      <c r="AA145" s="683" t="s">
        <v>33</v>
      </c>
      <c r="AB145" s="683" t="s">
        <v>217</v>
      </c>
      <c r="AC145" s="683" t="s">
        <v>750</v>
      </c>
      <c r="AD145" s="683" t="s">
        <v>1123</v>
      </c>
      <c r="AE145" s="683">
        <v>60</v>
      </c>
      <c r="AF145" s="684">
        <v>3087.7</v>
      </c>
      <c r="AG145" s="683" t="s">
        <v>243</v>
      </c>
      <c r="AH145" s="683" t="s">
        <v>1803</v>
      </c>
      <c r="AI145" s="683" t="s">
        <v>2553</v>
      </c>
      <c r="AJ145" s="683"/>
      <c r="AK145" s="683" t="s">
        <v>33</v>
      </c>
      <c r="AL145" s="683"/>
      <c r="AM145" s="683" t="s">
        <v>1094</v>
      </c>
      <c r="AN145" s="683"/>
      <c r="AO145" s="683"/>
      <c r="AP145" s="683" t="s">
        <v>240</v>
      </c>
      <c r="AQ145" s="688" t="str">
        <f>CONCATENATE("REG-",BDEGENER[[#This Row],[FECHA DE SERVICIO]],"-",BDEGENER[[#This Row],[SERIE]],"-",BDEGENER[[#This Row],[HORAS]])</f>
        <v>REG-44123-3004597773-3087,7</v>
      </c>
      <c r="AR145" s="683" t="str">
        <f>CONCATENATE("MARCA: ",BDEGENER[[#This Row],[MARCA]],"
 MODELO: ",BDEGENER[[#This Row],[MODELO]])</f>
        <v>MARCA: GENERAC
 MODELO: RG022</v>
      </c>
      <c r="AS145" s="683" t="str">
        <f>CONCATENATE("MARCA: ",BDEGENER[[#This Row],[MARCA DE MOTOR]],"
SERIE: ",BDEGENER[[#This Row],[SERIE DE MOTOR]])</f>
        <v xml:space="preserve">MARCA: MITSUBISHI
SERIE: </v>
      </c>
      <c r="AT145" s="683" t="str">
        <f>CONCATENATE("MARCA: ",BDEGENER[[#This Row],[MARCA ALTERNADOR ]],"
SERIE: ",BDEGENER[[#This Row],[SERIE DE ALTERNADOR]])</f>
        <v xml:space="preserve">MARCA: GENERAC
SERIE: </v>
      </c>
      <c r="AU145" s="683" t="str">
        <f>CONCATENATE("HORAS: ",BDEGENER[[#This Row],[HORAS]],"
KW-HR: ",BDEGENER[[#This Row],[KW-HORA]],"
VOLT.BATERIA: ",BDEGENER[[#This Row],[VOLTAJE DE BATERIA]],"
TEMPERATURA: ",BDEGENER[[#This Row],[TEMPERATURA DE AGUA]],"
PRES. ACEITE: ",BDEGENER[[#This Row],[PRESION DE ACEITE]])</f>
        <v xml:space="preserve">HORAS: 3087,7
KW-HR: 
VOLT.BATERIA: 13.5 V
TEMPERATURA: 
PRES. ACEITE: </v>
      </c>
      <c r="AV145" s="683">
        <f>COUNTIFS(Q145:Q2145,"MANTENIMIENTO CORRECTIVO",Y145:Y2145,BDEGENER[[#This Row],[SERIE]])</f>
        <v>0</v>
      </c>
      <c r="AW145" s="683">
        <f>COUNTIFS(Q145:Q2145,"MANTENIMIENTO PREVENTIVO",Y145:Y2145,BDEGENER[[#This Row],[SERIE]])</f>
        <v>9</v>
      </c>
      <c r="AX14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145" s="683">
        <f>COUNTIFS(BDEGENER[SERIE],BDEGENER[[#This Row],[SERIE]],BDEGENER[TIPO DE SERVICIO],"MANTENIMIENTO PREVENTIVO")</f>
        <v>9</v>
      </c>
      <c r="AZ145" s="683" t="str">
        <f>CONCATENATE("MANTENIMIENTO PREVENTIVO N°",BDEGENER[[#This Row],[GA1]])</f>
        <v>MANTENIMIENTO PREVENTIVO N°9</v>
      </c>
      <c r="BA145" s="683">
        <f>IF(BDEGENER[[#This Row],[SERVICIO]]=BDEGENER[[#This Row],[GA2]],BDEGENER[[#This Row],[HORAS]],"0")</f>
        <v>3087.7</v>
      </c>
      <c r="BB145" s="683">
        <f>SUMIF(BDEGENER[SERIE],BDEGENER[[#This Row],[SERIE]],BDEGENER[GA3])</f>
        <v>3087.7</v>
      </c>
      <c r="BC145" s="761" t="str">
        <f>CONCATENATE("MANT",COUNTIF($Y$7:Y145,Y145))</f>
        <v>MANT1</v>
      </c>
      <c r="BD145" s="683" t="str">
        <f>CONCATENATE(BDEGENER[[#This Row],[SERIE]],BDEGENER[[#This Row],[GA5]])</f>
        <v>3004597773MANT1</v>
      </c>
      <c r="BE145" s="683" t="str">
        <f>CONCATENATE(BDEGENER[[#This Row],[CODIGO PATRIMONIAL]],BDEGENER[[#This Row],[GA5]])</f>
        <v>SUR-GEG-0013MANT1</v>
      </c>
      <c r="BF145" s="683">
        <f>COUNTIF(BDEGENER[SERIE],BDEGENER[[#This Row],[SERIE]])</f>
        <v>11</v>
      </c>
      <c r="BG145" s="761" t="str">
        <f>CONCATENATE("F",COUNTIF($K$7:K145,K145))</f>
        <v>F2</v>
      </c>
      <c r="BH145" s="683" t="str">
        <f>CONCATENATE(BDEGENER[[#This Row],[FECHA DE SERVICIO]],BDEGENER[[#This Row],[N° DE REGISTROS DEL DIA]])</f>
        <v>44123F2</v>
      </c>
      <c r="BI145" s="684"/>
      <c r="BJ145" s="683" t="s">
        <v>1544</v>
      </c>
      <c r="BK145" s="762"/>
    </row>
    <row r="146" spans="2:63" ht="69" hidden="1" x14ac:dyDescent="0.3">
      <c r="B146" s="2"/>
      <c r="C146" s="2"/>
      <c r="D146" s="2"/>
      <c r="E146" s="2"/>
      <c r="F146" s="2"/>
      <c r="G146" s="2"/>
      <c r="H146" s="2"/>
      <c r="I146" s="2"/>
      <c r="J146" s="685"/>
      <c r="K146" s="682">
        <v>44121</v>
      </c>
      <c r="L146" s="683" t="s">
        <v>791</v>
      </c>
      <c r="M146" s="683" t="s">
        <v>1174</v>
      </c>
      <c r="N146" s="683" t="s">
        <v>793</v>
      </c>
      <c r="O146" s="683"/>
      <c r="P146" s="683"/>
      <c r="Q146" s="683" t="s">
        <v>37</v>
      </c>
      <c r="R146" s="683"/>
      <c r="S146" s="686" t="s">
        <v>3592</v>
      </c>
      <c r="T146" s="683" t="s">
        <v>3593</v>
      </c>
      <c r="U146" s="683"/>
      <c r="V146" s="683" t="s">
        <v>147</v>
      </c>
      <c r="W146" s="683" t="s">
        <v>914</v>
      </c>
      <c r="X146" s="691" t="s">
        <v>917</v>
      </c>
      <c r="Y146" s="687" t="s">
        <v>835</v>
      </c>
      <c r="Z146" s="692"/>
      <c r="AA146" s="683" t="s">
        <v>841</v>
      </c>
      <c r="AB146" s="683" t="s">
        <v>1171</v>
      </c>
      <c r="AC146" s="683" t="s">
        <v>852</v>
      </c>
      <c r="AD146" s="683" t="s">
        <v>1087</v>
      </c>
      <c r="AE146" s="683">
        <v>60</v>
      </c>
      <c r="AF146" s="684">
        <v>2751</v>
      </c>
      <c r="AG146" s="683" t="s">
        <v>1412</v>
      </c>
      <c r="AH146" s="683"/>
      <c r="AI146" s="683" t="s">
        <v>841</v>
      </c>
      <c r="AJ146" s="683" t="s">
        <v>839</v>
      </c>
      <c r="AK146" s="683" t="s">
        <v>841</v>
      </c>
      <c r="AL146" s="683" t="s">
        <v>835</v>
      </c>
      <c r="AM146" s="683" t="s">
        <v>3279</v>
      </c>
      <c r="AN146" s="683" t="s">
        <v>3594</v>
      </c>
      <c r="AO146" s="683" t="s">
        <v>3595</v>
      </c>
      <c r="AP146" s="683" t="s">
        <v>240</v>
      </c>
      <c r="AQ146" s="688" t="str">
        <f>CONCATENATE("REG-",BDEGENER[[#This Row],[FECHA DE SERVICIO]],"-",BDEGENER[[#This Row],[SERIE]],"-",BDEGENER[[#This Row],[HORAS]])</f>
        <v>REG-44121-6JA02716-2751</v>
      </c>
      <c r="AR146" s="683" t="str">
        <f>CONCATENATE("MARCA: ",BDEGENER[[#This Row],[MARCA]],"
 MODELO: ",BDEGENER[[#This Row],[MODELO]])</f>
        <v>MARCA: CATERPILLAR
 MODELO: SR4</v>
      </c>
      <c r="AS146" s="683" t="str">
        <f>CONCATENATE("MARCA: ",BDEGENER[[#This Row],[MARCA DE MOTOR]],"
SERIE: ",BDEGENER[[#This Row],[SERIE DE MOTOR]])</f>
        <v>MARCA: CATERPILLAR
SERIE: 3DAD4134</v>
      </c>
      <c r="AT146" s="683" t="str">
        <f>CONCATENATE("MARCA: ",BDEGENER[[#This Row],[MARCA ALTERNADOR ]],"
SERIE: ",BDEGENER[[#This Row],[SERIE DE ALTERNADOR]])</f>
        <v>MARCA: CATERPILLAR
SERIE: 6JA02716</v>
      </c>
      <c r="AU146" s="683" t="str">
        <f>CONCATENATE("HORAS: ",BDEGENER[[#This Row],[HORAS]],"
KW-HR: ",BDEGENER[[#This Row],[KW-HORA]],"
VOLT.BATERIA: ",BDEGENER[[#This Row],[VOLTAJE DE BATERIA]],"
TEMPERATURA: ",BDEGENER[[#This Row],[TEMPERATURA DE AGUA]],"
PRES. ACEITE: ",BDEGENER[[#This Row],[PRESION DE ACEITE]])</f>
        <v>HORAS: 2751
KW-HR: 
VOLT.BATERIA: 27 V
TEMPERATURA: 109 °F
PRES. ACEITE: 89 PSI</v>
      </c>
      <c r="AV146" s="683">
        <f>COUNTIFS(Q146:Q2146,"MANTENIMIENTO CORRECTIVO",Y146:Y2146,BDEGENER[[#This Row],[SERIE]])</f>
        <v>1</v>
      </c>
      <c r="AW146" s="683">
        <f>COUNTIFS(Q146:Q2146,"MANTENIMIENTO PREVENTIVO",Y146:Y2146,BDEGENER[[#This Row],[SERIE]])</f>
        <v>4</v>
      </c>
      <c r="AX14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146" s="683">
        <f>COUNTIFS(BDEGENER[SERIE],BDEGENER[[#This Row],[SERIE]],BDEGENER[TIPO DE SERVICIO],"MANTENIMIENTO PREVENTIVO")</f>
        <v>4</v>
      </c>
      <c r="AZ146" s="683" t="str">
        <f>CONCATENATE("MANTENIMIENTO PREVENTIVO N°",BDEGENER[[#This Row],[GA1]])</f>
        <v>MANTENIMIENTO PREVENTIVO N°4</v>
      </c>
      <c r="BA146" s="683">
        <f>IF(BDEGENER[[#This Row],[SERVICIO]]=BDEGENER[[#This Row],[GA2]],BDEGENER[[#This Row],[HORAS]],"0")</f>
        <v>2751</v>
      </c>
      <c r="BB146" s="683">
        <f>SUMIF(BDEGENER[SERIE],BDEGENER[[#This Row],[SERIE]],BDEGENER[GA3])</f>
        <v>2751</v>
      </c>
      <c r="BC146" s="683" t="str">
        <f>CONCATENATE("MANT",COUNTIF($Y$7:Y146,Y146))</f>
        <v>MANT2</v>
      </c>
      <c r="BD146" s="683" t="str">
        <f>CONCATENATE(BDEGENER[[#This Row],[SERIE]],BDEGENER[[#This Row],[GA5]])</f>
        <v>6JA02716MANT2</v>
      </c>
      <c r="BE146" s="683" t="str">
        <f>CONCATENATE(BDEGENER[[#This Row],[CODIGO PATRIMONIAL]],BDEGENER[[#This Row],[GA5]])</f>
        <v>MANT2</v>
      </c>
      <c r="BF146" s="683">
        <f>COUNTIF(BDEGENER[SERIE],BDEGENER[[#This Row],[SERIE]])</f>
        <v>7</v>
      </c>
      <c r="BG146" s="683" t="str">
        <f>CONCATENATE("F",COUNTIF($K$7:K146,K146))</f>
        <v>F1</v>
      </c>
      <c r="BH146" s="683" t="str">
        <f>CONCATENATE(BDEGENER[[#This Row],[FECHA DE SERVICIO]],BDEGENER[[#This Row],[N° DE REGISTROS DEL DIA]])</f>
        <v>44121F1</v>
      </c>
      <c r="BI146" s="684"/>
      <c r="BJ146" s="683" t="s">
        <v>1544</v>
      </c>
      <c r="BK146" s="762"/>
    </row>
    <row r="147" spans="2:63" ht="69" hidden="1" x14ac:dyDescent="0.3">
      <c r="B147" s="2"/>
      <c r="C147" s="2"/>
      <c r="D147" s="2"/>
      <c r="E147" s="2"/>
      <c r="F147" s="2"/>
      <c r="G147" s="2"/>
      <c r="H147" s="2"/>
      <c r="I147" s="2"/>
      <c r="J147" s="685"/>
      <c r="K147" s="682">
        <v>44120</v>
      </c>
      <c r="L147" s="683" t="s">
        <v>181</v>
      </c>
      <c r="M147" s="683" t="s">
        <v>186</v>
      </c>
      <c r="N147" s="683" t="s">
        <v>1982</v>
      </c>
      <c r="O147" s="683"/>
      <c r="P147" s="688" t="s">
        <v>3543</v>
      </c>
      <c r="Q147" s="683" t="s">
        <v>107</v>
      </c>
      <c r="R147" s="683" t="s">
        <v>1782</v>
      </c>
      <c r="S147" s="686" t="s">
        <v>3545</v>
      </c>
      <c r="T147" s="683" t="s">
        <v>3546</v>
      </c>
      <c r="U147" s="683" t="s">
        <v>3544</v>
      </c>
      <c r="V147" s="683" t="s">
        <v>147</v>
      </c>
      <c r="W147" s="683" t="s">
        <v>914</v>
      </c>
      <c r="X147" s="691" t="s">
        <v>918</v>
      </c>
      <c r="Y147" s="687">
        <v>3004327721</v>
      </c>
      <c r="Z147" s="692"/>
      <c r="AA147" s="683" t="s">
        <v>33</v>
      </c>
      <c r="AB147" s="683" t="s">
        <v>34</v>
      </c>
      <c r="AC147" s="683" t="s">
        <v>230</v>
      </c>
      <c r="AD147" s="683" t="s">
        <v>2065</v>
      </c>
      <c r="AE147" s="683">
        <v>60</v>
      </c>
      <c r="AF147" s="684">
        <v>2145.1999999999998</v>
      </c>
      <c r="AG147" s="683" t="s">
        <v>243</v>
      </c>
      <c r="AH147" s="683" t="s">
        <v>244</v>
      </c>
      <c r="AI147" s="683" t="s">
        <v>33</v>
      </c>
      <c r="AJ147" s="683">
        <v>3004346806</v>
      </c>
      <c r="AK147" s="683" t="s">
        <v>33</v>
      </c>
      <c r="AL147" s="683"/>
      <c r="AM147" s="683" t="s">
        <v>245</v>
      </c>
      <c r="AN147" s="683" t="s">
        <v>1143</v>
      </c>
      <c r="AO147" s="683" t="s">
        <v>1166</v>
      </c>
      <c r="AP147" s="683" t="s">
        <v>240</v>
      </c>
      <c r="AQ147" s="688" t="str">
        <f>CONCATENATE("REG-",BDEGENER[[#This Row],[FECHA DE SERVICIO]],"-",BDEGENER[[#This Row],[SERIE]],"-",BDEGENER[[#This Row],[HORAS]])</f>
        <v>REG-44120-3004327721-2145,2</v>
      </c>
      <c r="AR147" s="683" t="str">
        <f>CONCATENATE("MARCA: ",BDEGENER[[#This Row],[MARCA]],"
 MODELO: ",BDEGENER[[#This Row],[MODELO]])</f>
        <v>MARCA: GENERAC
 MODELO: PG090</v>
      </c>
      <c r="AS147" s="683" t="str">
        <f>CONCATENATE("MARCA: ",BDEGENER[[#This Row],[MARCA DE MOTOR]],"
SERIE: ",BDEGENER[[#This Row],[SERIE DE MOTOR]])</f>
        <v>MARCA: GENERAC
SERIE: 3004346806</v>
      </c>
      <c r="AT147" s="683" t="str">
        <f>CONCATENATE("MARCA: ",BDEGENER[[#This Row],[MARCA ALTERNADOR ]],"
SERIE: ",BDEGENER[[#This Row],[SERIE DE ALTERNADOR]])</f>
        <v xml:space="preserve">MARCA: GENERAC
SERIE: </v>
      </c>
      <c r="AU147" s="683" t="str">
        <f>CONCATENATE("HORAS: ",BDEGENER[[#This Row],[HORAS]],"
KW-HR: ",BDEGENER[[#This Row],[KW-HORA]],"
VOLT.BATERIA: ",BDEGENER[[#This Row],[VOLTAJE DE BATERIA]],"
TEMPERATURA: ",BDEGENER[[#This Row],[TEMPERATURA DE AGUA]],"
PRES. ACEITE: ",BDEGENER[[#This Row],[PRESION DE ACEITE]])</f>
        <v>HORAS: 2145,2
KW-HR: 54788,7
VOLT.BATERIA: 13.6 V
TEMPERATURA: 197 °F
PRES. ACEITE: 57 PSI</v>
      </c>
      <c r="AV147" s="683">
        <f>COUNTIFS(Q147:Q2147,"MANTENIMIENTO CORRECTIVO",Y147:Y2147,BDEGENER[[#This Row],[SERIE]])</f>
        <v>2</v>
      </c>
      <c r="AW147" s="683">
        <f>COUNTIFS(Q147:Q2147,"MANTENIMIENTO PREVENTIVO",Y147:Y2147,BDEGENER[[#This Row],[SERIE]])</f>
        <v>7</v>
      </c>
      <c r="AX14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47" s="683">
        <f>COUNTIFS(BDEGENER[SERIE],BDEGENER[[#This Row],[SERIE]],BDEGENER[TIPO DE SERVICIO],"MANTENIMIENTO PREVENTIVO")</f>
        <v>7</v>
      </c>
      <c r="AZ147" s="683" t="str">
        <f>CONCATENATE("MANTENIMIENTO PREVENTIVO N°",BDEGENER[[#This Row],[GA1]])</f>
        <v>MANTENIMIENTO PREVENTIVO N°7</v>
      </c>
      <c r="BA147" s="683" t="str">
        <f>IF(BDEGENER[[#This Row],[SERVICIO]]=BDEGENER[[#This Row],[GA2]],BDEGENER[[#This Row],[HORAS]],"0")</f>
        <v>0</v>
      </c>
      <c r="BB147" s="683">
        <f>SUMIF(BDEGENER[SERIE],BDEGENER[[#This Row],[SERIE]],BDEGENER[GA3])</f>
        <v>2098.4</v>
      </c>
      <c r="BC147" s="683" t="str">
        <f>CONCATENATE("MANT",COUNTIF($Y$7:Y147,Y147))</f>
        <v>MANT2</v>
      </c>
      <c r="BD147" s="683" t="str">
        <f>CONCATENATE(BDEGENER[[#This Row],[SERIE]],BDEGENER[[#This Row],[GA5]])</f>
        <v>3004327721MANT2</v>
      </c>
      <c r="BE147" s="683" t="str">
        <f>CONCATENATE(BDEGENER[[#This Row],[CODIGO PATRIMONIAL]],BDEGENER[[#This Row],[GA5]])</f>
        <v>MANT2</v>
      </c>
      <c r="BF147" s="683">
        <f>COUNTIF(BDEGENER[SERIE],BDEGENER[[#This Row],[SERIE]])</f>
        <v>11</v>
      </c>
      <c r="BG147" s="683" t="str">
        <f>CONCATENATE("F",COUNTIF($K$7:K147,K147))</f>
        <v>F1</v>
      </c>
      <c r="BH147" s="683" t="str">
        <f>CONCATENATE(BDEGENER[[#This Row],[FECHA DE SERVICIO]],BDEGENER[[#This Row],[N° DE REGISTROS DEL DIA]])</f>
        <v>44120F1</v>
      </c>
      <c r="BI147" s="684">
        <v>54788.7</v>
      </c>
      <c r="BJ147" s="683" t="s">
        <v>1544</v>
      </c>
      <c r="BK147" s="762" t="s">
        <v>2165</v>
      </c>
    </row>
    <row r="148" spans="2:63" ht="69" x14ac:dyDescent="0.3">
      <c r="B148" s="2"/>
      <c r="C148" s="2"/>
      <c r="D148" s="2"/>
      <c r="E148" s="2"/>
      <c r="F148" s="2"/>
      <c r="G148" s="2"/>
      <c r="H148" s="2"/>
      <c r="I148" s="2"/>
      <c r="J148" s="685"/>
      <c r="K148" s="682">
        <v>44120</v>
      </c>
      <c r="L148" s="683" t="s">
        <v>181</v>
      </c>
      <c r="M148" s="683" t="s">
        <v>186</v>
      </c>
      <c r="N148" s="683" t="s">
        <v>1982</v>
      </c>
      <c r="O148" s="683">
        <v>4500853877</v>
      </c>
      <c r="P148" s="688" t="s">
        <v>3490</v>
      </c>
      <c r="Q148" s="683" t="s">
        <v>37</v>
      </c>
      <c r="R148" s="683" t="s">
        <v>1782</v>
      </c>
      <c r="S148" s="686" t="s">
        <v>3044</v>
      </c>
      <c r="T148" s="683" t="s">
        <v>2948</v>
      </c>
      <c r="U148" s="683" t="s">
        <v>2278</v>
      </c>
      <c r="V148" s="683" t="s">
        <v>146</v>
      </c>
      <c r="W148" s="683" t="s">
        <v>914</v>
      </c>
      <c r="X148" s="691" t="s">
        <v>918</v>
      </c>
      <c r="Y148" s="687">
        <v>3004336198</v>
      </c>
      <c r="Z148" s="692"/>
      <c r="AA148" s="683" t="s">
        <v>33</v>
      </c>
      <c r="AB148" s="683" t="s">
        <v>34</v>
      </c>
      <c r="AC148" s="683" t="s">
        <v>230</v>
      </c>
      <c r="AD148" s="683" t="s">
        <v>1110</v>
      </c>
      <c r="AE148" s="683">
        <v>60</v>
      </c>
      <c r="AF148" s="684">
        <v>2049.3000000000002</v>
      </c>
      <c r="AG148" s="683" t="s">
        <v>243</v>
      </c>
      <c r="AH148" s="683" t="s">
        <v>220</v>
      </c>
      <c r="AI148" s="683" t="s">
        <v>33</v>
      </c>
      <c r="AJ148" s="683">
        <v>3004345803</v>
      </c>
      <c r="AK148" s="683" t="s">
        <v>33</v>
      </c>
      <c r="AL148" s="683"/>
      <c r="AM148" s="683" t="s">
        <v>1094</v>
      </c>
      <c r="AN148" s="683" t="s">
        <v>3488</v>
      </c>
      <c r="AO148" s="683" t="s">
        <v>3489</v>
      </c>
      <c r="AP148" s="683" t="s">
        <v>240</v>
      </c>
      <c r="AQ148" s="688" t="str">
        <f>CONCATENATE("REG-",BDEGENER[[#This Row],[FECHA DE SERVICIO]],"-",BDEGENER[[#This Row],[SERIE]],"-",BDEGENER[[#This Row],[HORAS]])</f>
        <v>REG-44120-3004336198-2049,3</v>
      </c>
      <c r="AR148" s="683" t="str">
        <f>CONCATENATE("MARCA: ",BDEGENER[[#This Row],[MARCA]],"
 MODELO: ",BDEGENER[[#This Row],[MODELO]])</f>
        <v>MARCA: GENERAC
 MODELO: PG090</v>
      </c>
      <c r="AS148" s="683" t="str">
        <f>CONCATENATE("MARCA: ",BDEGENER[[#This Row],[MARCA DE MOTOR]],"
SERIE: ",BDEGENER[[#This Row],[SERIE DE MOTOR]])</f>
        <v>MARCA: GENERAC
SERIE: 3004345803</v>
      </c>
      <c r="AT148" s="683" t="str">
        <f>CONCATENATE("MARCA: ",BDEGENER[[#This Row],[MARCA ALTERNADOR ]],"
SERIE: ",BDEGENER[[#This Row],[SERIE DE ALTERNADOR]])</f>
        <v xml:space="preserve">MARCA: GENERAC
SERIE: </v>
      </c>
      <c r="AU148" s="683" t="str">
        <f>CONCATENATE("HORAS: ",BDEGENER[[#This Row],[HORAS]],"
KW-HR: ",BDEGENER[[#This Row],[KW-HORA]],"
VOLT.BATERIA: ",BDEGENER[[#This Row],[VOLTAJE DE BATERIA]],"
TEMPERATURA: ",BDEGENER[[#This Row],[TEMPERATURA DE AGUA]],"
PRES. ACEITE: ",BDEGENER[[#This Row],[PRESION DE ACEITE]])</f>
        <v>HORAS: 2049,3
KW-HR: 49431,4
VOLT.BATERIA: 13.5 V
TEMPERATURA: 112 °F
PRES. ACEITE: 32 PSI</v>
      </c>
      <c r="AV148" s="683">
        <f>COUNTIFS(Q148:Q2148,"MANTENIMIENTO CORRECTIVO",Y148:Y2148,BDEGENER[[#This Row],[SERIE]])</f>
        <v>3</v>
      </c>
      <c r="AW148" s="683">
        <f>COUNTIFS(Q148:Q2148,"MANTENIMIENTO PREVENTIVO",Y148:Y2148,BDEGENER[[#This Row],[SERIE]])</f>
        <v>7</v>
      </c>
      <c r="AX14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48" s="683">
        <f>COUNTIFS(BDEGENER[SERIE],BDEGENER[[#This Row],[SERIE]],BDEGENER[TIPO DE SERVICIO],"MANTENIMIENTO PREVENTIVO")</f>
        <v>7</v>
      </c>
      <c r="AZ148" s="683" t="str">
        <f>CONCATENATE("MANTENIMIENTO PREVENTIVO N°",BDEGENER[[#This Row],[GA1]])</f>
        <v>MANTENIMIENTO PREVENTIVO N°7</v>
      </c>
      <c r="BA148" s="683">
        <f>IF(BDEGENER[[#This Row],[SERVICIO]]=BDEGENER[[#This Row],[GA2]],BDEGENER[[#This Row],[HORAS]],"0")</f>
        <v>2049.3000000000002</v>
      </c>
      <c r="BB148" s="683">
        <f>SUMIF(BDEGENER[SERIE],BDEGENER[[#This Row],[SERIE]],BDEGENER[GA3])</f>
        <v>2049.3000000000002</v>
      </c>
      <c r="BC148" s="761" t="str">
        <f>CONCATENATE("MANT",COUNTIF($Y$7:Y148,Y148))</f>
        <v>MANT1</v>
      </c>
      <c r="BD148" s="683" t="str">
        <f>CONCATENATE(BDEGENER[[#This Row],[SERIE]],BDEGENER[[#This Row],[GA5]])</f>
        <v>3004336198MANT1</v>
      </c>
      <c r="BE148" s="683" t="str">
        <f>CONCATENATE(BDEGENER[[#This Row],[CODIGO PATRIMONIAL]],BDEGENER[[#This Row],[GA5]])</f>
        <v>MANT1</v>
      </c>
      <c r="BF148" s="683">
        <f>COUNTIF(BDEGENER[SERIE],BDEGENER[[#This Row],[SERIE]])</f>
        <v>12</v>
      </c>
      <c r="BG148" s="761" t="str">
        <f>CONCATENATE("F",COUNTIF($K$7:K148,K148))</f>
        <v>F2</v>
      </c>
      <c r="BH148" s="683" t="str">
        <f>CONCATENATE(BDEGENER[[#This Row],[FECHA DE SERVICIO]],BDEGENER[[#This Row],[N° DE REGISTROS DEL DIA]])</f>
        <v>44120F2</v>
      </c>
      <c r="BI148" s="684">
        <v>49431.4</v>
      </c>
      <c r="BJ148" s="683" t="s">
        <v>1544</v>
      </c>
      <c r="BK148" s="762" t="s">
        <v>2515</v>
      </c>
    </row>
    <row r="149" spans="2:63" ht="69" hidden="1" x14ac:dyDescent="0.3">
      <c r="B149" s="2"/>
      <c r="C149" s="2"/>
      <c r="D149" s="2"/>
      <c r="E149" s="2"/>
      <c r="F149" s="2"/>
      <c r="G149" s="2"/>
      <c r="H149" s="2"/>
      <c r="I149" s="2"/>
      <c r="J149" s="685"/>
      <c r="K149" s="682">
        <v>44120</v>
      </c>
      <c r="L149" s="683" t="s">
        <v>181</v>
      </c>
      <c r="M149" s="683" t="s">
        <v>189</v>
      </c>
      <c r="N149" s="683" t="s">
        <v>1982</v>
      </c>
      <c r="O149" s="683"/>
      <c r="P149" s="688" t="s">
        <v>3481</v>
      </c>
      <c r="Q149" s="683" t="s">
        <v>107</v>
      </c>
      <c r="R149" s="683" t="s">
        <v>1782</v>
      </c>
      <c r="S149" s="686" t="s">
        <v>3482</v>
      </c>
      <c r="T149" s="683" t="s">
        <v>2546</v>
      </c>
      <c r="U149" s="683" t="s">
        <v>3483</v>
      </c>
      <c r="V149" s="683" t="s">
        <v>147</v>
      </c>
      <c r="W149" s="683" t="s">
        <v>914</v>
      </c>
      <c r="X149" s="691" t="s">
        <v>918</v>
      </c>
      <c r="Y149" s="687">
        <v>3004331708</v>
      </c>
      <c r="Z149" s="692"/>
      <c r="AA149" s="683" t="s">
        <v>33</v>
      </c>
      <c r="AB149" s="683" t="s">
        <v>34</v>
      </c>
      <c r="AC149" s="683" t="s">
        <v>230</v>
      </c>
      <c r="AD149" s="683" t="s">
        <v>3484</v>
      </c>
      <c r="AE149" s="683">
        <v>600</v>
      </c>
      <c r="AF149" s="684">
        <v>1945.1</v>
      </c>
      <c r="AG149" s="683" t="s">
        <v>243</v>
      </c>
      <c r="AH149" s="683" t="s">
        <v>220</v>
      </c>
      <c r="AI149" s="683" t="s">
        <v>33</v>
      </c>
      <c r="AJ149" s="683">
        <v>3004309058</v>
      </c>
      <c r="AK149" s="683" t="s">
        <v>33</v>
      </c>
      <c r="AL149" s="683">
        <v>106302850</v>
      </c>
      <c r="AM149" s="683" t="s">
        <v>1145</v>
      </c>
      <c r="AN149" s="683" t="s">
        <v>3264</v>
      </c>
      <c r="AO149" s="683" t="s">
        <v>1144</v>
      </c>
      <c r="AP149" s="683" t="s">
        <v>240</v>
      </c>
      <c r="AQ149" s="769" t="str">
        <f>CONCATENATE("REG-",BDEGENER[[#This Row],[FECHA DE SERVICIO]],"-",BDEGENER[[#This Row],[SERIE]],"-",BDEGENER[[#This Row],[HORAS]])</f>
        <v>REG-44120-3004331708-1945,1</v>
      </c>
      <c r="AR149" s="683" t="str">
        <f>CONCATENATE("MARCA: ",BDEGENER[[#This Row],[MARCA]],"
 MODELO: ",BDEGENER[[#This Row],[MODELO]])</f>
        <v>MARCA: GENERAC
 MODELO: PG090</v>
      </c>
      <c r="AS149" s="683" t="str">
        <f>CONCATENATE("MARCA: ",BDEGENER[[#This Row],[MARCA DE MOTOR]],"
SERIE: ",BDEGENER[[#This Row],[SERIE DE MOTOR]])</f>
        <v>MARCA: GENERAC
SERIE: 3004309058</v>
      </c>
      <c r="AT149" s="683" t="str">
        <f>CONCATENATE("MARCA: ",BDEGENER[[#This Row],[MARCA ALTERNADOR ]],"
SERIE: ",BDEGENER[[#This Row],[SERIE DE ALTERNADOR]])</f>
        <v>MARCA: GENERAC
SERIE: 106302850</v>
      </c>
      <c r="AU149" s="683" t="str">
        <f>CONCATENATE("HORAS: ",BDEGENER[[#This Row],[HORAS]],"
KW-HR: ",BDEGENER[[#This Row],[KW-HORA]],"
VOLT.BATERIA: ",BDEGENER[[#This Row],[VOLTAJE DE BATERIA]],"
TEMPERATURA: ",BDEGENER[[#This Row],[TEMPERATURA DE AGUA]],"
PRES. ACEITE: ",BDEGENER[[#This Row],[PRESION DE ACEITE]])</f>
        <v>HORAS: 1945,1
KW-HR: 53664,5
VOLT.BATERIA: 13.4 V
TEMPERATURA: 160 °F
PRES. ACEITE: 59 PSI</v>
      </c>
      <c r="AV149" s="683">
        <f>COUNTIFS(Q149:Q2149,"MANTENIMIENTO CORRECTIVO",Y149:Y2149,BDEGENER[[#This Row],[SERIE]])</f>
        <v>4</v>
      </c>
      <c r="AW149" s="683">
        <f>COUNTIFS(Q149:Q2149,"MANTENIMIENTO PREVENTIVO",Y149:Y2149,BDEGENER[[#This Row],[SERIE]])</f>
        <v>6</v>
      </c>
      <c r="AX14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149" s="683">
        <f>COUNTIFS(BDEGENER[SERIE],BDEGENER[[#This Row],[SERIE]],BDEGENER[TIPO DE SERVICIO],"MANTENIMIENTO PREVENTIVO")</f>
        <v>6</v>
      </c>
      <c r="AZ149" s="683" t="str">
        <f>CONCATENATE("MANTENIMIENTO PREVENTIVO N°",BDEGENER[[#This Row],[GA1]])</f>
        <v>MANTENIMIENTO PREVENTIVO N°6</v>
      </c>
      <c r="BA149" s="683" t="str">
        <f>IF(BDEGENER[[#This Row],[SERVICIO]]=BDEGENER[[#This Row],[GA2]],BDEGENER[[#This Row],[HORAS]],"0")</f>
        <v>0</v>
      </c>
      <c r="BB149" s="683">
        <f>SUMIF(BDEGENER[SERIE],BDEGENER[[#This Row],[SERIE]],BDEGENER[GA3])</f>
        <v>1635.5</v>
      </c>
      <c r="BC149" s="683" t="str">
        <f>CONCATENATE("MANT",COUNTIF($Y$7:Y149,Y149))</f>
        <v>MANT2</v>
      </c>
      <c r="BD149" s="683" t="str">
        <f>CONCATENATE(BDEGENER[[#This Row],[SERIE]],BDEGENER[[#This Row],[GA5]])</f>
        <v>3004331708MANT2</v>
      </c>
      <c r="BE149" s="683" t="str">
        <f>CONCATENATE(BDEGENER[[#This Row],[CODIGO PATRIMONIAL]],BDEGENER[[#This Row],[GA5]])</f>
        <v>MANT2</v>
      </c>
      <c r="BF149" s="683">
        <f>COUNTIF(BDEGENER[SERIE],BDEGENER[[#This Row],[SERIE]])</f>
        <v>13</v>
      </c>
      <c r="BG149" s="683" t="str">
        <f>CONCATENATE("F",COUNTIF($K$7:K149,K149))</f>
        <v>F3</v>
      </c>
      <c r="BH149" s="683" t="str">
        <f>CONCATENATE(BDEGENER[[#This Row],[FECHA DE SERVICIO]],BDEGENER[[#This Row],[N° DE REGISTROS DEL DIA]])</f>
        <v>44120F3</v>
      </c>
      <c r="BI149" s="684">
        <v>53664.5</v>
      </c>
      <c r="BJ149" s="683" t="s">
        <v>1544</v>
      </c>
      <c r="BK149" s="762"/>
    </row>
    <row r="150" spans="2:63" ht="69" hidden="1" x14ac:dyDescent="0.3">
      <c r="B150" s="2"/>
      <c r="C150" s="2"/>
      <c r="D150" s="2"/>
      <c r="E150" s="2"/>
      <c r="F150" s="2"/>
      <c r="G150" s="2"/>
      <c r="H150" s="2"/>
      <c r="I150" s="2"/>
      <c r="J150" s="685"/>
      <c r="K150" s="682">
        <v>44120</v>
      </c>
      <c r="L150" s="683" t="s">
        <v>181</v>
      </c>
      <c r="M150" s="683" t="s">
        <v>190</v>
      </c>
      <c r="N150" s="683" t="s">
        <v>183</v>
      </c>
      <c r="O150" s="683">
        <v>4500925048</v>
      </c>
      <c r="P150" s="683" t="s">
        <v>3462</v>
      </c>
      <c r="Q150" s="683" t="s">
        <v>37</v>
      </c>
      <c r="R150" s="683" t="s">
        <v>1782</v>
      </c>
      <c r="S150" s="686" t="s">
        <v>3464</v>
      </c>
      <c r="T150" s="683" t="s">
        <v>3465</v>
      </c>
      <c r="U150" s="683" t="s">
        <v>3466</v>
      </c>
      <c r="V150" s="683" t="s">
        <v>146</v>
      </c>
      <c r="W150" s="683" t="s">
        <v>914</v>
      </c>
      <c r="X150" s="691" t="s">
        <v>918</v>
      </c>
      <c r="Y150" s="687">
        <v>3004336196</v>
      </c>
      <c r="Z150" s="692"/>
      <c r="AA150" s="683" t="s">
        <v>33</v>
      </c>
      <c r="AB150" s="683" t="s">
        <v>34</v>
      </c>
      <c r="AC150" s="683" t="s">
        <v>230</v>
      </c>
      <c r="AD150" s="683" t="s">
        <v>1110</v>
      </c>
      <c r="AE150" s="683">
        <v>60</v>
      </c>
      <c r="AF150" s="684">
        <v>2749.6</v>
      </c>
      <c r="AG150" s="683" t="s">
        <v>243</v>
      </c>
      <c r="AH150" s="683" t="s">
        <v>220</v>
      </c>
      <c r="AI150" s="683" t="s">
        <v>33</v>
      </c>
      <c r="AJ150" s="683">
        <v>3004346824</v>
      </c>
      <c r="AK150" s="683" t="s">
        <v>33</v>
      </c>
      <c r="AL150" s="683">
        <v>10630720</v>
      </c>
      <c r="AM150" s="683" t="s">
        <v>1121</v>
      </c>
      <c r="AN150" s="683" t="s">
        <v>246</v>
      </c>
      <c r="AO150" s="683" t="s">
        <v>1166</v>
      </c>
      <c r="AP150" s="683" t="s">
        <v>240</v>
      </c>
      <c r="AQ150" s="683" t="str">
        <f>CONCATENATE("REG-",BDEGENER[[#This Row],[FECHA DE SERVICIO]],"-",BDEGENER[[#This Row],[SERIE]],"-",BDEGENER[[#This Row],[HORAS]])</f>
        <v>REG-44120-3004336196-2749,6</v>
      </c>
      <c r="AR150" s="683" t="str">
        <f>CONCATENATE("MARCA: ",BDEGENER[[#This Row],[MARCA]],"
 MODELO: ",BDEGENER[[#This Row],[MODELO]])</f>
        <v>MARCA: GENERAC
 MODELO: PG090</v>
      </c>
      <c r="AS150" s="683" t="str">
        <f>CONCATENATE("MARCA: ",BDEGENER[[#This Row],[MARCA DE MOTOR]],"
SERIE: ",BDEGENER[[#This Row],[SERIE DE MOTOR]])</f>
        <v>MARCA: GENERAC
SERIE: 3004346824</v>
      </c>
      <c r="AT150" s="683" t="str">
        <f>CONCATENATE("MARCA: ",BDEGENER[[#This Row],[MARCA ALTERNADOR ]],"
SERIE: ",BDEGENER[[#This Row],[SERIE DE ALTERNADOR]])</f>
        <v>MARCA: GENERAC
SERIE: 10630720</v>
      </c>
      <c r="AU150" s="683" t="str">
        <f>CONCATENATE("HORAS: ",BDEGENER[[#This Row],[HORAS]],"
KW-HR: ",BDEGENER[[#This Row],[KW-HORA]],"
VOLT.BATERIA: ",BDEGENER[[#This Row],[VOLTAJE DE BATERIA]],"
TEMPERATURA: ",BDEGENER[[#This Row],[TEMPERATURA DE AGUA]],"
PRES. ACEITE: ",BDEGENER[[#This Row],[PRESION DE ACEITE]])</f>
        <v>HORAS: 2749,6
KW-HR: 62545,8
VOLT.BATERIA: 13.7 V
TEMPERATURA: 198 °F
PRES. ACEITE: 57 PSI</v>
      </c>
      <c r="AV150" s="683">
        <f>COUNTIFS(Q150:Q2150,"MANTENIMIENTO CORRECTIVO",Y150:Y2150,BDEGENER[[#This Row],[SERIE]])</f>
        <v>3</v>
      </c>
      <c r="AW150" s="683">
        <f>COUNTIFS(Q150:Q2150,"MANTENIMIENTO PREVENTIVO",Y150:Y2150,BDEGENER[[#This Row],[SERIE]])</f>
        <v>8</v>
      </c>
      <c r="AX15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50" s="683">
        <f>COUNTIFS(BDEGENER[SERIE],BDEGENER[[#This Row],[SERIE]],BDEGENER[TIPO DE SERVICIO],"MANTENIMIENTO PREVENTIVO")</f>
        <v>9</v>
      </c>
      <c r="AZ150" s="683" t="str">
        <f>CONCATENATE("MANTENIMIENTO PREVENTIVO N°",BDEGENER[[#This Row],[GA1]])</f>
        <v>MANTENIMIENTO PREVENTIVO N°9</v>
      </c>
      <c r="BA150" s="683" t="str">
        <f>IF(BDEGENER[[#This Row],[SERVICIO]]=BDEGENER[[#This Row],[GA2]],BDEGENER[[#This Row],[HORAS]],"0")</f>
        <v>0</v>
      </c>
      <c r="BB150" s="683">
        <f>SUMIF(BDEGENER[SERIE],BDEGENER[[#This Row],[SERIE]],BDEGENER[GA3])</f>
        <v>3148.2</v>
      </c>
      <c r="BC150" s="683" t="str">
        <f>CONCATENATE("MANT",COUNTIF($Y$7:Y150,Y150))</f>
        <v>MANT2</v>
      </c>
      <c r="BD150" s="683" t="str">
        <f>CONCATENATE(BDEGENER[[#This Row],[SERIE]],BDEGENER[[#This Row],[GA5]])</f>
        <v>3004336196MANT2</v>
      </c>
      <c r="BE150" s="683" t="str">
        <f>CONCATENATE(BDEGENER[[#This Row],[CODIGO PATRIMONIAL]],BDEGENER[[#This Row],[GA5]])</f>
        <v>MANT2</v>
      </c>
      <c r="BF150" s="683">
        <f>COUNTIF(BDEGENER[SERIE],BDEGENER[[#This Row],[SERIE]])</f>
        <v>13</v>
      </c>
      <c r="BG150" s="683" t="str">
        <f>CONCATENATE("F",COUNTIF($K$7:K150,K150))</f>
        <v>F4</v>
      </c>
      <c r="BH150" s="683" t="str">
        <f>CONCATENATE(BDEGENER[[#This Row],[FECHA DE SERVICIO]],BDEGENER[[#This Row],[N° DE REGISTROS DEL DIA]])</f>
        <v>44120F4</v>
      </c>
      <c r="BI150" s="684">
        <v>62545.8</v>
      </c>
      <c r="BJ150" s="683" t="s">
        <v>1544</v>
      </c>
      <c r="BK150" s="762" t="s">
        <v>3463</v>
      </c>
    </row>
    <row r="151" spans="2:63" ht="69" hidden="1" x14ac:dyDescent="0.3">
      <c r="B151" s="2"/>
      <c r="C151" s="2"/>
      <c r="D151" s="2"/>
      <c r="E151" s="2"/>
      <c r="F151" s="2"/>
      <c r="G151" s="2"/>
      <c r="H151" s="2"/>
      <c r="I151" s="2"/>
      <c r="J151" s="685"/>
      <c r="K151" s="682">
        <v>44119</v>
      </c>
      <c r="L151" s="683" t="s">
        <v>561</v>
      </c>
      <c r="M151" s="683" t="s">
        <v>2890</v>
      </c>
      <c r="N151" s="683" t="s">
        <v>3093</v>
      </c>
      <c r="O151" s="683"/>
      <c r="P151" s="688" t="s">
        <v>3472</v>
      </c>
      <c r="Q151" s="683" t="s">
        <v>37</v>
      </c>
      <c r="R151" s="683" t="s">
        <v>1782</v>
      </c>
      <c r="S151" s="686" t="s">
        <v>3257</v>
      </c>
      <c r="T151" s="683" t="s">
        <v>2546</v>
      </c>
      <c r="U151" s="683" t="s">
        <v>2951</v>
      </c>
      <c r="V151" s="683" t="s">
        <v>147</v>
      </c>
      <c r="W151" s="683" t="s">
        <v>913</v>
      </c>
      <c r="X151" s="691" t="s">
        <v>918</v>
      </c>
      <c r="Y151" s="687">
        <v>3003415532</v>
      </c>
      <c r="Z151" s="692" t="s">
        <v>2606</v>
      </c>
      <c r="AA151" s="683" t="s">
        <v>33</v>
      </c>
      <c r="AB151" s="683" t="s">
        <v>217</v>
      </c>
      <c r="AC151" s="683" t="s">
        <v>749</v>
      </c>
      <c r="AD151" s="683" t="s">
        <v>1123</v>
      </c>
      <c r="AE151" s="683">
        <v>60</v>
      </c>
      <c r="AF151" s="684">
        <v>5260.9</v>
      </c>
      <c r="AG151" s="683" t="s">
        <v>243</v>
      </c>
      <c r="AH151" s="683" t="s">
        <v>1803</v>
      </c>
      <c r="AI151" s="683" t="s">
        <v>2553</v>
      </c>
      <c r="AJ151" s="683" t="s">
        <v>3343</v>
      </c>
      <c r="AK151" s="683" t="s">
        <v>33</v>
      </c>
      <c r="AL151" s="683"/>
      <c r="AM151" s="683" t="s">
        <v>245</v>
      </c>
      <c r="AN151" s="683"/>
      <c r="AO151" s="683"/>
      <c r="AP151" s="683" t="s">
        <v>240</v>
      </c>
      <c r="AQ151" s="688" t="str">
        <f>CONCATENATE("REG-",BDEGENER[[#This Row],[FECHA DE SERVICIO]],"-",BDEGENER[[#This Row],[SERIE]],"-",BDEGENER[[#This Row],[HORAS]])</f>
        <v>REG-44119-3003415532-5260,9</v>
      </c>
      <c r="AR151" s="683" t="str">
        <f>CONCATENATE("MARCA: ",BDEGENER[[#This Row],[MARCA]],"
 MODELO: ",BDEGENER[[#This Row],[MODELO]])</f>
        <v>MARCA: GENERAC
 MODELO: RG022</v>
      </c>
      <c r="AS151" s="683" t="str">
        <f>CONCATENATE("MARCA: ",BDEGENER[[#This Row],[MARCA DE MOTOR]],"
SERIE: ",BDEGENER[[#This Row],[SERIE DE MOTOR]])</f>
        <v>MARCA: MITSUBISHI
SERIE: STS6082/6G454M</v>
      </c>
      <c r="AT151" s="683" t="str">
        <f>CONCATENATE("MARCA: ",BDEGENER[[#This Row],[MARCA ALTERNADOR ]],"
SERIE: ",BDEGENER[[#This Row],[SERIE DE ALTERNADOR]])</f>
        <v xml:space="preserve">MARCA: GENERAC
SERIE: </v>
      </c>
      <c r="AU151" s="683" t="str">
        <f>CONCATENATE("HORAS: ",BDEGENER[[#This Row],[HORAS]],"
KW-HR: ",BDEGENER[[#This Row],[KW-HORA]],"
VOLT.BATERIA: ",BDEGENER[[#This Row],[VOLTAJE DE BATERIA]],"
TEMPERATURA: ",BDEGENER[[#This Row],[TEMPERATURA DE AGUA]],"
PRES. ACEITE: ",BDEGENER[[#This Row],[PRESION DE ACEITE]])</f>
        <v xml:space="preserve">HORAS: 5260,9
KW-HR: 
VOLT.BATERIA: 13.6 V
TEMPERATURA: 
PRES. ACEITE: </v>
      </c>
      <c r="AV151" s="683">
        <f>COUNTIFS(Q151:Q2151,"MANTENIMIENTO CORRECTIVO",Y151:Y2151,BDEGENER[[#This Row],[SERIE]])</f>
        <v>0</v>
      </c>
      <c r="AW151" s="683">
        <f>COUNTIFS(Q151:Q2151,"MANTENIMIENTO PREVENTIVO",Y151:Y2151,BDEGENER[[#This Row],[SERIE]])</f>
        <v>12</v>
      </c>
      <c r="AX15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N°12</v>
      </c>
      <c r="AY151" s="683">
        <f>COUNTIFS(BDEGENER[SERIE],BDEGENER[[#This Row],[SERIE]],BDEGENER[TIPO DE SERVICIO],"MANTENIMIENTO PREVENTIVO")</f>
        <v>14</v>
      </c>
      <c r="AZ151" s="683" t="str">
        <f>CONCATENATE("MANTENIMIENTO PREVENTIVO N°",BDEGENER[[#This Row],[GA1]])</f>
        <v>MANTENIMIENTO PREVENTIVO N°14</v>
      </c>
      <c r="BA151" s="683" t="str">
        <f>IF(BDEGENER[[#This Row],[SERVICIO]]=BDEGENER[[#This Row],[GA2]],BDEGENER[[#This Row],[HORAS]],"0")</f>
        <v>0</v>
      </c>
      <c r="BB151" s="683">
        <f>SUMIF(BDEGENER[SERIE],BDEGENER[[#This Row],[SERIE]],BDEGENER[GA3])</f>
        <v>5730.6</v>
      </c>
      <c r="BC151" s="761" t="str">
        <f>CONCATENATE("MANT",COUNTIF($Y$7:Y151,Y151))</f>
        <v>MANT3</v>
      </c>
      <c r="BD151" s="683" t="str">
        <f>CONCATENATE(BDEGENER[[#This Row],[SERIE]],BDEGENER[[#This Row],[GA5]])</f>
        <v>3003415532MANT3</v>
      </c>
      <c r="BE151" s="683" t="str">
        <f>CONCATENATE(BDEGENER[[#This Row],[CODIGO PATRIMONIAL]],BDEGENER[[#This Row],[GA5]])</f>
        <v>SUR-GEG-0010MANT3</v>
      </c>
      <c r="BF151" s="683">
        <f>COUNTIF(BDEGENER[SERIE],BDEGENER[[#This Row],[SERIE]])</f>
        <v>14</v>
      </c>
      <c r="BG151" s="761" t="str">
        <f>CONCATENATE("F",COUNTIF($K$7:K151,K151))</f>
        <v>F1</v>
      </c>
      <c r="BH151" s="683" t="str">
        <f>CONCATENATE(BDEGENER[[#This Row],[FECHA DE SERVICIO]],BDEGENER[[#This Row],[N° DE REGISTROS DEL DIA]])</f>
        <v>44119F1</v>
      </c>
      <c r="BI151" s="684"/>
      <c r="BJ151" s="683" t="s">
        <v>1544</v>
      </c>
      <c r="BK151" s="762"/>
    </row>
    <row r="152" spans="2:63" ht="69" hidden="1" x14ac:dyDescent="0.3">
      <c r="B152" s="2"/>
      <c r="C152" s="2"/>
      <c r="D152" s="2"/>
      <c r="E152" s="2"/>
      <c r="F152" s="2"/>
      <c r="G152" s="2"/>
      <c r="H152" s="2"/>
      <c r="I152" s="2"/>
      <c r="J152" s="685"/>
      <c r="K152" s="682">
        <v>44119</v>
      </c>
      <c r="L152" s="683" t="s">
        <v>181</v>
      </c>
      <c r="M152" s="683" t="s">
        <v>190</v>
      </c>
      <c r="N152" s="683" t="s">
        <v>183</v>
      </c>
      <c r="O152" s="683">
        <v>4500925048</v>
      </c>
      <c r="P152" s="683" t="s">
        <v>3467</v>
      </c>
      <c r="Q152" s="683" t="s">
        <v>37</v>
      </c>
      <c r="R152" s="683" t="s">
        <v>1782</v>
      </c>
      <c r="S152" s="686" t="s">
        <v>3468</v>
      </c>
      <c r="T152" s="683" t="s">
        <v>2948</v>
      </c>
      <c r="U152" s="683" t="s">
        <v>2404</v>
      </c>
      <c r="V152" s="683" t="s">
        <v>146</v>
      </c>
      <c r="W152" s="683" t="s">
        <v>914</v>
      </c>
      <c r="X152" s="691" t="s">
        <v>918</v>
      </c>
      <c r="Y152" s="687">
        <v>3004381438</v>
      </c>
      <c r="Z152" s="692"/>
      <c r="AA152" s="683" t="s">
        <v>33</v>
      </c>
      <c r="AB152" s="683" t="s">
        <v>34</v>
      </c>
      <c r="AC152" s="683" t="s">
        <v>230</v>
      </c>
      <c r="AD152" s="683" t="s">
        <v>1110</v>
      </c>
      <c r="AE152" s="683">
        <v>60</v>
      </c>
      <c r="AF152" s="684">
        <v>2876.5</v>
      </c>
      <c r="AG152" s="683" t="s">
        <v>243</v>
      </c>
      <c r="AH152" s="683" t="s">
        <v>220</v>
      </c>
      <c r="AI152" s="683" t="s">
        <v>33</v>
      </c>
      <c r="AJ152" s="683">
        <v>3004333873</v>
      </c>
      <c r="AK152" s="683" t="s">
        <v>33</v>
      </c>
      <c r="AL152" s="683">
        <v>106309650</v>
      </c>
      <c r="AM152" s="683" t="s">
        <v>1121</v>
      </c>
      <c r="AN152" s="683" t="s">
        <v>246</v>
      </c>
      <c r="AO152" s="683" t="s">
        <v>1318</v>
      </c>
      <c r="AP152" s="683" t="s">
        <v>240</v>
      </c>
      <c r="AQ152" s="683" t="str">
        <f>CONCATENATE("REG-",BDEGENER[[#This Row],[FECHA DE SERVICIO]],"-",BDEGENER[[#This Row],[SERIE]],"-",BDEGENER[[#This Row],[HORAS]])</f>
        <v>REG-44119-3004381438-2876,5</v>
      </c>
      <c r="AR152" s="683" t="str">
        <f>CONCATENATE("MARCA: ",BDEGENER[[#This Row],[MARCA]],"
 MODELO: ",BDEGENER[[#This Row],[MODELO]])</f>
        <v>MARCA: GENERAC
 MODELO: PG090</v>
      </c>
      <c r="AS152" s="683" t="str">
        <f>CONCATENATE("MARCA: ",BDEGENER[[#This Row],[MARCA DE MOTOR]],"
SERIE: ",BDEGENER[[#This Row],[SERIE DE MOTOR]])</f>
        <v>MARCA: GENERAC
SERIE: 3004333873</v>
      </c>
      <c r="AT152" s="683" t="str">
        <f>CONCATENATE("MARCA: ",BDEGENER[[#This Row],[MARCA ALTERNADOR ]],"
SERIE: ",BDEGENER[[#This Row],[SERIE DE ALTERNADOR]])</f>
        <v>MARCA: GENERAC
SERIE: 106309650</v>
      </c>
      <c r="AU152" s="683" t="str">
        <f>CONCATENATE("HORAS: ",BDEGENER[[#This Row],[HORAS]],"
KW-HR: ",BDEGENER[[#This Row],[KW-HORA]],"
VOLT.BATERIA: ",BDEGENER[[#This Row],[VOLTAJE DE BATERIA]],"
TEMPERATURA: ",BDEGENER[[#This Row],[TEMPERATURA DE AGUA]],"
PRES. ACEITE: ",BDEGENER[[#This Row],[PRESION DE ACEITE]])</f>
        <v>HORAS: 2876,5
KW-HR: 61147,7
VOLT.BATERIA: 13.7 V
TEMPERATURA: 198 °F
PRES. ACEITE: 58 PSI</v>
      </c>
      <c r="AV152" s="683">
        <f>COUNTIFS(Q152:Q2152,"MANTENIMIENTO CORRECTIVO",Y152:Y2152,BDEGENER[[#This Row],[SERIE]])</f>
        <v>1</v>
      </c>
      <c r="AW152" s="683">
        <f>COUNTIFS(Q152:Q2152,"MANTENIMIENTO PREVENTIVO",Y152:Y2152,BDEGENER[[#This Row],[SERIE]])</f>
        <v>9</v>
      </c>
      <c r="AX15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152" s="683">
        <f>COUNTIFS(BDEGENER[SERIE],BDEGENER[[#This Row],[SERIE]],BDEGENER[TIPO DE SERVICIO],"MANTENIMIENTO PREVENTIVO")</f>
        <v>10</v>
      </c>
      <c r="AZ152" s="683" t="str">
        <f>CONCATENATE("MANTENIMIENTO PREVENTIVO N°",BDEGENER[[#This Row],[GA1]])</f>
        <v>MANTENIMIENTO PREVENTIVO N°10</v>
      </c>
      <c r="BA152" s="683" t="str">
        <f>IF(BDEGENER[[#This Row],[SERVICIO]]=BDEGENER[[#This Row],[GA2]],BDEGENER[[#This Row],[HORAS]],"0")</f>
        <v>0</v>
      </c>
      <c r="BB152" s="683">
        <f>SUMIF(BDEGENER[SERIE],BDEGENER[[#This Row],[SERIE]],BDEGENER[GA3])</f>
        <v>3227.9</v>
      </c>
      <c r="BC152" s="683" t="str">
        <f>CONCATENATE("MANT",COUNTIF($Y$7:Y152,Y152))</f>
        <v>MANT2</v>
      </c>
      <c r="BD152" s="683" t="str">
        <f>CONCATENATE(BDEGENER[[#This Row],[SERIE]],BDEGENER[[#This Row],[GA5]])</f>
        <v>3004381438MANT2</v>
      </c>
      <c r="BE152" s="683" t="str">
        <f>CONCATENATE(BDEGENER[[#This Row],[CODIGO PATRIMONIAL]],BDEGENER[[#This Row],[GA5]])</f>
        <v>MANT2</v>
      </c>
      <c r="BF152" s="683">
        <f>COUNTIF(BDEGENER[SERIE],BDEGENER[[#This Row],[SERIE]])</f>
        <v>13</v>
      </c>
      <c r="BG152" s="683" t="str">
        <f>CONCATENATE("F",COUNTIF($K$7:K152,K152))</f>
        <v>F2</v>
      </c>
      <c r="BH152" s="683" t="str">
        <f>CONCATENATE(BDEGENER[[#This Row],[FECHA DE SERVICIO]],BDEGENER[[#This Row],[N° DE REGISTROS DEL DIA]])</f>
        <v>44119F2</v>
      </c>
      <c r="BI152" s="684">
        <v>61147.7</v>
      </c>
      <c r="BJ152" s="683" t="s">
        <v>1544</v>
      </c>
      <c r="BK152" s="762" t="s">
        <v>3463</v>
      </c>
    </row>
    <row r="153" spans="2:63" ht="69" hidden="1" x14ac:dyDescent="0.3">
      <c r="B153" s="2"/>
      <c r="C153" s="2"/>
      <c r="D153" s="2"/>
      <c r="E153" s="2"/>
      <c r="F153" s="2"/>
      <c r="G153" s="2"/>
      <c r="H153" s="2"/>
      <c r="I153" s="2"/>
      <c r="J153" s="685"/>
      <c r="K153" s="682">
        <v>44116</v>
      </c>
      <c r="L153" s="683" t="s">
        <v>181</v>
      </c>
      <c r="M153" s="683" t="s">
        <v>182</v>
      </c>
      <c r="N153" s="683" t="s">
        <v>183</v>
      </c>
      <c r="O153" s="683">
        <v>4500873022</v>
      </c>
      <c r="P153" s="683" t="s">
        <v>3442</v>
      </c>
      <c r="Q153" s="683" t="s">
        <v>37</v>
      </c>
      <c r="R153" s="683" t="s">
        <v>1782</v>
      </c>
      <c r="S153" s="686" t="s">
        <v>3443</v>
      </c>
      <c r="T153" s="683" t="s">
        <v>3444</v>
      </c>
      <c r="U153" s="683" t="s">
        <v>2053</v>
      </c>
      <c r="V153" s="683" t="s">
        <v>146</v>
      </c>
      <c r="W153" s="683" t="s">
        <v>914</v>
      </c>
      <c r="X153" s="691" t="s">
        <v>918</v>
      </c>
      <c r="Y153" s="687">
        <v>3004337427</v>
      </c>
      <c r="Z153" s="692"/>
      <c r="AA153" s="683" t="s">
        <v>33</v>
      </c>
      <c r="AB153" s="683" t="s">
        <v>34</v>
      </c>
      <c r="AC153" s="683" t="s">
        <v>230</v>
      </c>
      <c r="AD153" s="683" t="s">
        <v>1110</v>
      </c>
      <c r="AE153" s="683">
        <v>60</v>
      </c>
      <c r="AF153" s="684">
        <v>1467.1</v>
      </c>
      <c r="AG153" s="683" t="s">
        <v>243</v>
      </c>
      <c r="AH153" s="683" t="s">
        <v>220</v>
      </c>
      <c r="AI153" s="683" t="s">
        <v>33</v>
      </c>
      <c r="AJ153" s="683">
        <v>3004346831</v>
      </c>
      <c r="AK153" s="683" t="s">
        <v>33</v>
      </c>
      <c r="AL153" s="683">
        <v>10630720</v>
      </c>
      <c r="AM153" s="683" t="s">
        <v>1121</v>
      </c>
      <c r="AN153" s="683" t="s">
        <v>1352</v>
      </c>
      <c r="AO153" s="683" t="s">
        <v>1318</v>
      </c>
      <c r="AP153" s="683" t="s">
        <v>240</v>
      </c>
      <c r="AQ153" s="688" t="str">
        <f>CONCATENATE("REG-",BDEGENER[[#This Row],[FECHA DE SERVICIO]],"-",BDEGENER[[#This Row],[SERIE]],"-",BDEGENER[[#This Row],[HORAS]])</f>
        <v>REG-44116-3004337427-1467,1</v>
      </c>
      <c r="AR153" s="683" t="str">
        <f>CONCATENATE("MARCA: ",BDEGENER[[#This Row],[MARCA]],"
 MODELO: ",BDEGENER[[#This Row],[MODELO]])</f>
        <v>MARCA: GENERAC
 MODELO: PG090</v>
      </c>
      <c r="AS153" s="683" t="str">
        <f>CONCATENATE("MARCA: ",BDEGENER[[#This Row],[MARCA DE MOTOR]],"
SERIE: ",BDEGENER[[#This Row],[SERIE DE MOTOR]])</f>
        <v>MARCA: GENERAC
SERIE: 3004346831</v>
      </c>
      <c r="AT153" s="683" t="str">
        <f>CONCATENATE("MARCA: ",BDEGENER[[#This Row],[MARCA ALTERNADOR ]],"
SERIE: ",BDEGENER[[#This Row],[SERIE DE ALTERNADOR]])</f>
        <v>MARCA: GENERAC
SERIE: 10630720</v>
      </c>
      <c r="AU153" s="683" t="str">
        <f>CONCATENATE("HORAS: ",BDEGENER[[#This Row],[HORAS]],"
KW-HR: ",BDEGENER[[#This Row],[KW-HORA]],"
VOLT.BATERIA: ",BDEGENER[[#This Row],[VOLTAJE DE BATERIA]],"
TEMPERATURA: ",BDEGENER[[#This Row],[TEMPERATURA DE AGUA]],"
PRES. ACEITE: ",BDEGENER[[#This Row],[PRESION DE ACEITE]])</f>
        <v>HORAS: 1467,1
KW-HR: 36783,6
VOLT.BATERIA: 13.7 V
TEMPERATURA: 196 °F
PRES. ACEITE: 58 PSI</v>
      </c>
      <c r="AV153" s="683">
        <f>COUNTIFS(Q153:Q2153,"MANTENIMIENTO CORRECTIVO",Y153:Y2153,BDEGENER[[#This Row],[SERIE]])</f>
        <v>2</v>
      </c>
      <c r="AW153" s="683">
        <f>COUNTIFS(Q153:Q2153,"MANTENIMIENTO PREVENTIVO",Y153:Y2153,BDEGENER[[#This Row],[SERIE]])</f>
        <v>5</v>
      </c>
      <c r="AX15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153" s="683">
        <f>COUNTIFS(BDEGENER[SERIE],BDEGENER[[#This Row],[SERIE]],BDEGENER[TIPO DE SERVICIO],"MANTENIMIENTO PREVENTIVO")</f>
        <v>6</v>
      </c>
      <c r="AZ153" s="683" t="str">
        <f>CONCATENATE("MANTENIMIENTO PREVENTIVO N°",BDEGENER[[#This Row],[GA1]])</f>
        <v>MANTENIMIENTO PREVENTIVO N°6</v>
      </c>
      <c r="BA153" s="683" t="str">
        <f>IF(BDEGENER[[#This Row],[SERVICIO]]=BDEGENER[[#This Row],[GA2]],BDEGENER[[#This Row],[HORAS]],"0")</f>
        <v>0</v>
      </c>
      <c r="BB153" s="683">
        <f>SUMIF(BDEGENER[SERIE],BDEGENER[[#This Row],[SERIE]],BDEGENER[GA3])</f>
        <v>1835.7</v>
      </c>
      <c r="BC153" s="683" t="str">
        <f>CONCATENATE("MANT",COUNTIF($Y$7:Y153,Y153))</f>
        <v>MANT2</v>
      </c>
      <c r="BD153" s="683" t="str">
        <f>CONCATENATE(BDEGENER[[#This Row],[SERIE]],BDEGENER[[#This Row],[GA5]])</f>
        <v>3004337427MANT2</v>
      </c>
      <c r="BE153" s="683" t="str">
        <f>CONCATENATE(BDEGENER[[#This Row],[CODIGO PATRIMONIAL]],BDEGENER[[#This Row],[GA5]])</f>
        <v>MANT2</v>
      </c>
      <c r="BF153" s="683">
        <f>COUNTIF(BDEGENER[SERIE],BDEGENER[[#This Row],[SERIE]])</f>
        <v>9</v>
      </c>
      <c r="BG153" s="683" t="str">
        <f>CONCATENATE("F",COUNTIF($K$7:K153,K153))</f>
        <v>F1</v>
      </c>
      <c r="BH153" s="683" t="str">
        <f>CONCATENATE(BDEGENER[[#This Row],[FECHA DE SERVICIO]],BDEGENER[[#This Row],[N° DE REGISTROS DEL DIA]])</f>
        <v>44116F1</v>
      </c>
      <c r="BI153" s="684">
        <v>36783.599999999999</v>
      </c>
      <c r="BJ153" s="683" t="s">
        <v>1544</v>
      </c>
      <c r="BK153" s="762" t="s">
        <v>2166</v>
      </c>
    </row>
    <row r="154" spans="2:63" ht="69" hidden="1" x14ac:dyDescent="0.3">
      <c r="B154" s="2"/>
      <c r="C154" s="2"/>
      <c r="D154" s="2"/>
      <c r="E154" s="2"/>
      <c r="F154" s="2"/>
      <c r="G154" s="2"/>
      <c r="H154" s="2"/>
      <c r="I154" s="2"/>
      <c r="J154" s="685"/>
      <c r="K154" s="682">
        <v>44113</v>
      </c>
      <c r="L154" s="683" t="s">
        <v>561</v>
      </c>
      <c r="M154" s="683" t="s">
        <v>2453</v>
      </c>
      <c r="N154" s="683" t="s">
        <v>584</v>
      </c>
      <c r="O154" s="683"/>
      <c r="P154" s="683" t="s">
        <v>3893</v>
      </c>
      <c r="Q154" s="683" t="s">
        <v>2037</v>
      </c>
      <c r="R154" s="683" t="s">
        <v>1782</v>
      </c>
      <c r="S154" s="686" t="s">
        <v>3894</v>
      </c>
      <c r="T154" s="683" t="s">
        <v>3896</v>
      </c>
      <c r="U154" s="683" t="s">
        <v>3895</v>
      </c>
      <c r="V154" s="683" t="s">
        <v>677</v>
      </c>
      <c r="W154" s="683" t="s">
        <v>914</v>
      </c>
      <c r="X154" s="691" t="s">
        <v>918</v>
      </c>
      <c r="Y154" s="687">
        <v>3003566703</v>
      </c>
      <c r="Z154" s="692" t="s">
        <v>2615</v>
      </c>
      <c r="AA154" s="683" t="s">
        <v>33</v>
      </c>
      <c r="AB154" s="683" t="s">
        <v>34</v>
      </c>
      <c r="AC154" s="683" t="s">
        <v>230</v>
      </c>
      <c r="AD154" s="683"/>
      <c r="AE154" s="683"/>
      <c r="AF154" s="684">
        <v>5931.5</v>
      </c>
      <c r="AG154" s="683" t="s">
        <v>243</v>
      </c>
      <c r="AH154" s="683" t="s">
        <v>220</v>
      </c>
      <c r="AI154" s="683" t="s">
        <v>33</v>
      </c>
      <c r="AJ154" s="683">
        <v>3003412041</v>
      </c>
      <c r="AK154" s="683" t="s">
        <v>33</v>
      </c>
      <c r="AL154" s="683">
        <v>811745</v>
      </c>
      <c r="AM154" s="683"/>
      <c r="AN154" s="683"/>
      <c r="AO154" s="683"/>
      <c r="AP154" s="683" t="s">
        <v>240</v>
      </c>
      <c r="AQ154" s="688" t="str">
        <f>CONCATENATE("REG-",BDEGENER[[#This Row],[FECHA DE SERVICIO]],"-",BDEGENER[[#This Row],[SERIE]],"-",BDEGENER[[#This Row],[HORAS]])</f>
        <v>REG-44113-3003566703-5931,5</v>
      </c>
      <c r="AR154" s="683" t="str">
        <f>CONCATENATE("MARCA: ",BDEGENER[[#This Row],[MARCA]],"
 MODELO: ",BDEGENER[[#This Row],[MODELO]])</f>
        <v>MARCA: GENERAC
 MODELO: PG090</v>
      </c>
      <c r="AS154" s="683" t="str">
        <f>CONCATENATE("MARCA: ",BDEGENER[[#This Row],[MARCA DE MOTOR]],"
SERIE: ",BDEGENER[[#This Row],[SERIE DE MOTOR]])</f>
        <v>MARCA: GENERAC
SERIE: 3003412041</v>
      </c>
      <c r="AT154" s="683" t="str">
        <f>CONCATENATE("MARCA: ",BDEGENER[[#This Row],[MARCA ALTERNADOR ]],"
SERIE: ",BDEGENER[[#This Row],[SERIE DE ALTERNADOR]])</f>
        <v>MARCA: GENERAC
SERIE: 811745</v>
      </c>
      <c r="AU154" s="683" t="str">
        <f>CONCATENATE("HORAS: ",BDEGENER[[#This Row],[HORAS]],"
KW-HR: ",BDEGENER[[#This Row],[KW-HORA]],"
VOLT.BATERIA: ",BDEGENER[[#This Row],[VOLTAJE DE BATERIA]],"
TEMPERATURA: ",BDEGENER[[#This Row],[TEMPERATURA DE AGUA]],"
PRES. ACEITE: ",BDEGENER[[#This Row],[PRESION DE ACEITE]])</f>
        <v xml:space="preserve">HORAS: 5931,5
KW-HR: 
VOLT.BATERIA: 
TEMPERATURA: 
PRES. ACEITE: </v>
      </c>
      <c r="AV154" s="683">
        <f>COUNTIFS(Q154:Q2154,"MANTENIMIENTO CORRECTIVO",Y154:Y2154,BDEGENER[[#This Row],[SERIE]])</f>
        <v>1</v>
      </c>
      <c r="AW154" s="683">
        <f>COUNTIFS(Q154:Q2154,"MANTENIMIENTO PREVENTIVO",Y154:Y2154,BDEGENER[[#This Row],[SERIE]])</f>
        <v>7</v>
      </c>
      <c r="AX15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154" s="683">
        <f>COUNTIFS(BDEGENER[SERIE],BDEGENER[[#This Row],[SERIE]],BDEGENER[TIPO DE SERVICIO],"MANTENIMIENTO PREVENTIVO")</f>
        <v>8</v>
      </c>
      <c r="AZ154" s="683" t="str">
        <f>CONCATENATE("MANTENIMIENTO PREVENTIVO N°",BDEGENER[[#This Row],[GA1]])</f>
        <v>MANTENIMIENTO PREVENTIVO N°8</v>
      </c>
      <c r="BA154" s="683" t="str">
        <f>IF(BDEGENER[[#This Row],[SERVICIO]]=BDEGENER[[#This Row],[GA2]],BDEGENER[[#This Row],[HORAS]],"0")</f>
        <v>0</v>
      </c>
      <c r="BB154" s="683">
        <f>SUMIF(BDEGENER[SERIE],BDEGENER[[#This Row],[SERIE]],BDEGENER[GA3])</f>
        <v>6396.5</v>
      </c>
      <c r="BC154" s="761" t="str">
        <f>CONCATENATE("MANT",COUNTIF($Y$7:Y154,Y154))</f>
        <v>MANT2</v>
      </c>
      <c r="BD154" s="683" t="str">
        <f>CONCATENATE(BDEGENER[[#This Row],[SERIE]],BDEGENER[[#This Row],[GA5]])</f>
        <v>3003566703MANT2</v>
      </c>
      <c r="BE154" s="683" t="str">
        <f>CONCATENATE(BDEGENER[[#This Row],[CODIGO PATRIMONIAL]],BDEGENER[[#This Row],[GA5]])</f>
        <v>NOR-GEG-0017MANT2</v>
      </c>
      <c r="BF154" s="683">
        <f>COUNTIF(BDEGENER[SERIE],BDEGENER[[#This Row],[SERIE]])</f>
        <v>11</v>
      </c>
      <c r="BG154" s="761" t="str">
        <f>CONCATENATE("F",COUNTIF($K$7:K154,K154))</f>
        <v>F1</v>
      </c>
      <c r="BH154" s="683" t="str">
        <f>CONCATENATE(BDEGENER[[#This Row],[FECHA DE SERVICIO]],BDEGENER[[#This Row],[N° DE REGISTROS DEL DIA]])</f>
        <v>44113F1</v>
      </c>
      <c r="BI154" s="684"/>
      <c r="BJ154" s="683" t="s">
        <v>1544</v>
      </c>
      <c r="BK154" s="762"/>
    </row>
    <row r="155" spans="2:63" ht="69" hidden="1" x14ac:dyDescent="0.3">
      <c r="B155" s="2"/>
      <c r="C155" s="2"/>
      <c r="D155" s="2"/>
      <c r="E155" s="2"/>
      <c r="F155" s="2"/>
      <c r="G155" s="2"/>
      <c r="H155" s="2"/>
      <c r="I155" s="2"/>
      <c r="J155" s="685"/>
      <c r="K155" s="682">
        <v>44113</v>
      </c>
      <c r="L155" s="683" t="s">
        <v>248</v>
      </c>
      <c r="M155" s="683" t="s">
        <v>2480</v>
      </c>
      <c r="N155" s="683" t="s">
        <v>2481</v>
      </c>
      <c r="O155" s="683"/>
      <c r="P155" s="688" t="s">
        <v>3438</v>
      </c>
      <c r="Q155" s="683" t="s">
        <v>37</v>
      </c>
      <c r="R155" s="683" t="s">
        <v>1782</v>
      </c>
      <c r="S155" s="686" t="s">
        <v>3257</v>
      </c>
      <c r="T155" s="683" t="s">
        <v>2870</v>
      </c>
      <c r="U155" s="683" t="s">
        <v>3439</v>
      </c>
      <c r="V155" s="683" t="s">
        <v>147</v>
      </c>
      <c r="W155" s="683" t="s">
        <v>913</v>
      </c>
      <c r="X155" s="691" t="s">
        <v>918</v>
      </c>
      <c r="Y155" s="687">
        <v>3004555914</v>
      </c>
      <c r="Z155" s="692" t="s">
        <v>2611</v>
      </c>
      <c r="AA155" s="683" t="s">
        <v>33</v>
      </c>
      <c r="AB155" s="683" t="s">
        <v>217</v>
      </c>
      <c r="AC155" s="683" t="s">
        <v>749</v>
      </c>
      <c r="AD155" s="683" t="s">
        <v>1123</v>
      </c>
      <c r="AE155" s="683">
        <v>60</v>
      </c>
      <c r="AF155" s="684">
        <v>2894.4</v>
      </c>
      <c r="AG155" s="683" t="s">
        <v>243</v>
      </c>
      <c r="AH155" s="683" t="s">
        <v>1803</v>
      </c>
      <c r="AI155" s="683" t="s">
        <v>2553</v>
      </c>
      <c r="AJ155" s="683" t="s">
        <v>3092</v>
      </c>
      <c r="AK155" s="683" t="s">
        <v>33</v>
      </c>
      <c r="AL155" s="683">
        <v>20190506</v>
      </c>
      <c r="AM155" s="683" t="s">
        <v>2319</v>
      </c>
      <c r="AN155" s="683"/>
      <c r="AO155" s="683"/>
      <c r="AP155" s="683" t="s">
        <v>240</v>
      </c>
      <c r="AQ155" s="688" t="str">
        <f>CONCATENATE("REG-",BDEGENER[[#This Row],[FECHA DE SERVICIO]],"-",BDEGENER[[#This Row],[SERIE]],"-",BDEGENER[[#This Row],[HORAS]])</f>
        <v>REG-44113-3004555914-2894,4</v>
      </c>
      <c r="AR155" s="683" t="str">
        <f>CONCATENATE("MARCA: ",BDEGENER[[#This Row],[MARCA]],"
 MODELO: ",BDEGENER[[#This Row],[MODELO]])</f>
        <v>MARCA: GENERAC
 MODELO: RG022</v>
      </c>
      <c r="AS155" s="683" t="str">
        <f>CONCATENATE("MARCA: ",BDEGENER[[#This Row],[MARCA DE MOTOR]],"
SERIE: ",BDEGENER[[#This Row],[SERIE DE MOTOR]])</f>
        <v>MARCA: MITSUBISHI
SERIE: 4G6454M/SXP7947</v>
      </c>
      <c r="AT155" s="683" t="str">
        <f>CONCATENATE("MARCA: ",BDEGENER[[#This Row],[MARCA ALTERNADOR ]],"
SERIE: ",BDEGENER[[#This Row],[SERIE DE ALTERNADOR]])</f>
        <v>MARCA: GENERAC
SERIE: 20190506</v>
      </c>
      <c r="AU155" s="683" t="str">
        <f>CONCATENATE("HORAS: ",BDEGENER[[#This Row],[HORAS]],"
KW-HR: ",BDEGENER[[#This Row],[KW-HORA]],"
VOLT.BATERIA: ",BDEGENER[[#This Row],[VOLTAJE DE BATERIA]],"
TEMPERATURA: ",BDEGENER[[#This Row],[TEMPERATURA DE AGUA]],"
PRES. ACEITE: ",BDEGENER[[#This Row],[PRESION DE ACEITE]])</f>
        <v xml:space="preserve">HORAS: 2894,4
KW-HR: 
VOLT.BATERIA: 14.3 V
TEMPERATURA: 
PRES. ACEITE: </v>
      </c>
      <c r="AV155" s="683">
        <f>COUNTIFS(Q155:Q2155,"MANTENIMIENTO CORRECTIVO",Y155:Y2155,BDEGENER[[#This Row],[SERIE]])</f>
        <v>2</v>
      </c>
      <c r="AW155" s="683">
        <f>COUNTIFS(Q155:Q2155,"MANTENIMIENTO PREVENTIVO",Y155:Y2155,BDEGENER[[#This Row],[SERIE]])</f>
        <v>5</v>
      </c>
      <c r="AX15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155" s="683">
        <f>COUNTIFS(BDEGENER[SERIE],BDEGENER[[#This Row],[SERIE]],BDEGENER[TIPO DE SERVICIO],"MANTENIMIENTO PREVENTIVO")</f>
        <v>5</v>
      </c>
      <c r="AZ155" s="683" t="str">
        <f>CONCATENATE("MANTENIMIENTO PREVENTIVO N°",BDEGENER[[#This Row],[GA1]])</f>
        <v>MANTENIMIENTO PREVENTIVO N°5</v>
      </c>
      <c r="BA155" s="683">
        <f>IF(BDEGENER[[#This Row],[SERVICIO]]=BDEGENER[[#This Row],[GA2]],BDEGENER[[#This Row],[HORAS]],"0")</f>
        <v>2894.4</v>
      </c>
      <c r="BB155" s="683">
        <f>SUMIF(BDEGENER[SERIE],BDEGENER[[#This Row],[SERIE]],BDEGENER[GA3])</f>
        <v>2894.4</v>
      </c>
      <c r="BC155" s="683" t="str">
        <f>CONCATENATE("MANT",COUNTIF($Y$7:Y155,Y155))</f>
        <v>MANT1</v>
      </c>
      <c r="BD155" s="683" t="str">
        <f>CONCATENATE(BDEGENER[[#This Row],[SERIE]],BDEGENER[[#This Row],[GA5]])</f>
        <v>3004555914MANT1</v>
      </c>
      <c r="BE155" s="683" t="str">
        <f>CONCATENATE(BDEGENER[[#This Row],[CODIGO PATRIMONIAL]],BDEGENER[[#This Row],[GA5]])</f>
        <v>SUR-GEG-0023MANT1</v>
      </c>
      <c r="BF155" s="683">
        <f>COUNTIF(BDEGENER[SERIE],BDEGENER[[#This Row],[SERIE]])</f>
        <v>11</v>
      </c>
      <c r="BG155" s="683" t="str">
        <f>CONCATENATE("F",COUNTIF($K$7:K155,K155))</f>
        <v>F2</v>
      </c>
      <c r="BH155" s="683" t="str">
        <f>CONCATENATE(BDEGENER[[#This Row],[FECHA DE SERVICIO]],BDEGENER[[#This Row],[N° DE REGISTROS DEL DIA]])</f>
        <v>44113F2</v>
      </c>
      <c r="BI155" s="684"/>
      <c r="BJ155" s="683" t="s">
        <v>1544</v>
      </c>
      <c r="BK155" s="762"/>
    </row>
    <row r="156" spans="2:63" ht="69" hidden="1" x14ac:dyDescent="0.3">
      <c r="B156" s="2"/>
      <c r="C156" s="2"/>
      <c r="D156" s="2"/>
      <c r="E156" s="2"/>
      <c r="F156" s="2"/>
      <c r="G156" s="2"/>
      <c r="H156" s="2"/>
      <c r="I156" s="2"/>
      <c r="J156" s="685"/>
      <c r="K156" s="682">
        <v>44113</v>
      </c>
      <c r="L156" s="683" t="s">
        <v>561</v>
      </c>
      <c r="M156" s="683" t="s">
        <v>577</v>
      </c>
      <c r="N156" s="683" t="s">
        <v>578</v>
      </c>
      <c r="O156" s="683"/>
      <c r="P156" s="688" t="s">
        <v>3437</v>
      </c>
      <c r="Q156" s="683" t="s">
        <v>37</v>
      </c>
      <c r="R156" s="683" t="s">
        <v>1782</v>
      </c>
      <c r="S156" s="686" t="s">
        <v>3257</v>
      </c>
      <c r="T156" s="683" t="s">
        <v>2870</v>
      </c>
      <c r="U156" s="683" t="s">
        <v>2884</v>
      </c>
      <c r="V156" s="683"/>
      <c r="W156" s="683" t="s">
        <v>913</v>
      </c>
      <c r="X156" s="691" t="s">
        <v>918</v>
      </c>
      <c r="Y156" s="687">
        <v>3003415536</v>
      </c>
      <c r="Z156" s="692" t="s">
        <v>2604</v>
      </c>
      <c r="AA156" s="683" t="s">
        <v>33</v>
      </c>
      <c r="AB156" s="683" t="s">
        <v>217</v>
      </c>
      <c r="AC156" s="683" t="s">
        <v>749</v>
      </c>
      <c r="AD156" s="683" t="s">
        <v>1123</v>
      </c>
      <c r="AE156" s="683">
        <v>60</v>
      </c>
      <c r="AF156" s="684">
        <v>5271</v>
      </c>
      <c r="AG156" s="683" t="s">
        <v>243</v>
      </c>
      <c r="AH156" s="683" t="s">
        <v>1803</v>
      </c>
      <c r="AI156" s="683" t="s">
        <v>2553</v>
      </c>
      <c r="AJ156" s="683"/>
      <c r="AK156" s="683" t="s">
        <v>33</v>
      </c>
      <c r="AL156" s="683"/>
      <c r="AM156" s="683" t="s">
        <v>1094</v>
      </c>
      <c r="AN156" s="683"/>
      <c r="AO156" s="683"/>
      <c r="AP156" s="683" t="s">
        <v>240</v>
      </c>
      <c r="AQ156" s="688" t="str">
        <f>CONCATENATE("REG-",BDEGENER[[#This Row],[FECHA DE SERVICIO]],"-",BDEGENER[[#This Row],[SERIE]],"-",BDEGENER[[#This Row],[HORAS]])</f>
        <v>REG-44113-3003415536-5271</v>
      </c>
      <c r="AR156" s="683" t="str">
        <f>CONCATENATE("MARCA: ",BDEGENER[[#This Row],[MARCA]],"
 MODELO: ",BDEGENER[[#This Row],[MODELO]])</f>
        <v>MARCA: GENERAC
 MODELO: RG022</v>
      </c>
      <c r="AS156" s="683" t="str">
        <f>CONCATENATE("MARCA: ",BDEGENER[[#This Row],[MARCA DE MOTOR]],"
SERIE: ",BDEGENER[[#This Row],[SERIE DE MOTOR]])</f>
        <v xml:space="preserve">MARCA: MITSUBISHI
SERIE: </v>
      </c>
      <c r="AT156" s="683" t="str">
        <f>CONCATENATE("MARCA: ",BDEGENER[[#This Row],[MARCA ALTERNADOR ]],"
SERIE: ",BDEGENER[[#This Row],[SERIE DE ALTERNADOR]])</f>
        <v xml:space="preserve">MARCA: GENERAC
SERIE: </v>
      </c>
      <c r="AU156" s="683" t="str">
        <f>CONCATENATE("HORAS: ",BDEGENER[[#This Row],[HORAS]],"
KW-HR: ",BDEGENER[[#This Row],[KW-HORA]],"
VOLT.BATERIA: ",BDEGENER[[#This Row],[VOLTAJE DE BATERIA]],"
TEMPERATURA: ",BDEGENER[[#This Row],[TEMPERATURA DE AGUA]],"
PRES. ACEITE: ",BDEGENER[[#This Row],[PRESION DE ACEITE]])</f>
        <v xml:space="preserve">HORAS: 5271
KW-HR: 
VOLT.BATERIA: 13.5 V
TEMPERATURA: 
PRES. ACEITE: </v>
      </c>
      <c r="AV156" s="683">
        <f>COUNTIFS(Q156:Q2156,"MANTENIMIENTO CORRECTIVO",Y156:Y2156,BDEGENER[[#This Row],[SERIE]])</f>
        <v>0</v>
      </c>
      <c r="AW156" s="683">
        <f>COUNTIFS(Q156:Q2156,"MANTENIMIENTO PREVENTIVO",Y156:Y2156,BDEGENER[[#This Row],[SERIE]])</f>
        <v>9</v>
      </c>
      <c r="AX15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156" s="683">
        <f>COUNTIFS(BDEGENER[SERIE],BDEGENER[[#This Row],[SERIE]],BDEGENER[TIPO DE SERVICIO],"MANTENIMIENTO PREVENTIVO")</f>
        <v>10</v>
      </c>
      <c r="AZ156" s="683" t="str">
        <f>CONCATENATE("MANTENIMIENTO PREVENTIVO N°",BDEGENER[[#This Row],[GA1]])</f>
        <v>MANTENIMIENTO PREVENTIVO N°10</v>
      </c>
      <c r="BA156" s="683" t="str">
        <f>IF(BDEGENER[[#This Row],[SERVICIO]]=BDEGENER[[#This Row],[GA2]],BDEGENER[[#This Row],[HORAS]],"0")</f>
        <v>0</v>
      </c>
      <c r="BB156" s="683">
        <f>SUMIF(BDEGENER[SERIE],BDEGENER[[#This Row],[SERIE]],BDEGENER[GA3])</f>
        <v>5559.8</v>
      </c>
      <c r="BC156" s="683" t="str">
        <f>CONCATENATE("MANT",COUNTIF($Y$7:Y156,Y156))</f>
        <v>MANT3</v>
      </c>
      <c r="BD156" s="683" t="str">
        <f>CONCATENATE(BDEGENER[[#This Row],[SERIE]],BDEGENER[[#This Row],[GA5]])</f>
        <v>3003415536MANT3</v>
      </c>
      <c r="BE156" s="683" t="str">
        <f>CONCATENATE(BDEGENER[[#This Row],[CODIGO PATRIMONIAL]],BDEGENER[[#This Row],[GA5]])</f>
        <v>SUR-GEG-0008MANT3</v>
      </c>
      <c r="BF156" s="683">
        <f>COUNTIF(BDEGENER[SERIE],BDEGENER[[#This Row],[SERIE]])</f>
        <v>12</v>
      </c>
      <c r="BG156" s="683" t="str">
        <f>CONCATENATE("F",COUNTIF($K$7:K156,K156))</f>
        <v>F3</v>
      </c>
      <c r="BH156" s="683" t="str">
        <f>CONCATENATE(BDEGENER[[#This Row],[FECHA DE SERVICIO]],BDEGENER[[#This Row],[N° DE REGISTROS DEL DIA]])</f>
        <v>44113F3</v>
      </c>
      <c r="BI156" s="684"/>
      <c r="BJ156" s="683" t="s">
        <v>1544</v>
      </c>
      <c r="BK156" s="762"/>
    </row>
    <row r="157" spans="2:63" ht="69" hidden="1" x14ac:dyDescent="0.3">
      <c r="B157" s="2"/>
      <c r="C157" s="2"/>
      <c r="D157" s="2"/>
      <c r="E157" s="2"/>
      <c r="F157" s="2"/>
      <c r="G157" s="2"/>
      <c r="H157" s="2"/>
      <c r="I157" s="2"/>
      <c r="J157" s="685"/>
      <c r="K157" s="682">
        <v>44113</v>
      </c>
      <c r="L157" s="683" t="s">
        <v>561</v>
      </c>
      <c r="M157" s="683" t="s">
        <v>582</v>
      </c>
      <c r="N157" s="683" t="s">
        <v>578</v>
      </c>
      <c r="O157" s="683"/>
      <c r="P157" s="688" t="s">
        <v>3436</v>
      </c>
      <c r="Q157" s="683" t="s">
        <v>37</v>
      </c>
      <c r="R157" s="683" t="s">
        <v>1782</v>
      </c>
      <c r="S157" s="686" t="s">
        <v>3044</v>
      </c>
      <c r="T157" s="683" t="s">
        <v>3252</v>
      </c>
      <c r="U157" s="683" t="s">
        <v>2887</v>
      </c>
      <c r="V157" s="683" t="s">
        <v>147</v>
      </c>
      <c r="W157" s="683" t="s">
        <v>913</v>
      </c>
      <c r="X157" s="691" t="s">
        <v>918</v>
      </c>
      <c r="Y157" s="687">
        <v>3003415544</v>
      </c>
      <c r="Z157" s="692" t="s">
        <v>2601</v>
      </c>
      <c r="AA157" s="683" t="s">
        <v>33</v>
      </c>
      <c r="AB157" s="683" t="s">
        <v>217</v>
      </c>
      <c r="AC157" s="683" t="s">
        <v>749</v>
      </c>
      <c r="AD157" s="683" t="s">
        <v>1123</v>
      </c>
      <c r="AE157" s="683">
        <v>60</v>
      </c>
      <c r="AF157" s="684">
        <v>5449.4</v>
      </c>
      <c r="AG157" s="683" t="s">
        <v>243</v>
      </c>
      <c r="AH157" s="683" t="s">
        <v>1803</v>
      </c>
      <c r="AI157" s="683" t="s">
        <v>2553</v>
      </c>
      <c r="AJ157" s="683"/>
      <c r="AK157" s="683" t="s">
        <v>33</v>
      </c>
      <c r="AL157" s="683"/>
      <c r="AM157" s="683" t="s">
        <v>1121</v>
      </c>
      <c r="AN157" s="683"/>
      <c r="AO157" s="683"/>
      <c r="AP157" s="683" t="s">
        <v>240</v>
      </c>
      <c r="AQ157" s="688" t="str">
        <f>CONCATENATE("REG-",BDEGENER[[#This Row],[FECHA DE SERVICIO]],"-",BDEGENER[[#This Row],[SERIE]],"-",BDEGENER[[#This Row],[HORAS]])</f>
        <v>REG-44113-3003415544-5449,4</v>
      </c>
      <c r="AR157" s="683" t="str">
        <f>CONCATENATE("MARCA: ",BDEGENER[[#This Row],[MARCA]],"
 MODELO: ",BDEGENER[[#This Row],[MODELO]])</f>
        <v>MARCA: GENERAC
 MODELO: RG022</v>
      </c>
      <c r="AS157" s="683" t="str">
        <f>CONCATENATE("MARCA: ",BDEGENER[[#This Row],[MARCA DE MOTOR]],"
SERIE: ",BDEGENER[[#This Row],[SERIE DE MOTOR]])</f>
        <v xml:space="preserve">MARCA: MITSUBISHI
SERIE: </v>
      </c>
      <c r="AT157" s="683" t="str">
        <f>CONCATENATE("MARCA: ",BDEGENER[[#This Row],[MARCA ALTERNADOR ]],"
SERIE: ",BDEGENER[[#This Row],[SERIE DE ALTERNADOR]])</f>
        <v xml:space="preserve">MARCA: GENERAC
SERIE: </v>
      </c>
      <c r="AU157" s="683" t="str">
        <f>CONCATENATE("HORAS: ",BDEGENER[[#This Row],[HORAS]],"
KW-HR: ",BDEGENER[[#This Row],[KW-HORA]],"
VOLT.BATERIA: ",BDEGENER[[#This Row],[VOLTAJE DE BATERIA]],"
TEMPERATURA: ",BDEGENER[[#This Row],[TEMPERATURA DE AGUA]],"
PRES. ACEITE: ",BDEGENER[[#This Row],[PRESION DE ACEITE]])</f>
        <v xml:space="preserve">HORAS: 5449,4
KW-HR: 
VOLT.BATERIA: 13.7 V
TEMPERATURA: 
PRES. ACEITE: </v>
      </c>
      <c r="AV157" s="683">
        <f>COUNTIFS(Q157:Q2157,"MANTENIMIENTO CORRECTIVO",Y157:Y2157,BDEGENER[[#This Row],[SERIE]])</f>
        <v>2</v>
      </c>
      <c r="AW157" s="683">
        <f>COUNTIFS(Q157:Q2157,"MANTENIMIENTO PREVENTIVO",Y157:Y2157,BDEGENER[[#This Row],[SERIE]])</f>
        <v>9</v>
      </c>
      <c r="AX15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157" s="683">
        <f>COUNTIFS(BDEGENER[SERIE],BDEGENER[[#This Row],[SERIE]],BDEGENER[TIPO DE SERVICIO],"MANTENIMIENTO PREVENTIVO")</f>
        <v>9</v>
      </c>
      <c r="AZ157" s="683" t="str">
        <f>CONCATENATE("MANTENIMIENTO PREVENTIVO N°",BDEGENER[[#This Row],[GA1]])</f>
        <v>MANTENIMIENTO PREVENTIVO N°9</v>
      </c>
      <c r="BA157" s="683">
        <f>IF(BDEGENER[[#This Row],[SERVICIO]]=BDEGENER[[#This Row],[GA2]],BDEGENER[[#This Row],[HORAS]],"0")</f>
        <v>5449.4</v>
      </c>
      <c r="BB157" s="683">
        <f>SUMIF(BDEGENER[SERIE],BDEGENER[[#This Row],[SERIE]],BDEGENER[GA3])</f>
        <v>5449.4</v>
      </c>
      <c r="BC157" s="761" t="str">
        <f>CONCATENATE("MANT",COUNTIF($Y$7:Y157,Y157))</f>
        <v>MANT2</v>
      </c>
      <c r="BD157" s="683" t="str">
        <f>CONCATENATE(BDEGENER[[#This Row],[SERIE]],BDEGENER[[#This Row],[GA5]])</f>
        <v>3003415544MANT2</v>
      </c>
      <c r="BE157" s="683" t="str">
        <f>CONCATENATE(BDEGENER[[#This Row],[CODIGO PATRIMONIAL]],BDEGENER[[#This Row],[GA5]])</f>
        <v>SUR-GEG-0005MANT2</v>
      </c>
      <c r="BF157" s="683">
        <f>COUNTIF(BDEGENER[SERIE],BDEGENER[[#This Row],[SERIE]])</f>
        <v>13</v>
      </c>
      <c r="BG157" s="761" t="str">
        <f>CONCATENATE("F",COUNTIF($K$7:K157,K157))</f>
        <v>F4</v>
      </c>
      <c r="BH157" s="683" t="str">
        <f>CONCATENATE(BDEGENER[[#This Row],[FECHA DE SERVICIO]],BDEGENER[[#This Row],[N° DE REGISTROS DEL DIA]])</f>
        <v>44113F4</v>
      </c>
      <c r="BI157" s="684"/>
      <c r="BJ157" s="683" t="s">
        <v>1544</v>
      </c>
      <c r="BK157" s="762"/>
    </row>
    <row r="158" spans="2:63" ht="69" hidden="1" x14ac:dyDescent="0.3">
      <c r="B158" s="2"/>
      <c r="C158" s="2"/>
      <c r="D158" s="2"/>
      <c r="E158" s="2"/>
      <c r="F158" s="2"/>
      <c r="G158" s="2"/>
      <c r="H158" s="2"/>
      <c r="I158" s="2"/>
      <c r="J158" s="685"/>
      <c r="K158" s="682">
        <v>44113</v>
      </c>
      <c r="L158" s="683" t="s">
        <v>561</v>
      </c>
      <c r="M158" s="683" t="s">
        <v>583</v>
      </c>
      <c r="N158" s="683" t="s">
        <v>578</v>
      </c>
      <c r="O158" s="683"/>
      <c r="P158" s="688" t="s">
        <v>3433</v>
      </c>
      <c r="Q158" s="683" t="s">
        <v>37</v>
      </c>
      <c r="R158" s="683" t="s">
        <v>1782</v>
      </c>
      <c r="S158" s="686" t="s">
        <v>3434</v>
      </c>
      <c r="T158" s="683" t="s">
        <v>3435</v>
      </c>
      <c r="U158" s="683" t="s">
        <v>2887</v>
      </c>
      <c r="V158" s="683" t="s">
        <v>147</v>
      </c>
      <c r="W158" s="683" t="s">
        <v>913</v>
      </c>
      <c r="X158" s="691" t="s">
        <v>918</v>
      </c>
      <c r="Y158" s="687">
        <v>3003415539</v>
      </c>
      <c r="Z158" s="692" t="s">
        <v>2600</v>
      </c>
      <c r="AA158" s="683" t="s">
        <v>33</v>
      </c>
      <c r="AB158" s="683" t="s">
        <v>217</v>
      </c>
      <c r="AC158" s="683" t="s">
        <v>749</v>
      </c>
      <c r="AD158" s="683" t="s">
        <v>1123</v>
      </c>
      <c r="AE158" s="683">
        <v>60</v>
      </c>
      <c r="AF158" s="684">
        <v>5881.6</v>
      </c>
      <c r="AG158" s="683" t="s">
        <v>243</v>
      </c>
      <c r="AH158" s="683" t="s">
        <v>1803</v>
      </c>
      <c r="AI158" s="683" t="s">
        <v>2553</v>
      </c>
      <c r="AJ158" s="683"/>
      <c r="AK158" s="683" t="s">
        <v>33</v>
      </c>
      <c r="AL158" s="683"/>
      <c r="AM158" s="683" t="s">
        <v>1094</v>
      </c>
      <c r="AN158" s="683"/>
      <c r="AO158" s="683"/>
      <c r="AP158" s="683" t="s">
        <v>240</v>
      </c>
      <c r="AQ158" s="688" t="str">
        <f>CONCATENATE("REG-",BDEGENER[[#This Row],[FECHA DE SERVICIO]],"-",BDEGENER[[#This Row],[SERIE]],"-",BDEGENER[[#This Row],[HORAS]])</f>
        <v>REG-44113-3003415539-5881,6</v>
      </c>
      <c r="AR158" s="683" t="str">
        <f>CONCATENATE("MARCA: ",BDEGENER[[#This Row],[MARCA]],"
 MODELO: ",BDEGENER[[#This Row],[MODELO]])</f>
        <v>MARCA: GENERAC
 MODELO: RG022</v>
      </c>
      <c r="AS158" s="683" t="str">
        <f>CONCATENATE("MARCA: ",BDEGENER[[#This Row],[MARCA DE MOTOR]],"
SERIE: ",BDEGENER[[#This Row],[SERIE DE MOTOR]])</f>
        <v xml:space="preserve">MARCA: MITSUBISHI
SERIE: </v>
      </c>
      <c r="AT158" s="683" t="str">
        <f>CONCATENATE("MARCA: ",BDEGENER[[#This Row],[MARCA ALTERNADOR ]],"
SERIE: ",BDEGENER[[#This Row],[SERIE DE ALTERNADOR]])</f>
        <v xml:space="preserve">MARCA: GENERAC
SERIE: </v>
      </c>
      <c r="AU158" s="683" t="str">
        <f>CONCATENATE("HORAS: ",BDEGENER[[#This Row],[HORAS]],"
KW-HR: ",BDEGENER[[#This Row],[KW-HORA]],"
VOLT.BATERIA: ",BDEGENER[[#This Row],[VOLTAJE DE BATERIA]],"
TEMPERATURA: ",BDEGENER[[#This Row],[TEMPERATURA DE AGUA]],"
PRES. ACEITE: ",BDEGENER[[#This Row],[PRESION DE ACEITE]])</f>
        <v xml:space="preserve">HORAS: 5881,6
KW-HR: 
VOLT.BATERIA: 13.5 V
TEMPERATURA: 
PRES. ACEITE: </v>
      </c>
      <c r="AV158" s="683">
        <f>COUNTIFS(Q158:Q2158,"MANTENIMIENTO CORRECTIVO",Y158:Y2158,BDEGENER[[#This Row],[SERIE]])</f>
        <v>4</v>
      </c>
      <c r="AW158" s="683">
        <f>COUNTIFS(Q158:Q2158,"MANTENIMIENTO PREVENTIVO",Y158:Y2158,BDEGENER[[#This Row],[SERIE]])</f>
        <v>11</v>
      </c>
      <c r="AX15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N°11</v>
      </c>
      <c r="AY158" s="683">
        <f>COUNTIFS(BDEGENER[SERIE],BDEGENER[[#This Row],[SERIE]],BDEGENER[TIPO DE SERVICIO],"MANTENIMIENTO PREVENTIVO")</f>
        <v>11</v>
      </c>
      <c r="AZ158" s="683" t="str">
        <f>CONCATENATE("MANTENIMIENTO PREVENTIVO N°",BDEGENER[[#This Row],[GA1]])</f>
        <v>MANTENIMIENTO PREVENTIVO N°11</v>
      </c>
      <c r="BA158" s="683">
        <f>IF(BDEGENER[[#This Row],[SERVICIO]]=BDEGENER[[#This Row],[GA2]],BDEGENER[[#This Row],[HORAS]],"0")</f>
        <v>5881.6</v>
      </c>
      <c r="BB158" s="683">
        <f>SUMIF(BDEGENER[SERIE],BDEGENER[[#This Row],[SERIE]],BDEGENER[GA3])</f>
        <v>5881.6</v>
      </c>
      <c r="BC158" s="683" t="str">
        <f>CONCATENATE("MANT",COUNTIF($Y$7:Y158,Y158))</f>
        <v>MANT1</v>
      </c>
      <c r="BD158" s="683" t="str">
        <f>CONCATENATE(BDEGENER[[#This Row],[SERIE]],BDEGENER[[#This Row],[GA5]])</f>
        <v>3003415539MANT1</v>
      </c>
      <c r="BE158" s="683" t="str">
        <f>CONCATENATE(BDEGENER[[#This Row],[CODIGO PATRIMONIAL]],BDEGENER[[#This Row],[GA5]])</f>
        <v>SUR-GEG-0004MANT1</v>
      </c>
      <c r="BF158" s="683">
        <f>COUNTIF(BDEGENER[SERIE],BDEGENER[[#This Row],[SERIE]])</f>
        <v>16</v>
      </c>
      <c r="BG158" s="683" t="str">
        <f>CONCATENATE("F",COUNTIF($K$7:K158,K158))</f>
        <v>F5</v>
      </c>
      <c r="BH158" s="683" t="str">
        <f>CONCATENATE(BDEGENER[[#This Row],[FECHA DE SERVICIO]],BDEGENER[[#This Row],[N° DE REGISTROS DEL DIA]])</f>
        <v>44113F5</v>
      </c>
      <c r="BI158" s="684"/>
      <c r="BJ158" s="683" t="s">
        <v>1544</v>
      </c>
      <c r="BK158" s="762"/>
    </row>
    <row r="159" spans="2:63" ht="69" hidden="1" x14ac:dyDescent="0.3">
      <c r="B159" s="2"/>
      <c r="C159" s="2"/>
      <c r="D159" s="2"/>
      <c r="E159" s="2"/>
      <c r="F159" s="2"/>
      <c r="G159" s="2"/>
      <c r="H159" s="2"/>
      <c r="I159" s="2"/>
      <c r="J159" s="685"/>
      <c r="K159" s="682">
        <v>44112</v>
      </c>
      <c r="L159" s="683" t="s">
        <v>561</v>
      </c>
      <c r="M159" s="683" t="s">
        <v>2450</v>
      </c>
      <c r="N159" s="683" t="s">
        <v>584</v>
      </c>
      <c r="O159" s="683"/>
      <c r="P159" s="688" t="s">
        <v>3553</v>
      </c>
      <c r="Q159" s="683" t="s">
        <v>37</v>
      </c>
      <c r="R159" s="683" t="s">
        <v>1782</v>
      </c>
      <c r="S159" s="686" t="s">
        <v>3510</v>
      </c>
      <c r="T159" s="683" t="s">
        <v>3554</v>
      </c>
      <c r="U159" s="683" t="s">
        <v>2951</v>
      </c>
      <c r="V159" s="683" t="s">
        <v>147</v>
      </c>
      <c r="W159" s="683" t="s">
        <v>913</v>
      </c>
      <c r="X159" s="691" t="s">
        <v>918</v>
      </c>
      <c r="Y159" s="687">
        <v>3003987064</v>
      </c>
      <c r="Z159" s="692" t="s">
        <v>2614</v>
      </c>
      <c r="AA159" s="683" t="s">
        <v>33</v>
      </c>
      <c r="AB159" s="683" t="s">
        <v>217</v>
      </c>
      <c r="AC159" s="683" t="s">
        <v>749</v>
      </c>
      <c r="AD159" s="683" t="s">
        <v>1123</v>
      </c>
      <c r="AE159" s="683">
        <v>60</v>
      </c>
      <c r="AF159" s="684">
        <v>5309.2</v>
      </c>
      <c r="AG159" s="683" t="s">
        <v>243</v>
      </c>
      <c r="AH159" s="683" t="s">
        <v>1803</v>
      </c>
      <c r="AI159" s="683" t="s">
        <v>2553</v>
      </c>
      <c r="AJ159" s="683"/>
      <c r="AK159" s="683" t="s">
        <v>33</v>
      </c>
      <c r="AL159" s="683"/>
      <c r="AM159" s="683" t="s">
        <v>1201</v>
      </c>
      <c r="AN159" s="683"/>
      <c r="AO159" s="683"/>
      <c r="AP159" s="683" t="s">
        <v>240</v>
      </c>
      <c r="AQ159" s="688" t="str">
        <f>CONCATENATE("REG-",BDEGENER[[#This Row],[FECHA DE SERVICIO]],"-",BDEGENER[[#This Row],[SERIE]],"-",BDEGENER[[#This Row],[HORAS]])</f>
        <v>REG-44112-3003987064-5309,2</v>
      </c>
      <c r="AR159" s="683" t="str">
        <f>CONCATENATE("MARCA: ",BDEGENER[[#This Row],[MARCA]],"
 MODELO: ",BDEGENER[[#This Row],[MODELO]])</f>
        <v>MARCA: GENERAC
 MODELO: RG022</v>
      </c>
      <c r="AS159" s="683" t="str">
        <f>CONCATENATE("MARCA: ",BDEGENER[[#This Row],[MARCA DE MOTOR]],"
SERIE: ",BDEGENER[[#This Row],[SERIE DE MOTOR]])</f>
        <v xml:space="preserve">MARCA: MITSUBISHI
SERIE: </v>
      </c>
      <c r="AT159" s="683" t="str">
        <f>CONCATENATE("MARCA: ",BDEGENER[[#This Row],[MARCA ALTERNADOR ]],"
SERIE: ",BDEGENER[[#This Row],[SERIE DE ALTERNADOR]])</f>
        <v xml:space="preserve">MARCA: GENERAC
SERIE: </v>
      </c>
      <c r="AU159" s="683" t="str">
        <f>CONCATENATE("HORAS: ",BDEGENER[[#This Row],[HORAS]],"
KW-HR: ",BDEGENER[[#This Row],[KW-HORA]],"
VOLT.BATERIA: ",BDEGENER[[#This Row],[VOLTAJE DE BATERIA]],"
TEMPERATURA: ",BDEGENER[[#This Row],[TEMPERATURA DE AGUA]],"
PRES. ACEITE: ",BDEGENER[[#This Row],[PRESION DE ACEITE]])</f>
        <v xml:space="preserve">HORAS: 5309,2
KW-HR: 
VOLT.BATERIA: 14.2 V
TEMPERATURA: 
PRES. ACEITE: </v>
      </c>
      <c r="AV159" s="683">
        <f>COUNTIFS(Q159:Q2159,"MANTENIMIENTO CORRECTIVO",Y159:Y2159,BDEGENER[[#This Row],[SERIE]])</f>
        <v>0</v>
      </c>
      <c r="AW159" s="683">
        <f>COUNTIFS(Q159:Q2159,"MANTENIMIENTO PREVENTIVO",Y159:Y2159,BDEGENER[[#This Row],[SERIE]])</f>
        <v>8</v>
      </c>
      <c r="AX15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59" s="683">
        <f>COUNTIFS(BDEGENER[SERIE],BDEGENER[[#This Row],[SERIE]],BDEGENER[TIPO DE SERVICIO],"MANTENIMIENTO PREVENTIVO")</f>
        <v>11</v>
      </c>
      <c r="AZ159" s="683" t="str">
        <f>CONCATENATE("MANTENIMIENTO PREVENTIVO N°",BDEGENER[[#This Row],[GA1]])</f>
        <v>MANTENIMIENTO PREVENTIVO N°11</v>
      </c>
      <c r="BA159" s="683" t="str">
        <f>IF(BDEGENER[[#This Row],[SERVICIO]]=BDEGENER[[#This Row],[GA2]],BDEGENER[[#This Row],[HORAS]],"0")</f>
        <v>0</v>
      </c>
      <c r="BB159" s="683">
        <f>SUMIF(BDEGENER[SERIE],BDEGENER[[#This Row],[SERIE]],BDEGENER[GA3])</f>
        <v>6420.8</v>
      </c>
      <c r="BC159" s="683" t="str">
        <f>CONCATENATE("MANT",COUNTIF($Y$7:Y159,Y159))</f>
        <v>MANT5</v>
      </c>
      <c r="BD159" s="683" t="str">
        <f>CONCATENATE(BDEGENER[[#This Row],[SERIE]],BDEGENER[[#This Row],[GA5]])</f>
        <v>3003987064MANT5</v>
      </c>
      <c r="BE159" s="683" t="str">
        <f>CONCATENATE(BDEGENER[[#This Row],[CODIGO PATRIMONIAL]],BDEGENER[[#This Row],[GA5]])</f>
        <v>NOR-GEG-0016MANT5</v>
      </c>
      <c r="BF159" s="683">
        <f>COUNTIF(BDEGENER[SERIE],BDEGENER[[#This Row],[SERIE]])</f>
        <v>12</v>
      </c>
      <c r="BG159" s="683" t="str">
        <f>CONCATENATE("F",COUNTIF($K$7:K159,K159))</f>
        <v>F1</v>
      </c>
      <c r="BH159" s="683" t="str">
        <f>CONCATENATE(BDEGENER[[#This Row],[FECHA DE SERVICIO]],BDEGENER[[#This Row],[N° DE REGISTROS DEL DIA]])</f>
        <v>44112F1</v>
      </c>
      <c r="BI159" s="684"/>
      <c r="BJ159" s="683" t="s">
        <v>1544</v>
      </c>
      <c r="BK159" s="762" t="s">
        <v>3555</v>
      </c>
    </row>
    <row r="160" spans="2:63" ht="69" hidden="1" x14ac:dyDescent="0.3">
      <c r="B160" s="2"/>
      <c r="C160" s="2"/>
      <c r="D160" s="2"/>
      <c r="E160" s="2"/>
      <c r="F160" s="2"/>
      <c r="G160" s="2"/>
      <c r="H160" s="2"/>
      <c r="I160" s="2"/>
      <c r="J160" s="685"/>
      <c r="K160" s="682">
        <v>44112</v>
      </c>
      <c r="L160" s="683" t="s">
        <v>561</v>
      </c>
      <c r="M160" s="683" t="s">
        <v>2592</v>
      </c>
      <c r="N160" s="683" t="s">
        <v>586</v>
      </c>
      <c r="O160" s="683"/>
      <c r="P160" s="688" t="s">
        <v>3548</v>
      </c>
      <c r="Q160" s="683" t="s">
        <v>37</v>
      </c>
      <c r="R160" s="683" t="s">
        <v>3551</v>
      </c>
      <c r="S160" s="686" t="s">
        <v>3549</v>
      </c>
      <c r="T160" s="683" t="s">
        <v>3552</v>
      </c>
      <c r="U160" s="683" t="s">
        <v>3550</v>
      </c>
      <c r="V160" s="683" t="s">
        <v>147</v>
      </c>
      <c r="W160" s="683" t="s">
        <v>914</v>
      </c>
      <c r="X160" s="691" t="s">
        <v>918</v>
      </c>
      <c r="Y160" s="687">
        <v>3003963150</v>
      </c>
      <c r="Z160" s="692" t="s">
        <v>2618</v>
      </c>
      <c r="AA160" s="683" t="s">
        <v>33</v>
      </c>
      <c r="AB160" s="683" t="s">
        <v>34</v>
      </c>
      <c r="AC160" s="683" t="s">
        <v>230</v>
      </c>
      <c r="AD160" s="683" t="s">
        <v>1123</v>
      </c>
      <c r="AE160" s="683">
        <v>60</v>
      </c>
      <c r="AF160" s="684">
        <v>4278.3999999999996</v>
      </c>
      <c r="AG160" s="683" t="s">
        <v>243</v>
      </c>
      <c r="AH160" s="683" t="s">
        <v>220</v>
      </c>
      <c r="AI160" s="683" t="s">
        <v>33</v>
      </c>
      <c r="AJ160" s="683">
        <v>3003966249</v>
      </c>
      <c r="AK160" s="683" t="s">
        <v>33</v>
      </c>
      <c r="AL160" s="683"/>
      <c r="AM160" s="683" t="s">
        <v>1858</v>
      </c>
      <c r="AN160" s="683" t="s">
        <v>2903</v>
      </c>
      <c r="AO160" s="683" t="s">
        <v>1427</v>
      </c>
      <c r="AP160" s="683" t="s">
        <v>240</v>
      </c>
      <c r="AQ160" s="688" t="str">
        <f>CONCATENATE("REG-",BDEGENER[[#This Row],[FECHA DE SERVICIO]],"-",BDEGENER[[#This Row],[SERIE]],"-",BDEGENER[[#This Row],[HORAS]])</f>
        <v>REG-44112-3003963150-4278,4</v>
      </c>
      <c r="AR160" s="683" t="str">
        <f>CONCATENATE("MARCA: ",BDEGENER[[#This Row],[MARCA]],"
 MODELO: ",BDEGENER[[#This Row],[MODELO]])</f>
        <v>MARCA: GENERAC
 MODELO: PG090</v>
      </c>
      <c r="AS160" s="683" t="str">
        <f>CONCATENATE("MARCA: ",BDEGENER[[#This Row],[MARCA DE MOTOR]],"
SERIE: ",BDEGENER[[#This Row],[SERIE DE MOTOR]])</f>
        <v>MARCA: GENERAC
SERIE: 3003966249</v>
      </c>
      <c r="AT160" s="683" t="str">
        <f>CONCATENATE("MARCA: ",BDEGENER[[#This Row],[MARCA ALTERNADOR ]],"
SERIE: ",BDEGENER[[#This Row],[SERIE DE ALTERNADOR]])</f>
        <v xml:space="preserve">MARCA: GENERAC
SERIE: </v>
      </c>
      <c r="AU160" s="683" t="str">
        <f>CONCATENATE("HORAS: ",BDEGENER[[#This Row],[HORAS]],"
KW-HR: ",BDEGENER[[#This Row],[KW-HORA]],"
VOLT.BATERIA: ",BDEGENER[[#This Row],[VOLTAJE DE BATERIA]],"
TEMPERATURA: ",BDEGENER[[#This Row],[TEMPERATURA DE AGUA]],"
PRES. ACEITE: ",BDEGENER[[#This Row],[PRESION DE ACEITE]])</f>
        <v>HORAS: 4278,4
KW-HR: 109966,6
VOLT.BATERIA: 14.1 V
TEMPERATURA: 191 °F
PRES. ACEITE: 60 PSI</v>
      </c>
      <c r="AV160" s="683">
        <f>COUNTIFS(Q160:Q2160,"MANTENIMIENTO CORRECTIVO",Y160:Y2160,BDEGENER[[#This Row],[SERIE]])</f>
        <v>2</v>
      </c>
      <c r="AW160" s="683">
        <f>COUNTIFS(Q160:Q2160,"MANTENIMIENTO PREVENTIVO",Y160:Y2160,BDEGENER[[#This Row],[SERIE]])</f>
        <v>6</v>
      </c>
      <c r="AX16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160" s="683">
        <f>COUNTIFS(BDEGENER[SERIE],BDEGENER[[#This Row],[SERIE]],BDEGENER[TIPO DE SERVICIO],"MANTENIMIENTO PREVENTIVO")</f>
        <v>7</v>
      </c>
      <c r="AZ160" s="683" t="str">
        <f>CONCATENATE("MANTENIMIENTO PREVENTIVO N°",BDEGENER[[#This Row],[GA1]])</f>
        <v>MANTENIMIENTO PREVENTIVO N°7</v>
      </c>
      <c r="BA160" s="683" t="str">
        <f>IF(BDEGENER[[#This Row],[SERVICIO]]=BDEGENER[[#This Row],[GA2]],BDEGENER[[#This Row],[HORAS]],"0")</f>
        <v>0</v>
      </c>
      <c r="BB160" s="683">
        <f>SUMIF(BDEGENER[SERIE],BDEGENER[[#This Row],[SERIE]],BDEGENER[GA3])</f>
        <v>4620.5</v>
      </c>
      <c r="BC160" s="761" t="str">
        <f>CONCATENATE("MANT",COUNTIF($Y$7:Y160,Y160))</f>
        <v>MANT2</v>
      </c>
      <c r="BD160" s="683" t="str">
        <f>CONCATENATE(BDEGENER[[#This Row],[SERIE]],BDEGENER[[#This Row],[GA5]])</f>
        <v>3003963150MANT2</v>
      </c>
      <c r="BE160" s="683" t="str">
        <f>CONCATENATE(BDEGENER[[#This Row],[CODIGO PATRIMONIAL]],BDEGENER[[#This Row],[GA5]])</f>
        <v>NOR-GEG-0020MANT2</v>
      </c>
      <c r="BF160" s="683">
        <f>COUNTIF(BDEGENER[SERIE],BDEGENER[[#This Row],[SERIE]])</f>
        <v>13</v>
      </c>
      <c r="BG160" s="761" t="str">
        <f>CONCATENATE("F",COUNTIF($K$7:K160,K160))</f>
        <v>F2</v>
      </c>
      <c r="BH160" s="683" t="str">
        <f>CONCATENATE(BDEGENER[[#This Row],[FECHA DE SERVICIO]],BDEGENER[[#This Row],[N° DE REGISTROS DEL DIA]])</f>
        <v>44112F2</v>
      </c>
      <c r="BI160" s="684">
        <v>109966.6</v>
      </c>
      <c r="BJ160" s="683" t="s">
        <v>1544</v>
      </c>
      <c r="BK160" s="762"/>
    </row>
    <row r="161" spans="2:63" ht="69" hidden="1" x14ac:dyDescent="0.3">
      <c r="B161" s="2"/>
      <c r="C161" s="2"/>
      <c r="D161" s="2"/>
      <c r="E161" s="2"/>
      <c r="F161" s="2"/>
      <c r="G161" s="2"/>
      <c r="H161" s="2"/>
      <c r="I161" s="2"/>
      <c r="J161" s="685"/>
      <c r="K161" s="682">
        <v>44112</v>
      </c>
      <c r="L161" s="683" t="s">
        <v>181</v>
      </c>
      <c r="M161" s="683" t="s">
        <v>2451</v>
      </c>
      <c r="N161" s="683" t="s">
        <v>584</v>
      </c>
      <c r="O161" s="683"/>
      <c r="P161" s="688" t="s">
        <v>3458</v>
      </c>
      <c r="Q161" s="683" t="s">
        <v>37</v>
      </c>
      <c r="R161" s="683" t="s">
        <v>1782</v>
      </c>
      <c r="S161" s="686" t="s">
        <v>3459</v>
      </c>
      <c r="T161" s="683" t="s">
        <v>2870</v>
      </c>
      <c r="U161" s="683" t="s">
        <v>3460</v>
      </c>
      <c r="V161" s="683" t="s">
        <v>147</v>
      </c>
      <c r="W161" s="683" t="s">
        <v>913</v>
      </c>
      <c r="X161" s="691" t="s">
        <v>918</v>
      </c>
      <c r="Y161" s="687">
        <v>3003940357</v>
      </c>
      <c r="Z161" s="692" t="s">
        <v>2612</v>
      </c>
      <c r="AA161" s="683" t="s">
        <v>33</v>
      </c>
      <c r="AB161" s="683" t="s">
        <v>217</v>
      </c>
      <c r="AC161" s="683" t="s">
        <v>749</v>
      </c>
      <c r="AD161" s="683" t="s">
        <v>1123</v>
      </c>
      <c r="AE161" s="683">
        <v>60</v>
      </c>
      <c r="AF161" s="684">
        <v>5316.2</v>
      </c>
      <c r="AG161" s="683" t="s">
        <v>243</v>
      </c>
      <c r="AH161" s="683" t="s">
        <v>1803</v>
      </c>
      <c r="AI161" s="683" t="s">
        <v>2553</v>
      </c>
      <c r="AJ161" s="683" t="s">
        <v>2816</v>
      </c>
      <c r="AK161" s="683" t="s">
        <v>33</v>
      </c>
      <c r="AL161" s="683">
        <v>20181104</v>
      </c>
      <c r="AM161" s="683" t="s">
        <v>1196</v>
      </c>
      <c r="AN161" s="683"/>
      <c r="AO161" s="683"/>
      <c r="AP161" s="683" t="s">
        <v>240</v>
      </c>
      <c r="AQ161" s="688" t="str">
        <f>CONCATENATE("REG-",BDEGENER[[#This Row],[FECHA DE SERVICIO]],"-",BDEGENER[[#This Row],[SERIE]],"-",BDEGENER[[#This Row],[HORAS]])</f>
        <v>REG-44112-3003940357-5316,2</v>
      </c>
      <c r="AR161" s="683" t="str">
        <f>CONCATENATE("MARCA: ",BDEGENER[[#This Row],[MARCA]],"
 MODELO: ",BDEGENER[[#This Row],[MODELO]])</f>
        <v>MARCA: GENERAC
 MODELO: RG022</v>
      </c>
      <c r="AS161" s="683" t="str">
        <f>CONCATENATE("MARCA: ",BDEGENER[[#This Row],[MARCA DE MOTOR]],"
SERIE: ",BDEGENER[[#This Row],[SERIE DE MOTOR]])</f>
        <v>MARCA: MITSUBISHI
SERIE: 4G6454M/SXG1014</v>
      </c>
      <c r="AT161" s="683" t="str">
        <f>CONCATENATE("MARCA: ",BDEGENER[[#This Row],[MARCA ALTERNADOR ]],"
SERIE: ",BDEGENER[[#This Row],[SERIE DE ALTERNADOR]])</f>
        <v>MARCA: GENERAC
SERIE: 20181104</v>
      </c>
      <c r="AU161" s="683" t="str">
        <f>CONCATENATE("HORAS: ",BDEGENER[[#This Row],[HORAS]],"
KW-HR: ",BDEGENER[[#This Row],[KW-HORA]],"
VOLT.BATERIA: ",BDEGENER[[#This Row],[VOLTAJE DE BATERIA]],"
TEMPERATURA: ",BDEGENER[[#This Row],[TEMPERATURA DE AGUA]],"
PRES. ACEITE: ",BDEGENER[[#This Row],[PRESION DE ACEITE]])</f>
        <v xml:space="preserve">HORAS: 5316,2
KW-HR: 
VOLT.BATERIA: 13.2 V
TEMPERATURA: 
PRES. ACEITE: </v>
      </c>
      <c r="AV161" s="683">
        <f>COUNTIFS(Q161:Q2161,"MANTENIMIENTO CORRECTIVO",Y161:Y2161,BDEGENER[[#This Row],[SERIE]])</f>
        <v>0</v>
      </c>
      <c r="AW161" s="683">
        <f>COUNTIFS(Q161:Q2161,"MANTENIMIENTO PREVENTIVO",Y161:Y2161,BDEGENER[[#This Row],[SERIE]])</f>
        <v>9</v>
      </c>
      <c r="AX16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161" s="683">
        <f>COUNTIFS(BDEGENER[SERIE],BDEGENER[[#This Row],[SERIE]],BDEGENER[TIPO DE SERVICIO],"MANTENIMIENTO PREVENTIVO")</f>
        <v>12</v>
      </c>
      <c r="AZ161" s="683" t="str">
        <f>CONCATENATE("MANTENIMIENTO PREVENTIVO N°",BDEGENER[[#This Row],[GA1]])</f>
        <v>MANTENIMIENTO PREVENTIVO N°12</v>
      </c>
      <c r="BA161" s="683" t="str">
        <f>IF(BDEGENER[[#This Row],[SERVICIO]]=BDEGENER[[#This Row],[GA2]],BDEGENER[[#This Row],[HORAS]],"0")</f>
        <v>0</v>
      </c>
      <c r="BB161" s="683">
        <f>SUMIF(BDEGENER[SERIE],BDEGENER[[#This Row],[SERIE]],BDEGENER[GA3])</f>
        <v>6263.3</v>
      </c>
      <c r="BC161" s="683" t="str">
        <f>CONCATENATE("MANT",COUNTIF($Y$7:Y161,Y161))</f>
        <v>MANT7</v>
      </c>
      <c r="BD161" s="683" t="str">
        <f>CONCATENATE(BDEGENER[[#This Row],[SERIE]],BDEGENER[[#This Row],[GA5]])</f>
        <v>3003940357MANT7</v>
      </c>
      <c r="BE161" s="683" t="str">
        <f>CONCATENATE(BDEGENER[[#This Row],[CODIGO PATRIMONIAL]],BDEGENER[[#This Row],[GA5]])</f>
        <v>NOR-GEG-0014MANT7</v>
      </c>
      <c r="BF161" s="683">
        <f>COUNTIF(BDEGENER[SERIE],BDEGENER[[#This Row],[SERIE]])</f>
        <v>16</v>
      </c>
      <c r="BG161" s="683" t="str">
        <f>CONCATENATE("F",COUNTIF($K$7:K161,K161))</f>
        <v>F3</v>
      </c>
      <c r="BH161" s="683" t="str">
        <f>CONCATENATE(BDEGENER[[#This Row],[FECHA DE SERVICIO]],BDEGENER[[#This Row],[N° DE REGISTROS DEL DIA]])</f>
        <v>44112F3</v>
      </c>
      <c r="BI161" s="684"/>
      <c r="BJ161" s="683" t="s">
        <v>1544</v>
      </c>
      <c r="BK161" s="762"/>
    </row>
    <row r="162" spans="2:63" ht="69" hidden="1" x14ac:dyDescent="0.3">
      <c r="B162" s="2"/>
      <c r="C162" s="2"/>
      <c r="D162" s="2"/>
      <c r="E162" s="2"/>
      <c r="F162" s="2"/>
      <c r="G162" s="2"/>
      <c r="H162" s="2"/>
      <c r="I162" s="2"/>
      <c r="J162" s="685"/>
      <c r="K162" s="682">
        <v>44112</v>
      </c>
      <c r="L162" s="683" t="s">
        <v>561</v>
      </c>
      <c r="M162" s="683" t="s">
        <v>2453</v>
      </c>
      <c r="N162" s="683" t="s">
        <v>584</v>
      </c>
      <c r="O162" s="683"/>
      <c r="P162" s="683"/>
      <c r="Q162" s="683" t="s">
        <v>37</v>
      </c>
      <c r="R162" s="683" t="s">
        <v>1782</v>
      </c>
      <c r="S162" s="686" t="s">
        <v>3440</v>
      </c>
      <c r="T162" s="683" t="s">
        <v>3441</v>
      </c>
      <c r="U162" s="683" t="s">
        <v>2077</v>
      </c>
      <c r="V162" s="683" t="s">
        <v>147</v>
      </c>
      <c r="W162" s="683" t="s">
        <v>914</v>
      </c>
      <c r="X162" s="691" t="s">
        <v>918</v>
      </c>
      <c r="Y162" s="687">
        <v>3003566703</v>
      </c>
      <c r="Z162" s="692" t="s">
        <v>2615</v>
      </c>
      <c r="AA162" s="683" t="s">
        <v>33</v>
      </c>
      <c r="AB162" s="683" t="s">
        <v>34</v>
      </c>
      <c r="AC162" s="683" t="s">
        <v>230</v>
      </c>
      <c r="AD162" s="683" t="s">
        <v>1123</v>
      </c>
      <c r="AE162" s="683">
        <v>60</v>
      </c>
      <c r="AF162" s="684">
        <v>5927.1</v>
      </c>
      <c r="AG162" s="683" t="s">
        <v>243</v>
      </c>
      <c r="AH162" s="683" t="s">
        <v>220</v>
      </c>
      <c r="AI162" s="683" t="s">
        <v>33</v>
      </c>
      <c r="AJ162" s="683">
        <v>3003412041</v>
      </c>
      <c r="AK162" s="683" t="s">
        <v>33</v>
      </c>
      <c r="AL162" s="683">
        <v>811745</v>
      </c>
      <c r="AM162" s="683" t="s">
        <v>1377</v>
      </c>
      <c r="AN162" s="683" t="s">
        <v>1348</v>
      </c>
      <c r="AO162" s="683" t="s">
        <v>1354</v>
      </c>
      <c r="AP162" s="683" t="s">
        <v>240</v>
      </c>
      <c r="AQ162" s="688" t="str">
        <f>CONCATENATE("REG-",BDEGENER[[#This Row],[FECHA DE SERVICIO]],"-",BDEGENER[[#This Row],[SERIE]],"-",BDEGENER[[#This Row],[HORAS]])</f>
        <v>REG-44112-3003566703-5927,1</v>
      </c>
      <c r="AR162" s="683" t="str">
        <f>CONCATENATE("MARCA: ",BDEGENER[[#This Row],[MARCA]],"
 MODELO: ",BDEGENER[[#This Row],[MODELO]])</f>
        <v>MARCA: GENERAC
 MODELO: PG090</v>
      </c>
      <c r="AS162" s="683" t="str">
        <f>CONCATENATE("MARCA: ",BDEGENER[[#This Row],[MARCA DE MOTOR]],"
SERIE: ",BDEGENER[[#This Row],[SERIE DE MOTOR]])</f>
        <v>MARCA: GENERAC
SERIE: 3003412041</v>
      </c>
      <c r="AT162" s="683" t="str">
        <f>CONCATENATE("MARCA: ",BDEGENER[[#This Row],[MARCA ALTERNADOR ]],"
SERIE: ",BDEGENER[[#This Row],[SERIE DE ALTERNADOR]])</f>
        <v>MARCA: GENERAC
SERIE: 811745</v>
      </c>
      <c r="AU162" s="683" t="str">
        <f>CONCATENATE("HORAS: ",BDEGENER[[#This Row],[HORAS]],"
KW-HR: ",BDEGENER[[#This Row],[KW-HORA]],"
VOLT.BATERIA: ",BDEGENER[[#This Row],[VOLTAJE DE BATERIA]],"
TEMPERATURA: ",BDEGENER[[#This Row],[TEMPERATURA DE AGUA]],"
PRES. ACEITE: ",BDEGENER[[#This Row],[PRESION DE ACEITE]])</f>
        <v>HORAS: 5927,1
KW-HR: 43163,6
VOLT.BATERIA: 13.8 V
TEMPERATURA: 193 °F
PRES. ACEITE: 63 PSI</v>
      </c>
      <c r="AV162" s="683">
        <f>COUNTIFS(Q162:Q2162,"MANTENIMIENTO CORRECTIVO",Y162:Y2162,BDEGENER[[#This Row],[SERIE]])</f>
        <v>1</v>
      </c>
      <c r="AW162" s="683">
        <f>COUNTIFS(Q162:Q2162,"MANTENIMIENTO PREVENTIVO",Y162:Y2162,BDEGENER[[#This Row],[SERIE]])</f>
        <v>7</v>
      </c>
      <c r="AX16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62" s="683">
        <f>COUNTIFS(BDEGENER[SERIE],BDEGENER[[#This Row],[SERIE]],BDEGENER[TIPO DE SERVICIO],"MANTENIMIENTO PREVENTIVO")</f>
        <v>8</v>
      </c>
      <c r="AZ162" s="683" t="str">
        <f>CONCATENATE("MANTENIMIENTO PREVENTIVO N°",BDEGENER[[#This Row],[GA1]])</f>
        <v>MANTENIMIENTO PREVENTIVO N°8</v>
      </c>
      <c r="BA162" s="683" t="str">
        <f>IF(BDEGENER[[#This Row],[SERVICIO]]=BDEGENER[[#This Row],[GA2]],BDEGENER[[#This Row],[HORAS]],"0")</f>
        <v>0</v>
      </c>
      <c r="BB162" s="683">
        <f>SUMIF(BDEGENER[SERIE],BDEGENER[[#This Row],[SERIE]],BDEGENER[GA3])</f>
        <v>6396.5</v>
      </c>
      <c r="BC162" s="683" t="str">
        <f>CONCATENATE("MANT",COUNTIF($Y$7:Y162,Y162))</f>
        <v>MANT3</v>
      </c>
      <c r="BD162" s="683" t="str">
        <f>CONCATENATE(BDEGENER[[#This Row],[SERIE]],BDEGENER[[#This Row],[GA5]])</f>
        <v>3003566703MANT3</v>
      </c>
      <c r="BE162" s="683" t="str">
        <f>CONCATENATE(BDEGENER[[#This Row],[CODIGO PATRIMONIAL]],BDEGENER[[#This Row],[GA5]])</f>
        <v>NOR-GEG-0017MANT3</v>
      </c>
      <c r="BF162" s="683">
        <f>COUNTIF(BDEGENER[SERIE],BDEGENER[[#This Row],[SERIE]])</f>
        <v>11</v>
      </c>
      <c r="BG162" s="683" t="str">
        <f>CONCATENATE("F",COUNTIF($K$7:K162,K162))</f>
        <v>F4</v>
      </c>
      <c r="BH162" s="683" t="str">
        <f>CONCATENATE(BDEGENER[[#This Row],[FECHA DE SERVICIO]],BDEGENER[[#This Row],[N° DE REGISTROS DEL DIA]])</f>
        <v>44112F4</v>
      </c>
      <c r="BI162" s="684">
        <v>43163.6</v>
      </c>
      <c r="BJ162" s="683" t="s">
        <v>1544</v>
      </c>
      <c r="BK162" s="762" t="s">
        <v>231</v>
      </c>
    </row>
    <row r="163" spans="2:63" ht="69" hidden="1" x14ac:dyDescent="0.3">
      <c r="B163" s="2"/>
      <c r="C163" s="2"/>
      <c r="D163" s="2"/>
      <c r="E163" s="2"/>
      <c r="F163" s="2"/>
      <c r="G163" s="2"/>
      <c r="H163" s="2"/>
      <c r="I163" s="2"/>
      <c r="J163" s="685"/>
      <c r="K163" s="682">
        <v>44111</v>
      </c>
      <c r="L163" s="683" t="s">
        <v>3575</v>
      </c>
      <c r="M163" s="683" t="s">
        <v>3576</v>
      </c>
      <c r="N163" s="683" t="s">
        <v>3577</v>
      </c>
      <c r="O163" s="683"/>
      <c r="P163" s="683"/>
      <c r="Q163" s="683" t="s">
        <v>107</v>
      </c>
      <c r="R163" s="683" t="s">
        <v>1782</v>
      </c>
      <c r="S163" s="686" t="s">
        <v>3578</v>
      </c>
      <c r="T163" s="683" t="s">
        <v>2546</v>
      </c>
      <c r="U163" s="683" t="s">
        <v>3579</v>
      </c>
      <c r="V163" s="683" t="s">
        <v>147</v>
      </c>
      <c r="W163" s="683" t="s">
        <v>915</v>
      </c>
      <c r="X163" s="691" t="s">
        <v>917</v>
      </c>
      <c r="Y163" s="687">
        <v>1603596</v>
      </c>
      <c r="Z163" s="692" t="s">
        <v>159</v>
      </c>
      <c r="AA163" s="683" t="s">
        <v>33</v>
      </c>
      <c r="AB163" s="683" t="s">
        <v>1120</v>
      </c>
      <c r="AC163" s="683" t="s">
        <v>231</v>
      </c>
      <c r="AD163" s="683"/>
      <c r="AE163" s="683"/>
      <c r="AF163" s="684">
        <v>2004.6</v>
      </c>
      <c r="AG163" s="683" t="s">
        <v>243</v>
      </c>
      <c r="AH163" s="683" t="s">
        <v>1578</v>
      </c>
      <c r="AI163" s="683" t="s">
        <v>868</v>
      </c>
      <c r="AJ163" s="683" t="s">
        <v>1579</v>
      </c>
      <c r="AK163" s="683" t="s">
        <v>33</v>
      </c>
      <c r="AL163" s="683" t="s">
        <v>159</v>
      </c>
      <c r="AM163" s="683"/>
      <c r="AN163" s="683"/>
      <c r="AO163" s="683"/>
      <c r="AP163" s="683" t="s">
        <v>240</v>
      </c>
      <c r="AQ163" s="688" t="str">
        <f>CONCATENATE("REG-",BDEGENER[[#This Row],[FECHA DE SERVICIO]],"-",BDEGENER[[#This Row],[SERIE]],"-",BDEGENER[[#This Row],[HORAS]])</f>
        <v>REG-44111-1603596-2004,6</v>
      </c>
      <c r="AR163" s="683" t="str">
        <f>CONCATENATE("MARCA: ",BDEGENER[[#This Row],[MARCA]],"
 MODELO: ",BDEGENER[[#This Row],[MODELO]])</f>
        <v>MARCA: GENERAC
 MODELO: VT8 K3</v>
      </c>
      <c r="AS163" s="683" t="str">
        <f>CONCATENATE("MARCA: ",BDEGENER[[#This Row],[MARCA DE MOTOR]],"
SERIE: ",BDEGENER[[#This Row],[SERIE DE MOTOR]])</f>
        <v>MARCA: KUBOTA
SERIE: 1GL1486</v>
      </c>
      <c r="AT163" s="683" t="str">
        <f>CONCATENATE("MARCA: ",BDEGENER[[#This Row],[MARCA ALTERNADOR ]],"
SERIE: ",BDEGENER[[#This Row],[SERIE DE ALTERNADOR]])</f>
        <v xml:space="preserve">MARCA: GENERAC
SERIE: </v>
      </c>
      <c r="AU163" s="683" t="str">
        <f>CONCATENATE("HORAS: ",BDEGENER[[#This Row],[HORAS]],"
KW-HR: ",BDEGENER[[#This Row],[KW-HORA]],"
VOLT.BATERIA: ",BDEGENER[[#This Row],[VOLTAJE DE BATERIA]],"
TEMPERATURA: ",BDEGENER[[#This Row],[TEMPERATURA DE AGUA]],"
PRES. ACEITE: ",BDEGENER[[#This Row],[PRESION DE ACEITE]])</f>
        <v xml:space="preserve">HORAS: 2004,6
KW-HR: 
VOLT.BATERIA: 
TEMPERATURA: 
PRES. ACEITE: </v>
      </c>
      <c r="AV163" s="761">
        <f>COUNTIFS(Q163:Q2163,"MANTENIMIENTO CORRECTIVO",Y163:Y2163,BDEGENER[[#This Row],[SERIE]])</f>
        <v>2</v>
      </c>
      <c r="AW163" s="761">
        <f>COUNTIFS(Q163:Q2163,"MANTENIMIENTO PREVENTIVO",Y163:Y2163,BDEGENER[[#This Row],[SERIE]])</f>
        <v>4</v>
      </c>
      <c r="AX16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63" s="683">
        <f>COUNTIFS(BDEGENER[SERIE],BDEGENER[[#This Row],[SERIE]],BDEGENER[TIPO DE SERVICIO],"MANTENIMIENTO PREVENTIVO")</f>
        <v>4</v>
      </c>
      <c r="AZ163" s="683" t="str">
        <f>CONCATENATE("MANTENIMIENTO PREVENTIVO N°",BDEGENER[[#This Row],[GA1]])</f>
        <v>MANTENIMIENTO PREVENTIVO N°4</v>
      </c>
      <c r="BA163" s="683" t="str">
        <f>IF(BDEGENER[[#This Row],[SERVICIO]]=BDEGENER[[#This Row],[GA2]],BDEGENER[[#This Row],[HORAS]],"0")</f>
        <v>0</v>
      </c>
      <c r="BB163" s="683">
        <f>SUMIF(BDEGENER[SERIE],BDEGENER[[#This Row],[SERIE]],BDEGENER[GA3])</f>
        <v>1817.8</v>
      </c>
      <c r="BC163" s="761" t="str">
        <f>CONCATENATE("MANT",COUNTIF($Y$7:Y163,Y163))</f>
        <v>MANT1</v>
      </c>
      <c r="BD163" s="683" t="str">
        <f>CONCATENATE(BDEGENER[[#This Row],[SERIE]],BDEGENER[[#This Row],[GA5]])</f>
        <v>1603596MANT1</v>
      </c>
      <c r="BE163" s="683" t="str">
        <f>CONCATENATE(BDEGENER[[#This Row],[CODIGO PATRIMONIAL]],BDEGENER[[#This Row],[GA5]])</f>
        <v>MANT1</v>
      </c>
      <c r="BF163" s="683">
        <f>COUNTIF(BDEGENER[SERIE],BDEGENER[[#This Row],[SERIE]])</f>
        <v>6</v>
      </c>
      <c r="BG163" s="761" t="str">
        <f>CONCATENATE("F",COUNTIF($K$7:K163,K163))</f>
        <v>F1</v>
      </c>
      <c r="BH163" s="683" t="str">
        <f>CONCATENATE(BDEGENER[[#This Row],[FECHA DE SERVICIO]],BDEGENER[[#This Row],[N° DE REGISTROS DEL DIA]])</f>
        <v>44111F1</v>
      </c>
      <c r="BI163" s="684"/>
      <c r="BJ163" s="683" t="s">
        <v>1545</v>
      </c>
      <c r="BK163" s="762"/>
    </row>
    <row r="164" spans="2:63" ht="69" hidden="1" x14ac:dyDescent="0.3">
      <c r="B164" s="2"/>
      <c r="C164" s="2"/>
      <c r="D164" s="2"/>
      <c r="E164" s="2"/>
      <c r="F164" s="2"/>
      <c r="G164" s="2"/>
      <c r="H164" s="2"/>
      <c r="I164" s="2"/>
      <c r="J164" s="685"/>
      <c r="K164" s="682">
        <v>44111</v>
      </c>
      <c r="L164" s="683" t="s">
        <v>561</v>
      </c>
      <c r="M164" s="683" t="s">
        <v>571</v>
      </c>
      <c r="N164" s="683" t="s">
        <v>572</v>
      </c>
      <c r="O164" s="683"/>
      <c r="P164" s="683"/>
      <c r="Q164" s="683" t="s">
        <v>107</v>
      </c>
      <c r="R164" s="683" t="s">
        <v>1782</v>
      </c>
      <c r="S164" s="686" t="s">
        <v>3461</v>
      </c>
      <c r="T164" s="683" t="s">
        <v>2546</v>
      </c>
      <c r="U164" s="683"/>
      <c r="V164" s="683" t="s">
        <v>147</v>
      </c>
      <c r="W164" s="683" t="s">
        <v>913</v>
      </c>
      <c r="X164" s="691" t="s">
        <v>918</v>
      </c>
      <c r="Y164" s="687">
        <v>3004370203</v>
      </c>
      <c r="Z164" s="692" t="s">
        <v>2598</v>
      </c>
      <c r="AA164" s="683" t="s">
        <v>33</v>
      </c>
      <c r="AB164" s="683" t="s">
        <v>217</v>
      </c>
      <c r="AC164" s="683" t="s">
        <v>749</v>
      </c>
      <c r="AD164" s="683" t="s">
        <v>1123</v>
      </c>
      <c r="AE164" s="683">
        <v>60</v>
      </c>
      <c r="AF164" s="684">
        <v>2646.7</v>
      </c>
      <c r="AG164" s="683" t="s">
        <v>243</v>
      </c>
      <c r="AH164" s="683" t="s">
        <v>1803</v>
      </c>
      <c r="AI164" s="683" t="s">
        <v>2553</v>
      </c>
      <c r="AJ164" s="683"/>
      <c r="AK164" s="683" t="s">
        <v>33</v>
      </c>
      <c r="AL164" s="683"/>
      <c r="AM164" s="683" t="s">
        <v>1502</v>
      </c>
      <c r="AN164" s="683"/>
      <c r="AO164" s="683"/>
      <c r="AP164" s="683" t="s">
        <v>240</v>
      </c>
      <c r="AQ164" s="688" t="str">
        <f>CONCATENATE("REG-",BDEGENER[[#This Row],[FECHA DE SERVICIO]],"-",BDEGENER[[#This Row],[SERIE]],"-",BDEGENER[[#This Row],[HORAS]])</f>
        <v>REG-44111-3004370203-2646,7</v>
      </c>
      <c r="AR164" s="683" t="str">
        <f>CONCATENATE("MARCA: ",BDEGENER[[#This Row],[MARCA]],"
 MODELO: ",BDEGENER[[#This Row],[MODELO]])</f>
        <v>MARCA: GENERAC
 MODELO: RG022</v>
      </c>
      <c r="AS164" s="683" t="str">
        <f>CONCATENATE("MARCA: ",BDEGENER[[#This Row],[MARCA DE MOTOR]],"
SERIE: ",BDEGENER[[#This Row],[SERIE DE MOTOR]])</f>
        <v xml:space="preserve">MARCA: MITSUBISHI
SERIE: </v>
      </c>
      <c r="AT164" s="683" t="str">
        <f>CONCATENATE("MARCA: ",BDEGENER[[#This Row],[MARCA ALTERNADOR ]],"
SERIE: ",BDEGENER[[#This Row],[SERIE DE ALTERNADOR]])</f>
        <v xml:space="preserve">MARCA: GENERAC
SERIE: </v>
      </c>
      <c r="AU164" s="683" t="str">
        <f>CONCATENATE("HORAS: ",BDEGENER[[#This Row],[HORAS]],"
KW-HR: ",BDEGENER[[#This Row],[KW-HORA]],"
VOLT.BATERIA: ",BDEGENER[[#This Row],[VOLTAJE DE BATERIA]],"
TEMPERATURA: ",BDEGENER[[#This Row],[TEMPERATURA DE AGUA]],"
PRES. ACEITE: ",BDEGENER[[#This Row],[PRESION DE ACEITE]])</f>
        <v xml:space="preserve">HORAS: 2646,7
KW-HR: 
VOLT.BATERIA: 14 V
TEMPERATURA: 
PRES. ACEITE: </v>
      </c>
      <c r="AV164" s="683">
        <f>COUNTIFS(Q164:Q2164,"MANTENIMIENTO CORRECTIVO",Y164:Y2164,BDEGENER[[#This Row],[SERIE]])</f>
        <v>3</v>
      </c>
      <c r="AW164" s="683">
        <f>COUNTIFS(Q164:Q2164,"MANTENIMIENTO PREVENTIVO",Y164:Y2164,BDEGENER[[#This Row],[SERIE]])</f>
        <v>5</v>
      </c>
      <c r="AX16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164" s="683">
        <f>COUNTIFS(BDEGENER[SERIE],BDEGENER[[#This Row],[SERIE]],BDEGENER[TIPO DE SERVICIO],"MANTENIMIENTO PREVENTIVO")</f>
        <v>6</v>
      </c>
      <c r="AZ164" s="683" t="str">
        <f>CONCATENATE("MANTENIMIENTO PREVENTIVO N°",BDEGENER[[#This Row],[GA1]])</f>
        <v>MANTENIMIENTO PREVENTIVO N°6</v>
      </c>
      <c r="BA164" s="683" t="str">
        <f>IF(BDEGENER[[#This Row],[SERVICIO]]=BDEGENER[[#This Row],[GA2]],BDEGENER[[#This Row],[HORAS]],"0")</f>
        <v>0</v>
      </c>
      <c r="BB164" s="683">
        <f>SUMIF(BDEGENER[SERIE],BDEGENER[[#This Row],[SERIE]],BDEGENER[GA3])</f>
        <v>2885.1</v>
      </c>
      <c r="BC164" s="683" t="str">
        <f>CONCATENATE("MANT",COUNTIF($Y$7:Y164,Y164))</f>
        <v>MANT3</v>
      </c>
      <c r="BD164" s="683" t="str">
        <f>CONCATENATE(BDEGENER[[#This Row],[SERIE]],BDEGENER[[#This Row],[GA5]])</f>
        <v>3004370203MANT3</v>
      </c>
      <c r="BE164" s="683" t="str">
        <f>CONCATENATE(BDEGENER[[#This Row],[CODIGO PATRIMONIAL]],BDEGENER[[#This Row],[GA5]])</f>
        <v>SUR-GEG-0002MANT3</v>
      </c>
      <c r="BF164" s="683">
        <f>COUNTIF(BDEGENER[SERIE],BDEGENER[[#This Row],[SERIE]])</f>
        <v>14</v>
      </c>
      <c r="BG164" s="683" t="str">
        <f>CONCATENATE("F",COUNTIF($K$7:K164,K164))</f>
        <v>F2</v>
      </c>
      <c r="BH164" s="683" t="str">
        <f>CONCATENATE(BDEGENER[[#This Row],[FECHA DE SERVICIO]],BDEGENER[[#This Row],[N° DE REGISTROS DEL DIA]])</f>
        <v>44111F2</v>
      </c>
      <c r="BI164" s="684"/>
      <c r="BJ164" s="683" t="s">
        <v>1544</v>
      </c>
      <c r="BK164" s="762"/>
    </row>
    <row r="165" spans="2:63" ht="69" hidden="1" x14ac:dyDescent="0.3">
      <c r="B165" s="2"/>
      <c r="C165" s="2"/>
      <c r="D165" s="2"/>
      <c r="E165" s="2"/>
      <c r="F165" s="2"/>
      <c r="G165" s="2"/>
      <c r="H165" s="2"/>
      <c r="I165" s="2"/>
      <c r="J165" s="685"/>
      <c r="K165" s="682">
        <v>44111</v>
      </c>
      <c r="L165" s="683" t="s">
        <v>181</v>
      </c>
      <c r="M165" s="683" t="s">
        <v>187</v>
      </c>
      <c r="N165" s="683" t="s">
        <v>183</v>
      </c>
      <c r="O165" s="683">
        <v>4500873022</v>
      </c>
      <c r="P165" s="683" t="s">
        <v>3427</v>
      </c>
      <c r="Q165" s="683" t="s">
        <v>37</v>
      </c>
      <c r="R165" s="683" t="s">
        <v>1782</v>
      </c>
      <c r="S165" s="686" t="s">
        <v>3428</v>
      </c>
      <c r="T165" s="683" t="s">
        <v>3429</v>
      </c>
      <c r="U165" s="683" t="s">
        <v>3430</v>
      </c>
      <c r="V165" s="683" t="s">
        <v>146</v>
      </c>
      <c r="W165" s="683" t="s">
        <v>914</v>
      </c>
      <c r="X165" s="691" t="s">
        <v>918</v>
      </c>
      <c r="Y165" s="687">
        <v>3004337429</v>
      </c>
      <c r="Z165" s="692"/>
      <c r="AA165" s="683" t="s">
        <v>33</v>
      </c>
      <c r="AB165" s="683" t="s">
        <v>34</v>
      </c>
      <c r="AC165" s="683" t="s">
        <v>230</v>
      </c>
      <c r="AD165" s="683" t="s">
        <v>1110</v>
      </c>
      <c r="AE165" s="683">
        <v>60</v>
      </c>
      <c r="AF165" s="684">
        <v>1711.9</v>
      </c>
      <c r="AG165" s="683" t="s">
        <v>243</v>
      </c>
      <c r="AH165" s="683" t="s">
        <v>220</v>
      </c>
      <c r="AI165" s="683" t="s">
        <v>33</v>
      </c>
      <c r="AJ165" s="683">
        <v>3004346833</v>
      </c>
      <c r="AK165" s="683" t="s">
        <v>33</v>
      </c>
      <c r="AL165" s="683">
        <v>106303570</v>
      </c>
      <c r="AM165" s="683" t="s">
        <v>1121</v>
      </c>
      <c r="AN165" s="683" t="s">
        <v>1352</v>
      </c>
      <c r="AO165" s="683" t="s">
        <v>1158</v>
      </c>
      <c r="AP165" s="683" t="s">
        <v>240</v>
      </c>
      <c r="AQ165" s="688" t="str">
        <f>CONCATENATE("REG-",BDEGENER[[#This Row],[FECHA DE SERVICIO]],"-",BDEGENER[[#This Row],[SERIE]],"-",BDEGENER[[#This Row],[HORAS]])</f>
        <v>REG-44111-3004337429-1711,9</v>
      </c>
      <c r="AR165" s="683" t="str">
        <f>CONCATENATE("MARCA: ",BDEGENER[[#This Row],[MARCA]],"
 MODELO: ",BDEGENER[[#This Row],[MODELO]])</f>
        <v>MARCA: GENERAC
 MODELO: PG090</v>
      </c>
      <c r="AS165" s="683" t="str">
        <f>CONCATENATE("MARCA: ",BDEGENER[[#This Row],[MARCA DE MOTOR]],"
SERIE: ",BDEGENER[[#This Row],[SERIE DE MOTOR]])</f>
        <v>MARCA: GENERAC
SERIE: 3004346833</v>
      </c>
      <c r="AT165" s="683" t="str">
        <f>CONCATENATE("MARCA: ",BDEGENER[[#This Row],[MARCA ALTERNADOR ]],"
SERIE: ",BDEGENER[[#This Row],[SERIE DE ALTERNADOR]])</f>
        <v>MARCA: GENERAC
SERIE: 106303570</v>
      </c>
      <c r="AU165" s="683" t="str">
        <f>CONCATENATE("HORAS: ",BDEGENER[[#This Row],[HORAS]],"
KW-HR: ",BDEGENER[[#This Row],[KW-HORA]],"
VOLT.BATERIA: ",BDEGENER[[#This Row],[VOLTAJE DE BATERIA]],"
TEMPERATURA: ",BDEGENER[[#This Row],[TEMPERATURA DE AGUA]],"
PRES. ACEITE: ",BDEGENER[[#This Row],[PRESION DE ACEITE]])</f>
        <v>HORAS: 1711,9
KW-HR: 43034,5
VOLT.BATERIA: 13.7 V
TEMPERATURA: 196 °F
PRES. ACEITE: 53 PSI</v>
      </c>
      <c r="AV165" s="683">
        <f>COUNTIFS(Q165:Q2165,"MANTENIMIENTO CORRECTIVO",Y165:Y2165,BDEGENER[[#This Row],[SERIE]])</f>
        <v>1</v>
      </c>
      <c r="AW165" s="683">
        <f>COUNTIFS(Q165:Q2165,"MANTENIMIENTO PREVENTIVO",Y165:Y2165,BDEGENER[[#This Row],[SERIE]])</f>
        <v>6</v>
      </c>
      <c r="AX16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165" s="683">
        <f>COUNTIFS(BDEGENER[SERIE],BDEGENER[[#This Row],[SERIE]],BDEGENER[TIPO DE SERVICIO],"MANTENIMIENTO PREVENTIVO")</f>
        <v>7</v>
      </c>
      <c r="AZ165" s="683" t="str">
        <f>CONCATENATE("MANTENIMIENTO PREVENTIVO N°",BDEGENER[[#This Row],[GA1]])</f>
        <v>MANTENIMIENTO PREVENTIVO N°7</v>
      </c>
      <c r="BA165" s="683" t="str">
        <f>IF(BDEGENER[[#This Row],[SERVICIO]]=BDEGENER[[#This Row],[GA2]],BDEGENER[[#This Row],[HORAS]],"0")</f>
        <v>0</v>
      </c>
      <c r="BB165" s="683">
        <f>SUMIF(BDEGENER[SERIE],BDEGENER[[#This Row],[SERIE]],BDEGENER[GA3])</f>
        <v>2207.6999999999998</v>
      </c>
      <c r="BC165" s="683" t="str">
        <f>CONCATENATE("MANT",COUNTIF($Y$7:Y165,Y165))</f>
        <v>MANT2</v>
      </c>
      <c r="BD165" s="683" t="str">
        <f>CONCATENATE(BDEGENER[[#This Row],[SERIE]],BDEGENER[[#This Row],[GA5]])</f>
        <v>3004337429MANT2</v>
      </c>
      <c r="BE165" s="683" t="str">
        <f>CONCATENATE(BDEGENER[[#This Row],[CODIGO PATRIMONIAL]],BDEGENER[[#This Row],[GA5]])</f>
        <v>MANT2</v>
      </c>
      <c r="BF165" s="683">
        <f>COUNTIF(BDEGENER[SERIE],BDEGENER[[#This Row],[SERIE]])</f>
        <v>9</v>
      </c>
      <c r="BG165" s="683" t="str">
        <f>CONCATENATE("F",COUNTIF($K$7:K165,K165))</f>
        <v>F3</v>
      </c>
      <c r="BH165" s="683" t="str">
        <f>CONCATENATE(BDEGENER[[#This Row],[FECHA DE SERVICIO]],BDEGENER[[#This Row],[N° DE REGISTROS DEL DIA]])</f>
        <v>44111F3</v>
      </c>
      <c r="BI165" s="684">
        <v>43034.5</v>
      </c>
      <c r="BJ165" s="683" t="s">
        <v>1544</v>
      </c>
      <c r="BK165" s="762" t="s">
        <v>3431</v>
      </c>
    </row>
    <row r="166" spans="2:63" ht="69" hidden="1" x14ac:dyDescent="0.3">
      <c r="B166" s="2"/>
      <c r="C166" s="2"/>
      <c r="D166" s="2"/>
      <c r="E166" s="2"/>
      <c r="F166" s="2"/>
      <c r="G166" s="2"/>
      <c r="H166" s="2"/>
      <c r="I166" s="2"/>
      <c r="J166" s="685"/>
      <c r="K166" s="682">
        <v>44109</v>
      </c>
      <c r="L166" s="683" t="s">
        <v>181</v>
      </c>
      <c r="M166" s="683" t="s">
        <v>184</v>
      </c>
      <c r="N166" s="683" t="s">
        <v>183</v>
      </c>
      <c r="O166" s="683"/>
      <c r="P166" s="683"/>
      <c r="Q166" s="683" t="s">
        <v>2037</v>
      </c>
      <c r="R166" s="683" t="s">
        <v>1782</v>
      </c>
      <c r="S166" s="686" t="s">
        <v>3498</v>
      </c>
      <c r="T166" s="683" t="s">
        <v>2546</v>
      </c>
      <c r="U166" s="683" t="s">
        <v>3499</v>
      </c>
      <c r="V166" s="683" t="s">
        <v>146</v>
      </c>
      <c r="W166" s="683" t="s">
        <v>914</v>
      </c>
      <c r="X166" s="691" t="s">
        <v>918</v>
      </c>
      <c r="Y166" s="687">
        <v>3004416580</v>
      </c>
      <c r="Z166" s="692"/>
      <c r="AA166" s="683" t="s">
        <v>33</v>
      </c>
      <c r="AB166" s="683" t="s">
        <v>34</v>
      </c>
      <c r="AC166" s="683" t="s">
        <v>230</v>
      </c>
      <c r="AD166" s="683" t="s">
        <v>1110</v>
      </c>
      <c r="AE166" s="683">
        <v>60</v>
      </c>
      <c r="AF166" s="684">
        <v>2911.6</v>
      </c>
      <c r="AG166" s="683" t="s">
        <v>243</v>
      </c>
      <c r="AH166" s="683" t="s">
        <v>220</v>
      </c>
      <c r="AI166" s="683" t="s">
        <v>33</v>
      </c>
      <c r="AJ166" s="683">
        <v>3004426061</v>
      </c>
      <c r="AK166" s="683" t="s">
        <v>33</v>
      </c>
      <c r="AL166" s="683">
        <v>107746810</v>
      </c>
      <c r="AM166" s="683"/>
      <c r="AN166" s="683"/>
      <c r="AO166" s="683"/>
      <c r="AP166" s="683" t="s">
        <v>240</v>
      </c>
      <c r="AQ166" s="688" t="str">
        <f>CONCATENATE("REG-",BDEGENER[[#This Row],[FECHA DE SERVICIO]],"-",BDEGENER[[#This Row],[SERIE]],"-",BDEGENER[[#This Row],[HORAS]])</f>
        <v>REG-44109-3004416580-2911,6</v>
      </c>
      <c r="AR166" s="683" t="str">
        <f>CONCATENATE("MARCA: ",BDEGENER[[#This Row],[MARCA]],"
 MODELO: ",BDEGENER[[#This Row],[MODELO]])</f>
        <v>MARCA: GENERAC
 MODELO: PG090</v>
      </c>
      <c r="AS166" s="683" t="str">
        <f>CONCATENATE("MARCA: ",BDEGENER[[#This Row],[MARCA DE MOTOR]],"
SERIE: ",BDEGENER[[#This Row],[SERIE DE MOTOR]])</f>
        <v>MARCA: GENERAC
SERIE: 3004426061</v>
      </c>
      <c r="AT166" s="683" t="str">
        <f>CONCATENATE("MARCA: ",BDEGENER[[#This Row],[MARCA ALTERNADOR ]],"
SERIE: ",BDEGENER[[#This Row],[SERIE DE ALTERNADOR]])</f>
        <v>MARCA: GENERAC
SERIE: 107746810</v>
      </c>
      <c r="AU166" s="683" t="str">
        <f>CONCATENATE("HORAS: ",BDEGENER[[#This Row],[HORAS]],"
KW-HR: ",BDEGENER[[#This Row],[KW-HORA]],"
VOLT.BATERIA: ",BDEGENER[[#This Row],[VOLTAJE DE BATERIA]],"
TEMPERATURA: ",BDEGENER[[#This Row],[TEMPERATURA DE AGUA]],"
PRES. ACEITE: ",BDEGENER[[#This Row],[PRESION DE ACEITE]])</f>
        <v xml:space="preserve">HORAS: 2911,6
KW-HR: 33550,8
VOLT.BATERIA: 
TEMPERATURA: 
PRES. ACEITE: </v>
      </c>
      <c r="AV166" s="761">
        <f>COUNTIFS(Q166:Q2166,"MANTENIMIENTO CORRECTIVO",Y166:Y2166,BDEGENER[[#This Row],[SERIE]])</f>
        <v>2</v>
      </c>
      <c r="AW166" s="761">
        <f>COUNTIFS(Q166:Q2166,"MANTENIMIENTO PREVENTIVO",Y166:Y2166,BDEGENER[[#This Row],[SERIE]])</f>
        <v>7</v>
      </c>
      <c r="AX16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166" s="683">
        <f>COUNTIFS(BDEGENER[SERIE],BDEGENER[[#This Row],[SERIE]],BDEGENER[TIPO DE SERVICIO],"MANTENIMIENTO PREVENTIVO")</f>
        <v>8</v>
      </c>
      <c r="AZ166" s="683" t="str">
        <f>CONCATENATE("MANTENIMIENTO PREVENTIVO N°",BDEGENER[[#This Row],[GA1]])</f>
        <v>MANTENIMIENTO PREVENTIVO N°8</v>
      </c>
      <c r="BA166" s="683" t="str">
        <f>IF(BDEGENER[[#This Row],[SERVICIO]]=BDEGENER[[#This Row],[GA2]],BDEGENER[[#This Row],[HORAS]],"0")</f>
        <v>0</v>
      </c>
      <c r="BB166" s="683">
        <f>SUMIF(BDEGENER[SERIE],BDEGENER[[#This Row],[SERIE]],BDEGENER[GA3])</f>
        <v>3113.9</v>
      </c>
      <c r="BC166" s="761" t="str">
        <f>CONCATENATE("MANT",COUNTIF($Y$7:Y166,Y166))</f>
        <v>MANT2</v>
      </c>
      <c r="BD166" s="683" t="str">
        <f>CONCATENATE(BDEGENER[[#This Row],[SERIE]],BDEGENER[[#This Row],[GA5]])</f>
        <v>3004416580MANT2</v>
      </c>
      <c r="BE166" s="683" t="str">
        <f>CONCATENATE(BDEGENER[[#This Row],[CODIGO PATRIMONIAL]],BDEGENER[[#This Row],[GA5]])</f>
        <v>MANT2</v>
      </c>
      <c r="BF166" s="683">
        <f>COUNTIF(BDEGENER[SERIE],BDEGENER[[#This Row],[SERIE]])</f>
        <v>14</v>
      </c>
      <c r="BG166" s="761" t="str">
        <f>CONCATENATE("F",COUNTIF($K$7:K166,K166))</f>
        <v>F1</v>
      </c>
      <c r="BH166" s="683" t="str">
        <f>CONCATENATE(BDEGENER[[#This Row],[FECHA DE SERVICIO]],BDEGENER[[#This Row],[N° DE REGISTROS DEL DIA]])</f>
        <v>44109F1</v>
      </c>
      <c r="BI166" s="684">
        <v>33550.800000000003</v>
      </c>
      <c r="BJ166" s="683" t="s">
        <v>1544</v>
      </c>
      <c r="BK166" s="762"/>
    </row>
    <row r="167" spans="2:63" ht="69" hidden="1" x14ac:dyDescent="0.3">
      <c r="B167" s="2"/>
      <c r="C167" s="2"/>
      <c r="D167" s="2"/>
      <c r="E167" s="2"/>
      <c r="F167" s="2"/>
      <c r="G167" s="2"/>
      <c r="H167" s="2"/>
      <c r="I167" s="2"/>
      <c r="J167" s="685"/>
      <c r="K167" s="682">
        <v>44109</v>
      </c>
      <c r="L167" s="683" t="s">
        <v>181</v>
      </c>
      <c r="M167" s="683" t="s">
        <v>186</v>
      </c>
      <c r="N167" s="683" t="s">
        <v>1982</v>
      </c>
      <c r="O167" s="683"/>
      <c r="P167" s="683"/>
      <c r="Q167" s="683" t="s">
        <v>108</v>
      </c>
      <c r="R167" s="683" t="s">
        <v>1782</v>
      </c>
      <c r="S167" s="686" t="s">
        <v>3685</v>
      </c>
      <c r="T167" s="683" t="s">
        <v>3686</v>
      </c>
      <c r="U167" s="683"/>
      <c r="V167" s="683" t="s">
        <v>147</v>
      </c>
      <c r="W167" s="683" t="s">
        <v>914</v>
      </c>
      <c r="X167" s="691" t="s">
        <v>918</v>
      </c>
      <c r="Y167" s="687">
        <v>3004327724</v>
      </c>
      <c r="Z167" s="692"/>
      <c r="AA167" s="683" t="s">
        <v>33</v>
      </c>
      <c r="AB167" s="683" t="s">
        <v>34</v>
      </c>
      <c r="AC167" s="683" t="s">
        <v>230</v>
      </c>
      <c r="AD167" s="683"/>
      <c r="AE167" s="683"/>
      <c r="AF167" s="684" t="s">
        <v>177</v>
      </c>
      <c r="AG167" s="683" t="s">
        <v>243</v>
      </c>
      <c r="AH167" s="683" t="s">
        <v>220</v>
      </c>
      <c r="AI167" s="683" t="s">
        <v>33</v>
      </c>
      <c r="AJ167" s="683">
        <v>3004333872</v>
      </c>
      <c r="AK167" s="683" t="s">
        <v>33</v>
      </c>
      <c r="AL167" s="683"/>
      <c r="AM167" s="683"/>
      <c r="AN167" s="683"/>
      <c r="AO167" s="683"/>
      <c r="AP167" s="683" t="s">
        <v>240</v>
      </c>
      <c r="AQ167" s="688" t="str">
        <f>CONCATENATE("REG-",BDEGENER[[#This Row],[FECHA DE SERVICIO]],"-",BDEGENER[[#This Row],[SERIE]],"-",BDEGENER[[#This Row],[HORAS]])</f>
        <v>REG-44109-3004327724-NR</v>
      </c>
      <c r="AR167" s="683" t="str">
        <f>CONCATENATE("MARCA: ",BDEGENER[[#This Row],[MARCA]],"
 MODELO: ",BDEGENER[[#This Row],[MODELO]])</f>
        <v>MARCA: GENERAC
 MODELO: PG090</v>
      </c>
      <c r="AS167" s="683" t="str">
        <f>CONCATENATE("MARCA: ",BDEGENER[[#This Row],[MARCA DE MOTOR]],"
SERIE: ",BDEGENER[[#This Row],[SERIE DE MOTOR]])</f>
        <v>MARCA: GENERAC
SERIE: 3004333872</v>
      </c>
      <c r="AT167" s="683" t="str">
        <f>CONCATENATE("MARCA: ",BDEGENER[[#This Row],[MARCA ALTERNADOR ]],"
SERIE: ",BDEGENER[[#This Row],[SERIE DE ALTERNADOR]])</f>
        <v xml:space="preserve">MARCA: GENERAC
SERIE: </v>
      </c>
      <c r="AU167" s="683"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167" s="683">
        <f>COUNTIFS(Q167:Q2167,"MANTENIMIENTO CORRECTIVO",Y167:Y2167,BDEGENER[[#This Row],[SERIE]])</f>
        <v>6</v>
      </c>
      <c r="AW167" s="683">
        <f>COUNTIFS(Q167:Q2167,"MANTENIMIENTO PREVENTIVO",Y167:Y2167,BDEGENER[[#This Row],[SERIE]])</f>
        <v>7</v>
      </c>
      <c r="AX16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67" s="683">
        <f>COUNTIFS(BDEGENER[SERIE],BDEGENER[[#This Row],[SERIE]],BDEGENER[TIPO DE SERVICIO],"MANTENIMIENTO PREVENTIVO")</f>
        <v>8</v>
      </c>
      <c r="AZ167" s="683" t="str">
        <f>CONCATENATE("MANTENIMIENTO PREVENTIVO N°",BDEGENER[[#This Row],[GA1]])</f>
        <v>MANTENIMIENTO PREVENTIVO N°8</v>
      </c>
      <c r="BA167" s="683" t="str">
        <f>IF(BDEGENER[[#This Row],[SERVICIO]]=BDEGENER[[#This Row],[GA2]],BDEGENER[[#This Row],[HORAS]],"0")</f>
        <v>0</v>
      </c>
      <c r="BB167" s="683">
        <f>SUMIF(BDEGENER[SERIE],BDEGENER[[#This Row],[SERIE]],BDEGENER[GA3])</f>
        <v>2271.8000000000002</v>
      </c>
      <c r="BC167" s="683" t="str">
        <f>CONCATENATE("MANT",COUNTIF($Y$7:Y167,Y167))</f>
        <v>MANT3</v>
      </c>
      <c r="BD167" s="683" t="str">
        <f>CONCATENATE(BDEGENER[[#This Row],[SERIE]],BDEGENER[[#This Row],[GA5]])</f>
        <v>3004327724MANT3</v>
      </c>
      <c r="BE167" s="683" t="str">
        <f>CONCATENATE(BDEGENER[[#This Row],[CODIGO PATRIMONIAL]],BDEGENER[[#This Row],[GA5]])</f>
        <v>MANT3</v>
      </c>
      <c r="BF167" s="683">
        <f>COUNTIF(BDEGENER[SERIE],BDEGENER[[#This Row],[SERIE]])</f>
        <v>17</v>
      </c>
      <c r="BG167" s="683" t="str">
        <f>CONCATENATE("F",COUNTIF($K$7:K167,K167))</f>
        <v>F2</v>
      </c>
      <c r="BH167" s="683" t="str">
        <f>CONCATENATE(BDEGENER[[#This Row],[FECHA DE SERVICIO]],BDEGENER[[#This Row],[N° DE REGISTROS DEL DIA]])</f>
        <v>44109F2</v>
      </c>
      <c r="BI167" s="684"/>
      <c r="BJ167" s="683" t="s">
        <v>1544</v>
      </c>
      <c r="BK167" s="762"/>
    </row>
    <row r="168" spans="2:63" ht="69" x14ac:dyDescent="0.3">
      <c r="B168" s="2"/>
      <c r="C168" s="2"/>
      <c r="D168" s="2"/>
      <c r="E168" s="2"/>
      <c r="F168" s="2"/>
      <c r="G168" s="2"/>
      <c r="H168" s="2"/>
      <c r="I168" s="2"/>
      <c r="J168" s="685"/>
      <c r="K168" s="682">
        <v>44109</v>
      </c>
      <c r="L168" s="683" t="s">
        <v>181</v>
      </c>
      <c r="M168" s="683" t="s">
        <v>186</v>
      </c>
      <c r="N168" s="683" t="s">
        <v>1982</v>
      </c>
      <c r="O168" s="683"/>
      <c r="P168" s="683"/>
      <c r="Q168" s="683" t="s">
        <v>107</v>
      </c>
      <c r="R168" s="683" t="s">
        <v>1782</v>
      </c>
      <c r="S168" s="686" t="s">
        <v>3469</v>
      </c>
      <c r="T168" s="683" t="s">
        <v>2546</v>
      </c>
      <c r="U168" s="683" t="s">
        <v>3470</v>
      </c>
      <c r="V168" s="683" t="s">
        <v>147</v>
      </c>
      <c r="W168" s="683" t="s">
        <v>914</v>
      </c>
      <c r="X168" s="691" t="s">
        <v>918</v>
      </c>
      <c r="Y168" s="687">
        <v>3004336198</v>
      </c>
      <c r="Z168" s="692"/>
      <c r="AA168" s="683" t="s">
        <v>33</v>
      </c>
      <c r="AB168" s="683" t="s">
        <v>34</v>
      </c>
      <c r="AC168" s="683" t="s">
        <v>230</v>
      </c>
      <c r="AD168" s="683" t="s">
        <v>1110</v>
      </c>
      <c r="AE168" s="683">
        <v>60</v>
      </c>
      <c r="AF168" s="684">
        <v>2049.1</v>
      </c>
      <c r="AG168" s="683" t="s">
        <v>243</v>
      </c>
      <c r="AH168" s="683" t="s">
        <v>220</v>
      </c>
      <c r="AI168" s="683" t="s">
        <v>33</v>
      </c>
      <c r="AJ168" s="683">
        <v>3004345803</v>
      </c>
      <c r="AK168" s="683" t="s">
        <v>33</v>
      </c>
      <c r="AL168" s="683"/>
      <c r="AM168" s="683"/>
      <c r="AN168" s="683"/>
      <c r="AO168" s="683"/>
      <c r="AP168" s="683" t="s">
        <v>240</v>
      </c>
      <c r="AQ168" s="688" t="str">
        <f>CONCATENATE("REG-",BDEGENER[[#This Row],[FECHA DE SERVICIO]],"-",BDEGENER[[#This Row],[SERIE]],"-",BDEGENER[[#This Row],[HORAS]])</f>
        <v>REG-44109-3004336198-2049,1</v>
      </c>
      <c r="AR168" s="683" t="str">
        <f>CONCATENATE("MARCA: ",BDEGENER[[#This Row],[MARCA]],"
 MODELO: ",BDEGENER[[#This Row],[MODELO]])</f>
        <v>MARCA: GENERAC
 MODELO: PG090</v>
      </c>
      <c r="AS168" s="683" t="str">
        <f>CONCATENATE("MARCA: ",BDEGENER[[#This Row],[MARCA DE MOTOR]],"
SERIE: ",BDEGENER[[#This Row],[SERIE DE MOTOR]])</f>
        <v>MARCA: GENERAC
SERIE: 3004345803</v>
      </c>
      <c r="AT168" s="683" t="str">
        <f>CONCATENATE("MARCA: ",BDEGENER[[#This Row],[MARCA ALTERNADOR ]],"
SERIE: ",BDEGENER[[#This Row],[SERIE DE ALTERNADOR]])</f>
        <v xml:space="preserve">MARCA: GENERAC
SERIE: </v>
      </c>
      <c r="AU168" s="683" t="str">
        <f>CONCATENATE("HORAS: ",BDEGENER[[#This Row],[HORAS]],"
KW-HR: ",BDEGENER[[#This Row],[KW-HORA]],"
VOLT.BATERIA: ",BDEGENER[[#This Row],[VOLTAJE DE BATERIA]],"
TEMPERATURA: ",BDEGENER[[#This Row],[TEMPERATURA DE AGUA]],"
PRES. ACEITE: ",BDEGENER[[#This Row],[PRESION DE ACEITE]])</f>
        <v xml:space="preserve">HORAS: 2049,1
KW-HR: 
VOLT.BATERIA: 
TEMPERATURA: 
PRES. ACEITE: </v>
      </c>
      <c r="AV168" s="683">
        <f>COUNTIFS(Q168:Q2168,"MANTENIMIENTO CORRECTIVO",Y168:Y2168,BDEGENER[[#This Row],[SERIE]])</f>
        <v>3</v>
      </c>
      <c r="AW168" s="683">
        <f>COUNTIFS(Q168:Q2168,"MANTENIMIENTO PREVENTIVO",Y168:Y2168,BDEGENER[[#This Row],[SERIE]])</f>
        <v>6</v>
      </c>
      <c r="AX16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168" s="683">
        <f>COUNTIFS(BDEGENER[SERIE],BDEGENER[[#This Row],[SERIE]],BDEGENER[TIPO DE SERVICIO],"MANTENIMIENTO PREVENTIVO")</f>
        <v>7</v>
      </c>
      <c r="AZ168" s="683" t="str">
        <f>CONCATENATE("MANTENIMIENTO PREVENTIVO N°",BDEGENER[[#This Row],[GA1]])</f>
        <v>MANTENIMIENTO PREVENTIVO N°7</v>
      </c>
      <c r="BA168" s="683" t="str">
        <f>IF(BDEGENER[[#This Row],[SERVICIO]]=BDEGENER[[#This Row],[GA2]],BDEGENER[[#This Row],[HORAS]],"0")</f>
        <v>0</v>
      </c>
      <c r="BB168" s="683">
        <f>SUMIF(BDEGENER[SERIE],BDEGENER[[#This Row],[SERIE]],BDEGENER[GA3])</f>
        <v>2049.3000000000002</v>
      </c>
      <c r="BC168" s="683" t="str">
        <f>CONCATENATE("MANT",COUNTIF($Y$7:Y168,Y168))</f>
        <v>MANT2</v>
      </c>
      <c r="BD168" s="683" t="str">
        <f>CONCATENATE(BDEGENER[[#This Row],[SERIE]],BDEGENER[[#This Row],[GA5]])</f>
        <v>3004336198MANT2</v>
      </c>
      <c r="BE168" s="683" t="str">
        <f>CONCATENATE(BDEGENER[[#This Row],[CODIGO PATRIMONIAL]],BDEGENER[[#This Row],[GA5]])</f>
        <v>MANT2</v>
      </c>
      <c r="BF168" s="683">
        <f>COUNTIF(BDEGENER[SERIE],BDEGENER[[#This Row],[SERIE]])</f>
        <v>12</v>
      </c>
      <c r="BG168" s="683" t="str">
        <f>CONCATENATE("F",COUNTIF($K$7:K168,K168))</f>
        <v>F3</v>
      </c>
      <c r="BH168" s="683" t="str">
        <f>CONCATENATE(BDEGENER[[#This Row],[FECHA DE SERVICIO]],BDEGENER[[#This Row],[N° DE REGISTROS DEL DIA]])</f>
        <v>44109F3</v>
      </c>
      <c r="BI168" s="684"/>
      <c r="BJ168" s="683" t="s">
        <v>1544</v>
      </c>
      <c r="BK168" s="762"/>
    </row>
    <row r="169" spans="2:63" ht="69" hidden="1" x14ac:dyDescent="0.3">
      <c r="B169" s="2"/>
      <c r="C169" s="2"/>
      <c r="D169" s="2"/>
      <c r="E169" s="2"/>
      <c r="F169" s="2"/>
      <c r="G169" s="2"/>
      <c r="H169" s="2"/>
      <c r="I169" s="2"/>
      <c r="J169" s="685"/>
      <c r="K169" s="682">
        <v>44106</v>
      </c>
      <c r="L169" s="683" t="s">
        <v>561</v>
      </c>
      <c r="M169" s="683" t="s">
        <v>3299</v>
      </c>
      <c r="N169" s="683" t="s">
        <v>159</v>
      </c>
      <c r="O169" s="683"/>
      <c r="P169" s="688" t="s">
        <v>3580</v>
      </c>
      <c r="Q169" s="683" t="s">
        <v>37</v>
      </c>
      <c r="R169" s="683" t="s">
        <v>3421</v>
      </c>
      <c r="S169" s="686" t="s">
        <v>3581</v>
      </c>
      <c r="T169" s="683" t="s">
        <v>3582</v>
      </c>
      <c r="U169" s="683" t="s">
        <v>3583</v>
      </c>
      <c r="V169" s="683" t="s">
        <v>488</v>
      </c>
      <c r="W169" s="683" t="s">
        <v>913</v>
      </c>
      <c r="X169" s="691" t="s">
        <v>918</v>
      </c>
      <c r="Y169" s="687">
        <v>3004370203</v>
      </c>
      <c r="Z169" s="692" t="s">
        <v>2598</v>
      </c>
      <c r="AA169" s="683" t="s">
        <v>33</v>
      </c>
      <c r="AB169" s="683" t="s">
        <v>217</v>
      </c>
      <c r="AC169" s="683" t="s">
        <v>749</v>
      </c>
      <c r="AD169" s="683" t="s">
        <v>1123</v>
      </c>
      <c r="AE169" s="683">
        <v>60</v>
      </c>
      <c r="AF169" s="684">
        <v>2644</v>
      </c>
      <c r="AG169" s="683" t="s">
        <v>243</v>
      </c>
      <c r="AH169" s="683" t="s">
        <v>1803</v>
      </c>
      <c r="AI169" s="683" t="s">
        <v>2553</v>
      </c>
      <c r="AJ169" s="683"/>
      <c r="AK169" s="683" t="s">
        <v>33</v>
      </c>
      <c r="AL169" s="683"/>
      <c r="AM169" s="683" t="s">
        <v>1858</v>
      </c>
      <c r="AN169" s="683"/>
      <c r="AO169" s="683"/>
      <c r="AP169" s="683" t="s">
        <v>240</v>
      </c>
      <c r="AQ169" s="688" t="str">
        <f>CONCATENATE("REG-",BDEGENER[[#This Row],[FECHA DE SERVICIO]],"-",BDEGENER[[#This Row],[SERIE]],"-",BDEGENER[[#This Row],[HORAS]])</f>
        <v>REG-44106-3004370203-2644</v>
      </c>
      <c r="AR169" s="683" t="str">
        <f>CONCATENATE("MARCA: ",BDEGENER[[#This Row],[MARCA]],"
 MODELO: ",BDEGENER[[#This Row],[MODELO]])</f>
        <v>MARCA: GENERAC
 MODELO: RG022</v>
      </c>
      <c r="AS169" s="683" t="str">
        <f>CONCATENATE("MARCA: ",BDEGENER[[#This Row],[MARCA DE MOTOR]],"
SERIE: ",BDEGENER[[#This Row],[SERIE DE MOTOR]])</f>
        <v xml:space="preserve">MARCA: MITSUBISHI
SERIE: </v>
      </c>
      <c r="AT169" s="683" t="str">
        <f>CONCATENATE("MARCA: ",BDEGENER[[#This Row],[MARCA ALTERNADOR ]],"
SERIE: ",BDEGENER[[#This Row],[SERIE DE ALTERNADOR]])</f>
        <v xml:space="preserve">MARCA: GENERAC
SERIE: </v>
      </c>
      <c r="AU169" s="683" t="str">
        <f>CONCATENATE("HORAS: ",BDEGENER[[#This Row],[HORAS]],"
KW-HR: ",BDEGENER[[#This Row],[KW-HORA]],"
VOLT.BATERIA: ",BDEGENER[[#This Row],[VOLTAJE DE BATERIA]],"
TEMPERATURA: ",BDEGENER[[#This Row],[TEMPERATURA DE AGUA]],"
PRES. ACEITE: ",BDEGENER[[#This Row],[PRESION DE ACEITE]])</f>
        <v xml:space="preserve">HORAS: 2644
KW-HR: 
VOLT.BATERIA: 14.1 V
TEMPERATURA: 
PRES. ACEITE: </v>
      </c>
      <c r="AV169" s="761">
        <f>COUNTIFS(Q169:Q2169,"MANTENIMIENTO CORRECTIVO",Y169:Y2169,BDEGENER[[#This Row],[SERIE]])</f>
        <v>2</v>
      </c>
      <c r="AW169" s="761">
        <f>COUNTIFS(Q169:Q2169,"MANTENIMIENTO PREVENTIVO",Y169:Y2169,BDEGENER[[#This Row],[SERIE]])</f>
        <v>5</v>
      </c>
      <c r="AX16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169" s="683">
        <f>COUNTIFS(BDEGENER[SERIE],BDEGENER[[#This Row],[SERIE]],BDEGENER[TIPO DE SERVICIO],"MANTENIMIENTO PREVENTIVO")</f>
        <v>6</v>
      </c>
      <c r="AZ169" s="683" t="str">
        <f>CONCATENATE("MANTENIMIENTO PREVENTIVO N°",BDEGENER[[#This Row],[GA1]])</f>
        <v>MANTENIMIENTO PREVENTIVO N°6</v>
      </c>
      <c r="BA169" s="683" t="str">
        <f>IF(BDEGENER[[#This Row],[SERVICIO]]=BDEGENER[[#This Row],[GA2]],BDEGENER[[#This Row],[HORAS]],"0")</f>
        <v>0</v>
      </c>
      <c r="BB169" s="683">
        <f>SUMIF(BDEGENER[SERIE],BDEGENER[[#This Row],[SERIE]],BDEGENER[GA3])</f>
        <v>2885.1</v>
      </c>
      <c r="BC169" s="761" t="str">
        <f>CONCATENATE("MANT",COUNTIF($Y$7:Y169,Y169))</f>
        <v>MANT4</v>
      </c>
      <c r="BD169" s="683" t="str">
        <f>CONCATENATE(BDEGENER[[#This Row],[SERIE]],BDEGENER[[#This Row],[GA5]])</f>
        <v>3004370203MANT4</v>
      </c>
      <c r="BE169" s="683" t="str">
        <f>CONCATENATE(BDEGENER[[#This Row],[CODIGO PATRIMONIAL]],BDEGENER[[#This Row],[GA5]])</f>
        <v>SUR-GEG-0002MANT4</v>
      </c>
      <c r="BF169" s="683">
        <f>COUNTIF(BDEGENER[SERIE],BDEGENER[[#This Row],[SERIE]])</f>
        <v>14</v>
      </c>
      <c r="BG169" s="761" t="str">
        <f>CONCATENATE("F",COUNTIF($K$7:K169,K169))</f>
        <v>F1</v>
      </c>
      <c r="BH169" s="683" t="str">
        <f>CONCATENATE(BDEGENER[[#This Row],[FECHA DE SERVICIO]],BDEGENER[[#This Row],[N° DE REGISTROS DEL DIA]])</f>
        <v>44106F1</v>
      </c>
      <c r="BI169" s="684"/>
      <c r="BJ169" s="683" t="s">
        <v>1544</v>
      </c>
      <c r="BK169" s="762"/>
    </row>
    <row r="170" spans="2:63" ht="69" hidden="1" x14ac:dyDescent="0.3">
      <c r="B170" s="2"/>
      <c r="C170" s="2"/>
      <c r="D170" s="2"/>
      <c r="E170" s="2"/>
      <c r="F170" s="2"/>
      <c r="G170" s="2"/>
      <c r="H170" s="2"/>
      <c r="I170" s="2"/>
      <c r="J170" s="685"/>
      <c r="K170" s="682">
        <v>44105</v>
      </c>
      <c r="L170" s="683" t="s">
        <v>561</v>
      </c>
      <c r="M170" s="683" t="s">
        <v>2453</v>
      </c>
      <c r="N170" s="683" t="s">
        <v>584</v>
      </c>
      <c r="O170" s="683"/>
      <c r="P170" s="688" t="s">
        <v>3403</v>
      </c>
      <c r="Q170" s="683" t="s">
        <v>107</v>
      </c>
      <c r="R170" s="683" t="s">
        <v>1782</v>
      </c>
      <c r="S170" s="686" t="s">
        <v>3404</v>
      </c>
      <c r="T170" s="683" t="s">
        <v>3405</v>
      </c>
      <c r="U170" s="683" t="s">
        <v>3406</v>
      </c>
      <c r="V170" s="683" t="s">
        <v>677</v>
      </c>
      <c r="W170" s="683" t="s">
        <v>914</v>
      </c>
      <c r="X170" s="691" t="s">
        <v>918</v>
      </c>
      <c r="Y170" s="687">
        <v>3003566703</v>
      </c>
      <c r="Z170" s="692" t="s">
        <v>2615</v>
      </c>
      <c r="AA170" s="683" t="s">
        <v>33</v>
      </c>
      <c r="AB170" s="683" t="s">
        <v>34</v>
      </c>
      <c r="AC170" s="683" t="s">
        <v>230</v>
      </c>
      <c r="AD170" s="683" t="s">
        <v>3407</v>
      </c>
      <c r="AE170" s="683">
        <v>60.1</v>
      </c>
      <c r="AF170" s="684">
        <v>5891.3</v>
      </c>
      <c r="AG170" s="683" t="s">
        <v>243</v>
      </c>
      <c r="AH170" s="683" t="s">
        <v>220</v>
      </c>
      <c r="AI170" s="683" t="s">
        <v>33</v>
      </c>
      <c r="AJ170" s="683">
        <v>3003412041</v>
      </c>
      <c r="AK170" s="683" t="s">
        <v>33</v>
      </c>
      <c r="AL170" s="683">
        <v>811745</v>
      </c>
      <c r="AM170" s="683" t="s">
        <v>1145</v>
      </c>
      <c r="AN170" s="683" t="s">
        <v>3408</v>
      </c>
      <c r="AO170" s="683" t="s">
        <v>1349</v>
      </c>
      <c r="AP170" s="683" t="s">
        <v>240</v>
      </c>
      <c r="AQ170" s="688" t="str">
        <f>CONCATENATE("REG-",BDEGENER[[#This Row],[FECHA DE SERVICIO]],"-",BDEGENER[[#This Row],[SERIE]],"-",BDEGENER[[#This Row],[HORAS]])</f>
        <v>REG-44105-3003566703-5891,3</v>
      </c>
      <c r="AR170" s="683" t="str">
        <f>CONCATENATE("MARCA: ",BDEGENER[[#This Row],[MARCA]],"
 MODELO: ",BDEGENER[[#This Row],[MODELO]])</f>
        <v>MARCA: GENERAC
 MODELO: PG090</v>
      </c>
      <c r="AS170" s="683" t="str">
        <f>CONCATENATE("MARCA: ",BDEGENER[[#This Row],[MARCA DE MOTOR]],"
SERIE: ",BDEGENER[[#This Row],[SERIE DE MOTOR]])</f>
        <v>MARCA: GENERAC
SERIE: 3003412041</v>
      </c>
      <c r="AT170" s="683" t="str">
        <f>CONCATENATE("MARCA: ",BDEGENER[[#This Row],[MARCA ALTERNADOR ]],"
SERIE: ",BDEGENER[[#This Row],[SERIE DE ALTERNADOR]])</f>
        <v>MARCA: GENERAC
SERIE: 811745</v>
      </c>
      <c r="AU170" s="683" t="str">
        <f>CONCATENATE("HORAS: ",BDEGENER[[#This Row],[HORAS]],"
KW-HR: ",BDEGENER[[#This Row],[KW-HORA]],"
VOLT.BATERIA: ",BDEGENER[[#This Row],[VOLTAJE DE BATERIA]],"
TEMPERATURA: ",BDEGENER[[#This Row],[TEMPERATURA DE AGUA]],"
PRES. ACEITE: ",BDEGENER[[#This Row],[PRESION DE ACEITE]])</f>
        <v>HORAS: 5891,3
KW-HR: 42959,2
VOLT.BATERIA: 13.4 V
TEMPERATURA: 158 °F
PRES. ACEITE: 56 PSI</v>
      </c>
      <c r="AV170" s="683">
        <f>COUNTIFS(Q170:Q2170,"MANTENIMIENTO CORRECTIVO",Y170:Y2170,BDEGENER[[#This Row],[SERIE]])</f>
        <v>1</v>
      </c>
      <c r="AW170" s="683">
        <f>COUNTIFS(Q170:Q2170,"MANTENIMIENTO PREVENTIVO",Y170:Y2170,BDEGENER[[#This Row],[SERIE]])</f>
        <v>6</v>
      </c>
      <c r="AX17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70" s="683">
        <f>COUNTIFS(BDEGENER[SERIE],BDEGENER[[#This Row],[SERIE]],BDEGENER[TIPO DE SERVICIO],"MANTENIMIENTO PREVENTIVO")</f>
        <v>8</v>
      </c>
      <c r="AZ170" s="683" t="str">
        <f>CONCATENATE("MANTENIMIENTO PREVENTIVO N°",BDEGENER[[#This Row],[GA1]])</f>
        <v>MANTENIMIENTO PREVENTIVO N°8</v>
      </c>
      <c r="BA170" s="683" t="str">
        <f>IF(BDEGENER[[#This Row],[SERVICIO]]=BDEGENER[[#This Row],[GA2]],BDEGENER[[#This Row],[HORAS]],"0")</f>
        <v>0</v>
      </c>
      <c r="BB170" s="683">
        <f>SUMIF(BDEGENER[SERIE],BDEGENER[[#This Row],[SERIE]],BDEGENER[GA3])</f>
        <v>6396.5</v>
      </c>
      <c r="BC170" s="683" t="str">
        <f>CONCATENATE("MANT",COUNTIF($Y$7:Y170,Y170))</f>
        <v>MANT4</v>
      </c>
      <c r="BD170" s="683" t="str">
        <f>CONCATENATE(BDEGENER[[#This Row],[SERIE]],BDEGENER[[#This Row],[GA5]])</f>
        <v>3003566703MANT4</v>
      </c>
      <c r="BE170" s="683" t="str">
        <f>CONCATENATE(BDEGENER[[#This Row],[CODIGO PATRIMONIAL]],BDEGENER[[#This Row],[GA5]])</f>
        <v>NOR-GEG-0017MANT4</v>
      </c>
      <c r="BF170" s="683">
        <f>COUNTIF(BDEGENER[SERIE],BDEGENER[[#This Row],[SERIE]])</f>
        <v>11</v>
      </c>
      <c r="BG170" s="683" t="str">
        <f>CONCATENATE("F",COUNTIF($K$7:K170,K170))</f>
        <v>F1</v>
      </c>
      <c r="BH170" s="683" t="str">
        <f>CONCATENATE(BDEGENER[[#This Row],[FECHA DE SERVICIO]],BDEGENER[[#This Row],[N° DE REGISTROS DEL DIA]])</f>
        <v>44105F1</v>
      </c>
      <c r="BI170" s="684">
        <v>42959.199999999997</v>
      </c>
      <c r="BJ170" s="683" t="s">
        <v>1544</v>
      </c>
      <c r="BK170" s="762" t="s">
        <v>2348</v>
      </c>
    </row>
    <row r="171" spans="2:63" ht="69" hidden="1" x14ac:dyDescent="0.3">
      <c r="B171" s="2"/>
      <c r="C171" s="2"/>
      <c r="D171" s="2"/>
      <c r="E171" s="2"/>
      <c r="F171" s="2"/>
      <c r="G171" s="2"/>
      <c r="H171" s="2"/>
      <c r="I171" s="2"/>
      <c r="J171" s="685"/>
      <c r="K171" s="682">
        <v>44105</v>
      </c>
      <c r="L171" s="683" t="s">
        <v>561</v>
      </c>
      <c r="M171" s="683" t="s">
        <v>2592</v>
      </c>
      <c r="N171" s="683" t="s">
        <v>586</v>
      </c>
      <c r="O171" s="683"/>
      <c r="P171" s="683"/>
      <c r="Q171" s="683" t="s">
        <v>108</v>
      </c>
      <c r="R171" s="683" t="s">
        <v>1782</v>
      </c>
      <c r="S171" s="686" t="s">
        <v>3399</v>
      </c>
      <c r="T171" s="683" t="s">
        <v>3400</v>
      </c>
      <c r="U171" s="683" t="s">
        <v>3401</v>
      </c>
      <c r="V171" s="683" t="s">
        <v>677</v>
      </c>
      <c r="W171" s="683" t="s">
        <v>914</v>
      </c>
      <c r="X171" s="691" t="s">
        <v>918</v>
      </c>
      <c r="Y171" s="687">
        <v>3003963150</v>
      </c>
      <c r="Z171" s="692" t="s">
        <v>2618</v>
      </c>
      <c r="AA171" s="683" t="s">
        <v>33</v>
      </c>
      <c r="AB171" s="683" t="s">
        <v>34</v>
      </c>
      <c r="AC171" s="683" t="s">
        <v>230</v>
      </c>
      <c r="AD171" s="683" t="s">
        <v>3402</v>
      </c>
      <c r="AE171" s="683">
        <v>60</v>
      </c>
      <c r="AF171" s="684">
        <v>4210.6000000000004</v>
      </c>
      <c r="AG171" s="683" t="s">
        <v>243</v>
      </c>
      <c r="AH171" s="683" t="s">
        <v>220</v>
      </c>
      <c r="AI171" s="683" t="s">
        <v>33</v>
      </c>
      <c r="AJ171" s="683">
        <v>3003966249</v>
      </c>
      <c r="AK171" s="683" t="s">
        <v>33</v>
      </c>
      <c r="AL171" s="683"/>
      <c r="AM171" s="683" t="s">
        <v>1121</v>
      </c>
      <c r="AN171" s="683" t="s">
        <v>1505</v>
      </c>
      <c r="AO171" s="683" t="s">
        <v>1166</v>
      </c>
      <c r="AP171" s="683" t="s">
        <v>240</v>
      </c>
      <c r="AQ171" s="688" t="str">
        <f>CONCATENATE("REG-",BDEGENER[[#This Row],[FECHA DE SERVICIO]],"-",BDEGENER[[#This Row],[SERIE]],"-",BDEGENER[[#This Row],[HORAS]])</f>
        <v>REG-44105-3003963150-4210,6</v>
      </c>
      <c r="AR171" s="683" t="str">
        <f>CONCATENATE("MARCA: ",BDEGENER[[#This Row],[MARCA]],"
 MODELO: ",BDEGENER[[#This Row],[MODELO]])</f>
        <v>MARCA: GENERAC
 MODELO: PG090</v>
      </c>
      <c r="AS171" s="683" t="str">
        <f>CONCATENATE("MARCA: ",BDEGENER[[#This Row],[MARCA DE MOTOR]],"
SERIE: ",BDEGENER[[#This Row],[SERIE DE MOTOR]])</f>
        <v>MARCA: GENERAC
SERIE: 3003966249</v>
      </c>
      <c r="AT171" s="683" t="str">
        <f>CONCATENATE("MARCA: ",BDEGENER[[#This Row],[MARCA ALTERNADOR ]],"
SERIE: ",BDEGENER[[#This Row],[SERIE DE ALTERNADOR]])</f>
        <v xml:space="preserve">MARCA: GENERAC
SERIE: </v>
      </c>
      <c r="AU171" s="683" t="str">
        <f>CONCATENATE("HORAS: ",BDEGENER[[#This Row],[HORAS]],"
KW-HR: ",BDEGENER[[#This Row],[KW-HORA]],"
VOLT.BATERIA: ",BDEGENER[[#This Row],[VOLTAJE DE BATERIA]],"
TEMPERATURA: ",BDEGENER[[#This Row],[TEMPERATURA DE AGUA]],"
PRES. ACEITE: ",BDEGENER[[#This Row],[PRESION DE ACEITE]])</f>
        <v>HORAS: 4210,6
KW-HR: 108007,7
VOLT.BATERIA: 13.7 V
TEMPERATURA: 194 °F
PRES. ACEITE: 57 PSI</v>
      </c>
      <c r="AV171" s="683">
        <f>COUNTIFS(Q171:Q2171,"MANTENIMIENTO CORRECTIVO",Y171:Y2171,BDEGENER[[#This Row],[SERIE]])</f>
        <v>2</v>
      </c>
      <c r="AW171" s="683">
        <f>COUNTIFS(Q171:Q2171,"MANTENIMIENTO PREVENTIVO",Y171:Y2171,BDEGENER[[#This Row],[SERIE]])</f>
        <v>5</v>
      </c>
      <c r="AX17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71" s="683">
        <f>COUNTIFS(BDEGENER[SERIE],BDEGENER[[#This Row],[SERIE]],BDEGENER[TIPO DE SERVICIO],"MANTENIMIENTO PREVENTIVO")</f>
        <v>7</v>
      </c>
      <c r="AZ171" s="683" t="str">
        <f>CONCATENATE("MANTENIMIENTO PREVENTIVO N°",BDEGENER[[#This Row],[GA1]])</f>
        <v>MANTENIMIENTO PREVENTIVO N°7</v>
      </c>
      <c r="BA171" s="683" t="str">
        <f>IF(BDEGENER[[#This Row],[SERVICIO]]=BDEGENER[[#This Row],[GA2]],BDEGENER[[#This Row],[HORAS]],"0")</f>
        <v>0</v>
      </c>
      <c r="BB171" s="683">
        <f>SUMIF(BDEGENER[SERIE],BDEGENER[[#This Row],[SERIE]],BDEGENER[GA3])</f>
        <v>4620.5</v>
      </c>
      <c r="BC171" s="683" t="str">
        <f>CONCATENATE("MANT",COUNTIF($Y$7:Y171,Y171))</f>
        <v>MANT3</v>
      </c>
      <c r="BD171" s="683" t="str">
        <f>CONCATENATE(BDEGENER[[#This Row],[SERIE]],BDEGENER[[#This Row],[GA5]])</f>
        <v>3003963150MANT3</v>
      </c>
      <c r="BE171" s="683" t="str">
        <f>CONCATENATE(BDEGENER[[#This Row],[CODIGO PATRIMONIAL]],BDEGENER[[#This Row],[GA5]])</f>
        <v>NOR-GEG-0020MANT3</v>
      </c>
      <c r="BF171" s="683">
        <f>COUNTIF(BDEGENER[SERIE],BDEGENER[[#This Row],[SERIE]])</f>
        <v>13</v>
      </c>
      <c r="BG171" s="683" t="str">
        <f>CONCATENATE("F",COUNTIF($K$7:K171,K171))</f>
        <v>F2</v>
      </c>
      <c r="BH171" s="683" t="str">
        <f>CONCATENATE(BDEGENER[[#This Row],[FECHA DE SERVICIO]],BDEGENER[[#This Row],[N° DE REGISTROS DEL DIA]])</f>
        <v>44105F2</v>
      </c>
      <c r="BI171" s="684">
        <v>108007.7</v>
      </c>
      <c r="BJ171" s="683" t="s">
        <v>1544</v>
      </c>
      <c r="BK171" s="762" t="s">
        <v>3068</v>
      </c>
    </row>
    <row r="172" spans="2:63" ht="69" hidden="1" x14ac:dyDescent="0.3">
      <c r="B172" s="2"/>
      <c r="C172" s="2"/>
      <c r="D172" s="2"/>
      <c r="E172" s="2"/>
      <c r="F172" s="2"/>
      <c r="G172" s="2"/>
      <c r="H172" s="2"/>
      <c r="I172" s="2"/>
      <c r="J172" s="685"/>
      <c r="K172" s="682">
        <v>44105</v>
      </c>
      <c r="L172" s="683" t="s">
        <v>181</v>
      </c>
      <c r="M172" s="683" t="s">
        <v>188</v>
      </c>
      <c r="N172" s="683" t="s">
        <v>183</v>
      </c>
      <c r="O172" s="683">
        <v>4500873022</v>
      </c>
      <c r="P172" s="688" t="s">
        <v>3388</v>
      </c>
      <c r="Q172" s="683" t="s">
        <v>37</v>
      </c>
      <c r="R172" s="683" t="s">
        <v>1782</v>
      </c>
      <c r="S172" s="686" t="s">
        <v>3389</v>
      </c>
      <c r="T172" s="683" t="s">
        <v>3391</v>
      </c>
      <c r="U172" s="683" t="s">
        <v>3390</v>
      </c>
      <c r="V172" s="683" t="s">
        <v>146</v>
      </c>
      <c r="W172" s="683" t="s">
        <v>914</v>
      </c>
      <c r="X172" s="691" t="s">
        <v>918</v>
      </c>
      <c r="Y172" s="687">
        <v>3004416582</v>
      </c>
      <c r="Z172" s="692"/>
      <c r="AA172" s="683" t="s">
        <v>33</v>
      </c>
      <c r="AB172" s="683" t="s">
        <v>34</v>
      </c>
      <c r="AC172" s="683" t="s">
        <v>230</v>
      </c>
      <c r="AD172" s="683" t="s">
        <v>1110</v>
      </c>
      <c r="AE172" s="683">
        <v>60</v>
      </c>
      <c r="AF172" s="684">
        <v>1691.8</v>
      </c>
      <c r="AG172" s="683" t="s">
        <v>243</v>
      </c>
      <c r="AH172" s="683" t="s">
        <v>220</v>
      </c>
      <c r="AI172" s="683" t="s">
        <v>33</v>
      </c>
      <c r="AJ172" s="683">
        <v>3004309061</v>
      </c>
      <c r="AK172" s="683" t="s">
        <v>33</v>
      </c>
      <c r="AL172" s="683">
        <v>107748830</v>
      </c>
      <c r="AM172" s="683" t="s">
        <v>1121</v>
      </c>
      <c r="AN172" s="683" t="s">
        <v>1505</v>
      </c>
      <c r="AO172" s="683" t="s">
        <v>1318</v>
      </c>
      <c r="AP172" s="683" t="s">
        <v>240</v>
      </c>
      <c r="AQ172" s="688" t="str">
        <f>CONCATENATE("REG-",BDEGENER[[#This Row],[FECHA DE SERVICIO]],"-",BDEGENER[[#This Row],[SERIE]],"-",BDEGENER[[#This Row],[HORAS]])</f>
        <v>REG-44105-3004416582-1691,8</v>
      </c>
      <c r="AR172" s="683" t="str">
        <f>CONCATENATE("MARCA: ",BDEGENER[[#This Row],[MARCA]],"
 MODELO: ",BDEGENER[[#This Row],[MODELO]])</f>
        <v>MARCA: GENERAC
 MODELO: PG090</v>
      </c>
      <c r="AS172" s="683" t="str">
        <f>CONCATENATE("MARCA: ",BDEGENER[[#This Row],[MARCA DE MOTOR]],"
SERIE: ",BDEGENER[[#This Row],[SERIE DE MOTOR]])</f>
        <v>MARCA: GENERAC
SERIE: 3004309061</v>
      </c>
      <c r="AT172" s="683" t="str">
        <f>CONCATENATE("MARCA: ",BDEGENER[[#This Row],[MARCA ALTERNADOR ]],"
SERIE: ",BDEGENER[[#This Row],[SERIE DE ALTERNADOR]])</f>
        <v>MARCA: GENERAC
SERIE: 107748830</v>
      </c>
      <c r="AU172" s="683" t="str">
        <f>CONCATENATE("HORAS: ",BDEGENER[[#This Row],[HORAS]],"
KW-HR: ",BDEGENER[[#This Row],[KW-HORA]],"
VOLT.BATERIA: ",BDEGENER[[#This Row],[VOLTAJE DE BATERIA]],"
TEMPERATURA: ",BDEGENER[[#This Row],[TEMPERATURA DE AGUA]],"
PRES. ACEITE: ",BDEGENER[[#This Row],[PRESION DE ACEITE]])</f>
        <v>HORAS: 1691,8
KW-HR: 40974,7
VOLT.BATERIA: 13.7 V
TEMPERATURA: 194 °F
PRES. ACEITE: 58 PSI</v>
      </c>
      <c r="AV172" s="761">
        <f>COUNTIFS(Q172:Q2172,"MANTENIMIENTO CORRECTIVO",Y172:Y2172,BDEGENER[[#This Row],[SERIE]])</f>
        <v>2</v>
      </c>
      <c r="AW172" s="761">
        <f>COUNTIFS(Q172:Q2172,"MANTENIMIENTO PREVENTIVO",Y172:Y2172,BDEGENER[[#This Row],[SERIE]])</f>
        <v>5</v>
      </c>
      <c r="AX17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172" s="683">
        <f>COUNTIFS(BDEGENER[SERIE],BDEGENER[[#This Row],[SERIE]],BDEGENER[TIPO DE SERVICIO],"MANTENIMIENTO PREVENTIVO")</f>
        <v>7</v>
      </c>
      <c r="AZ172" s="683" t="str">
        <f>CONCATENATE("MANTENIMIENTO PREVENTIVO N°",BDEGENER[[#This Row],[GA1]])</f>
        <v>MANTENIMIENTO PREVENTIVO N°7</v>
      </c>
      <c r="BA172" s="683" t="str">
        <f>IF(BDEGENER[[#This Row],[SERVICIO]]=BDEGENER[[#This Row],[GA2]],BDEGENER[[#This Row],[HORAS]],"0")</f>
        <v>0</v>
      </c>
      <c r="BB172" s="683">
        <f>SUMIF(BDEGENER[SERIE],BDEGENER[[#This Row],[SERIE]],BDEGENER[GA3])</f>
        <v>2342.3000000000002</v>
      </c>
      <c r="BC172" s="761" t="str">
        <f>CONCATENATE("MANT",COUNTIF($Y$7:Y172,Y172))</f>
        <v>MANT4</v>
      </c>
      <c r="BD172" s="683" t="str">
        <f>CONCATENATE(BDEGENER[[#This Row],[SERIE]],BDEGENER[[#This Row],[GA5]])</f>
        <v>3004416582MANT4</v>
      </c>
      <c r="BE172" s="683" t="str">
        <f>CONCATENATE(BDEGENER[[#This Row],[CODIGO PATRIMONIAL]],BDEGENER[[#This Row],[GA5]])</f>
        <v>MANT4</v>
      </c>
      <c r="BF172" s="683">
        <f>COUNTIF(BDEGENER[SERIE],BDEGENER[[#This Row],[SERIE]])</f>
        <v>11</v>
      </c>
      <c r="BG172" s="761" t="str">
        <f>CONCATENATE("F",COUNTIF($K$7:K172,K172))</f>
        <v>F3</v>
      </c>
      <c r="BH172" s="683" t="str">
        <f>CONCATENATE(BDEGENER[[#This Row],[FECHA DE SERVICIO]],BDEGENER[[#This Row],[N° DE REGISTROS DEL DIA]])</f>
        <v>44105F3</v>
      </c>
      <c r="BI172" s="684">
        <v>40974.699999999997</v>
      </c>
      <c r="BJ172" s="683" t="s">
        <v>1544</v>
      </c>
      <c r="BK172" s="762" t="s">
        <v>2160</v>
      </c>
    </row>
    <row r="173" spans="2:63" ht="69" hidden="1" x14ac:dyDescent="0.3">
      <c r="B173" s="2"/>
      <c r="C173" s="2"/>
      <c r="D173" s="2"/>
      <c r="E173" s="2"/>
      <c r="F173" s="2"/>
      <c r="G173" s="2"/>
      <c r="H173" s="2"/>
      <c r="I173" s="2"/>
      <c r="J173" s="685"/>
      <c r="K173" s="682">
        <v>44105</v>
      </c>
      <c r="L173" s="683" t="s">
        <v>181</v>
      </c>
      <c r="M173" s="683" t="s">
        <v>185</v>
      </c>
      <c r="N173" s="683" t="s">
        <v>183</v>
      </c>
      <c r="O173" s="683"/>
      <c r="P173" s="683"/>
      <c r="Q173" s="683" t="s">
        <v>2037</v>
      </c>
      <c r="R173" s="683" t="s">
        <v>1782</v>
      </c>
      <c r="S173" s="686" t="s">
        <v>3383</v>
      </c>
      <c r="T173" s="683" t="s">
        <v>2546</v>
      </c>
      <c r="U173" s="683" t="s">
        <v>2918</v>
      </c>
      <c r="V173" s="683" t="s">
        <v>146</v>
      </c>
      <c r="W173" s="683" t="s">
        <v>914</v>
      </c>
      <c r="X173" s="691" t="s">
        <v>918</v>
      </c>
      <c r="Y173" s="687">
        <v>3004402506</v>
      </c>
      <c r="Z173" s="692"/>
      <c r="AA173" s="683" t="s">
        <v>33</v>
      </c>
      <c r="AB173" s="683" t="s">
        <v>34</v>
      </c>
      <c r="AC173" s="683" t="s">
        <v>230</v>
      </c>
      <c r="AD173" s="683" t="s">
        <v>1110</v>
      </c>
      <c r="AE173" s="683">
        <v>60</v>
      </c>
      <c r="AF173" s="684">
        <v>2582.8000000000002</v>
      </c>
      <c r="AG173" s="683" t="s">
        <v>243</v>
      </c>
      <c r="AH173" s="683" t="s">
        <v>220</v>
      </c>
      <c r="AI173" s="683" t="s">
        <v>33</v>
      </c>
      <c r="AJ173" s="683">
        <v>3004333866</v>
      </c>
      <c r="AK173" s="683" t="s">
        <v>33</v>
      </c>
      <c r="AL173" s="683">
        <v>1063100</v>
      </c>
      <c r="AM173" s="683"/>
      <c r="AN173" s="683"/>
      <c r="AO173" s="683"/>
      <c r="AP173" s="683" t="s">
        <v>240</v>
      </c>
      <c r="AQ173" s="688" t="str">
        <f>CONCATENATE("REG-",BDEGENER[[#This Row],[FECHA DE SERVICIO]],"-",BDEGENER[[#This Row],[SERIE]],"-",BDEGENER[[#This Row],[HORAS]])</f>
        <v>REG-44105-3004402506-2582,8</v>
      </c>
      <c r="AR173" s="683" t="str">
        <f>CONCATENATE("MARCA: ",BDEGENER[[#This Row],[MARCA]],"
 MODELO: ",BDEGENER[[#This Row],[MODELO]])</f>
        <v>MARCA: GENERAC
 MODELO: PG090</v>
      </c>
      <c r="AS173" s="683" t="str">
        <f>CONCATENATE("MARCA: ",BDEGENER[[#This Row],[MARCA DE MOTOR]],"
SERIE: ",BDEGENER[[#This Row],[SERIE DE MOTOR]])</f>
        <v>MARCA: GENERAC
SERIE: 3004333866</v>
      </c>
      <c r="AT173" s="683" t="str">
        <f>CONCATENATE("MARCA: ",BDEGENER[[#This Row],[MARCA ALTERNADOR ]],"
SERIE: ",BDEGENER[[#This Row],[SERIE DE ALTERNADOR]])</f>
        <v>MARCA: GENERAC
SERIE: 1063100</v>
      </c>
      <c r="AU173" s="683" t="str">
        <f>CONCATENATE("HORAS: ",BDEGENER[[#This Row],[HORAS]],"
KW-HR: ",BDEGENER[[#This Row],[KW-HORA]],"
VOLT.BATERIA: ",BDEGENER[[#This Row],[VOLTAJE DE BATERIA]],"
TEMPERATURA: ",BDEGENER[[#This Row],[TEMPERATURA DE AGUA]],"
PRES. ACEITE: ",BDEGENER[[#This Row],[PRESION DE ACEITE]])</f>
        <v xml:space="preserve">HORAS: 2582,8
KW-HR: 63275,4
VOLT.BATERIA: 
TEMPERATURA: 
PRES. ACEITE: </v>
      </c>
      <c r="AV173" s="683">
        <f>COUNTIFS(Q173:Q2173,"MANTENIMIENTO CORRECTIVO",Y173:Y2173,BDEGENER[[#This Row],[SERIE]])</f>
        <v>3</v>
      </c>
      <c r="AW173" s="683">
        <f>COUNTIFS(Q173:Q2173,"MANTENIMIENTO PREVENTIVO",Y173:Y2173,BDEGENER[[#This Row],[SERIE]])</f>
        <v>7</v>
      </c>
      <c r="AX17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173" s="683">
        <f>COUNTIFS(BDEGENER[SERIE],BDEGENER[[#This Row],[SERIE]],BDEGENER[TIPO DE SERVICIO],"MANTENIMIENTO PREVENTIVO")</f>
        <v>8</v>
      </c>
      <c r="AZ173" s="683" t="str">
        <f>CONCATENATE("MANTENIMIENTO PREVENTIVO N°",BDEGENER[[#This Row],[GA1]])</f>
        <v>MANTENIMIENTO PREVENTIVO N°8</v>
      </c>
      <c r="BA173" s="683" t="str">
        <f>IF(BDEGENER[[#This Row],[SERVICIO]]=BDEGENER[[#This Row],[GA2]],BDEGENER[[#This Row],[HORAS]],"0")</f>
        <v>0</v>
      </c>
      <c r="BB173" s="683">
        <f>SUMIF(BDEGENER[SERIE],BDEGENER[[#This Row],[SERIE]],BDEGENER[GA3])</f>
        <v>2907.9</v>
      </c>
      <c r="BC173" s="683" t="str">
        <f>CONCATENATE("MANT",COUNTIF($Y$7:Y173,Y173))</f>
        <v>MANT2</v>
      </c>
      <c r="BD173" s="683" t="str">
        <f>CONCATENATE(BDEGENER[[#This Row],[SERIE]],BDEGENER[[#This Row],[GA5]])</f>
        <v>3004402506MANT2</v>
      </c>
      <c r="BE173" s="683" t="str">
        <f>CONCATENATE(BDEGENER[[#This Row],[CODIGO PATRIMONIAL]],BDEGENER[[#This Row],[GA5]])</f>
        <v>MANT2</v>
      </c>
      <c r="BF173" s="683">
        <f>COUNTIF(BDEGENER[SERIE],BDEGENER[[#This Row],[SERIE]])</f>
        <v>14</v>
      </c>
      <c r="BG173" s="683" t="str">
        <f>CONCATENATE("F",COUNTIF($K$7:K173,K173))</f>
        <v>F4</v>
      </c>
      <c r="BH173" s="683" t="str">
        <f>CONCATENATE(BDEGENER[[#This Row],[FECHA DE SERVICIO]],BDEGENER[[#This Row],[N° DE REGISTROS DEL DIA]])</f>
        <v>44105F4</v>
      </c>
      <c r="BI173" s="684">
        <v>63275.4</v>
      </c>
      <c r="BJ173" s="683" t="s">
        <v>1544</v>
      </c>
      <c r="BK173" s="762"/>
    </row>
    <row r="174" spans="2:63" ht="69" hidden="1" x14ac:dyDescent="0.3">
      <c r="B174" s="2"/>
      <c r="C174" s="2"/>
      <c r="D174" s="2"/>
      <c r="E174" s="2"/>
      <c r="F174" s="2"/>
      <c r="G174" s="2"/>
      <c r="H174" s="2"/>
      <c r="I174" s="2"/>
      <c r="J174" s="685"/>
      <c r="K174" s="682">
        <v>44104</v>
      </c>
      <c r="L174" s="683" t="s">
        <v>181</v>
      </c>
      <c r="M174" s="683" t="s">
        <v>182</v>
      </c>
      <c r="N174" s="683" t="s">
        <v>183</v>
      </c>
      <c r="O174" s="683">
        <v>4500873022</v>
      </c>
      <c r="P174" s="688" t="s">
        <v>3385</v>
      </c>
      <c r="Q174" s="683" t="s">
        <v>37</v>
      </c>
      <c r="R174" s="683" t="s">
        <v>1782</v>
      </c>
      <c r="S174" s="686" t="s">
        <v>3384</v>
      </c>
      <c r="T174" s="683" t="s">
        <v>3387</v>
      </c>
      <c r="U174" s="683" t="s">
        <v>3386</v>
      </c>
      <c r="V174" s="683" t="s">
        <v>146</v>
      </c>
      <c r="W174" s="683" t="s">
        <v>914</v>
      </c>
      <c r="X174" s="691" t="s">
        <v>918</v>
      </c>
      <c r="Y174" s="687">
        <v>3004256777</v>
      </c>
      <c r="Z174" s="692"/>
      <c r="AA174" s="683" t="s">
        <v>33</v>
      </c>
      <c r="AB174" s="683" t="s">
        <v>34</v>
      </c>
      <c r="AC174" s="683" t="s">
        <v>230</v>
      </c>
      <c r="AD174" s="683" t="s">
        <v>1110</v>
      </c>
      <c r="AE174" s="683">
        <v>60</v>
      </c>
      <c r="AF174" s="684">
        <v>2161.1</v>
      </c>
      <c r="AG174" s="683" t="s">
        <v>243</v>
      </c>
      <c r="AH174" s="683" t="s">
        <v>220</v>
      </c>
      <c r="AI174" s="683" t="s">
        <v>33</v>
      </c>
      <c r="AJ174" s="683">
        <v>3003930235</v>
      </c>
      <c r="AK174" s="683" t="s">
        <v>33</v>
      </c>
      <c r="AL174" s="683">
        <v>10630250</v>
      </c>
      <c r="AM174" s="683" t="s">
        <v>1121</v>
      </c>
      <c r="AN174" s="683" t="s">
        <v>1122</v>
      </c>
      <c r="AO174" s="683" t="s">
        <v>1318</v>
      </c>
      <c r="AP174" s="683" t="s">
        <v>240</v>
      </c>
      <c r="AQ174" s="688" t="str">
        <f>CONCATENATE("REG-",BDEGENER[[#This Row],[FECHA DE SERVICIO]],"-",BDEGENER[[#This Row],[SERIE]],"-",BDEGENER[[#This Row],[HORAS]])</f>
        <v>REG-44104-3004256777-2161,1</v>
      </c>
      <c r="AR174" s="683" t="str">
        <f>CONCATENATE("MARCA: ",BDEGENER[[#This Row],[MARCA]],"
 MODELO: ",BDEGENER[[#This Row],[MODELO]])</f>
        <v>MARCA: GENERAC
 MODELO: PG090</v>
      </c>
      <c r="AS174" s="683" t="str">
        <f>CONCATENATE("MARCA: ",BDEGENER[[#This Row],[MARCA DE MOTOR]],"
SERIE: ",BDEGENER[[#This Row],[SERIE DE MOTOR]])</f>
        <v>MARCA: GENERAC
SERIE: 3003930235</v>
      </c>
      <c r="AT174" s="683" t="str">
        <f>CONCATENATE("MARCA: ",BDEGENER[[#This Row],[MARCA ALTERNADOR ]],"
SERIE: ",BDEGENER[[#This Row],[SERIE DE ALTERNADOR]])</f>
        <v>MARCA: GENERAC
SERIE: 10630250</v>
      </c>
      <c r="AU174" s="683" t="str">
        <f>CONCATENATE("HORAS: ",BDEGENER[[#This Row],[HORAS]],"
KW-HR: ",BDEGENER[[#This Row],[KW-HORA]],"
VOLT.BATERIA: ",BDEGENER[[#This Row],[VOLTAJE DE BATERIA]],"
TEMPERATURA: ",BDEGENER[[#This Row],[TEMPERATURA DE AGUA]],"
PRES. ACEITE: ",BDEGENER[[#This Row],[PRESION DE ACEITE]])</f>
        <v>HORAS: 2161,1
KW-HR: 50670,8
VOLT.BATERIA: 13.7 V
TEMPERATURA: 195 °F
PRES. ACEITE: 58 PSI</v>
      </c>
      <c r="AV174" s="683">
        <f>COUNTIFS(Q174:Q2174,"MANTENIMIENTO CORRECTIVO",Y174:Y2174,BDEGENER[[#This Row],[SERIE]])</f>
        <v>5</v>
      </c>
      <c r="AW174" s="683">
        <f>COUNTIFS(Q174:Q2174,"MANTENIMIENTO PREVENTIVO",Y174:Y2174,BDEGENER[[#This Row],[SERIE]])</f>
        <v>7</v>
      </c>
      <c r="AX17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74" s="683">
        <f>COUNTIFS(BDEGENER[SERIE],BDEGENER[[#This Row],[SERIE]],BDEGENER[TIPO DE SERVICIO],"MANTENIMIENTO PREVENTIVO")</f>
        <v>9</v>
      </c>
      <c r="AZ174" s="683" t="str">
        <f>CONCATENATE("MANTENIMIENTO PREVENTIVO N°",BDEGENER[[#This Row],[GA1]])</f>
        <v>MANTENIMIENTO PREVENTIVO N°9</v>
      </c>
      <c r="BA174" s="683" t="str">
        <f>IF(BDEGENER[[#This Row],[SERVICIO]]=BDEGENER[[#This Row],[GA2]],BDEGENER[[#This Row],[HORAS]],"0")</f>
        <v>0</v>
      </c>
      <c r="BB174" s="683">
        <f>SUMIF(BDEGENER[SERIE],BDEGENER[[#This Row],[SERIE]],BDEGENER[GA3])</f>
        <v>2804.7</v>
      </c>
      <c r="BC174" s="683" t="str">
        <f>CONCATENATE("MANT",COUNTIF($Y$7:Y174,Y174))</f>
        <v>MANT4</v>
      </c>
      <c r="BD174" s="683" t="str">
        <f>CONCATENATE(BDEGENER[[#This Row],[SERIE]],BDEGENER[[#This Row],[GA5]])</f>
        <v>3004256777MANT4</v>
      </c>
      <c r="BE174" s="683" t="str">
        <f>CONCATENATE(BDEGENER[[#This Row],[CODIGO PATRIMONIAL]],BDEGENER[[#This Row],[GA5]])</f>
        <v>MANT4</v>
      </c>
      <c r="BF174" s="683">
        <f>COUNTIF(BDEGENER[SERIE],BDEGENER[[#This Row],[SERIE]])</f>
        <v>16</v>
      </c>
      <c r="BG174" s="683" t="str">
        <f>CONCATENATE("F",COUNTIF($K$7:K174,K174))</f>
        <v>F1</v>
      </c>
      <c r="BH174" s="683" t="str">
        <f>CONCATENATE(BDEGENER[[#This Row],[FECHA DE SERVICIO]],BDEGENER[[#This Row],[N° DE REGISTROS DEL DIA]])</f>
        <v>44104F1</v>
      </c>
      <c r="BI174" s="684">
        <v>50670.8</v>
      </c>
      <c r="BJ174" s="683" t="s">
        <v>1544</v>
      </c>
      <c r="BK174" s="762" t="s">
        <v>2160</v>
      </c>
    </row>
    <row r="175" spans="2:63" ht="69" hidden="1" x14ac:dyDescent="0.3">
      <c r="B175" s="2"/>
      <c r="C175" s="2"/>
      <c r="D175" s="2"/>
      <c r="E175" s="2"/>
      <c r="F175" s="2"/>
      <c r="G175" s="2"/>
      <c r="H175" s="2"/>
      <c r="I175" s="2"/>
      <c r="J175" s="685"/>
      <c r="K175" s="682">
        <v>44102</v>
      </c>
      <c r="L175" s="683" t="s">
        <v>181</v>
      </c>
      <c r="M175" s="683" t="s">
        <v>2169</v>
      </c>
      <c r="N175" s="683" t="s">
        <v>2170</v>
      </c>
      <c r="O175" s="683">
        <v>4500926217</v>
      </c>
      <c r="P175" s="688" t="s">
        <v>3426</v>
      </c>
      <c r="Q175" s="683" t="s">
        <v>37</v>
      </c>
      <c r="R175" s="683" t="s">
        <v>1782</v>
      </c>
      <c r="S175" s="686" t="s">
        <v>3044</v>
      </c>
      <c r="T175" s="683" t="s">
        <v>2948</v>
      </c>
      <c r="U175" s="683" t="s">
        <v>2053</v>
      </c>
      <c r="V175" s="683" t="s">
        <v>148</v>
      </c>
      <c r="W175" s="683" t="s">
        <v>914</v>
      </c>
      <c r="X175" s="691" t="s">
        <v>918</v>
      </c>
      <c r="Y175" s="687">
        <v>3005167422</v>
      </c>
      <c r="Z175" s="692" t="s">
        <v>159</v>
      </c>
      <c r="AA175" s="683" t="s">
        <v>33</v>
      </c>
      <c r="AB175" s="683" t="s">
        <v>2174</v>
      </c>
      <c r="AC175" s="683" t="s">
        <v>2175</v>
      </c>
      <c r="AD175" s="683" t="s">
        <v>1195</v>
      </c>
      <c r="AE175" s="683">
        <v>60</v>
      </c>
      <c r="AF175" s="684">
        <v>1492.2</v>
      </c>
      <c r="AG175" s="683" t="s">
        <v>243</v>
      </c>
      <c r="AH175" s="683" t="s">
        <v>220</v>
      </c>
      <c r="AI175" s="683" t="s">
        <v>33</v>
      </c>
      <c r="AJ175" s="683" t="s">
        <v>2176</v>
      </c>
      <c r="AK175" s="683" t="s">
        <v>33</v>
      </c>
      <c r="AL175" s="683">
        <v>147951510</v>
      </c>
      <c r="AM175" s="683" t="s">
        <v>1377</v>
      </c>
      <c r="AN175" s="683" t="s">
        <v>1122</v>
      </c>
      <c r="AO175" s="683" t="s">
        <v>1090</v>
      </c>
      <c r="AP175" s="683" t="s">
        <v>240</v>
      </c>
      <c r="AQ175" s="688" t="str">
        <f>CONCATENATE("REG-",BDEGENER[[#This Row],[FECHA DE SERVICIO]],"-",BDEGENER[[#This Row],[SERIE]],"-",BDEGENER[[#This Row],[HORAS]])</f>
        <v>REG-44102-3005167422-1492,2</v>
      </c>
      <c r="AR175" s="683" t="str">
        <f>CONCATENATE("MARCA: ",BDEGENER[[#This Row],[MARCA]],"
 MODELO: ",BDEGENER[[#This Row],[MODELO]])</f>
        <v>MARCA: GENERAC
 MODELO: SG070</v>
      </c>
      <c r="AS175" s="683" t="str">
        <f>CONCATENATE("MARCA: ",BDEGENER[[#This Row],[MARCA DE MOTOR]],"
SERIE: ",BDEGENER[[#This Row],[SERIE DE MOTOR]])</f>
        <v>MARCA: GENERAC
SERIE: GP680AA-EH2A 250619</v>
      </c>
      <c r="AT175" s="683" t="str">
        <f>CONCATENATE("MARCA: ",BDEGENER[[#This Row],[MARCA ALTERNADOR ]],"
SERIE: ",BDEGENER[[#This Row],[SERIE DE ALTERNADOR]])</f>
        <v>MARCA: GENERAC
SERIE: 147951510</v>
      </c>
      <c r="AU175" s="683" t="str">
        <f>CONCATENATE("HORAS: ",BDEGENER[[#This Row],[HORAS]],"
KW-HR: ",BDEGENER[[#This Row],[KW-HORA]],"
VOLT.BATERIA: ",BDEGENER[[#This Row],[VOLTAJE DE BATERIA]],"
TEMPERATURA: ",BDEGENER[[#This Row],[TEMPERATURA DE AGUA]],"
PRES. ACEITE: ",BDEGENER[[#This Row],[PRESION DE ACEITE]])</f>
        <v>HORAS: 1492,2
KW-HR: 17146,6
VOLT.BATERIA: 13.8 V
TEMPERATURA: 195 °F
PRES. ACEITE: 69 PSI</v>
      </c>
      <c r="AV175" s="761">
        <f>COUNTIFS(Q175:Q2175,"MANTENIMIENTO CORRECTIVO",Y175:Y2175,BDEGENER[[#This Row],[SERIE]])</f>
        <v>0</v>
      </c>
      <c r="AW175" s="761">
        <f>COUNTIFS(Q175:Q2175,"MANTENIMIENTO PREVENTIVO",Y175:Y2175,BDEGENER[[#This Row],[SERIE]])</f>
        <v>5</v>
      </c>
      <c r="AX17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175" s="683">
        <f>COUNTIFS(BDEGENER[SERIE],BDEGENER[[#This Row],[SERIE]],BDEGENER[TIPO DE SERVICIO],"MANTENIMIENTO PREVENTIVO")</f>
        <v>6</v>
      </c>
      <c r="AZ175" s="683" t="str">
        <f>CONCATENATE("MANTENIMIENTO PREVENTIVO N°",BDEGENER[[#This Row],[GA1]])</f>
        <v>MANTENIMIENTO PREVENTIVO N°6</v>
      </c>
      <c r="BA175" s="683" t="str">
        <f>IF(BDEGENER[[#This Row],[SERVICIO]]=BDEGENER[[#This Row],[GA2]],BDEGENER[[#This Row],[HORAS]],"0")</f>
        <v>0</v>
      </c>
      <c r="BB175" s="683">
        <f>SUMIF(BDEGENER[SERIE],BDEGENER[[#This Row],[SERIE]],BDEGENER[GA3])</f>
        <v>1906.8</v>
      </c>
      <c r="BC175" s="761" t="str">
        <f>CONCATENATE("MANT",COUNTIF($Y$7:Y175,Y175))</f>
        <v>MANT2</v>
      </c>
      <c r="BD175" s="683" t="str">
        <f>CONCATENATE(BDEGENER[[#This Row],[SERIE]],BDEGENER[[#This Row],[GA5]])</f>
        <v>3005167422MANT2</v>
      </c>
      <c r="BE175" s="683" t="str">
        <f>CONCATENATE(BDEGENER[[#This Row],[CODIGO PATRIMONIAL]],BDEGENER[[#This Row],[GA5]])</f>
        <v>MANT2</v>
      </c>
      <c r="BF175" s="683">
        <f>COUNTIF(BDEGENER[SERIE],BDEGENER[[#This Row],[SERIE]])</f>
        <v>7</v>
      </c>
      <c r="BG175" s="761" t="str">
        <f>CONCATENATE("F",COUNTIF($K$7:K175,K175))</f>
        <v>F1</v>
      </c>
      <c r="BH175" s="683" t="str">
        <f>CONCATENATE(BDEGENER[[#This Row],[FECHA DE SERVICIO]],BDEGENER[[#This Row],[N° DE REGISTROS DEL DIA]])</f>
        <v>44102F1</v>
      </c>
      <c r="BI175" s="684">
        <v>17146.599999999999</v>
      </c>
      <c r="BJ175" s="683" t="s">
        <v>1544</v>
      </c>
      <c r="BK175" s="762" t="s">
        <v>788</v>
      </c>
    </row>
    <row r="176" spans="2:63" ht="69" hidden="1" x14ac:dyDescent="0.3">
      <c r="B176" s="2"/>
      <c r="C176" s="2"/>
      <c r="D176" s="2"/>
      <c r="E176" s="2"/>
      <c r="F176" s="2"/>
      <c r="G176" s="2"/>
      <c r="H176" s="2"/>
      <c r="I176" s="2"/>
      <c r="J176" s="685"/>
      <c r="K176" s="682">
        <v>44102</v>
      </c>
      <c r="L176" s="683" t="s">
        <v>181</v>
      </c>
      <c r="M176" s="683" t="s">
        <v>2179</v>
      </c>
      <c r="N176" s="683" t="s">
        <v>2170</v>
      </c>
      <c r="O176" s="683">
        <v>4500926217</v>
      </c>
      <c r="P176" s="688" t="s">
        <v>3425</v>
      </c>
      <c r="Q176" s="683" t="s">
        <v>37</v>
      </c>
      <c r="R176" s="683" t="s">
        <v>1782</v>
      </c>
      <c r="S176" s="686" t="s">
        <v>3044</v>
      </c>
      <c r="T176" s="683" t="s">
        <v>2948</v>
      </c>
      <c r="U176" s="683" t="s">
        <v>2053</v>
      </c>
      <c r="V176" s="683" t="s">
        <v>148</v>
      </c>
      <c r="W176" s="683" t="s">
        <v>914</v>
      </c>
      <c r="X176" s="691" t="s">
        <v>918</v>
      </c>
      <c r="Y176" s="687">
        <v>3005167425</v>
      </c>
      <c r="Z176" s="692" t="s">
        <v>159</v>
      </c>
      <c r="AA176" s="683" t="s">
        <v>33</v>
      </c>
      <c r="AB176" s="683" t="s">
        <v>2174</v>
      </c>
      <c r="AC176" s="683" t="s">
        <v>2175</v>
      </c>
      <c r="AD176" s="683" t="s">
        <v>1195</v>
      </c>
      <c r="AE176" s="683">
        <v>60</v>
      </c>
      <c r="AF176" s="684">
        <v>1544.6</v>
      </c>
      <c r="AG176" s="683" t="s">
        <v>243</v>
      </c>
      <c r="AH176" s="683" t="s">
        <v>220</v>
      </c>
      <c r="AI176" s="683" t="s">
        <v>33</v>
      </c>
      <c r="AJ176" s="683" t="s">
        <v>2222</v>
      </c>
      <c r="AK176" s="683" t="s">
        <v>33</v>
      </c>
      <c r="AL176" s="683">
        <v>147951510</v>
      </c>
      <c r="AM176" s="683" t="s">
        <v>245</v>
      </c>
      <c r="AN176" s="683" t="s">
        <v>1122</v>
      </c>
      <c r="AO176" s="683" t="s">
        <v>1365</v>
      </c>
      <c r="AP176" s="683" t="s">
        <v>240</v>
      </c>
      <c r="AQ176" s="688" t="str">
        <f>CONCATENATE("REG-",BDEGENER[[#This Row],[FECHA DE SERVICIO]],"-",BDEGENER[[#This Row],[SERIE]],"-",BDEGENER[[#This Row],[HORAS]])</f>
        <v>REG-44102-3005167425-1544,6</v>
      </c>
      <c r="AR176" s="683" t="str">
        <f>CONCATENATE("MARCA: ",BDEGENER[[#This Row],[MARCA]],"
 MODELO: ",BDEGENER[[#This Row],[MODELO]])</f>
        <v>MARCA: GENERAC
 MODELO: SG070</v>
      </c>
      <c r="AS176" s="683" t="str">
        <f>CONCATENATE("MARCA: ",BDEGENER[[#This Row],[MARCA DE MOTOR]],"
SERIE: ",BDEGENER[[#This Row],[SERIE DE MOTOR]])</f>
        <v>MARCA: GENERAC
SERIE: GP680AA-EH2A 250618</v>
      </c>
      <c r="AT176" s="683" t="str">
        <f>CONCATENATE("MARCA: ",BDEGENER[[#This Row],[MARCA ALTERNADOR ]],"
SERIE: ",BDEGENER[[#This Row],[SERIE DE ALTERNADOR]])</f>
        <v>MARCA: GENERAC
SERIE: 147951510</v>
      </c>
      <c r="AU176" s="683" t="str">
        <f>CONCATENATE("HORAS: ",BDEGENER[[#This Row],[HORAS]],"
KW-HR: ",BDEGENER[[#This Row],[KW-HORA]],"
VOLT.BATERIA: ",BDEGENER[[#This Row],[VOLTAJE DE BATERIA]],"
TEMPERATURA: ",BDEGENER[[#This Row],[TEMPERATURA DE AGUA]],"
PRES. ACEITE: ",BDEGENER[[#This Row],[PRESION DE ACEITE]])</f>
        <v>HORAS: 1544,6
KW-HR: 17068,7
VOLT.BATERIA: 13.6 V
TEMPERATURA: 195 °F
PRES. ACEITE: 70 PSI</v>
      </c>
      <c r="AV176" s="683">
        <f>COUNTIFS(Q176:Q2176,"MANTENIMIENTO CORRECTIVO",Y176:Y2176,BDEGENER[[#This Row],[SERIE]])</f>
        <v>0</v>
      </c>
      <c r="AW176" s="683">
        <f>COUNTIFS(Q176:Q2176,"MANTENIMIENTO PREVENTIVO",Y176:Y2176,BDEGENER[[#This Row],[SERIE]])</f>
        <v>5</v>
      </c>
      <c r="AX17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176" s="683">
        <f>COUNTIFS(BDEGENER[SERIE],BDEGENER[[#This Row],[SERIE]],BDEGENER[TIPO DE SERVICIO],"MANTENIMIENTO PREVENTIVO")</f>
        <v>6</v>
      </c>
      <c r="AZ176" s="683" t="str">
        <f>CONCATENATE("MANTENIMIENTO PREVENTIVO N°",BDEGENER[[#This Row],[GA1]])</f>
        <v>MANTENIMIENTO PREVENTIVO N°6</v>
      </c>
      <c r="BA176" s="683" t="str">
        <f>IF(BDEGENER[[#This Row],[SERVICIO]]=BDEGENER[[#This Row],[GA2]],BDEGENER[[#This Row],[HORAS]],"0")</f>
        <v>0</v>
      </c>
      <c r="BB176" s="683">
        <f>SUMIF(BDEGENER[SERIE],BDEGENER[[#This Row],[SERIE]],BDEGENER[GA3])</f>
        <v>1939.8</v>
      </c>
      <c r="BC176" s="683" t="str">
        <f>CONCATENATE("MANT",COUNTIF($Y$7:Y176,Y176))</f>
        <v>MANT2</v>
      </c>
      <c r="BD176" s="683" t="str">
        <f>CONCATENATE(BDEGENER[[#This Row],[SERIE]],BDEGENER[[#This Row],[GA5]])</f>
        <v>3005167425MANT2</v>
      </c>
      <c r="BE176" s="683" t="str">
        <f>CONCATENATE(BDEGENER[[#This Row],[CODIGO PATRIMONIAL]],BDEGENER[[#This Row],[GA5]])</f>
        <v>MANT2</v>
      </c>
      <c r="BF176" s="683">
        <f>COUNTIF(BDEGENER[SERIE],BDEGENER[[#This Row],[SERIE]])</f>
        <v>7</v>
      </c>
      <c r="BG176" s="683" t="str">
        <f>CONCATENATE("F",COUNTIF($K$7:K176,K176))</f>
        <v>F2</v>
      </c>
      <c r="BH176" s="683" t="str">
        <f>CONCATENATE(BDEGENER[[#This Row],[FECHA DE SERVICIO]],BDEGENER[[#This Row],[N° DE REGISTROS DEL DIA]])</f>
        <v>44102F2</v>
      </c>
      <c r="BI176" s="684">
        <v>17068.7</v>
      </c>
      <c r="BJ176" s="683" t="s">
        <v>1544</v>
      </c>
      <c r="BK176" s="762" t="s">
        <v>2902</v>
      </c>
    </row>
    <row r="177" spans="2:63" ht="69" hidden="1" x14ac:dyDescent="0.3">
      <c r="B177" s="2"/>
      <c r="C177" s="2"/>
      <c r="D177" s="2"/>
      <c r="E177" s="2"/>
      <c r="F177" s="2"/>
      <c r="G177" s="2"/>
      <c r="H177" s="2"/>
      <c r="I177" s="2"/>
      <c r="J177" s="685"/>
      <c r="K177" s="682">
        <v>44102</v>
      </c>
      <c r="L177" s="683" t="s">
        <v>181</v>
      </c>
      <c r="M177" s="683" t="s">
        <v>186</v>
      </c>
      <c r="N177" s="683" t="s">
        <v>1982</v>
      </c>
      <c r="O177" s="683">
        <v>4500853877</v>
      </c>
      <c r="P177" s="688" t="s">
        <v>3398</v>
      </c>
      <c r="Q177" s="683" t="s">
        <v>37</v>
      </c>
      <c r="R177" s="683" t="s">
        <v>1782</v>
      </c>
      <c r="S177" s="686" t="s">
        <v>3394</v>
      </c>
      <c r="T177" s="683" t="s">
        <v>3396</v>
      </c>
      <c r="U177" s="683" t="s">
        <v>3178</v>
      </c>
      <c r="V177" s="683" t="s">
        <v>148</v>
      </c>
      <c r="W177" s="683" t="s">
        <v>914</v>
      </c>
      <c r="X177" s="691" t="s">
        <v>918</v>
      </c>
      <c r="Y177" s="687">
        <v>3004327724</v>
      </c>
      <c r="Z177" s="692"/>
      <c r="AA177" s="683" t="s">
        <v>33</v>
      </c>
      <c r="AB177" s="683" t="s">
        <v>34</v>
      </c>
      <c r="AC177" s="683" t="s">
        <v>230</v>
      </c>
      <c r="AD177" s="683" t="s">
        <v>1110</v>
      </c>
      <c r="AE177" s="683">
        <v>60</v>
      </c>
      <c r="AF177" s="684">
        <v>1855.3</v>
      </c>
      <c r="AG177" s="683" t="s">
        <v>243</v>
      </c>
      <c r="AH177" s="683" t="s">
        <v>220</v>
      </c>
      <c r="AI177" s="683" t="s">
        <v>33</v>
      </c>
      <c r="AJ177" s="683">
        <v>3004333872</v>
      </c>
      <c r="AK177" s="683" t="s">
        <v>33</v>
      </c>
      <c r="AL177" s="683"/>
      <c r="AM177" s="683" t="s">
        <v>3018</v>
      </c>
      <c r="AN177" s="683" t="s">
        <v>1505</v>
      </c>
      <c r="AO177" s="683" t="s">
        <v>1140</v>
      </c>
      <c r="AP177" s="683" t="s">
        <v>557</v>
      </c>
      <c r="AQ177" s="744" t="str">
        <f>CONCATENATE("REG-",BDEGENER[[#This Row],[FECHA DE SERVICIO]],"-",BDEGENER[[#This Row],[SERIE]],"-",BDEGENER[[#This Row],[HORAS]])</f>
        <v>REG-44102-3004327724-1855,3</v>
      </c>
      <c r="AR177" s="683" t="str">
        <f>CONCATENATE("MARCA: ",BDEGENER[[#This Row],[MARCA]],"
 MODELO: ",BDEGENER[[#This Row],[MODELO]])</f>
        <v>MARCA: GENERAC
 MODELO: PG090</v>
      </c>
      <c r="AS177" s="683" t="str">
        <f>CONCATENATE("MARCA: ",BDEGENER[[#This Row],[MARCA DE MOTOR]],"
SERIE: ",BDEGENER[[#This Row],[SERIE DE MOTOR]])</f>
        <v>MARCA: GENERAC
SERIE: 3004333872</v>
      </c>
      <c r="AT177" s="683" t="str">
        <f>CONCATENATE("MARCA: ",BDEGENER[[#This Row],[MARCA ALTERNADOR ]],"
SERIE: ",BDEGENER[[#This Row],[SERIE DE ALTERNADOR]])</f>
        <v xml:space="preserve">MARCA: GENERAC
SERIE: </v>
      </c>
      <c r="AU177" s="683" t="str">
        <f>CONCATENATE("HORAS: ",BDEGENER[[#This Row],[HORAS]],"
KW-HR: ",BDEGENER[[#This Row],[KW-HORA]],"
VOLT.BATERIA: ",BDEGENER[[#This Row],[VOLTAJE DE BATERIA]],"
TEMPERATURA: ",BDEGENER[[#This Row],[TEMPERATURA DE AGUA]],"
PRES. ACEITE: ",BDEGENER[[#This Row],[PRESION DE ACEITE]])</f>
        <v>HORAS: 1855,3
KW-HR: 
VOLT.BATERIA: 14.5 V
TEMPERATURA: 194 °F
PRES. ACEITE: 50 PSI</v>
      </c>
      <c r="AV177" s="683">
        <f>COUNTIFS(Q177:Q2177,"MANTENIMIENTO CORRECTIVO",Y177:Y2177,BDEGENER[[#This Row],[SERIE]])</f>
        <v>6</v>
      </c>
      <c r="AW177" s="683">
        <f>COUNTIFS(Q177:Q2177,"MANTENIMIENTO PREVENTIVO",Y177:Y2177,BDEGENER[[#This Row],[SERIE]])</f>
        <v>7</v>
      </c>
      <c r="AX17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77" s="683">
        <f>COUNTIFS(BDEGENER[SERIE],BDEGENER[[#This Row],[SERIE]],BDEGENER[TIPO DE SERVICIO],"MANTENIMIENTO PREVENTIVO")</f>
        <v>8</v>
      </c>
      <c r="AZ177" s="683" t="str">
        <f>CONCATENATE("MANTENIMIENTO PREVENTIVO N°",BDEGENER[[#This Row],[GA1]])</f>
        <v>MANTENIMIENTO PREVENTIVO N°8</v>
      </c>
      <c r="BA177" s="683" t="str">
        <f>IF(BDEGENER[[#This Row],[SERVICIO]]=BDEGENER[[#This Row],[GA2]],BDEGENER[[#This Row],[HORAS]],"0")</f>
        <v>0</v>
      </c>
      <c r="BB177" s="683">
        <f>SUMIF(BDEGENER[SERIE],BDEGENER[[#This Row],[SERIE]],BDEGENER[GA3])</f>
        <v>2271.8000000000002</v>
      </c>
      <c r="BC177" s="683" t="str">
        <f>CONCATENATE("MANT",COUNTIF($Y$7:Y177,Y177))</f>
        <v>MANT4</v>
      </c>
      <c r="BD177" s="683" t="str">
        <f>CONCATENATE(BDEGENER[[#This Row],[SERIE]],BDEGENER[[#This Row],[GA5]])</f>
        <v>3004327724MANT4</v>
      </c>
      <c r="BE177" s="683" t="str">
        <f>CONCATENATE(BDEGENER[[#This Row],[CODIGO PATRIMONIAL]],BDEGENER[[#This Row],[GA5]])</f>
        <v>MANT4</v>
      </c>
      <c r="BF177" s="683">
        <f>COUNTIF(BDEGENER[SERIE],BDEGENER[[#This Row],[SERIE]])</f>
        <v>17</v>
      </c>
      <c r="BG177" s="683" t="str">
        <f>CONCATENATE("F",COUNTIF($K$7:K177,K177))</f>
        <v>F3</v>
      </c>
      <c r="BH177" s="683" t="str">
        <f>CONCATENATE(BDEGENER[[#This Row],[FECHA DE SERVICIO]],BDEGENER[[#This Row],[N° DE REGISTROS DEL DIA]])</f>
        <v>44102F3</v>
      </c>
      <c r="BI177" s="684"/>
      <c r="BJ177" s="683" t="s">
        <v>1544</v>
      </c>
      <c r="BK177" s="762" t="s">
        <v>3397</v>
      </c>
    </row>
    <row r="178" spans="2:63" ht="69" hidden="1" x14ac:dyDescent="0.3">
      <c r="B178" s="2"/>
      <c r="C178" s="2"/>
      <c r="D178" s="2"/>
      <c r="E178" s="2"/>
      <c r="F178" s="2"/>
      <c r="G178" s="2"/>
      <c r="H178" s="2"/>
      <c r="I178" s="2"/>
      <c r="J178" s="685"/>
      <c r="K178" s="682">
        <v>44102</v>
      </c>
      <c r="L178" s="683" t="s">
        <v>181</v>
      </c>
      <c r="M178" s="683" t="s">
        <v>186</v>
      </c>
      <c r="N178" s="683" t="s">
        <v>1982</v>
      </c>
      <c r="O178" s="683">
        <v>4500853877</v>
      </c>
      <c r="P178" s="688" t="s">
        <v>3393</v>
      </c>
      <c r="Q178" s="683" t="s">
        <v>37</v>
      </c>
      <c r="R178" s="683" t="s">
        <v>1782</v>
      </c>
      <c r="S178" s="686" t="s">
        <v>3394</v>
      </c>
      <c r="T178" s="683" t="s">
        <v>2989</v>
      </c>
      <c r="U178" s="683" t="s">
        <v>3178</v>
      </c>
      <c r="V178" s="683" t="s">
        <v>148</v>
      </c>
      <c r="W178" s="683" t="s">
        <v>914</v>
      </c>
      <c r="X178" s="691" t="s">
        <v>918</v>
      </c>
      <c r="Y178" s="687">
        <v>3004327722</v>
      </c>
      <c r="Z178" s="692"/>
      <c r="AA178" s="683" t="s">
        <v>33</v>
      </c>
      <c r="AB178" s="683" t="s">
        <v>34</v>
      </c>
      <c r="AC178" s="683" t="s">
        <v>230</v>
      </c>
      <c r="AD178" s="683" t="s">
        <v>1110</v>
      </c>
      <c r="AE178" s="683">
        <v>60</v>
      </c>
      <c r="AF178" s="684">
        <v>1672.5</v>
      </c>
      <c r="AG178" s="683" t="s">
        <v>243</v>
      </c>
      <c r="AH178" s="683" t="s">
        <v>220</v>
      </c>
      <c r="AI178" s="683" t="s">
        <v>33</v>
      </c>
      <c r="AJ178" s="683">
        <v>3004346816</v>
      </c>
      <c r="AK178" s="683" t="s">
        <v>33</v>
      </c>
      <c r="AL178" s="683"/>
      <c r="AM178" s="683" t="s">
        <v>1094</v>
      </c>
      <c r="AN178" s="683" t="s">
        <v>1122</v>
      </c>
      <c r="AO178" s="683" t="s">
        <v>247</v>
      </c>
      <c r="AP178" s="683" t="s">
        <v>240</v>
      </c>
      <c r="AQ178" s="688" t="str">
        <f>CONCATENATE("REG-",BDEGENER[[#This Row],[FECHA DE SERVICIO]],"-",BDEGENER[[#This Row],[SERIE]],"-",BDEGENER[[#This Row],[HORAS]])</f>
        <v>REG-44102-3004327722-1672,5</v>
      </c>
      <c r="AR178" s="683" t="str">
        <f>CONCATENATE("MARCA: ",BDEGENER[[#This Row],[MARCA]],"
 MODELO: ",BDEGENER[[#This Row],[MODELO]])</f>
        <v>MARCA: GENERAC
 MODELO: PG090</v>
      </c>
      <c r="AS178" s="683" t="str">
        <f>CONCATENATE("MARCA: ",BDEGENER[[#This Row],[MARCA DE MOTOR]],"
SERIE: ",BDEGENER[[#This Row],[SERIE DE MOTOR]])</f>
        <v>MARCA: GENERAC
SERIE: 3004346816</v>
      </c>
      <c r="AT178" s="683" t="str">
        <f>CONCATENATE("MARCA: ",BDEGENER[[#This Row],[MARCA ALTERNADOR ]],"
SERIE: ",BDEGENER[[#This Row],[SERIE DE ALTERNADOR]])</f>
        <v xml:space="preserve">MARCA: GENERAC
SERIE: </v>
      </c>
      <c r="AU178" s="683" t="str">
        <f>CONCATENATE("HORAS: ",BDEGENER[[#This Row],[HORAS]],"
KW-HR: ",BDEGENER[[#This Row],[KW-HORA]],"
VOLT.BATERIA: ",BDEGENER[[#This Row],[VOLTAJE DE BATERIA]],"
TEMPERATURA: ",BDEGENER[[#This Row],[TEMPERATURA DE AGUA]],"
PRES. ACEITE: ",BDEGENER[[#This Row],[PRESION DE ACEITE]])</f>
        <v>HORAS: 1672,5
KW-HR: 43467,2
VOLT.BATERIA: 13.5 V
TEMPERATURA: 195 °F
PRES. ACEITE: 55 PSI</v>
      </c>
      <c r="AV178" s="761">
        <f>COUNTIFS(Q178:Q2178,"MANTENIMIENTO CORRECTIVO",Y178:Y2178,BDEGENER[[#This Row],[SERIE]])</f>
        <v>1</v>
      </c>
      <c r="AW178" s="761">
        <f>COUNTIFS(Q178:Q2178,"MANTENIMIENTO PREVENTIVO",Y178:Y2178,BDEGENER[[#This Row],[SERIE]])</f>
        <v>7</v>
      </c>
      <c r="AX17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78" s="683">
        <f>COUNTIFS(BDEGENER[SERIE],BDEGENER[[#This Row],[SERIE]],BDEGENER[TIPO DE SERVICIO],"MANTENIMIENTO PREVENTIVO")</f>
        <v>8</v>
      </c>
      <c r="AZ178" s="683" t="str">
        <f>CONCATENATE("MANTENIMIENTO PREVENTIVO N°",BDEGENER[[#This Row],[GA1]])</f>
        <v>MANTENIMIENTO PREVENTIVO N°8</v>
      </c>
      <c r="BA178" s="683" t="str">
        <f>IF(BDEGENER[[#This Row],[SERVICIO]]=BDEGENER[[#This Row],[GA2]],BDEGENER[[#This Row],[HORAS]],"0")</f>
        <v>0</v>
      </c>
      <c r="BB178" s="683">
        <f>SUMIF(BDEGENER[SERIE],BDEGENER[[#This Row],[SERIE]],BDEGENER[GA3])</f>
        <v>2102.5</v>
      </c>
      <c r="BC178" s="761" t="str">
        <f>CONCATENATE("MANT",COUNTIF($Y$7:Y178,Y178))</f>
        <v>MANT2</v>
      </c>
      <c r="BD178" s="683" t="str">
        <f>CONCATENATE(BDEGENER[[#This Row],[SERIE]],BDEGENER[[#This Row],[GA5]])</f>
        <v>3004327722MANT2</v>
      </c>
      <c r="BE178" s="683" t="str">
        <f>CONCATENATE(BDEGENER[[#This Row],[CODIGO PATRIMONIAL]],BDEGENER[[#This Row],[GA5]])</f>
        <v>MANT2</v>
      </c>
      <c r="BF178" s="683">
        <f>COUNTIF(BDEGENER[SERIE],BDEGENER[[#This Row],[SERIE]])</f>
        <v>10</v>
      </c>
      <c r="BG178" s="761" t="str">
        <f>CONCATENATE("F",COUNTIF($K$7:K178,K178))</f>
        <v>F4</v>
      </c>
      <c r="BH178" s="683" t="str">
        <f>CONCATENATE(BDEGENER[[#This Row],[FECHA DE SERVICIO]],BDEGENER[[#This Row],[N° DE REGISTROS DEL DIA]])</f>
        <v>44102F4</v>
      </c>
      <c r="BI178" s="684">
        <v>43467.199999999997</v>
      </c>
      <c r="BJ178" s="683" t="s">
        <v>1544</v>
      </c>
      <c r="BK178" s="762" t="s">
        <v>239</v>
      </c>
    </row>
    <row r="179" spans="2:63" ht="69" hidden="1" x14ac:dyDescent="0.3">
      <c r="B179" s="2"/>
      <c r="C179" s="2"/>
      <c r="D179" s="2"/>
      <c r="E179" s="2"/>
      <c r="F179" s="2"/>
      <c r="G179" s="2"/>
      <c r="H179" s="2"/>
      <c r="I179" s="2"/>
      <c r="J179" s="685"/>
      <c r="K179" s="682">
        <v>44102</v>
      </c>
      <c r="L179" s="683" t="s">
        <v>181</v>
      </c>
      <c r="M179" s="683" t="s">
        <v>186</v>
      </c>
      <c r="N179" s="683" t="s">
        <v>1982</v>
      </c>
      <c r="O179" s="683">
        <v>4500853877</v>
      </c>
      <c r="P179" s="688" t="s">
        <v>3392</v>
      </c>
      <c r="Q179" s="683" t="s">
        <v>37</v>
      </c>
      <c r="R179" s="683" t="s">
        <v>1782</v>
      </c>
      <c r="S179" s="686" t="s">
        <v>3394</v>
      </c>
      <c r="T179" s="683" t="s">
        <v>3395</v>
      </c>
      <c r="U179" s="683" t="s">
        <v>3178</v>
      </c>
      <c r="V179" s="683" t="s">
        <v>148</v>
      </c>
      <c r="W179" s="683" t="s">
        <v>914</v>
      </c>
      <c r="X179" s="691" t="s">
        <v>918</v>
      </c>
      <c r="Y179" s="687">
        <v>3004327721</v>
      </c>
      <c r="Z179" s="692"/>
      <c r="AA179" s="683" t="s">
        <v>33</v>
      </c>
      <c r="AB179" s="683" t="s">
        <v>34</v>
      </c>
      <c r="AC179" s="683" t="s">
        <v>230</v>
      </c>
      <c r="AD179" s="683" t="s">
        <v>1110</v>
      </c>
      <c r="AE179" s="683">
        <v>60</v>
      </c>
      <c r="AF179" s="684">
        <v>2098.4</v>
      </c>
      <c r="AG179" s="683" t="s">
        <v>243</v>
      </c>
      <c r="AH179" s="683" t="s">
        <v>244</v>
      </c>
      <c r="AI179" s="683" t="s">
        <v>33</v>
      </c>
      <c r="AJ179" s="683">
        <v>3004346806</v>
      </c>
      <c r="AK179" s="683" t="s">
        <v>33</v>
      </c>
      <c r="AL179" s="683"/>
      <c r="AM179" s="683" t="s">
        <v>3237</v>
      </c>
      <c r="AN179" s="683" t="s">
        <v>1423</v>
      </c>
      <c r="AO179" s="683" t="s">
        <v>1318</v>
      </c>
      <c r="AP179" s="683" t="s">
        <v>240</v>
      </c>
      <c r="AQ179" s="688" t="str">
        <f>CONCATENATE("REG-",BDEGENER[[#This Row],[FECHA DE SERVICIO]],"-",BDEGENER[[#This Row],[SERIE]],"-",BDEGENER[[#This Row],[HORAS]])</f>
        <v>REG-44102-3004327721-2098,4</v>
      </c>
      <c r="AR179" s="683" t="str">
        <f>CONCATENATE("MARCA: ",BDEGENER[[#This Row],[MARCA]],"
 MODELO: ",BDEGENER[[#This Row],[MODELO]])</f>
        <v>MARCA: GENERAC
 MODELO: PG090</v>
      </c>
      <c r="AS179" s="683" t="str">
        <f>CONCATENATE("MARCA: ",BDEGENER[[#This Row],[MARCA DE MOTOR]],"
SERIE: ",BDEGENER[[#This Row],[SERIE DE MOTOR]])</f>
        <v>MARCA: GENERAC
SERIE: 3004346806</v>
      </c>
      <c r="AT179" s="683" t="str">
        <f>CONCATENATE("MARCA: ",BDEGENER[[#This Row],[MARCA ALTERNADOR ]],"
SERIE: ",BDEGENER[[#This Row],[SERIE DE ALTERNADOR]])</f>
        <v xml:space="preserve">MARCA: GENERAC
SERIE: </v>
      </c>
      <c r="AU179" s="683" t="str">
        <f>CONCATENATE("HORAS: ",BDEGENER[[#This Row],[HORAS]],"
KW-HR: ",BDEGENER[[#This Row],[KW-HORA]],"
VOLT.BATERIA: ",BDEGENER[[#This Row],[VOLTAJE DE BATERIA]],"
TEMPERATURA: ",BDEGENER[[#This Row],[TEMPERATURA DE AGUA]],"
PRES. ACEITE: ",BDEGENER[[#This Row],[PRESION DE ACEITE]])</f>
        <v>HORAS: 2098,4
KW-HR: 53625,3
VOLT.BATERIA: 14.0 V
TEMPERATURA: 190 °F
PRES. ACEITE: 58 PSI</v>
      </c>
      <c r="AV179" s="683">
        <f>COUNTIFS(Q179:Q2179,"MANTENIMIENTO CORRECTIVO",Y179:Y2179,BDEGENER[[#This Row],[SERIE]])</f>
        <v>1</v>
      </c>
      <c r="AW179" s="683">
        <f>COUNTIFS(Q179:Q2179,"MANTENIMIENTO PREVENTIVO",Y179:Y2179,BDEGENER[[#This Row],[SERIE]])</f>
        <v>7</v>
      </c>
      <c r="AX17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79" s="683">
        <f>COUNTIFS(BDEGENER[SERIE],BDEGENER[[#This Row],[SERIE]],BDEGENER[TIPO DE SERVICIO],"MANTENIMIENTO PREVENTIVO")</f>
        <v>7</v>
      </c>
      <c r="AZ179" s="683" t="str">
        <f>CONCATENATE("MANTENIMIENTO PREVENTIVO N°",BDEGENER[[#This Row],[GA1]])</f>
        <v>MANTENIMIENTO PREVENTIVO N°7</v>
      </c>
      <c r="BA179" s="683">
        <f>IF(BDEGENER[[#This Row],[SERVICIO]]=BDEGENER[[#This Row],[GA2]],BDEGENER[[#This Row],[HORAS]],"0")</f>
        <v>2098.4</v>
      </c>
      <c r="BB179" s="683">
        <f>SUMIF(BDEGENER[SERIE],BDEGENER[[#This Row],[SERIE]],BDEGENER[GA3])</f>
        <v>2098.4</v>
      </c>
      <c r="BC179" s="683" t="str">
        <f>CONCATENATE("MANT",COUNTIF($Y$7:Y179,Y179))</f>
        <v>MANT3</v>
      </c>
      <c r="BD179" s="683" t="str">
        <f>CONCATENATE(BDEGENER[[#This Row],[SERIE]],BDEGENER[[#This Row],[GA5]])</f>
        <v>3004327721MANT3</v>
      </c>
      <c r="BE179" s="683" t="str">
        <f>CONCATENATE(BDEGENER[[#This Row],[CODIGO PATRIMONIAL]],BDEGENER[[#This Row],[GA5]])</f>
        <v>MANT3</v>
      </c>
      <c r="BF179" s="683">
        <f>COUNTIF(BDEGENER[SERIE],BDEGENER[[#This Row],[SERIE]])</f>
        <v>11</v>
      </c>
      <c r="BG179" s="683" t="str">
        <f>CONCATENATE("F",COUNTIF($K$7:K179,K179))</f>
        <v>F5</v>
      </c>
      <c r="BH179" s="683" t="str">
        <f>CONCATENATE(BDEGENER[[#This Row],[FECHA DE SERVICIO]],BDEGENER[[#This Row],[N° DE REGISTROS DEL DIA]])</f>
        <v>44102F5</v>
      </c>
      <c r="BI179" s="684">
        <v>53625.3</v>
      </c>
      <c r="BJ179" s="683" t="s">
        <v>1544</v>
      </c>
      <c r="BK179" s="762" t="s">
        <v>3188</v>
      </c>
    </row>
    <row r="180" spans="2:63" ht="69" hidden="1" x14ac:dyDescent="0.3">
      <c r="B180" s="2"/>
      <c r="C180" s="2"/>
      <c r="D180" s="2"/>
      <c r="E180" s="2"/>
      <c r="F180" s="2"/>
      <c r="G180" s="2"/>
      <c r="H180" s="2"/>
      <c r="I180" s="2"/>
      <c r="J180" s="685"/>
      <c r="K180" s="682">
        <v>44102</v>
      </c>
      <c r="L180" s="683" t="s">
        <v>561</v>
      </c>
      <c r="M180" s="683" t="s">
        <v>588</v>
      </c>
      <c r="N180" s="683" t="s">
        <v>589</v>
      </c>
      <c r="O180" s="683"/>
      <c r="P180" s="688" t="s">
        <v>3382</v>
      </c>
      <c r="Q180" s="683" t="s">
        <v>37</v>
      </c>
      <c r="R180" s="683" t="s">
        <v>1782</v>
      </c>
      <c r="S180" s="686" t="s">
        <v>3380</v>
      </c>
      <c r="T180" s="683" t="s">
        <v>3381</v>
      </c>
      <c r="U180" s="683" t="s">
        <v>2404</v>
      </c>
      <c r="V180" s="683" t="s">
        <v>148</v>
      </c>
      <c r="W180" s="683" t="s">
        <v>914</v>
      </c>
      <c r="X180" s="691" t="s">
        <v>918</v>
      </c>
      <c r="Y180" s="687">
        <v>3003566699</v>
      </c>
      <c r="Z180" s="692" t="s">
        <v>2619</v>
      </c>
      <c r="AA180" s="683" t="s">
        <v>33</v>
      </c>
      <c r="AB180" s="683" t="s">
        <v>34</v>
      </c>
      <c r="AC180" s="683" t="s">
        <v>230</v>
      </c>
      <c r="AD180" s="683" t="s">
        <v>1087</v>
      </c>
      <c r="AE180" s="683">
        <v>60</v>
      </c>
      <c r="AF180" s="684">
        <v>7068.4</v>
      </c>
      <c r="AG180" s="683" t="s">
        <v>243</v>
      </c>
      <c r="AH180" s="683" t="s">
        <v>244</v>
      </c>
      <c r="AI180" s="683" t="s">
        <v>33</v>
      </c>
      <c r="AJ180" s="683">
        <v>3003412044</v>
      </c>
      <c r="AK180" s="683" t="s">
        <v>33</v>
      </c>
      <c r="AL180" s="683">
        <v>811745</v>
      </c>
      <c r="AM180" s="683" t="s">
        <v>1145</v>
      </c>
      <c r="AN180" s="683" t="s">
        <v>2118</v>
      </c>
      <c r="AO180" s="683" t="s">
        <v>1144</v>
      </c>
      <c r="AP180" s="683" t="s">
        <v>240</v>
      </c>
      <c r="AQ180" s="688" t="str">
        <f>CONCATENATE("REG-",BDEGENER[[#This Row],[FECHA DE SERVICIO]],"-",BDEGENER[[#This Row],[SERIE]],"-",BDEGENER[[#This Row],[HORAS]])</f>
        <v>REG-44102-3003566699-7068,4</v>
      </c>
      <c r="AR180" s="683" t="str">
        <f>CONCATENATE("MARCA: ",BDEGENER[[#This Row],[MARCA]],"
 MODELO: ",BDEGENER[[#This Row],[MODELO]])</f>
        <v>MARCA: GENERAC
 MODELO: PG090</v>
      </c>
      <c r="AS180" s="683" t="str">
        <f>CONCATENATE("MARCA: ",BDEGENER[[#This Row],[MARCA DE MOTOR]],"
SERIE: ",BDEGENER[[#This Row],[SERIE DE MOTOR]])</f>
        <v>MARCA: GENERAC
SERIE: 3003412044</v>
      </c>
      <c r="AT180" s="683" t="str">
        <f>CONCATENATE("MARCA: ",BDEGENER[[#This Row],[MARCA ALTERNADOR ]],"
SERIE: ",BDEGENER[[#This Row],[SERIE DE ALTERNADOR]])</f>
        <v>MARCA: GENERAC
SERIE: 811745</v>
      </c>
      <c r="AU180" s="683" t="str">
        <f>CONCATENATE("HORAS: ",BDEGENER[[#This Row],[HORAS]],"
KW-HR: ",BDEGENER[[#This Row],[KW-HORA]],"
VOLT.BATERIA: ",BDEGENER[[#This Row],[VOLTAJE DE BATERIA]],"
TEMPERATURA: ",BDEGENER[[#This Row],[TEMPERATURA DE AGUA]],"
PRES. ACEITE: ",BDEGENER[[#This Row],[PRESION DE ACEITE]])</f>
        <v>HORAS: 7068,4
KW-HR: 170017,4
VOLT.BATERIA: 13.4 V
TEMPERATURA: 192 °F
PRES. ACEITE: 59 PSI</v>
      </c>
      <c r="AV180" s="683">
        <f>COUNTIFS(Q180:Q2180,"MANTENIMIENTO CORRECTIVO",Y180:Y2180,BDEGENER[[#This Row],[SERIE]])</f>
        <v>4</v>
      </c>
      <c r="AW180" s="683">
        <f>COUNTIFS(Q180:Q2180,"MANTENIMIENTO PREVENTIVO",Y180:Y2180,BDEGENER[[#This Row],[SERIE]])</f>
        <v>8</v>
      </c>
      <c r="AX18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80" s="683">
        <f>COUNTIFS(BDEGENER[SERIE],BDEGENER[[#This Row],[SERIE]],BDEGENER[TIPO DE SERVICIO],"MANTENIMIENTO PREVENTIVO")</f>
        <v>12</v>
      </c>
      <c r="AZ180" s="683" t="str">
        <f>CONCATENATE("MANTENIMIENTO PREVENTIVO N°",BDEGENER[[#This Row],[GA1]])</f>
        <v>MANTENIMIENTO PREVENTIVO N°12</v>
      </c>
      <c r="BA180" s="683" t="str">
        <f>IF(BDEGENER[[#This Row],[SERVICIO]]=BDEGENER[[#This Row],[GA2]],BDEGENER[[#This Row],[HORAS]],"0")</f>
        <v>0</v>
      </c>
      <c r="BB180" s="683">
        <f>SUMIF(BDEGENER[SERIE],BDEGENER[[#This Row],[SERIE]],BDEGENER[GA3])</f>
        <v>8154.7</v>
      </c>
      <c r="BC180" s="683" t="str">
        <f>CONCATENATE("MANT",COUNTIF($Y$7:Y180,Y180))</f>
        <v>MANT5</v>
      </c>
      <c r="BD180" s="683" t="str">
        <f>CONCATENATE(BDEGENER[[#This Row],[SERIE]],BDEGENER[[#This Row],[GA5]])</f>
        <v>3003566699MANT5</v>
      </c>
      <c r="BE180" s="683" t="str">
        <f>CONCATENATE(BDEGENER[[#This Row],[CODIGO PATRIMONIAL]],BDEGENER[[#This Row],[GA5]])</f>
        <v>NOR-GEG-0021MANT5</v>
      </c>
      <c r="BF180" s="683">
        <f>COUNTIF(BDEGENER[SERIE],BDEGENER[[#This Row],[SERIE]])</f>
        <v>17</v>
      </c>
      <c r="BG180" s="683" t="str">
        <f>CONCATENATE("F",COUNTIF($K$7:K180,K180))</f>
        <v>F6</v>
      </c>
      <c r="BH180" s="683" t="str">
        <f>CONCATENATE(BDEGENER[[#This Row],[FECHA DE SERVICIO]],BDEGENER[[#This Row],[N° DE REGISTROS DEL DIA]])</f>
        <v>44102F6</v>
      </c>
      <c r="BI180" s="684">
        <v>170017.4</v>
      </c>
      <c r="BJ180" s="683" t="s">
        <v>1544</v>
      </c>
      <c r="BK180" s="762" t="s">
        <v>2548</v>
      </c>
    </row>
    <row r="181" spans="2:63" ht="69" hidden="1" x14ac:dyDescent="0.3">
      <c r="B181" s="2"/>
      <c r="C181" s="2"/>
      <c r="D181" s="2"/>
      <c r="E181" s="2"/>
      <c r="F181" s="2"/>
      <c r="G181" s="2"/>
      <c r="H181" s="2"/>
      <c r="I181" s="2"/>
      <c r="J181" s="685"/>
      <c r="K181" s="682">
        <v>44100</v>
      </c>
      <c r="L181" s="683" t="s">
        <v>181</v>
      </c>
      <c r="M181" s="683" t="s">
        <v>1388</v>
      </c>
      <c r="N181" s="683" t="s">
        <v>1538</v>
      </c>
      <c r="O181" s="683">
        <v>4500816138</v>
      </c>
      <c r="P181" s="688" t="s">
        <v>3409</v>
      </c>
      <c r="Q181" s="683" t="s">
        <v>37</v>
      </c>
      <c r="R181" s="683" t="s">
        <v>1782</v>
      </c>
      <c r="S181" s="686" t="s">
        <v>3410</v>
      </c>
      <c r="T181" s="683" t="s">
        <v>2870</v>
      </c>
      <c r="U181" s="683" t="s">
        <v>3411</v>
      </c>
      <c r="V181" s="683" t="s">
        <v>148</v>
      </c>
      <c r="W181" s="683" t="s">
        <v>914</v>
      </c>
      <c r="X181" s="691" t="s">
        <v>918</v>
      </c>
      <c r="Y181" s="687">
        <v>3004428523</v>
      </c>
      <c r="Z181" s="692"/>
      <c r="AA181" s="683" t="s">
        <v>33</v>
      </c>
      <c r="AB181" s="683" t="s">
        <v>34</v>
      </c>
      <c r="AC181" s="683" t="s">
        <v>230</v>
      </c>
      <c r="AD181" s="683" t="s">
        <v>1087</v>
      </c>
      <c r="AE181" s="683">
        <v>60</v>
      </c>
      <c r="AF181" s="684">
        <v>2214.6999999999998</v>
      </c>
      <c r="AG181" s="683" t="s">
        <v>243</v>
      </c>
      <c r="AH181" s="683" t="s">
        <v>220</v>
      </c>
      <c r="AI181" s="683" t="s">
        <v>33</v>
      </c>
      <c r="AJ181" s="683">
        <v>3004426215</v>
      </c>
      <c r="AK181" s="683" t="s">
        <v>33</v>
      </c>
      <c r="AL181" s="683">
        <v>106301030</v>
      </c>
      <c r="AM181" s="683" t="s">
        <v>1121</v>
      </c>
      <c r="AN181" s="683" t="s">
        <v>1122</v>
      </c>
      <c r="AO181" s="683" t="s">
        <v>1090</v>
      </c>
      <c r="AP181" s="683" t="s">
        <v>240</v>
      </c>
      <c r="AQ181" s="769" t="str">
        <f>CONCATENATE("REG-",BDEGENER[[#This Row],[FECHA DE SERVICIO]],"-",BDEGENER[[#This Row],[SERIE]],"-",BDEGENER[[#This Row],[HORAS]])</f>
        <v>REG-44100-3004428523-2214,7</v>
      </c>
      <c r="AR181" s="683" t="str">
        <f>CONCATENATE("MARCA: ",BDEGENER[[#This Row],[MARCA]],"
 MODELO: ",BDEGENER[[#This Row],[MODELO]])</f>
        <v>MARCA: GENERAC
 MODELO: PG090</v>
      </c>
      <c r="AS181" s="683" t="str">
        <f>CONCATENATE("MARCA: ",BDEGENER[[#This Row],[MARCA DE MOTOR]],"
SERIE: ",BDEGENER[[#This Row],[SERIE DE MOTOR]])</f>
        <v>MARCA: GENERAC
SERIE: 3004426215</v>
      </c>
      <c r="AT181" s="683" t="str">
        <f>CONCATENATE("MARCA: ",BDEGENER[[#This Row],[MARCA ALTERNADOR ]],"
SERIE: ",BDEGENER[[#This Row],[SERIE DE ALTERNADOR]])</f>
        <v>MARCA: GENERAC
SERIE: 106301030</v>
      </c>
      <c r="AU181" s="683" t="str">
        <f>CONCATENATE("HORAS: ",BDEGENER[[#This Row],[HORAS]],"
KW-HR: ",BDEGENER[[#This Row],[KW-HORA]],"
VOLT.BATERIA: ",BDEGENER[[#This Row],[VOLTAJE DE BATERIA]],"
TEMPERATURA: ",BDEGENER[[#This Row],[TEMPERATURA DE AGUA]],"
PRES. ACEITE: ",BDEGENER[[#This Row],[PRESION DE ACEITE]])</f>
        <v>HORAS: 2214,7
KW-HR: 73073,2
VOLT.BATERIA: 13.7 V
TEMPERATURA: 195 °F
PRES. ACEITE: 69 PSI</v>
      </c>
      <c r="AV181" s="761">
        <f>COUNTIFS(Q181:Q2181,"MANTENIMIENTO CORRECTIVO",Y181:Y2181,BDEGENER[[#This Row],[SERIE]])</f>
        <v>2</v>
      </c>
      <c r="AW181" s="761">
        <f>COUNTIFS(Q181:Q2181,"MANTENIMIENTO PREVENTIVO",Y181:Y2181,BDEGENER[[#This Row],[SERIE]])</f>
        <v>8</v>
      </c>
      <c r="AX18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81" s="683">
        <f>COUNTIFS(BDEGENER[SERIE],BDEGENER[[#This Row],[SERIE]],BDEGENER[TIPO DE SERVICIO],"MANTENIMIENTO PREVENTIVO")</f>
        <v>9</v>
      </c>
      <c r="AZ181" s="683" t="str">
        <f>CONCATENATE("MANTENIMIENTO PREVENTIVO N°",BDEGENER[[#This Row],[GA1]])</f>
        <v>MANTENIMIENTO PREVENTIVO N°9</v>
      </c>
      <c r="BA181" s="683" t="str">
        <f>IF(BDEGENER[[#This Row],[SERVICIO]]=BDEGENER[[#This Row],[GA2]],BDEGENER[[#This Row],[HORAS]],"0")</f>
        <v>0</v>
      </c>
      <c r="BB181" s="683">
        <f>SUMIF(BDEGENER[SERIE],BDEGENER[[#This Row],[SERIE]],BDEGENER[GA3])</f>
        <v>2439.9</v>
      </c>
      <c r="BC181" s="761" t="str">
        <f>CONCATENATE("MANT",COUNTIF($Y$7:Y181,Y181))</f>
        <v>MANT2</v>
      </c>
      <c r="BD181" s="683" t="str">
        <f>CONCATENATE(BDEGENER[[#This Row],[SERIE]],BDEGENER[[#This Row],[GA5]])</f>
        <v>3004428523MANT2</v>
      </c>
      <c r="BE181" s="683" t="str">
        <f>CONCATENATE(BDEGENER[[#This Row],[CODIGO PATRIMONIAL]],BDEGENER[[#This Row],[GA5]])</f>
        <v>MANT2</v>
      </c>
      <c r="BF181" s="683">
        <f>COUNTIF(BDEGENER[SERIE],BDEGENER[[#This Row],[SERIE]])</f>
        <v>14</v>
      </c>
      <c r="BG181" s="761" t="str">
        <f>CONCATENATE("F",COUNTIF($K$7:K181,K181))</f>
        <v>F1</v>
      </c>
      <c r="BH181" s="683" t="str">
        <f>CONCATENATE(BDEGENER[[#This Row],[FECHA DE SERVICIO]],BDEGENER[[#This Row],[N° DE REGISTROS DEL DIA]])</f>
        <v>44100F1</v>
      </c>
      <c r="BI181" s="684">
        <v>73073.2</v>
      </c>
      <c r="BJ181" s="683" t="s">
        <v>1544</v>
      </c>
      <c r="BK181" s="762"/>
    </row>
    <row r="182" spans="2:63" ht="69" hidden="1" x14ac:dyDescent="0.3">
      <c r="B182" s="2"/>
      <c r="C182" s="2"/>
      <c r="D182" s="2"/>
      <c r="E182" s="2"/>
      <c r="F182" s="2"/>
      <c r="G182" s="2"/>
      <c r="H182" s="2"/>
      <c r="I182" s="2"/>
      <c r="J182" s="685"/>
      <c r="K182" s="682">
        <v>44097</v>
      </c>
      <c r="L182" s="683" t="s">
        <v>248</v>
      </c>
      <c r="M182" s="683" t="s">
        <v>1224</v>
      </c>
      <c r="N182" s="683" t="s">
        <v>1319</v>
      </c>
      <c r="O182" s="683"/>
      <c r="P182" s="688" t="s">
        <v>3412</v>
      </c>
      <c r="Q182" s="683" t="s">
        <v>37</v>
      </c>
      <c r="R182" s="683" t="s">
        <v>1782</v>
      </c>
      <c r="S182" s="686" t="s">
        <v>3413</v>
      </c>
      <c r="T182" s="683" t="s">
        <v>3414</v>
      </c>
      <c r="U182" s="683" t="s">
        <v>3415</v>
      </c>
      <c r="V182" s="683" t="s">
        <v>147</v>
      </c>
      <c r="W182" s="683" t="s">
        <v>914</v>
      </c>
      <c r="X182" s="691" t="s">
        <v>918</v>
      </c>
      <c r="Y182" s="687">
        <v>3004999911</v>
      </c>
      <c r="Z182" s="692">
        <v>24543</v>
      </c>
      <c r="AA182" s="683" t="s">
        <v>33</v>
      </c>
      <c r="AB182" s="683" t="s">
        <v>1728</v>
      </c>
      <c r="AC182" s="683" t="s">
        <v>528</v>
      </c>
      <c r="AD182" s="683" t="s">
        <v>1123</v>
      </c>
      <c r="AE182" s="683">
        <v>60</v>
      </c>
      <c r="AF182" s="684">
        <v>2632.3</v>
      </c>
      <c r="AG182" s="683" t="s">
        <v>243</v>
      </c>
      <c r="AH182" s="683" t="s">
        <v>220</v>
      </c>
      <c r="AI182" s="683" t="s">
        <v>1495</v>
      </c>
      <c r="AJ182" s="683" t="s">
        <v>1496</v>
      </c>
      <c r="AK182" s="683" t="s">
        <v>33</v>
      </c>
      <c r="AL182" s="683">
        <v>139546230</v>
      </c>
      <c r="AM182" s="683" t="s">
        <v>1121</v>
      </c>
      <c r="AN182" s="683" t="s">
        <v>2118</v>
      </c>
      <c r="AO182" s="683" t="s">
        <v>1381</v>
      </c>
      <c r="AP182" s="683" t="s">
        <v>240</v>
      </c>
      <c r="AQ182" s="688" t="str">
        <f>CONCATENATE("REG-",BDEGENER[[#This Row],[FECHA DE SERVICIO]],"-",BDEGENER[[#This Row],[SERIE]],"-",BDEGENER[[#This Row],[HORAS]])</f>
        <v>REG-44097-3004999911-2632,3</v>
      </c>
      <c r="AR182" s="683" t="str">
        <f>CONCATENATE("MARCA: ",BDEGENER[[#This Row],[MARCA]],"
 MODELO: ",BDEGENER[[#This Row],[MODELO]])</f>
        <v>MARCA: GENERAC
 MODELO: PG054</v>
      </c>
      <c r="AS182" s="683" t="str">
        <f>CONCATENATE("MARCA: ",BDEGENER[[#This Row],[MARCA DE MOTOR]],"
SERIE: ",BDEGENER[[#This Row],[SERIE DE MOTOR]])</f>
        <v>MARCA: FORD
SERIE: GP680AA</v>
      </c>
      <c r="AT182" s="683" t="str">
        <f>CONCATENATE("MARCA: ",BDEGENER[[#This Row],[MARCA ALTERNADOR ]],"
SERIE: ",BDEGENER[[#This Row],[SERIE DE ALTERNADOR]])</f>
        <v>MARCA: GENERAC
SERIE: 139546230</v>
      </c>
      <c r="AU182" s="683" t="str">
        <f>CONCATENATE("HORAS: ",BDEGENER[[#This Row],[HORAS]],"
KW-HR: ",BDEGENER[[#This Row],[KW-HORA]],"
VOLT.BATERIA: ",BDEGENER[[#This Row],[VOLTAJE DE BATERIA]],"
TEMPERATURA: ",BDEGENER[[#This Row],[TEMPERATURA DE AGUA]],"
PRES. ACEITE: ",BDEGENER[[#This Row],[PRESION DE ACEITE]])</f>
        <v>HORAS: 2632,3
KW-HR: 64931,8
VOLT.BATERIA: 13.7 V
TEMPERATURA: 192 °F
PRES. ACEITE: 66 PSI</v>
      </c>
      <c r="AV182" s="683">
        <f>COUNTIFS(Q182:Q2182,"MANTENIMIENTO CORRECTIVO",Y182:Y2182,BDEGENER[[#This Row],[SERIE]])</f>
        <v>0</v>
      </c>
      <c r="AW182" s="683">
        <f>COUNTIFS(Q182:Q2182,"MANTENIMIENTO PREVENTIVO",Y182:Y2182,BDEGENER[[#This Row],[SERIE]])</f>
        <v>8</v>
      </c>
      <c r="AX18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82" s="683">
        <f>COUNTIFS(BDEGENER[SERIE],BDEGENER[[#This Row],[SERIE]],BDEGENER[TIPO DE SERVICIO],"MANTENIMIENTO PREVENTIVO")</f>
        <v>12</v>
      </c>
      <c r="AZ182" s="683" t="str">
        <f>CONCATENATE("MANTENIMIENTO PREVENTIVO N°",BDEGENER[[#This Row],[GA1]])</f>
        <v>MANTENIMIENTO PREVENTIVO N°12</v>
      </c>
      <c r="BA182" s="683" t="str">
        <f>IF(BDEGENER[[#This Row],[SERVICIO]]=BDEGENER[[#This Row],[GA2]],BDEGENER[[#This Row],[HORAS]],"0")</f>
        <v>0</v>
      </c>
      <c r="BB182" s="683">
        <f>SUMIF(BDEGENER[SERIE],BDEGENER[[#This Row],[SERIE]],BDEGENER[GA3])</f>
        <v>3510.8</v>
      </c>
      <c r="BC182" s="683" t="str">
        <f>CONCATENATE("MANT",COUNTIF($Y$7:Y182,Y182))</f>
        <v>MANT5</v>
      </c>
      <c r="BD182" s="683" t="str">
        <f>CONCATENATE(BDEGENER[[#This Row],[SERIE]],BDEGENER[[#This Row],[GA5]])</f>
        <v>3004999911MANT5</v>
      </c>
      <c r="BE182" s="683" t="str">
        <f>CONCATENATE(BDEGENER[[#This Row],[CODIGO PATRIMONIAL]],BDEGENER[[#This Row],[GA5]])</f>
        <v>24543MANT5</v>
      </c>
      <c r="BF182" s="683">
        <f>COUNTIF(BDEGENER[SERIE],BDEGENER[[#This Row],[SERIE]])</f>
        <v>14</v>
      </c>
      <c r="BG182" s="683" t="str">
        <f>CONCATENATE("F",COUNTIF($K$7:K182,K182))</f>
        <v>F1</v>
      </c>
      <c r="BH182" s="683" t="str">
        <f>CONCATENATE(BDEGENER[[#This Row],[FECHA DE SERVICIO]],BDEGENER[[#This Row],[N° DE REGISTROS DEL DIA]])</f>
        <v>44097F1</v>
      </c>
      <c r="BI182" s="684">
        <v>64931.8</v>
      </c>
      <c r="BJ182" s="683" t="s">
        <v>1544</v>
      </c>
      <c r="BK182" s="762" t="s">
        <v>2261</v>
      </c>
    </row>
    <row r="183" spans="2:63" ht="69" hidden="1" x14ac:dyDescent="0.3">
      <c r="B183" s="2"/>
      <c r="C183" s="2"/>
      <c r="D183" s="2"/>
      <c r="E183" s="2"/>
      <c r="F183" s="2"/>
      <c r="G183" s="2"/>
      <c r="H183" s="2"/>
      <c r="I183" s="2"/>
      <c r="J183" s="685"/>
      <c r="K183" s="682">
        <v>44097</v>
      </c>
      <c r="L183" s="683" t="s">
        <v>248</v>
      </c>
      <c r="M183" s="683" t="s">
        <v>2078</v>
      </c>
      <c r="N183" s="683" t="s">
        <v>1319</v>
      </c>
      <c r="O183" s="683"/>
      <c r="P183" s="683"/>
      <c r="Q183" s="683" t="s">
        <v>107</v>
      </c>
      <c r="R183" s="683" t="s">
        <v>1782</v>
      </c>
      <c r="S183" s="686" t="s">
        <v>3352</v>
      </c>
      <c r="T183" s="683" t="s">
        <v>3354</v>
      </c>
      <c r="U183" s="683" t="s">
        <v>3353</v>
      </c>
      <c r="V183" s="683" t="s">
        <v>147</v>
      </c>
      <c r="W183" s="683" t="s">
        <v>914</v>
      </c>
      <c r="X183" s="691" t="s">
        <v>918</v>
      </c>
      <c r="Y183" s="687">
        <v>3005005010</v>
      </c>
      <c r="Z183" s="692">
        <v>24547</v>
      </c>
      <c r="AA183" s="683" t="s">
        <v>33</v>
      </c>
      <c r="AB183" s="683" t="s">
        <v>34</v>
      </c>
      <c r="AC183" s="683" t="s">
        <v>230</v>
      </c>
      <c r="AD183" s="683" t="s">
        <v>1123</v>
      </c>
      <c r="AE183" s="683">
        <v>60</v>
      </c>
      <c r="AF183" s="684">
        <v>2239.1</v>
      </c>
      <c r="AG183" s="683" t="s">
        <v>243</v>
      </c>
      <c r="AH183" s="683" t="s">
        <v>220</v>
      </c>
      <c r="AI183" s="683" t="s">
        <v>33</v>
      </c>
      <c r="AJ183" s="683">
        <v>3005065416</v>
      </c>
      <c r="AK183" s="683" t="s">
        <v>33</v>
      </c>
      <c r="AL183" s="683">
        <v>139546230</v>
      </c>
      <c r="AM183" s="683" t="s">
        <v>1121</v>
      </c>
      <c r="AN183" s="683" t="s">
        <v>1369</v>
      </c>
      <c r="AO183" s="683" t="s">
        <v>1144</v>
      </c>
      <c r="AP183" s="683" t="s">
        <v>557</v>
      </c>
      <c r="AQ183" s="688" t="str">
        <f>CONCATENATE("REG-",BDEGENER[[#This Row],[FECHA DE SERVICIO]],"-",BDEGENER[[#This Row],[SERIE]],"-",BDEGENER[[#This Row],[HORAS]])</f>
        <v>REG-44097-3005005010-2239,1</v>
      </c>
      <c r="AR183" s="683" t="str">
        <f>CONCATENATE("MARCA: ",BDEGENER[[#This Row],[MARCA]],"
 MODELO: ",BDEGENER[[#This Row],[MODELO]])</f>
        <v>MARCA: GENERAC
 MODELO: PG090</v>
      </c>
      <c r="AS183" s="683" t="str">
        <f>CONCATENATE("MARCA: ",BDEGENER[[#This Row],[MARCA DE MOTOR]],"
SERIE: ",BDEGENER[[#This Row],[SERIE DE MOTOR]])</f>
        <v>MARCA: GENERAC
SERIE: 3005065416</v>
      </c>
      <c r="AT183" s="683" t="str">
        <f>CONCATENATE("MARCA: ",BDEGENER[[#This Row],[MARCA ALTERNADOR ]],"
SERIE: ",BDEGENER[[#This Row],[SERIE DE ALTERNADOR]])</f>
        <v>MARCA: GENERAC
SERIE: 139546230</v>
      </c>
      <c r="AU183" s="683" t="str">
        <f>CONCATENATE("HORAS: ",BDEGENER[[#This Row],[HORAS]],"
KW-HR: ",BDEGENER[[#This Row],[KW-HORA]],"
VOLT.BATERIA: ",BDEGENER[[#This Row],[VOLTAJE DE BATERIA]],"
TEMPERATURA: ",BDEGENER[[#This Row],[TEMPERATURA DE AGUA]],"
PRES. ACEITE: ",BDEGENER[[#This Row],[PRESION DE ACEITE]])</f>
        <v>HORAS: 2239,1
KW-HR: 72277,8
VOLT.BATERIA: 13.7 V
TEMPERATURA: 120 °F
PRES. ACEITE: 59 PSI</v>
      </c>
      <c r="AV183" s="683">
        <f>COUNTIFS(Q183:Q2183,"MANTENIMIENTO CORRECTIVO",Y183:Y2183,BDEGENER[[#This Row],[SERIE]])</f>
        <v>1</v>
      </c>
      <c r="AW183" s="683">
        <f>COUNTIFS(Q183:Q2183,"MANTENIMIENTO PREVENTIVO",Y183:Y2183,BDEGENER[[#This Row],[SERIE]])</f>
        <v>7</v>
      </c>
      <c r="AX18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83" s="683">
        <f>COUNTIFS(BDEGENER[SERIE],BDEGENER[[#This Row],[SERIE]],BDEGENER[TIPO DE SERVICIO],"MANTENIMIENTO PREVENTIVO")</f>
        <v>9</v>
      </c>
      <c r="AZ183" s="683" t="str">
        <f>CONCATENATE("MANTENIMIENTO PREVENTIVO N°",BDEGENER[[#This Row],[GA1]])</f>
        <v>MANTENIMIENTO PREVENTIVO N°9</v>
      </c>
      <c r="BA183" s="683" t="str">
        <f>IF(BDEGENER[[#This Row],[SERVICIO]]=BDEGENER[[#This Row],[GA2]],BDEGENER[[#This Row],[HORAS]],"0")</f>
        <v>0</v>
      </c>
      <c r="BB183" s="683">
        <f>SUMIF(BDEGENER[SERIE],BDEGENER[[#This Row],[SERIE]],BDEGENER[GA3])</f>
        <v>2557.3000000000002</v>
      </c>
      <c r="BC183" s="683" t="str">
        <f>CONCATENATE("MANT",COUNTIF($Y$7:Y183,Y183))</f>
        <v>MANT4</v>
      </c>
      <c r="BD183" s="683" t="str">
        <f>CONCATENATE(BDEGENER[[#This Row],[SERIE]],BDEGENER[[#This Row],[GA5]])</f>
        <v>3005005010MANT4</v>
      </c>
      <c r="BE183" s="683" t="str">
        <f>CONCATENATE(BDEGENER[[#This Row],[CODIGO PATRIMONIAL]],BDEGENER[[#This Row],[GA5]])</f>
        <v>24547MANT4</v>
      </c>
      <c r="BF183" s="683">
        <f>COUNTIF(BDEGENER[SERIE],BDEGENER[[#This Row],[SERIE]])</f>
        <v>14</v>
      </c>
      <c r="BG183" s="683" t="str">
        <f>CONCATENATE("F",COUNTIF($K$7:K183,K183))</f>
        <v>F2</v>
      </c>
      <c r="BH183" s="683" t="str">
        <f>CONCATENATE(BDEGENER[[#This Row],[FECHA DE SERVICIO]],BDEGENER[[#This Row],[N° DE REGISTROS DEL DIA]])</f>
        <v>44097F2</v>
      </c>
      <c r="BI183" s="684">
        <v>72277.8</v>
      </c>
      <c r="BJ183" s="683" t="s">
        <v>1544</v>
      </c>
      <c r="BK183" s="762"/>
    </row>
    <row r="184" spans="2:63" ht="69" hidden="1" x14ac:dyDescent="0.3">
      <c r="B184" s="2"/>
      <c r="C184" s="2"/>
      <c r="D184" s="2"/>
      <c r="E184" s="2"/>
      <c r="F184" s="2"/>
      <c r="G184" s="2"/>
      <c r="H184" s="2"/>
      <c r="I184" s="2"/>
      <c r="J184" s="685"/>
      <c r="K184" s="682">
        <v>44097</v>
      </c>
      <c r="L184" s="683" t="s">
        <v>561</v>
      </c>
      <c r="M184" s="683" t="s">
        <v>2450</v>
      </c>
      <c r="N184" s="683" t="s">
        <v>584</v>
      </c>
      <c r="O184" s="683"/>
      <c r="P184" s="688" t="s">
        <v>3344</v>
      </c>
      <c r="Q184" s="683" t="s">
        <v>37</v>
      </c>
      <c r="R184" s="683" t="s">
        <v>1782</v>
      </c>
      <c r="S184" s="686" t="s">
        <v>3347</v>
      </c>
      <c r="T184" s="683" t="s">
        <v>3345</v>
      </c>
      <c r="U184" s="683" t="s">
        <v>3346</v>
      </c>
      <c r="V184" s="683" t="s">
        <v>147</v>
      </c>
      <c r="W184" s="683" t="s">
        <v>913</v>
      </c>
      <c r="X184" s="691" t="s">
        <v>918</v>
      </c>
      <c r="Y184" s="687">
        <v>3003987064</v>
      </c>
      <c r="Z184" s="692" t="s">
        <v>2614</v>
      </c>
      <c r="AA184" s="683" t="s">
        <v>33</v>
      </c>
      <c r="AB184" s="683" t="s">
        <v>217</v>
      </c>
      <c r="AC184" s="683" t="s">
        <v>749</v>
      </c>
      <c r="AD184" s="683" t="s">
        <v>1123</v>
      </c>
      <c r="AE184" s="683">
        <v>60</v>
      </c>
      <c r="AF184" s="684">
        <v>5029</v>
      </c>
      <c r="AG184" s="683" t="s">
        <v>243</v>
      </c>
      <c r="AH184" s="683" t="s">
        <v>1803</v>
      </c>
      <c r="AI184" s="683" t="s">
        <v>2553</v>
      </c>
      <c r="AJ184" s="683"/>
      <c r="AK184" s="683" t="s">
        <v>33</v>
      </c>
      <c r="AL184" s="683"/>
      <c r="AM184" s="683" t="s">
        <v>1145</v>
      </c>
      <c r="AN184" s="683"/>
      <c r="AO184" s="683"/>
      <c r="AP184" s="683" t="s">
        <v>240</v>
      </c>
      <c r="AQ184" s="688" t="str">
        <f>CONCATENATE("REG-",BDEGENER[[#This Row],[FECHA DE SERVICIO]],"-",BDEGENER[[#This Row],[SERIE]],"-",BDEGENER[[#This Row],[HORAS]])</f>
        <v>REG-44097-3003987064-5029</v>
      </c>
      <c r="AR184" s="683" t="str">
        <f>CONCATENATE("MARCA: ",BDEGENER[[#This Row],[MARCA]],"
 MODELO: ",BDEGENER[[#This Row],[MODELO]])</f>
        <v>MARCA: GENERAC
 MODELO: RG022</v>
      </c>
      <c r="AS184" s="683" t="str">
        <f>CONCATENATE("MARCA: ",BDEGENER[[#This Row],[MARCA DE MOTOR]],"
SERIE: ",BDEGENER[[#This Row],[SERIE DE MOTOR]])</f>
        <v xml:space="preserve">MARCA: MITSUBISHI
SERIE: </v>
      </c>
      <c r="AT184" s="683" t="str">
        <f>CONCATENATE("MARCA: ",BDEGENER[[#This Row],[MARCA ALTERNADOR ]],"
SERIE: ",BDEGENER[[#This Row],[SERIE DE ALTERNADOR]])</f>
        <v xml:space="preserve">MARCA: GENERAC
SERIE: </v>
      </c>
      <c r="AU184" s="683" t="str">
        <f>CONCATENATE("HORAS: ",BDEGENER[[#This Row],[HORAS]],"
KW-HR: ",BDEGENER[[#This Row],[KW-HORA]],"
VOLT.BATERIA: ",BDEGENER[[#This Row],[VOLTAJE DE BATERIA]],"
TEMPERATURA: ",BDEGENER[[#This Row],[TEMPERATURA DE AGUA]],"
PRES. ACEITE: ",BDEGENER[[#This Row],[PRESION DE ACEITE]])</f>
        <v xml:space="preserve">HORAS: 5029
KW-HR: 
VOLT.BATERIA: 13.4 V
TEMPERATURA: 
PRES. ACEITE: </v>
      </c>
      <c r="AV184" s="761">
        <f>COUNTIFS(Q184:Q2184,"MANTENIMIENTO CORRECTIVO",Y184:Y2184,BDEGENER[[#This Row],[SERIE]])</f>
        <v>0</v>
      </c>
      <c r="AW184" s="761">
        <f>COUNTIFS(Q184:Q2184,"MANTENIMIENTO PREVENTIVO",Y184:Y2184,BDEGENER[[#This Row],[SERIE]])</f>
        <v>7</v>
      </c>
      <c r="AX18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84" s="683">
        <f>COUNTIFS(BDEGENER[SERIE],BDEGENER[[#This Row],[SERIE]],BDEGENER[TIPO DE SERVICIO],"MANTENIMIENTO PREVENTIVO")</f>
        <v>11</v>
      </c>
      <c r="AZ184" s="683" t="str">
        <f>CONCATENATE("MANTENIMIENTO PREVENTIVO N°",BDEGENER[[#This Row],[GA1]])</f>
        <v>MANTENIMIENTO PREVENTIVO N°11</v>
      </c>
      <c r="BA184" s="683" t="str">
        <f>IF(BDEGENER[[#This Row],[SERVICIO]]=BDEGENER[[#This Row],[GA2]],BDEGENER[[#This Row],[HORAS]],"0")</f>
        <v>0</v>
      </c>
      <c r="BB184" s="683">
        <f>SUMIF(BDEGENER[SERIE],BDEGENER[[#This Row],[SERIE]],BDEGENER[GA3])</f>
        <v>6420.8</v>
      </c>
      <c r="BC184" s="761" t="str">
        <f>CONCATENATE("MANT",COUNTIF($Y$7:Y184,Y184))</f>
        <v>MANT6</v>
      </c>
      <c r="BD184" s="683" t="str">
        <f>CONCATENATE(BDEGENER[[#This Row],[SERIE]],BDEGENER[[#This Row],[GA5]])</f>
        <v>3003987064MANT6</v>
      </c>
      <c r="BE184" s="683" t="str">
        <f>CONCATENATE(BDEGENER[[#This Row],[CODIGO PATRIMONIAL]],BDEGENER[[#This Row],[GA5]])</f>
        <v>NOR-GEG-0016MANT6</v>
      </c>
      <c r="BF184" s="683">
        <f>COUNTIF(BDEGENER[SERIE],BDEGENER[[#This Row],[SERIE]])</f>
        <v>12</v>
      </c>
      <c r="BG184" s="761" t="str">
        <f>CONCATENATE("F",COUNTIF($K$7:K184,K184))</f>
        <v>F3</v>
      </c>
      <c r="BH184" s="683" t="str">
        <f>CONCATENATE(BDEGENER[[#This Row],[FECHA DE SERVICIO]],BDEGENER[[#This Row],[N° DE REGISTROS DEL DIA]])</f>
        <v>44097F3</v>
      </c>
      <c r="BI184" s="684"/>
      <c r="BJ184" s="683" t="s">
        <v>1544</v>
      </c>
      <c r="BK184" s="762"/>
    </row>
    <row r="185" spans="2:63" ht="69" hidden="1" x14ac:dyDescent="0.3">
      <c r="B185" s="2"/>
      <c r="C185" s="2"/>
      <c r="D185" s="2"/>
      <c r="E185" s="2"/>
      <c r="F185" s="2"/>
      <c r="G185" s="2"/>
      <c r="H185" s="2"/>
      <c r="I185" s="2"/>
      <c r="J185" s="685"/>
      <c r="K185" s="682">
        <v>44096</v>
      </c>
      <c r="L185" s="683" t="s">
        <v>791</v>
      </c>
      <c r="M185" s="683" t="s">
        <v>3356</v>
      </c>
      <c r="N185" s="683" t="s">
        <v>792</v>
      </c>
      <c r="O185" s="683"/>
      <c r="P185" s="683"/>
      <c r="Q185" s="683" t="s">
        <v>107</v>
      </c>
      <c r="R185" s="683" t="s">
        <v>1782</v>
      </c>
      <c r="S185" s="686" t="s">
        <v>3377</v>
      </c>
      <c r="T185" s="683" t="s">
        <v>3378</v>
      </c>
      <c r="U185" s="683" t="s">
        <v>3379</v>
      </c>
      <c r="V185" s="683" t="s">
        <v>147</v>
      </c>
      <c r="W185" s="683" t="s">
        <v>914</v>
      </c>
      <c r="X185" s="691" t="s">
        <v>917</v>
      </c>
      <c r="Y185" s="687" t="s">
        <v>3367</v>
      </c>
      <c r="Z185" s="692"/>
      <c r="AA185" s="683" t="s">
        <v>840</v>
      </c>
      <c r="AB185" s="683" t="s">
        <v>3361</v>
      </c>
      <c r="AC185" s="683" t="s">
        <v>851</v>
      </c>
      <c r="AD185" s="683" t="s">
        <v>1087</v>
      </c>
      <c r="AE185" s="683">
        <v>60</v>
      </c>
      <c r="AF185" s="684">
        <v>308.3</v>
      </c>
      <c r="AG185" s="683" t="s">
        <v>243</v>
      </c>
      <c r="AH185" s="683" t="s">
        <v>3368</v>
      </c>
      <c r="AI185" s="683" t="s">
        <v>844</v>
      </c>
      <c r="AJ185" s="683" t="s">
        <v>859</v>
      </c>
      <c r="AK185" s="683" t="s">
        <v>1923</v>
      </c>
      <c r="AL185" s="683" t="s">
        <v>3355</v>
      </c>
      <c r="AM185" s="683" t="s">
        <v>245</v>
      </c>
      <c r="AN185" s="683" t="s">
        <v>2383</v>
      </c>
      <c r="AO185" s="683" t="s">
        <v>1443</v>
      </c>
      <c r="AP185" s="683" t="s">
        <v>240</v>
      </c>
      <c r="AQ185" s="688" t="str">
        <f>CONCATENATE("REG-",BDEGENER[[#This Row],[FECHA DE SERVICIO]],"-",BDEGENER[[#This Row],[SERIE]],"-",BDEGENER[[#This Row],[HORAS]])</f>
        <v>REG-44096-A5245J-001-308,3</v>
      </c>
      <c r="AR185" s="683" t="str">
        <f>CONCATENATE("MARCA: ",BDEGENER[[#This Row],[MARCA]],"
 MODELO: ",BDEGENER[[#This Row],[MODELO]])</f>
        <v>MARCA: FG - WILSON
 MODELO: PG-90</v>
      </c>
      <c r="AS185" s="683" t="str">
        <f>CONCATENATE("MARCA: ",BDEGENER[[#This Row],[MARCA DE MOTOR]],"
SERIE: ",BDEGENER[[#This Row],[SERIE DE MOTOR]])</f>
        <v>MARCA: PERKINS
SERIE: U613189</v>
      </c>
      <c r="AT185" s="683" t="str">
        <f>CONCATENATE("MARCA: ",BDEGENER[[#This Row],[MARCA ALTERNADOR ]],"
SERIE: ",BDEGENER[[#This Row],[SERIE DE ALTERNADOR]])</f>
        <v>MARCA: FG WILSON
SERIE: A5245J/001</v>
      </c>
      <c r="AU185" s="683" t="str">
        <f>CONCATENATE("HORAS: ",BDEGENER[[#This Row],[HORAS]],"
KW-HR: ",BDEGENER[[#This Row],[KW-HORA]],"
VOLT.BATERIA: ",BDEGENER[[#This Row],[VOLTAJE DE BATERIA]],"
TEMPERATURA: ",BDEGENER[[#This Row],[TEMPERATURA DE AGUA]],"
PRES. ACEITE: ",BDEGENER[[#This Row],[PRESION DE ACEITE]])</f>
        <v>HORAS: 308,3
KW-HR: 
VOLT.BATERIA: 13.6 V
TEMPERATURA: 140 °F
PRES. ACEITE: 80 PSI</v>
      </c>
      <c r="AV185" s="683">
        <f>COUNTIFS(Q185:Q2185,"MANTENIMIENTO CORRECTIVO",Y185:Y2185,BDEGENER[[#This Row],[SERIE]])</f>
        <v>1</v>
      </c>
      <c r="AW185" s="683">
        <f>COUNTIFS(Q185:Q2185,"MANTENIMIENTO PREVENTIVO",Y185:Y2185,BDEGENER[[#This Row],[SERIE]])</f>
        <v>6</v>
      </c>
      <c r="AX18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85" s="683">
        <f>COUNTIFS(BDEGENER[SERIE],BDEGENER[[#This Row],[SERIE]],BDEGENER[TIPO DE SERVICIO],"MANTENIMIENTO PREVENTIVO")</f>
        <v>6</v>
      </c>
      <c r="AZ185" s="683" t="str">
        <f>CONCATENATE("MANTENIMIENTO PREVENTIVO N°",BDEGENER[[#This Row],[GA1]])</f>
        <v>MANTENIMIENTO PREVENTIVO N°6</v>
      </c>
      <c r="BA185" s="683" t="str">
        <f>IF(BDEGENER[[#This Row],[SERVICIO]]=BDEGENER[[#This Row],[GA2]],BDEGENER[[#This Row],[HORAS]],"0")</f>
        <v>0</v>
      </c>
      <c r="BB185" s="683">
        <f>SUMIF(BDEGENER[SERIE],BDEGENER[[#This Row],[SERIE]],BDEGENER[GA3])</f>
        <v>308.10000000000002</v>
      </c>
      <c r="BC185" s="683" t="str">
        <f>CONCATENATE("MANT",COUNTIF($Y$7:Y185,Y185))</f>
        <v>MANT1</v>
      </c>
      <c r="BD185" s="683" t="str">
        <f>CONCATENATE(BDEGENER[[#This Row],[SERIE]],BDEGENER[[#This Row],[GA5]])</f>
        <v>A5245J-001MANT1</v>
      </c>
      <c r="BE185" s="683" t="str">
        <f>CONCATENATE(BDEGENER[[#This Row],[CODIGO PATRIMONIAL]],BDEGENER[[#This Row],[GA5]])</f>
        <v>MANT1</v>
      </c>
      <c r="BF185" s="683">
        <f>COUNTIF(BDEGENER[SERIE],BDEGENER[[#This Row],[SERIE]])</f>
        <v>7</v>
      </c>
      <c r="BG185" s="683" t="str">
        <f>CONCATENATE("F",COUNTIF($K$7:K185,K185))</f>
        <v>F1</v>
      </c>
      <c r="BH185" s="683" t="str">
        <f>CONCATENATE(BDEGENER[[#This Row],[FECHA DE SERVICIO]],BDEGENER[[#This Row],[N° DE REGISTROS DEL DIA]])</f>
        <v>44096F1</v>
      </c>
      <c r="BI185" s="684"/>
      <c r="BJ185" s="683" t="s">
        <v>1544</v>
      </c>
      <c r="BK185" s="762"/>
    </row>
    <row r="186" spans="2:63" ht="69" hidden="1" x14ac:dyDescent="0.3">
      <c r="B186" s="2"/>
      <c r="C186" s="2"/>
      <c r="D186" s="2"/>
      <c r="E186" s="2"/>
      <c r="F186" s="2"/>
      <c r="G186" s="2"/>
      <c r="H186" s="2"/>
      <c r="I186" s="2"/>
      <c r="J186" s="685"/>
      <c r="K186" s="682">
        <v>44096</v>
      </c>
      <c r="L186" s="683" t="s">
        <v>1545</v>
      </c>
      <c r="M186" s="683" t="s">
        <v>2748</v>
      </c>
      <c r="N186" s="683" t="s">
        <v>2749</v>
      </c>
      <c r="O186" s="683"/>
      <c r="P186" s="683"/>
      <c r="Q186" s="683" t="s">
        <v>37</v>
      </c>
      <c r="R186" s="683" t="s">
        <v>1782</v>
      </c>
      <c r="S186" s="686" t="s">
        <v>3500</v>
      </c>
      <c r="T186" s="683" t="s">
        <v>3501</v>
      </c>
      <c r="U186" s="683" t="s">
        <v>3502</v>
      </c>
      <c r="V186" s="683" t="s">
        <v>146</v>
      </c>
      <c r="W186" s="683" t="s">
        <v>2743</v>
      </c>
      <c r="X186" s="691" t="s">
        <v>2741</v>
      </c>
      <c r="Y186" s="687" t="s">
        <v>2742</v>
      </c>
      <c r="Z186" s="692" t="s">
        <v>159</v>
      </c>
      <c r="AA186" s="683" t="s">
        <v>1495</v>
      </c>
      <c r="AB186" s="683" t="s">
        <v>2744</v>
      </c>
      <c r="AC186" s="683" t="s">
        <v>2745</v>
      </c>
      <c r="AD186" s="683"/>
      <c r="AE186" s="683"/>
      <c r="AF186" s="684">
        <v>141510</v>
      </c>
      <c r="AG186" s="683" t="s">
        <v>243</v>
      </c>
      <c r="AH186" s="683" t="s">
        <v>159</v>
      </c>
      <c r="AI186" s="683" t="s">
        <v>1495</v>
      </c>
      <c r="AJ186" s="683" t="s">
        <v>159</v>
      </c>
      <c r="AK186" s="683" t="s">
        <v>2746</v>
      </c>
      <c r="AL186" s="683" t="s">
        <v>2747</v>
      </c>
      <c r="AM186" s="683"/>
      <c r="AN186" s="683"/>
      <c r="AO186" s="683"/>
      <c r="AP186" s="683" t="s">
        <v>240</v>
      </c>
      <c r="AQ186" s="683" t="str">
        <f>CONCATENATE("REG-",BDEGENER[[#This Row],[FECHA DE SERVICIO]],"-",BDEGENER[[#This Row],[SERIE]],"-",BDEGENER[[#This Row],[HORAS]])</f>
        <v>REG-44096-D4Y-534-141510</v>
      </c>
      <c r="AR186" s="683" t="str">
        <f>CONCATENATE("MARCA: ",BDEGENER[[#This Row],[MARCA]],"
 MODELO: ",BDEGENER[[#This Row],[MODELO]])</f>
        <v>MARCA: FORD
 MODELO: ECOSPORT</v>
      </c>
      <c r="AS186" s="683" t="str">
        <f>CONCATENATE("MARCA: ",BDEGENER[[#This Row],[MARCA DE MOTOR]],"
SERIE: ",BDEGENER[[#This Row],[SERIE DE MOTOR]])</f>
        <v xml:space="preserve">MARCA: FORD
SERIE: </v>
      </c>
      <c r="AT186" s="683" t="str">
        <f>CONCATENATE("MARCA: ",BDEGENER[[#This Row],[MARCA ALTERNADOR ]],"
SERIE: ",BDEGENER[[#This Row],[SERIE DE ALTERNADOR]])</f>
        <v>MARCA: CHASIS FORD
SERIE: 9BFZE1GF358634864</v>
      </c>
      <c r="AU186" s="683" t="str">
        <f>CONCATENATE("HORAS: ",BDEGENER[[#This Row],[HORAS]],"
KW-HR: ",BDEGENER[[#This Row],[KW-HORA]],"
VOLT.BATERIA: ",BDEGENER[[#This Row],[VOLTAJE DE BATERIA]],"
TEMPERATURA: ",BDEGENER[[#This Row],[TEMPERATURA DE AGUA]],"
PRES. ACEITE: ",BDEGENER[[#This Row],[PRESION DE ACEITE]])</f>
        <v xml:space="preserve">HORAS: 141510
KW-HR: 
VOLT.BATERIA: 
TEMPERATURA: 
PRES. ACEITE: </v>
      </c>
      <c r="AV186" s="683">
        <f>COUNTIFS(Q186:Q2186,"MANTENIMIENTO CORRECTIVO",Y186:Y2186,BDEGENER[[#This Row],[SERIE]])</f>
        <v>3</v>
      </c>
      <c r="AW186" s="683">
        <f>COUNTIFS(Q186:Q2186,"MANTENIMIENTO PREVENTIVO",Y186:Y2186,BDEGENER[[#This Row],[SERIE]])</f>
        <v>3</v>
      </c>
      <c r="AX18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86" s="683">
        <f>COUNTIFS(BDEGENER[SERIE],BDEGENER[[#This Row],[SERIE]],BDEGENER[TIPO DE SERVICIO],"MANTENIMIENTO PREVENTIVO")</f>
        <v>3</v>
      </c>
      <c r="AZ186" s="683" t="str">
        <f>CONCATENATE("MANTENIMIENTO PREVENTIVO N°",BDEGENER[[#This Row],[GA1]])</f>
        <v>MANTENIMIENTO PREVENTIVO N°3</v>
      </c>
      <c r="BA186" s="683">
        <f>IF(BDEGENER[[#This Row],[SERVICIO]]=BDEGENER[[#This Row],[GA2]],BDEGENER[[#This Row],[HORAS]],"0")</f>
        <v>141510</v>
      </c>
      <c r="BB186" s="683">
        <f>SUMIF(BDEGENER[SERIE],BDEGENER[[#This Row],[SERIE]],BDEGENER[GA3])</f>
        <v>141510</v>
      </c>
      <c r="BC186" s="683" t="str">
        <f>CONCATENATE("MANT",COUNTIF($Y$7:Y186,Y186))</f>
        <v>MANT1</v>
      </c>
      <c r="BD186" s="683" t="str">
        <f>CONCATENATE(BDEGENER[[#This Row],[SERIE]],BDEGENER[[#This Row],[GA5]])</f>
        <v>D4Y-534MANT1</v>
      </c>
      <c r="BE186" s="683" t="str">
        <f>CONCATENATE(BDEGENER[[#This Row],[CODIGO PATRIMONIAL]],BDEGENER[[#This Row],[GA5]])</f>
        <v>MANT1</v>
      </c>
      <c r="BF186" s="683">
        <f>COUNTIF(BDEGENER[SERIE],BDEGENER[[#This Row],[SERIE]])</f>
        <v>6</v>
      </c>
      <c r="BG186" s="683" t="str">
        <f>CONCATENATE("F",COUNTIF($K$7:K186,K186))</f>
        <v>F2</v>
      </c>
      <c r="BH186" s="683" t="str">
        <f>CONCATENATE(BDEGENER[[#This Row],[FECHA DE SERVICIO]],BDEGENER[[#This Row],[N° DE REGISTROS DEL DIA]])</f>
        <v>44096F2</v>
      </c>
      <c r="BI186" s="684"/>
      <c r="BJ186" s="683" t="s">
        <v>1545</v>
      </c>
      <c r="BK186" s="762"/>
    </row>
    <row r="187" spans="2:63" ht="69" hidden="1" x14ac:dyDescent="0.3">
      <c r="B187" s="2"/>
      <c r="C187" s="2"/>
      <c r="D187" s="2"/>
      <c r="E187" s="2"/>
      <c r="F187" s="2"/>
      <c r="G187" s="2"/>
      <c r="H187" s="2"/>
      <c r="I187" s="2"/>
      <c r="J187" s="685"/>
      <c r="K187" s="682">
        <v>44096</v>
      </c>
      <c r="L187" s="683" t="s">
        <v>561</v>
      </c>
      <c r="M187" s="683" t="s">
        <v>2439</v>
      </c>
      <c r="N187" s="683" t="s">
        <v>564</v>
      </c>
      <c r="O187" s="683"/>
      <c r="P187" s="688" t="s">
        <v>3420</v>
      </c>
      <c r="Q187" s="683" t="s">
        <v>37</v>
      </c>
      <c r="R187" s="683" t="s">
        <v>3421</v>
      </c>
      <c r="S187" s="686" t="s">
        <v>3422</v>
      </c>
      <c r="T187" s="683" t="s">
        <v>2948</v>
      </c>
      <c r="U187" s="683" t="s">
        <v>2278</v>
      </c>
      <c r="V187" s="683" t="s">
        <v>677</v>
      </c>
      <c r="W187" s="683" t="s">
        <v>914</v>
      </c>
      <c r="X187" s="691" t="s">
        <v>918</v>
      </c>
      <c r="Y187" s="687">
        <v>3003962766</v>
      </c>
      <c r="Z187" s="692" t="s">
        <v>2602</v>
      </c>
      <c r="AA187" s="683" t="s">
        <v>33</v>
      </c>
      <c r="AB187" s="683" t="s">
        <v>34</v>
      </c>
      <c r="AC187" s="683" t="s">
        <v>230</v>
      </c>
      <c r="AD187" s="683" t="s">
        <v>1123</v>
      </c>
      <c r="AE187" s="683">
        <v>60</v>
      </c>
      <c r="AF187" s="684">
        <v>3840.4</v>
      </c>
      <c r="AG187" s="683" t="s">
        <v>243</v>
      </c>
      <c r="AH187" s="683" t="s">
        <v>220</v>
      </c>
      <c r="AI187" s="683" t="s">
        <v>33</v>
      </c>
      <c r="AJ187" s="683">
        <v>3003966248</v>
      </c>
      <c r="AK187" s="683" t="s">
        <v>33</v>
      </c>
      <c r="AL187" s="683"/>
      <c r="AM187" s="683" t="s">
        <v>3423</v>
      </c>
      <c r="AN187" s="683" t="s">
        <v>1348</v>
      </c>
      <c r="AO187" s="683" t="s">
        <v>1144</v>
      </c>
      <c r="AP187" s="683" t="s">
        <v>240</v>
      </c>
      <c r="AQ187" s="688" t="str">
        <f>CONCATENATE("REG-",BDEGENER[[#This Row],[FECHA DE SERVICIO]],"-",BDEGENER[[#This Row],[SERIE]],"-",BDEGENER[[#This Row],[HORAS]])</f>
        <v>REG-44096-3003962766-3840,4</v>
      </c>
      <c r="AR187" s="683" t="str">
        <f>CONCATENATE("MARCA: ",BDEGENER[[#This Row],[MARCA]],"
 MODELO: ",BDEGENER[[#This Row],[MODELO]])</f>
        <v>MARCA: GENERAC
 MODELO: PG090</v>
      </c>
      <c r="AS187" s="683" t="str">
        <f>CONCATENATE("MARCA: ",BDEGENER[[#This Row],[MARCA DE MOTOR]],"
SERIE: ",BDEGENER[[#This Row],[SERIE DE MOTOR]])</f>
        <v>MARCA: GENERAC
SERIE: 3003966248</v>
      </c>
      <c r="AT187" s="683" t="str">
        <f>CONCATENATE("MARCA: ",BDEGENER[[#This Row],[MARCA ALTERNADOR ]],"
SERIE: ",BDEGENER[[#This Row],[SERIE DE ALTERNADOR]])</f>
        <v xml:space="preserve">MARCA: GENERAC
SERIE: </v>
      </c>
      <c r="AU187" s="683" t="str">
        <f>CONCATENATE("HORAS: ",BDEGENER[[#This Row],[HORAS]],"
KW-HR: ",BDEGENER[[#This Row],[KW-HORA]],"
VOLT.BATERIA: ",BDEGENER[[#This Row],[VOLTAJE DE BATERIA]],"
TEMPERATURA: ",BDEGENER[[#This Row],[TEMPERATURA DE AGUA]],"
PRES. ACEITE: ",BDEGENER[[#This Row],[PRESION DE ACEITE]])</f>
        <v>HORAS: 3840,4
KW-HR: 77731
VOLT.BATERIA: 14.6 V
TEMPERATURA: 193 °F
PRES. ACEITE: 59 PSI</v>
      </c>
      <c r="AV187" s="761">
        <f>COUNTIFS(Q187:Q2187,"MANTENIMIENTO CORRECTIVO",Y187:Y2187,BDEGENER[[#This Row],[SERIE]])</f>
        <v>2</v>
      </c>
      <c r="AW187" s="761">
        <f>COUNTIFS(Q187:Q2187,"MANTENIMIENTO PREVENTIVO",Y187:Y2187,BDEGENER[[#This Row],[SERIE]])</f>
        <v>7</v>
      </c>
      <c r="AX18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87" s="683">
        <f>COUNTIFS(BDEGENER[SERIE],BDEGENER[[#This Row],[SERIE]],BDEGENER[TIPO DE SERVICIO],"MANTENIMIENTO PREVENTIVO")</f>
        <v>9</v>
      </c>
      <c r="AZ187" s="683" t="str">
        <f>CONCATENATE("MANTENIMIENTO PREVENTIVO N°",BDEGENER[[#This Row],[GA1]])</f>
        <v>MANTENIMIENTO PREVENTIVO N°9</v>
      </c>
      <c r="BA187" s="683" t="str">
        <f>IF(BDEGENER[[#This Row],[SERVICIO]]=BDEGENER[[#This Row],[GA2]],BDEGENER[[#This Row],[HORAS]],"0")</f>
        <v>0</v>
      </c>
      <c r="BB187" s="683">
        <f>SUMIF(BDEGENER[SERIE],BDEGENER[[#This Row],[SERIE]],BDEGENER[GA3])</f>
        <v>4662.2</v>
      </c>
      <c r="BC187" s="761" t="str">
        <f>CONCATENATE("MANT",COUNTIF($Y$7:Y187,Y187))</f>
        <v>MANT6</v>
      </c>
      <c r="BD187" s="683" t="str">
        <f>CONCATENATE(BDEGENER[[#This Row],[SERIE]],BDEGENER[[#This Row],[GA5]])</f>
        <v>3003962766MANT6</v>
      </c>
      <c r="BE187" s="683" t="str">
        <f>CONCATENATE(BDEGENER[[#This Row],[CODIGO PATRIMONIAL]],BDEGENER[[#This Row],[GA5]])</f>
        <v>SUR-GEG-0006MANT6</v>
      </c>
      <c r="BF187" s="683">
        <f>COUNTIF(BDEGENER[SERIE],BDEGENER[[#This Row],[SERIE]])</f>
        <v>16</v>
      </c>
      <c r="BG187" s="761" t="str">
        <f>CONCATENATE("F",COUNTIF($K$7:K187,K187))</f>
        <v>F3</v>
      </c>
      <c r="BH187" s="683" t="str">
        <f>CONCATENATE(BDEGENER[[#This Row],[FECHA DE SERVICIO]],BDEGENER[[#This Row],[N° DE REGISTROS DEL DIA]])</f>
        <v>44096F3</v>
      </c>
      <c r="BI187" s="684">
        <v>77731</v>
      </c>
      <c r="BJ187" s="683" t="s">
        <v>1544</v>
      </c>
      <c r="BK187" s="762" t="s">
        <v>2368</v>
      </c>
    </row>
    <row r="188" spans="2:63" ht="69" hidden="1" x14ac:dyDescent="0.3">
      <c r="B188" s="2"/>
      <c r="C188" s="2"/>
      <c r="D188" s="2"/>
      <c r="E188" s="2"/>
      <c r="F188" s="2"/>
      <c r="G188" s="2"/>
      <c r="H188" s="2"/>
      <c r="I188" s="2"/>
      <c r="J188" s="685"/>
      <c r="K188" s="682">
        <v>44096</v>
      </c>
      <c r="L188" s="683" t="s">
        <v>561</v>
      </c>
      <c r="M188" s="683" t="s">
        <v>2480</v>
      </c>
      <c r="N188" s="683" t="s">
        <v>2481</v>
      </c>
      <c r="O188" s="683"/>
      <c r="P188" s="688" t="s">
        <v>3416</v>
      </c>
      <c r="Q188" s="683" t="s">
        <v>37</v>
      </c>
      <c r="R188" s="683" t="s">
        <v>1782</v>
      </c>
      <c r="S188" s="686" t="s">
        <v>3417</v>
      </c>
      <c r="T188" s="683" t="s">
        <v>3418</v>
      </c>
      <c r="U188" s="683" t="s">
        <v>3419</v>
      </c>
      <c r="V188" s="683" t="s">
        <v>677</v>
      </c>
      <c r="W188" s="683" t="s">
        <v>913</v>
      </c>
      <c r="X188" s="691" t="s">
        <v>918</v>
      </c>
      <c r="Y188" s="687">
        <v>3004555914</v>
      </c>
      <c r="Z188" s="692" t="s">
        <v>2611</v>
      </c>
      <c r="AA188" s="683" t="s">
        <v>33</v>
      </c>
      <c r="AB188" s="683" t="s">
        <v>217</v>
      </c>
      <c r="AC188" s="683" t="s">
        <v>749</v>
      </c>
      <c r="AD188" s="683" t="s">
        <v>1123</v>
      </c>
      <c r="AE188" s="683">
        <v>60</v>
      </c>
      <c r="AF188" s="684">
        <v>2702.7</v>
      </c>
      <c r="AG188" s="683" t="s">
        <v>243</v>
      </c>
      <c r="AH188" s="683" t="s">
        <v>1803</v>
      </c>
      <c r="AI188" s="683" t="s">
        <v>2553</v>
      </c>
      <c r="AJ188" s="683" t="s">
        <v>3092</v>
      </c>
      <c r="AK188" s="683" t="s">
        <v>33</v>
      </c>
      <c r="AL188" s="683">
        <v>20190506</v>
      </c>
      <c r="AM188" s="683" t="s">
        <v>2319</v>
      </c>
      <c r="AN188" s="683"/>
      <c r="AO188" s="683"/>
      <c r="AP188" s="683" t="s">
        <v>240</v>
      </c>
      <c r="AQ188" s="688" t="str">
        <f>CONCATENATE("REG-",BDEGENER[[#This Row],[FECHA DE SERVICIO]],"-",BDEGENER[[#This Row],[SERIE]],"-",BDEGENER[[#This Row],[HORAS]])</f>
        <v>REG-44096-3004555914-2702,7</v>
      </c>
      <c r="AR188" s="683" t="str">
        <f>CONCATENATE("MARCA: ",BDEGENER[[#This Row],[MARCA]],"
 MODELO: ",BDEGENER[[#This Row],[MODELO]])</f>
        <v>MARCA: GENERAC
 MODELO: RG022</v>
      </c>
      <c r="AS188" s="683" t="str">
        <f>CONCATENATE("MARCA: ",BDEGENER[[#This Row],[MARCA DE MOTOR]],"
SERIE: ",BDEGENER[[#This Row],[SERIE DE MOTOR]])</f>
        <v>MARCA: MITSUBISHI
SERIE: 4G6454M/SXP7947</v>
      </c>
      <c r="AT188" s="683" t="str">
        <f>CONCATENATE("MARCA: ",BDEGENER[[#This Row],[MARCA ALTERNADOR ]],"
SERIE: ",BDEGENER[[#This Row],[SERIE DE ALTERNADOR]])</f>
        <v>MARCA: GENERAC
SERIE: 20190506</v>
      </c>
      <c r="AU188" s="683" t="str">
        <f>CONCATENATE("HORAS: ",BDEGENER[[#This Row],[HORAS]],"
KW-HR: ",BDEGENER[[#This Row],[KW-HORA]],"
VOLT.BATERIA: ",BDEGENER[[#This Row],[VOLTAJE DE BATERIA]],"
TEMPERATURA: ",BDEGENER[[#This Row],[TEMPERATURA DE AGUA]],"
PRES. ACEITE: ",BDEGENER[[#This Row],[PRESION DE ACEITE]])</f>
        <v xml:space="preserve">HORAS: 2702,7
KW-HR: 
VOLT.BATERIA: 14.3 V
TEMPERATURA: 
PRES. ACEITE: </v>
      </c>
      <c r="AV188" s="683">
        <f>COUNTIFS(Q188:Q2188,"MANTENIMIENTO CORRECTIVO",Y188:Y2188,BDEGENER[[#This Row],[SERIE]])</f>
        <v>2</v>
      </c>
      <c r="AW188" s="683">
        <f>COUNTIFS(Q188:Q2188,"MANTENIMIENTO PREVENTIVO",Y188:Y2188,BDEGENER[[#This Row],[SERIE]])</f>
        <v>4</v>
      </c>
      <c r="AX18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188" s="683">
        <f>COUNTIFS(BDEGENER[SERIE],BDEGENER[[#This Row],[SERIE]],BDEGENER[TIPO DE SERVICIO],"MANTENIMIENTO PREVENTIVO")</f>
        <v>5</v>
      </c>
      <c r="AZ188" s="683" t="str">
        <f>CONCATENATE("MANTENIMIENTO PREVENTIVO N°",BDEGENER[[#This Row],[GA1]])</f>
        <v>MANTENIMIENTO PREVENTIVO N°5</v>
      </c>
      <c r="BA188" s="683" t="str">
        <f>IF(BDEGENER[[#This Row],[SERVICIO]]=BDEGENER[[#This Row],[GA2]],BDEGENER[[#This Row],[HORAS]],"0")</f>
        <v>0</v>
      </c>
      <c r="BB188" s="683">
        <f>SUMIF(BDEGENER[SERIE],BDEGENER[[#This Row],[SERIE]],BDEGENER[GA3])</f>
        <v>2894.4</v>
      </c>
      <c r="BC188" s="683" t="str">
        <f>CONCATENATE("MANT",COUNTIF($Y$7:Y188,Y188))</f>
        <v>MANT2</v>
      </c>
      <c r="BD188" s="683" t="str">
        <f>CONCATENATE(BDEGENER[[#This Row],[SERIE]],BDEGENER[[#This Row],[GA5]])</f>
        <v>3004555914MANT2</v>
      </c>
      <c r="BE188" s="683" t="str">
        <f>CONCATENATE(BDEGENER[[#This Row],[CODIGO PATRIMONIAL]],BDEGENER[[#This Row],[GA5]])</f>
        <v>SUR-GEG-0023MANT2</v>
      </c>
      <c r="BF188" s="683">
        <f>COUNTIF(BDEGENER[SERIE],BDEGENER[[#This Row],[SERIE]])</f>
        <v>11</v>
      </c>
      <c r="BG188" s="683" t="str">
        <f>CONCATENATE("F",COUNTIF($K$7:K188,K188))</f>
        <v>F4</v>
      </c>
      <c r="BH188" s="683" t="str">
        <f>CONCATENATE(BDEGENER[[#This Row],[FECHA DE SERVICIO]],BDEGENER[[#This Row],[N° DE REGISTROS DEL DIA]])</f>
        <v>44096F4</v>
      </c>
      <c r="BI188" s="684"/>
      <c r="BJ188" s="683" t="s">
        <v>1544</v>
      </c>
      <c r="BK188" s="762"/>
    </row>
    <row r="189" spans="2:63" ht="69" hidden="1" x14ac:dyDescent="0.3">
      <c r="B189" s="2"/>
      <c r="C189" s="2"/>
      <c r="D189" s="2"/>
      <c r="E189" s="2"/>
      <c r="F189" s="2"/>
      <c r="G189" s="2"/>
      <c r="H189" s="2"/>
      <c r="I189" s="2"/>
      <c r="J189" s="685"/>
      <c r="K189" s="682">
        <v>44096</v>
      </c>
      <c r="L189" s="683" t="s">
        <v>561</v>
      </c>
      <c r="M189" s="683" t="s">
        <v>2890</v>
      </c>
      <c r="N189" s="683" t="s">
        <v>3093</v>
      </c>
      <c r="O189" s="683"/>
      <c r="P189" s="688" t="s">
        <v>3340</v>
      </c>
      <c r="Q189" s="683" t="s">
        <v>37</v>
      </c>
      <c r="R189" s="683" t="s">
        <v>1782</v>
      </c>
      <c r="S189" s="686" t="s">
        <v>3341</v>
      </c>
      <c r="T189" s="683" t="s">
        <v>2870</v>
      </c>
      <c r="U189" s="683" t="s">
        <v>3342</v>
      </c>
      <c r="V189" s="683" t="s">
        <v>677</v>
      </c>
      <c r="W189" s="683" t="s">
        <v>913</v>
      </c>
      <c r="X189" s="691" t="s">
        <v>918</v>
      </c>
      <c r="Y189" s="687">
        <v>3003415532</v>
      </c>
      <c r="Z189" s="692" t="s">
        <v>2606</v>
      </c>
      <c r="AA189" s="683" t="s">
        <v>33</v>
      </c>
      <c r="AB189" s="683" t="s">
        <v>217</v>
      </c>
      <c r="AC189" s="683" t="s">
        <v>749</v>
      </c>
      <c r="AD189" s="683" t="s">
        <v>1123</v>
      </c>
      <c r="AE189" s="683">
        <v>60</v>
      </c>
      <c r="AF189" s="684">
        <v>4977</v>
      </c>
      <c r="AG189" s="683" t="s">
        <v>243</v>
      </c>
      <c r="AH189" s="683" t="s">
        <v>1803</v>
      </c>
      <c r="AI189" s="683" t="s">
        <v>2553</v>
      </c>
      <c r="AJ189" s="683" t="s">
        <v>3343</v>
      </c>
      <c r="AK189" s="683" t="s">
        <v>33</v>
      </c>
      <c r="AL189" s="683"/>
      <c r="AM189" s="683" t="s">
        <v>245</v>
      </c>
      <c r="AN189" s="683"/>
      <c r="AO189" s="683"/>
      <c r="AP189" s="683" t="s">
        <v>240</v>
      </c>
      <c r="AQ189" s="688" t="str">
        <f>CONCATENATE("REG-",BDEGENER[[#This Row],[FECHA DE SERVICIO]],"-",BDEGENER[[#This Row],[SERIE]],"-",BDEGENER[[#This Row],[HORAS]])</f>
        <v>REG-44096-3003415532-4977</v>
      </c>
      <c r="AR189" s="683" t="str">
        <f>CONCATENATE("MARCA: ",BDEGENER[[#This Row],[MARCA]],"
 MODELO: ",BDEGENER[[#This Row],[MODELO]])</f>
        <v>MARCA: GENERAC
 MODELO: RG022</v>
      </c>
      <c r="AS189" s="683" t="str">
        <f>CONCATENATE("MARCA: ",BDEGENER[[#This Row],[MARCA DE MOTOR]],"
SERIE: ",BDEGENER[[#This Row],[SERIE DE MOTOR]])</f>
        <v>MARCA: MITSUBISHI
SERIE: STS6082/6G454M</v>
      </c>
      <c r="AT189" s="683" t="str">
        <f>CONCATENATE("MARCA: ",BDEGENER[[#This Row],[MARCA ALTERNADOR ]],"
SERIE: ",BDEGENER[[#This Row],[SERIE DE ALTERNADOR]])</f>
        <v xml:space="preserve">MARCA: GENERAC
SERIE: </v>
      </c>
      <c r="AU189" s="683" t="str">
        <f>CONCATENATE("HORAS: ",BDEGENER[[#This Row],[HORAS]],"
KW-HR: ",BDEGENER[[#This Row],[KW-HORA]],"
VOLT.BATERIA: ",BDEGENER[[#This Row],[VOLTAJE DE BATERIA]],"
TEMPERATURA: ",BDEGENER[[#This Row],[TEMPERATURA DE AGUA]],"
PRES. ACEITE: ",BDEGENER[[#This Row],[PRESION DE ACEITE]])</f>
        <v xml:space="preserve">HORAS: 4977
KW-HR: 
VOLT.BATERIA: 13.6 V
TEMPERATURA: 
PRES. ACEITE: </v>
      </c>
      <c r="AV189" s="683">
        <f>COUNTIFS(Q189:Q2189,"MANTENIMIENTO CORRECTIVO",Y189:Y2189,BDEGENER[[#This Row],[SERIE]])</f>
        <v>0</v>
      </c>
      <c r="AW189" s="683">
        <f>COUNTIFS(Q189:Q2189,"MANTENIMIENTO PREVENTIVO",Y189:Y2189,BDEGENER[[#This Row],[SERIE]])</f>
        <v>11</v>
      </c>
      <c r="AX18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N°11</v>
      </c>
      <c r="AY189" s="683">
        <f>COUNTIFS(BDEGENER[SERIE],BDEGENER[[#This Row],[SERIE]],BDEGENER[TIPO DE SERVICIO],"MANTENIMIENTO PREVENTIVO")</f>
        <v>14</v>
      </c>
      <c r="AZ189" s="683" t="str">
        <f>CONCATENATE("MANTENIMIENTO PREVENTIVO N°",BDEGENER[[#This Row],[GA1]])</f>
        <v>MANTENIMIENTO PREVENTIVO N°14</v>
      </c>
      <c r="BA189" s="683" t="str">
        <f>IF(BDEGENER[[#This Row],[SERVICIO]]=BDEGENER[[#This Row],[GA2]],BDEGENER[[#This Row],[HORAS]],"0")</f>
        <v>0</v>
      </c>
      <c r="BB189" s="683">
        <f>SUMIF(BDEGENER[SERIE],BDEGENER[[#This Row],[SERIE]],BDEGENER[GA3])</f>
        <v>5730.6</v>
      </c>
      <c r="BC189" s="683" t="str">
        <f>CONCATENATE("MANT",COUNTIF($Y$7:Y189,Y189))</f>
        <v>MANT4</v>
      </c>
      <c r="BD189" s="683" t="str">
        <f>CONCATENATE(BDEGENER[[#This Row],[SERIE]],BDEGENER[[#This Row],[GA5]])</f>
        <v>3003415532MANT4</v>
      </c>
      <c r="BE189" s="683" t="str">
        <f>CONCATENATE(BDEGENER[[#This Row],[CODIGO PATRIMONIAL]],BDEGENER[[#This Row],[GA5]])</f>
        <v>SUR-GEG-0010MANT4</v>
      </c>
      <c r="BF189" s="683">
        <f>COUNTIF(BDEGENER[SERIE],BDEGENER[[#This Row],[SERIE]])</f>
        <v>14</v>
      </c>
      <c r="BG189" s="683" t="str">
        <f>CONCATENATE("F",COUNTIF($K$7:K189,K189))</f>
        <v>F5</v>
      </c>
      <c r="BH189" s="683" t="str">
        <f>CONCATENATE(BDEGENER[[#This Row],[FECHA DE SERVICIO]],BDEGENER[[#This Row],[N° DE REGISTROS DEL DIA]])</f>
        <v>44096F5</v>
      </c>
      <c r="BI189" s="684"/>
      <c r="BJ189" s="683" t="s">
        <v>1544</v>
      </c>
      <c r="BK189" s="762"/>
    </row>
    <row r="190" spans="2:63" ht="69" hidden="1" x14ac:dyDescent="0.3">
      <c r="B190" s="2"/>
      <c r="C190" s="2"/>
      <c r="D190" s="2"/>
      <c r="E190" s="2"/>
      <c r="F190" s="2"/>
      <c r="G190" s="2"/>
      <c r="H190" s="2"/>
      <c r="I190" s="2"/>
      <c r="J190" s="685"/>
      <c r="K190" s="682">
        <v>44096</v>
      </c>
      <c r="L190" s="683" t="s">
        <v>561</v>
      </c>
      <c r="M190" s="683" t="s">
        <v>583</v>
      </c>
      <c r="N190" s="683" t="s">
        <v>578</v>
      </c>
      <c r="O190" s="683"/>
      <c r="P190" s="688" t="s">
        <v>3337</v>
      </c>
      <c r="Q190" s="683" t="s">
        <v>37</v>
      </c>
      <c r="R190" s="683" t="s">
        <v>1782</v>
      </c>
      <c r="S190" s="686" t="s">
        <v>3338</v>
      </c>
      <c r="T190" s="683" t="s">
        <v>2870</v>
      </c>
      <c r="U190" s="683" t="s">
        <v>3339</v>
      </c>
      <c r="V190" s="683" t="s">
        <v>677</v>
      </c>
      <c r="W190" s="683" t="s">
        <v>913</v>
      </c>
      <c r="X190" s="691" t="s">
        <v>918</v>
      </c>
      <c r="Y190" s="687">
        <v>3003415539</v>
      </c>
      <c r="Z190" s="692" t="s">
        <v>2600</v>
      </c>
      <c r="AA190" s="683" t="s">
        <v>33</v>
      </c>
      <c r="AB190" s="683" t="s">
        <v>217</v>
      </c>
      <c r="AC190" s="683" t="s">
        <v>749</v>
      </c>
      <c r="AD190" s="683" t="s">
        <v>1123</v>
      </c>
      <c r="AE190" s="683">
        <v>60</v>
      </c>
      <c r="AF190" s="684">
        <v>5757</v>
      </c>
      <c r="AG190" s="683" t="s">
        <v>243</v>
      </c>
      <c r="AH190" s="683" t="s">
        <v>1803</v>
      </c>
      <c r="AI190" s="683" t="s">
        <v>2553</v>
      </c>
      <c r="AJ190" s="683"/>
      <c r="AK190" s="683" t="s">
        <v>33</v>
      </c>
      <c r="AL190" s="683"/>
      <c r="AM190" s="683" t="s">
        <v>1121</v>
      </c>
      <c r="AN190" s="683"/>
      <c r="AO190" s="683"/>
      <c r="AP190" s="683" t="s">
        <v>240</v>
      </c>
      <c r="AQ190" s="688" t="str">
        <f>CONCATENATE("REG-",BDEGENER[[#This Row],[FECHA DE SERVICIO]],"-",BDEGENER[[#This Row],[SERIE]],"-",BDEGENER[[#This Row],[HORAS]])</f>
        <v>REG-44096-3003415539-5757</v>
      </c>
      <c r="AR190" s="683" t="str">
        <f>CONCATENATE("MARCA: ",BDEGENER[[#This Row],[MARCA]],"
 MODELO: ",BDEGENER[[#This Row],[MODELO]])</f>
        <v>MARCA: GENERAC
 MODELO: RG022</v>
      </c>
      <c r="AS190" s="683" t="str">
        <f>CONCATENATE("MARCA: ",BDEGENER[[#This Row],[MARCA DE MOTOR]],"
SERIE: ",BDEGENER[[#This Row],[SERIE DE MOTOR]])</f>
        <v xml:space="preserve">MARCA: MITSUBISHI
SERIE: </v>
      </c>
      <c r="AT190" s="683" t="str">
        <f>CONCATENATE("MARCA: ",BDEGENER[[#This Row],[MARCA ALTERNADOR ]],"
SERIE: ",BDEGENER[[#This Row],[SERIE DE ALTERNADOR]])</f>
        <v xml:space="preserve">MARCA: GENERAC
SERIE: </v>
      </c>
      <c r="AU190" s="683" t="str">
        <f>CONCATENATE("HORAS: ",BDEGENER[[#This Row],[HORAS]],"
KW-HR: ",BDEGENER[[#This Row],[KW-HORA]],"
VOLT.BATERIA: ",BDEGENER[[#This Row],[VOLTAJE DE BATERIA]],"
TEMPERATURA: ",BDEGENER[[#This Row],[TEMPERATURA DE AGUA]],"
PRES. ACEITE: ",BDEGENER[[#This Row],[PRESION DE ACEITE]])</f>
        <v xml:space="preserve">HORAS: 5757
KW-HR: 
VOLT.BATERIA: 13.7 V
TEMPERATURA: 
PRES. ACEITE: </v>
      </c>
      <c r="AV190" s="761">
        <f>COUNTIFS(Q190:Q2190,"MANTENIMIENTO CORRECTIVO",Y190:Y2190,BDEGENER[[#This Row],[SERIE]])</f>
        <v>4</v>
      </c>
      <c r="AW190" s="761">
        <f>COUNTIFS(Q190:Q2190,"MANTENIMIENTO PREVENTIVO",Y190:Y2190,BDEGENER[[#This Row],[SERIE]])</f>
        <v>10</v>
      </c>
      <c r="AX19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N°10</v>
      </c>
      <c r="AY190" s="683">
        <f>COUNTIFS(BDEGENER[SERIE],BDEGENER[[#This Row],[SERIE]],BDEGENER[TIPO DE SERVICIO],"MANTENIMIENTO PREVENTIVO")</f>
        <v>11</v>
      </c>
      <c r="AZ190" s="683" t="str">
        <f>CONCATENATE("MANTENIMIENTO PREVENTIVO N°",BDEGENER[[#This Row],[GA1]])</f>
        <v>MANTENIMIENTO PREVENTIVO N°11</v>
      </c>
      <c r="BA190" s="683" t="str">
        <f>IF(BDEGENER[[#This Row],[SERVICIO]]=BDEGENER[[#This Row],[GA2]],BDEGENER[[#This Row],[HORAS]],"0")</f>
        <v>0</v>
      </c>
      <c r="BB190" s="683">
        <f>SUMIF(BDEGENER[SERIE],BDEGENER[[#This Row],[SERIE]],BDEGENER[GA3])</f>
        <v>5881.6</v>
      </c>
      <c r="BC190" s="761" t="str">
        <f>CONCATENATE("MANT",COUNTIF($Y$7:Y190,Y190))</f>
        <v>MANT2</v>
      </c>
      <c r="BD190" s="683" t="str">
        <f>CONCATENATE(BDEGENER[[#This Row],[SERIE]],BDEGENER[[#This Row],[GA5]])</f>
        <v>3003415539MANT2</v>
      </c>
      <c r="BE190" s="683" t="str">
        <f>CONCATENATE(BDEGENER[[#This Row],[CODIGO PATRIMONIAL]],BDEGENER[[#This Row],[GA5]])</f>
        <v>SUR-GEG-0004MANT2</v>
      </c>
      <c r="BF190" s="683">
        <f>COUNTIF(BDEGENER[SERIE],BDEGENER[[#This Row],[SERIE]])</f>
        <v>16</v>
      </c>
      <c r="BG190" s="761" t="str">
        <f>CONCATENATE("F",COUNTIF($K$7:K190,K190))</f>
        <v>F6</v>
      </c>
      <c r="BH190" s="683" t="str">
        <f>CONCATENATE(BDEGENER[[#This Row],[FECHA DE SERVICIO]],BDEGENER[[#This Row],[N° DE REGISTROS DEL DIA]])</f>
        <v>44096F6</v>
      </c>
      <c r="BI190" s="684"/>
      <c r="BJ190" s="683" t="s">
        <v>1544</v>
      </c>
      <c r="BK190" s="762"/>
    </row>
    <row r="191" spans="2:63" ht="69" hidden="1" x14ac:dyDescent="0.3">
      <c r="B191" s="2"/>
      <c r="C191" s="2"/>
      <c r="D191" s="2"/>
      <c r="E191" s="2"/>
      <c r="F191" s="2"/>
      <c r="G191" s="2"/>
      <c r="H191" s="2"/>
      <c r="I191" s="2"/>
      <c r="J191" s="685"/>
      <c r="K191" s="682">
        <v>44096</v>
      </c>
      <c r="L191" s="683" t="s">
        <v>561</v>
      </c>
      <c r="M191" s="683" t="s">
        <v>577</v>
      </c>
      <c r="N191" s="683" t="s">
        <v>578</v>
      </c>
      <c r="O191" s="683"/>
      <c r="P191" s="688" t="s">
        <v>3333</v>
      </c>
      <c r="Q191" s="683" t="s">
        <v>37</v>
      </c>
      <c r="R191" s="683" t="s">
        <v>1782</v>
      </c>
      <c r="S191" s="686" t="s">
        <v>3334</v>
      </c>
      <c r="T191" s="683" t="s">
        <v>3335</v>
      </c>
      <c r="U191" s="683" t="s">
        <v>3336</v>
      </c>
      <c r="V191" s="683" t="s">
        <v>677</v>
      </c>
      <c r="W191" s="683" t="s">
        <v>913</v>
      </c>
      <c r="X191" s="691" t="s">
        <v>918</v>
      </c>
      <c r="Y191" s="687">
        <v>3003415536</v>
      </c>
      <c r="Z191" s="692" t="s">
        <v>2604</v>
      </c>
      <c r="AA191" s="683" t="s">
        <v>33</v>
      </c>
      <c r="AB191" s="683" t="s">
        <v>217</v>
      </c>
      <c r="AC191" s="683" t="s">
        <v>749</v>
      </c>
      <c r="AD191" s="683" t="s">
        <v>1123</v>
      </c>
      <c r="AE191" s="683">
        <v>60</v>
      </c>
      <c r="AF191" s="684">
        <v>5143.7</v>
      </c>
      <c r="AG191" s="683" t="s">
        <v>243</v>
      </c>
      <c r="AH191" s="683" t="s">
        <v>1803</v>
      </c>
      <c r="AI191" s="683" t="s">
        <v>2553</v>
      </c>
      <c r="AJ191" s="683"/>
      <c r="AK191" s="683" t="s">
        <v>33</v>
      </c>
      <c r="AL191" s="683"/>
      <c r="AM191" s="683" t="s">
        <v>1094</v>
      </c>
      <c r="AN191" s="683"/>
      <c r="AO191" s="683"/>
      <c r="AP191" s="683" t="s">
        <v>240</v>
      </c>
      <c r="AQ191" s="688" t="str">
        <f>CONCATENATE("REG-",BDEGENER[[#This Row],[FECHA DE SERVICIO]],"-",BDEGENER[[#This Row],[SERIE]],"-",BDEGENER[[#This Row],[HORAS]])</f>
        <v>REG-44096-3003415536-5143,7</v>
      </c>
      <c r="AR191" s="683" t="str">
        <f>CONCATENATE("MARCA: ",BDEGENER[[#This Row],[MARCA]],"
 MODELO: ",BDEGENER[[#This Row],[MODELO]])</f>
        <v>MARCA: GENERAC
 MODELO: RG022</v>
      </c>
      <c r="AS191" s="683" t="str">
        <f>CONCATENATE("MARCA: ",BDEGENER[[#This Row],[MARCA DE MOTOR]],"
SERIE: ",BDEGENER[[#This Row],[SERIE DE MOTOR]])</f>
        <v xml:space="preserve">MARCA: MITSUBISHI
SERIE: </v>
      </c>
      <c r="AT191" s="683" t="str">
        <f>CONCATENATE("MARCA: ",BDEGENER[[#This Row],[MARCA ALTERNADOR ]],"
SERIE: ",BDEGENER[[#This Row],[SERIE DE ALTERNADOR]])</f>
        <v xml:space="preserve">MARCA: GENERAC
SERIE: </v>
      </c>
      <c r="AU191" s="683" t="str">
        <f>CONCATENATE("HORAS: ",BDEGENER[[#This Row],[HORAS]],"
KW-HR: ",BDEGENER[[#This Row],[KW-HORA]],"
VOLT.BATERIA: ",BDEGENER[[#This Row],[VOLTAJE DE BATERIA]],"
TEMPERATURA: ",BDEGENER[[#This Row],[TEMPERATURA DE AGUA]],"
PRES. ACEITE: ",BDEGENER[[#This Row],[PRESION DE ACEITE]])</f>
        <v xml:space="preserve">HORAS: 5143,7
KW-HR: 
VOLT.BATERIA: 13.5 V
TEMPERATURA: 
PRES. ACEITE: </v>
      </c>
      <c r="AV191" s="683">
        <f>COUNTIFS(Q191:Q2191,"MANTENIMIENTO CORRECTIVO",Y191:Y2191,BDEGENER[[#This Row],[SERIE]])</f>
        <v>0</v>
      </c>
      <c r="AW191" s="683">
        <f>COUNTIFS(Q191:Q2191,"MANTENIMIENTO PREVENTIVO",Y191:Y2191,BDEGENER[[#This Row],[SERIE]])</f>
        <v>8</v>
      </c>
      <c r="AX19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191" s="683">
        <f>COUNTIFS(BDEGENER[SERIE],BDEGENER[[#This Row],[SERIE]],BDEGENER[TIPO DE SERVICIO],"MANTENIMIENTO PREVENTIVO")</f>
        <v>10</v>
      </c>
      <c r="AZ191" s="683" t="str">
        <f>CONCATENATE("MANTENIMIENTO PREVENTIVO N°",BDEGENER[[#This Row],[GA1]])</f>
        <v>MANTENIMIENTO PREVENTIVO N°10</v>
      </c>
      <c r="BA191" s="683" t="str">
        <f>IF(BDEGENER[[#This Row],[SERVICIO]]=BDEGENER[[#This Row],[GA2]],BDEGENER[[#This Row],[HORAS]],"0")</f>
        <v>0</v>
      </c>
      <c r="BB191" s="683">
        <f>SUMIF(BDEGENER[SERIE],BDEGENER[[#This Row],[SERIE]],BDEGENER[GA3])</f>
        <v>5559.8</v>
      </c>
      <c r="BC191" s="683" t="str">
        <f>CONCATENATE("MANT",COUNTIF($Y$7:Y191,Y191))</f>
        <v>MANT4</v>
      </c>
      <c r="BD191" s="683" t="str">
        <f>CONCATENATE(BDEGENER[[#This Row],[SERIE]],BDEGENER[[#This Row],[GA5]])</f>
        <v>3003415536MANT4</v>
      </c>
      <c r="BE191" s="683" t="str">
        <f>CONCATENATE(BDEGENER[[#This Row],[CODIGO PATRIMONIAL]],BDEGENER[[#This Row],[GA5]])</f>
        <v>SUR-GEG-0008MANT4</v>
      </c>
      <c r="BF191" s="683">
        <f>COUNTIF(BDEGENER[SERIE],BDEGENER[[#This Row],[SERIE]])</f>
        <v>12</v>
      </c>
      <c r="BG191" s="683" t="str">
        <f>CONCATENATE("F",COUNTIF($K$7:K191,K191))</f>
        <v>F7</v>
      </c>
      <c r="BH191" s="683" t="str">
        <f>CONCATENATE(BDEGENER[[#This Row],[FECHA DE SERVICIO]],BDEGENER[[#This Row],[N° DE REGISTROS DEL DIA]])</f>
        <v>44096F7</v>
      </c>
      <c r="BI191" s="684"/>
      <c r="BJ191" s="683" t="s">
        <v>1544</v>
      </c>
      <c r="BK191" s="762"/>
    </row>
    <row r="192" spans="2:63" ht="69" hidden="1" x14ac:dyDescent="0.3">
      <c r="B192" s="2"/>
      <c r="C192" s="2"/>
      <c r="D192" s="2"/>
      <c r="E192" s="2"/>
      <c r="F192" s="2"/>
      <c r="G192" s="2"/>
      <c r="H192" s="2"/>
      <c r="I192" s="2"/>
      <c r="J192" s="685"/>
      <c r="K192" s="682">
        <v>44095</v>
      </c>
      <c r="L192" s="683" t="s">
        <v>248</v>
      </c>
      <c r="M192" s="683" t="s">
        <v>1315</v>
      </c>
      <c r="N192" s="683" t="s">
        <v>1319</v>
      </c>
      <c r="O192" s="683"/>
      <c r="P192" s="688" t="s">
        <v>3348</v>
      </c>
      <c r="Q192" s="683" t="s">
        <v>37</v>
      </c>
      <c r="R192" s="683" t="s">
        <v>1782</v>
      </c>
      <c r="S192" s="686" t="s">
        <v>3349</v>
      </c>
      <c r="T192" s="683" t="s">
        <v>3350</v>
      </c>
      <c r="U192" s="683" t="s">
        <v>3351</v>
      </c>
      <c r="V192" s="683" t="s">
        <v>147</v>
      </c>
      <c r="W192" s="683" t="s">
        <v>914</v>
      </c>
      <c r="X192" s="691" t="s">
        <v>918</v>
      </c>
      <c r="Y192" s="687">
        <v>3005005007</v>
      </c>
      <c r="Z192" s="692">
        <v>24546</v>
      </c>
      <c r="AA192" s="683" t="s">
        <v>33</v>
      </c>
      <c r="AB192" s="683" t="s">
        <v>34</v>
      </c>
      <c r="AC192" s="683" t="s">
        <v>230</v>
      </c>
      <c r="AD192" s="683" t="s">
        <v>1123</v>
      </c>
      <c r="AE192" s="683">
        <v>60.1</v>
      </c>
      <c r="AF192" s="684">
        <v>2333.3000000000002</v>
      </c>
      <c r="AG192" s="683" t="s">
        <v>243</v>
      </c>
      <c r="AH192" s="683" t="s">
        <v>220</v>
      </c>
      <c r="AI192" s="683" t="s">
        <v>33</v>
      </c>
      <c r="AJ192" s="683">
        <v>3005065920</v>
      </c>
      <c r="AK192" s="683" t="s">
        <v>33</v>
      </c>
      <c r="AL192" s="683">
        <v>139546230</v>
      </c>
      <c r="AM192" s="683" t="s">
        <v>1094</v>
      </c>
      <c r="AN192" s="683" t="s">
        <v>1122</v>
      </c>
      <c r="AO192" s="683" t="s">
        <v>1146</v>
      </c>
      <c r="AP192" s="683" t="s">
        <v>240</v>
      </c>
      <c r="AQ192" s="688" t="str">
        <f>CONCATENATE("REG-",BDEGENER[[#This Row],[FECHA DE SERVICIO]],"-",BDEGENER[[#This Row],[SERIE]],"-",BDEGENER[[#This Row],[HORAS]])</f>
        <v>REG-44095-3005005007-2333,3</v>
      </c>
      <c r="AR192" s="683" t="str">
        <f>CONCATENATE("MARCA: ",BDEGENER[[#This Row],[MARCA]],"
 MODELO: ",BDEGENER[[#This Row],[MODELO]])</f>
        <v>MARCA: GENERAC
 MODELO: PG090</v>
      </c>
      <c r="AS192" s="683" t="str">
        <f>CONCATENATE("MARCA: ",BDEGENER[[#This Row],[MARCA DE MOTOR]],"
SERIE: ",BDEGENER[[#This Row],[SERIE DE MOTOR]])</f>
        <v>MARCA: GENERAC
SERIE: 3005065920</v>
      </c>
      <c r="AT192" s="683" t="str">
        <f>CONCATENATE("MARCA: ",BDEGENER[[#This Row],[MARCA ALTERNADOR ]],"
SERIE: ",BDEGENER[[#This Row],[SERIE DE ALTERNADOR]])</f>
        <v>MARCA: GENERAC
SERIE: 139546230</v>
      </c>
      <c r="AU192" s="683" t="str">
        <f>CONCATENATE("HORAS: ",BDEGENER[[#This Row],[HORAS]],"
KW-HR: ",BDEGENER[[#This Row],[KW-HORA]],"
VOLT.BATERIA: ",BDEGENER[[#This Row],[VOLTAJE DE BATERIA]],"
TEMPERATURA: ",BDEGENER[[#This Row],[TEMPERATURA DE AGUA]],"
PRES. ACEITE: ",BDEGENER[[#This Row],[PRESION DE ACEITE]])</f>
        <v>HORAS: 2333,3
KW-HR: 80673,7
VOLT.BATERIA: 13.5 V
TEMPERATURA: 195 °F
PRES. ACEITE: 62 PSI</v>
      </c>
      <c r="AV192" s="683">
        <f>COUNTIFS(Q192:Q2192,"MANTENIMIENTO CORRECTIVO",Y192:Y2192,BDEGENER[[#This Row],[SERIE]])</f>
        <v>1</v>
      </c>
      <c r="AW192" s="683">
        <f>COUNTIFS(Q192:Q2192,"MANTENIMIENTO PREVENTIVO",Y192:Y2192,BDEGENER[[#This Row],[SERIE]])</f>
        <v>7</v>
      </c>
      <c r="AX19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192" s="683">
        <f>COUNTIFS(BDEGENER[SERIE],BDEGENER[[#This Row],[SERIE]],BDEGENER[TIPO DE SERVICIO],"MANTENIMIENTO PREVENTIVO")</f>
        <v>7</v>
      </c>
      <c r="AZ192" s="683" t="str">
        <f>CONCATENATE("MANTENIMIENTO PREVENTIVO N°",BDEGENER[[#This Row],[GA1]])</f>
        <v>MANTENIMIENTO PREVENTIVO N°7</v>
      </c>
      <c r="BA192" s="683">
        <f>IF(BDEGENER[[#This Row],[SERVICIO]]=BDEGENER[[#This Row],[GA2]],BDEGENER[[#This Row],[HORAS]],"0")</f>
        <v>2333.3000000000002</v>
      </c>
      <c r="BB192" s="683">
        <f>SUMIF(BDEGENER[SERIE],BDEGENER[[#This Row],[SERIE]],BDEGENER[GA3])</f>
        <v>2333.3000000000002</v>
      </c>
      <c r="BC192" s="683" t="str">
        <f>CONCATENATE("MANT",COUNTIF($Y$7:Y192,Y192))</f>
        <v>MANT1</v>
      </c>
      <c r="BD192" s="683" t="str">
        <f>CONCATENATE(BDEGENER[[#This Row],[SERIE]],BDEGENER[[#This Row],[GA5]])</f>
        <v>3005005007MANT1</v>
      </c>
      <c r="BE192" s="683" t="str">
        <f>CONCATENATE(BDEGENER[[#This Row],[CODIGO PATRIMONIAL]],BDEGENER[[#This Row],[GA5]])</f>
        <v>24546MANT1</v>
      </c>
      <c r="BF192" s="683">
        <f>COUNTIF(BDEGENER[SERIE],BDEGENER[[#This Row],[SERIE]])</f>
        <v>11</v>
      </c>
      <c r="BG192" s="683" t="str">
        <f>CONCATENATE("F",COUNTIF($K$7:K192,K192))</f>
        <v>F1</v>
      </c>
      <c r="BH192" s="683" t="str">
        <f>CONCATENATE(BDEGENER[[#This Row],[FECHA DE SERVICIO]],BDEGENER[[#This Row],[N° DE REGISTROS DEL DIA]])</f>
        <v>44095F1</v>
      </c>
      <c r="BI192" s="684">
        <v>80673.7</v>
      </c>
      <c r="BJ192" s="683" t="s">
        <v>1544</v>
      </c>
      <c r="BK192" s="762" t="s">
        <v>2925</v>
      </c>
    </row>
    <row r="193" spans="2:63" ht="69" hidden="1" x14ac:dyDescent="0.3">
      <c r="B193" s="2"/>
      <c r="C193" s="2"/>
      <c r="D193" s="2"/>
      <c r="E193" s="2"/>
      <c r="F193" s="2"/>
      <c r="G193" s="2"/>
      <c r="H193" s="2"/>
      <c r="I193" s="2"/>
      <c r="J193" s="685"/>
      <c r="K193" s="682">
        <v>44093</v>
      </c>
      <c r="L193" s="683" t="s">
        <v>181</v>
      </c>
      <c r="M193" s="683" t="s">
        <v>3585</v>
      </c>
      <c r="N193" s="683" t="s">
        <v>3586</v>
      </c>
      <c r="O193" s="683"/>
      <c r="P193" s="683"/>
      <c r="Q193" s="683" t="s">
        <v>107</v>
      </c>
      <c r="R193" s="683" t="s">
        <v>1782</v>
      </c>
      <c r="S193" s="686" t="s">
        <v>3587</v>
      </c>
      <c r="T193" s="683" t="s">
        <v>3588</v>
      </c>
      <c r="U193" s="683" t="s">
        <v>3589</v>
      </c>
      <c r="V193" s="683" t="s">
        <v>147</v>
      </c>
      <c r="W193" s="683" t="s">
        <v>914</v>
      </c>
      <c r="X193" s="691" t="s">
        <v>917</v>
      </c>
      <c r="Y193" s="687">
        <v>9890344</v>
      </c>
      <c r="Z193" s="692" t="s">
        <v>159</v>
      </c>
      <c r="AA193" s="683" t="s">
        <v>33</v>
      </c>
      <c r="AB193" s="683" t="s">
        <v>3590</v>
      </c>
      <c r="AC193" s="683" t="s">
        <v>238</v>
      </c>
      <c r="AD193" s="683" t="s">
        <v>1123</v>
      </c>
      <c r="AE193" s="683">
        <v>60</v>
      </c>
      <c r="AF193" s="684">
        <v>8319.1</v>
      </c>
      <c r="AG193" s="683" t="s">
        <v>243</v>
      </c>
      <c r="AH193" s="683" t="s">
        <v>220</v>
      </c>
      <c r="AI193" s="683" t="s">
        <v>33</v>
      </c>
      <c r="AJ193" s="683" t="s">
        <v>3591</v>
      </c>
      <c r="AK193" s="683" t="s">
        <v>33</v>
      </c>
      <c r="AL193" s="683">
        <v>20649200100</v>
      </c>
      <c r="AM193" s="683" t="s">
        <v>245</v>
      </c>
      <c r="AN193" s="683" t="s">
        <v>1122</v>
      </c>
      <c r="AO193" s="683" t="s">
        <v>1374</v>
      </c>
      <c r="AP193" s="683" t="s">
        <v>240</v>
      </c>
      <c r="AQ193" s="688" t="str">
        <f>CONCATENATE("REG-",BDEGENER[[#This Row],[FECHA DE SERVICIO]],"-",BDEGENER[[#This Row],[SERIE]],"-",BDEGENER[[#This Row],[HORAS]])</f>
        <v>REG-44093-9890344-8319,1</v>
      </c>
      <c r="AR193" s="683" t="str">
        <f>CONCATENATE("MARCA: ",BDEGENER[[#This Row],[MARCA]],"
 MODELO: ",BDEGENER[[#This Row],[MODELO]])</f>
        <v>MARCA: GENERAC
 MODELO: PG0080</v>
      </c>
      <c r="AS193" s="683" t="str">
        <f>CONCATENATE("MARCA: ",BDEGENER[[#This Row],[MARCA DE MOTOR]],"
SERIE: ",BDEGENER[[#This Row],[SERIE DE MOTOR]])</f>
        <v>MARCA: GENERAC
SERIE: OJ2849</v>
      </c>
      <c r="AT193" s="683" t="str">
        <f>CONCATENATE("MARCA: ",BDEGENER[[#This Row],[MARCA ALTERNADOR ]],"
SERIE: ",BDEGENER[[#This Row],[SERIE DE ALTERNADOR]])</f>
        <v>MARCA: GENERAC
SERIE: 20649200100</v>
      </c>
      <c r="AU193" s="683" t="str">
        <f>CONCATENATE("HORAS: ",BDEGENER[[#This Row],[HORAS]],"
KW-HR: ",BDEGENER[[#This Row],[KW-HORA]],"
VOLT.BATERIA: ",BDEGENER[[#This Row],[VOLTAJE DE BATERIA]],"
TEMPERATURA: ",BDEGENER[[#This Row],[TEMPERATURA DE AGUA]],"
PRES. ACEITE: ",BDEGENER[[#This Row],[PRESION DE ACEITE]])</f>
        <v>HORAS: 8319,1
KW-HR: 138504,4
VOLT.BATERIA: 13.6 V
TEMPERATURA: 195 °F
PRES. ACEITE: 65 PSI</v>
      </c>
      <c r="AV193" s="761">
        <f>COUNTIFS(Q193:Q2193,"MANTENIMIENTO CORRECTIVO",Y193:Y2193,BDEGENER[[#This Row],[SERIE]])</f>
        <v>1</v>
      </c>
      <c r="AW193" s="761">
        <f>COUNTIFS(Q193:Q2193,"MANTENIMIENTO PREVENTIVO",Y193:Y2193,BDEGENER[[#This Row],[SERIE]])</f>
        <v>0</v>
      </c>
      <c r="AX19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93" s="683">
        <f>COUNTIFS(BDEGENER[SERIE],BDEGENER[[#This Row],[SERIE]],BDEGENER[TIPO DE SERVICIO],"MANTENIMIENTO PREVENTIVO")</f>
        <v>0</v>
      </c>
      <c r="AZ193" s="683" t="str">
        <f>CONCATENATE("MANTENIMIENTO PREVENTIVO N°",BDEGENER[[#This Row],[GA1]])</f>
        <v>MANTENIMIENTO PREVENTIVO N°0</v>
      </c>
      <c r="BA193" s="683" t="str">
        <f>IF(BDEGENER[[#This Row],[SERVICIO]]=BDEGENER[[#This Row],[GA2]],BDEGENER[[#This Row],[HORAS]],"0")</f>
        <v>0</v>
      </c>
      <c r="BB193" s="683">
        <f>SUMIF(BDEGENER[SERIE],BDEGENER[[#This Row],[SERIE]],BDEGENER[GA3])</f>
        <v>0</v>
      </c>
      <c r="BC193" s="761" t="str">
        <f>CONCATENATE("MANT",COUNTIF($Y$7:Y193,Y193))</f>
        <v>MANT1</v>
      </c>
      <c r="BD193" s="683" t="str">
        <f>CONCATENATE(BDEGENER[[#This Row],[SERIE]],BDEGENER[[#This Row],[GA5]])</f>
        <v>9890344MANT1</v>
      </c>
      <c r="BE193" s="683" t="str">
        <f>CONCATENATE(BDEGENER[[#This Row],[CODIGO PATRIMONIAL]],BDEGENER[[#This Row],[GA5]])</f>
        <v>MANT1</v>
      </c>
      <c r="BF193" s="683">
        <f>COUNTIF(BDEGENER[SERIE],BDEGENER[[#This Row],[SERIE]])</f>
        <v>1</v>
      </c>
      <c r="BG193" s="761" t="str">
        <f>CONCATENATE("F",COUNTIF($K$7:K193,K193))</f>
        <v>F1</v>
      </c>
      <c r="BH193" s="683" t="str">
        <f>CONCATENATE(BDEGENER[[#This Row],[FECHA DE SERVICIO]],BDEGENER[[#This Row],[N° DE REGISTROS DEL DIA]])</f>
        <v>44093F1</v>
      </c>
      <c r="BI193" s="684">
        <v>138504.4</v>
      </c>
      <c r="BJ193" s="683" t="s">
        <v>1544</v>
      </c>
      <c r="BK193" s="762" t="s">
        <v>2860</v>
      </c>
    </row>
    <row r="194" spans="2:63" ht="69" hidden="1" x14ac:dyDescent="0.3">
      <c r="B194" s="2"/>
      <c r="C194" s="2"/>
      <c r="D194" s="2"/>
      <c r="E194" s="2"/>
      <c r="F194" s="2"/>
      <c r="G194" s="2"/>
      <c r="H194" s="2"/>
      <c r="I194" s="2"/>
      <c r="J194" s="685"/>
      <c r="K194" s="682">
        <v>44093</v>
      </c>
      <c r="L194" s="683" t="s">
        <v>181</v>
      </c>
      <c r="M194" s="683" t="s">
        <v>185</v>
      </c>
      <c r="N194" s="683" t="s">
        <v>183</v>
      </c>
      <c r="O194" s="683"/>
      <c r="P194" s="683"/>
      <c r="Q194" s="683" t="s">
        <v>107</v>
      </c>
      <c r="R194" s="683" t="s">
        <v>1782</v>
      </c>
      <c r="S194" s="686" t="s">
        <v>3363</v>
      </c>
      <c r="T194" s="683" t="s">
        <v>2546</v>
      </c>
      <c r="U194" s="683" t="s">
        <v>3362</v>
      </c>
      <c r="V194" s="683"/>
      <c r="W194" s="683" t="s">
        <v>914</v>
      </c>
      <c r="X194" s="691" t="s">
        <v>918</v>
      </c>
      <c r="Y194" s="687">
        <v>3004402506</v>
      </c>
      <c r="Z194" s="692"/>
      <c r="AA194" s="683" t="s">
        <v>33</v>
      </c>
      <c r="AB194" s="683" t="s">
        <v>34</v>
      </c>
      <c r="AC194" s="683" t="s">
        <v>230</v>
      </c>
      <c r="AD194" s="683" t="s">
        <v>1110</v>
      </c>
      <c r="AE194" s="683">
        <v>60</v>
      </c>
      <c r="AF194" s="684">
        <v>2582.8000000000002</v>
      </c>
      <c r="AG194" s="683" t="s">
        <v>243</v>
      </c>
      <c r="AH194" s="683" t="s">
        <v>220</v>
      </c>
      <c r="AI194" s="683" t="s">
        <v>33</v>
      </c>
      <c r="AJ194" s="683">
        <v>3004333866</v>
      </c>
      <c r="AK194" s="683" t="s">
        <v>33</v>
      </c>
      <c r="AL194" s="683">
        <v>1063100</v>
      </c>
      <c r="AM194" s="683"/>
      <c r="AN194" s="683"/>
      <c r="AO194" s="683"/>
      <c r="AP194" s="683" t="s">
        <v>240</v>
      </c>
      <c r="AQ194" s="683" t="str">
        <f>CONCATENATE("REG-",BDEGENER[[#This Row],[FECHA DE SERVICIO]],"-",BDEGENER[[#This Row],[SERIE]],"-",BDEGENER[[#This Row],[HORAS]])</f>
        <v>REG-44093-3004402506-2582,8</v>
      </c>
      <c r="AR194" s="683" t="str">
        <f>CONCATENATE("MARCA: ",BDEGENER[[#This Row],[MARCA]],"
 MODELO: ",BDEGENER[[#This Row],[MODELO]])</f>
        <v>MARCA: GENERAC
 MODELO: PG090</v>
      </c>
      <c r="AS194" s="683" t="str">
        <f>CONCATENATE("MARCA: ",BDEGENER[[#This Row],[MARCA DE MOTOR]],"
SERIE: ",BDEGENER[[#This Row],[SERIE DE MOTOR]])</f>
        <v>MARCA: GENERAC
SERIE: 3004333866</v>
      </c>
      <c r="AT194" s="683" t="str">
        <f>CONCATENATE("MARCA: ",BDEGENER[[#This Row],[MARCA ALTERNADOR ]],"
SERIE: ",BDEGENER[[#This Row],[SERIE DE ALTERNADOR]])</f>
        <v>MARCA: GENERAC
SERIE: 1063100</v>
      </c>
      <c r="AU194" s="683" t="str">
        <f>CONCATENATE("HORAS: ",BDEGENER[[#This Row],[HORAS]],"
KW-HR: ",BDEGENER[[#This Row],[KW-HORA]],"
VOLT.BATERIA: ",BDEGENER[[#This Row],[VOLTAJE DE BATERIA]],"
TEMPERATURA: ",BDEGENER[[#This Row],[TEMPERATURA DE AGUA]],"
PRES. ACEITE: ",BDEGENER[[#This Row],[PRESION DE ACEITE]])</f>
        <v xml:space="preserve">HORAS: 2582,8
KW-HR: 63275,4
VOLT.BATERIA: 
TEMPERATURA: 
PRES. ACEITE: </v>
      </c>
      <c r="AV194" s="683">
        <f>COUNTIFS(Q194:Q2194,"MANTENIMIENTO CORRECTIVO",Y194:Y2194,BDEGENER[[#This Row],[SERIE]])</f>
        <v>3</v>
      </c>
      <c r="AW194" s="683">
        <f>COUNTIFS(Q194:Q2194,"MANTENIMIENTO PREVENTIVO",Y194:Y2194,BDEGENER[[#This Row],[SERIE]])</f>
        <v>7</v>
      </c>
      <c r="AX19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194" s="683">
        <f>COUNTIFS(BDEGENER[SERIE],BDEGENER[[#This Row],[SERIE]],BDEGENER[TIPO DE SERVICIO],"MANTENIMIENTO PREVENTIVO")</f>
        <v>8</v>
      </c>
      <c r="AZ194" s="683" t="str">
        <f>CONCATENATE("MANTENIMIENTO PREVENTIVO N°",BDEGENER[[#This Row],[GA1]])</f>
        <v>MANTENIMIENTO PREVENTIVO N°8</v>
      </c>
      <c r="BA194" s="683" t="str">
        <f>IF(BDEGENER[[#This Row],[SERVICIO]]=BDEGENER[[#This Row],[GA2]],BDEGENER[[#This Row],[HORAS]],"0")</f>
        <v>0</v>
      </c>
      <c r="BB194" s="683">
        <f>SUMIF(BDEGENER[SERIE],BDEGENER[[#This Row],[SERIE]],BDEGENER[GA3])</f>
        <v>2907.9</v>
      </c>
      <c r="BC194" s="683" t="str">
        <f>CONCATENATE("MANT",COUNTIF($Y$7:Y194,Y194))</f>
        <v>MANT3</v>
      </c>
      <c r="BD194" s="683" t="str">
        <f>CONCATENATE(BDEGENER[[#This Row],[SERIE]],BDEGENER[[#This Row],[GA5]])</f>
        <v>3004402506MANT3</v>
      </c>
      <c r="BE194" s="683" t="str">
        <f>CONCATENATE(BDEGENER[[#This Row],[CODIGO PATRIMONIAL]],BDEGENER[[#This Row],[GA5]])</f>
        <v>MANT3</v>
      </c>
      <c r="BF194" s="683">
        <f>COUNTIF(BDEGENER[SERIE],BDEGENER[[#This Row],[SERIE]])</f>
        <v>14</v>
      </c>
      <c r="BG194" s="683" t="str">
        <f>CONCATENATE("F",COUNTIF($K$7:K194,K194))</f>
        <v>F2</v>
      </c>
      <c r="BH194" s="683" t="str">
        <f>CONCATENATE(BDEGENER[[#This Row],[FECHA DE SERVICIO]],BDEGENER[[#This Row],[N° DE REGISTROS DEL DIA]])</f>
        <v>44093F2</v>
      </c>
      <c r="BI194" s="684">
        <v>63275.4</v>
      </c>
      <c r="BJ194" s="683" t="s">
        <v>1544</v>
      </c>
      <c r="BK194" s="762"/>
    </row>
    <row r="195" spans="2:63" ht="69" hidden="1" x14ac:dyDescent="0.3">
      <c r="B195" s="2"/>
      <c r="C195" s="2"/>
      <c r="D195" s="2"/>
      <c r="E195" s="2"/>
      <c r="F195" s="2"/>
      <c r="G195" s="2"/>
      <c r="H195" s="2"/>
      <c r="I195" s="2"/>
      <c r="J195" s="685"/>
      <c r="K195" s="682">
        <v>44092</v>
      </c>
      <c r="L195" s="683" t="s">
        <v>181</v>
      </c>
      <c r="M195" s="683" t="s">
        <v>187</v>
      </c>
      <c r="N195" s="683" t="s">
        <v>183</v>
      </c>
      <c r="O195" s="683"/>
      <c r="P195" s="683"/>
      <c r="Q195" s="683" t="s">
        <v>107</v>
      </c>
      <c r="R195" s="683" t="s">
        <v>1782</v>
      </c>
      <c r="S195" s="686" t="s">
        <v>3302</v>
      </c>
      <c r="T195" s="683" t="s">
        <v>3303</v>
      </c>
      <c r="U195" s="683" t="s">
        <v>3304</v>
      </c>
      <c r="V195" s="683" t="s">
        <v>146</v>
      </c>
      <c r="W195" s="683" t="s">
        <v>914</v>
      </c>
      <c r="X195" s="691" t="s">
        <v>918</v>
      </c>
      <c r="Y195" s="687">
        <v>3004214491</v>
      </c>
      <c r="Z195" s="692"/>
      <c r="AA195" s="683" t="s">
        <v>33</v>
      </c>
      <c r="AB195" s="683" t="s">
        <v>34</v>
      </c>
      <c r="AC195" s="683" t="s">
        <v>230</v>
      </c>
      <c r="AD195" s="683"/>
      <c r="AE195" s="683"/>
      <c r="AF195" s="684">
        <v>2114.6999999999998</v>
      </c>
      <c r="AG195" s="683" t="s">
        <v>243</v>
      </c>
      <c r="AH195" s="683" t="s">
        <v>244</v>
      </c>
      <c r="AI195" s="683" t="s">
        <v>33</v>
      </c>
      <c r="AJ195" s="683">
        <v>3004133600</v>
      </c>
      <c r="AK195" s="683" t="s">
        <v>33</v>
      </c>
      <c r="AL195" s="683">
        <v>1063014</v>
      </c>
      <c r="AM195" s="683"/>
      <c r="AN195" s="683"/>
      <c r="AO195" s="683"/>
      <c r="AP195" s="683" t="s">
        <v>240</v>
      </c>
      <c r="AQ195" s="688" t="str">
        <f>CONCATENATE("REG-",BDEGENER[[#This Row],[FECHA DE SERVICIO]],"-",BDEGENER[[#This Row],[SERIE]],"-",BDEGENER[[#This Row],[HORAS]])</f>
        <v>REG-44092-3004214491-2114,7</v>
      </c>
      <c r="AR195" s="683" t="str">
        <f>CONCATENATE("MARCA: ",BDEGENER[[#This Row],[MARCA]],"
 MODELO: ",BDEGENER[[#This Row],[MODELO]])</f>
        <v>MARCA: GENERAC
 MODELO: PG090</v>
      </c>
      <c r="AS195" s="683" t="str">
        <f>CONCATENATE("MARCA: ",BDEGENER[[#This Row],[MARCA DE MOTOR]],"
SERIE: ",BDEGENER[[#This Row],[SERIE DE MOTOR]])</f>
        <v>MARCA: GENERAC
SERIE: 3004133600</v>
      </c>
      <c r="AT195" s="683" t="str">
        <f>CONCATENATE("MARCA: ",BDEGENER[[#This Row],[MARCA ALTERNADOR ]],"
SERIE: ",BDEGENER[[#This Row],[SERIE DE ALTERNADOR]])</f>
        <v>MARCA: GENERAC
SERIE: 1063014</v>
      </c>
      <c r="AU195" s="683" t="str">
        <f>CONCATENATE("HORAS: ",BDEGENER[[#This Row],[HORAS]],"
KW-HR: ",BDEGENER[[#This Row],[KW-HORA]],"
VOLT.BATERIA: ",BDEGENER[[#This Row],[VOLTAJE DE BATERIA]],"
TEMPERATURA: ",BDEGENER[[#This Row],[TEMPERATURA DE AGUA]],"
PRES. ACEITE: ",BDEGENER[[#This Row],[PRESION DE ACEITE]])</f>
        <v xml:space="preserve">HORAS: 2114,7
KW-HR: 32329,9
VOLT.BATERIA: 
TEMPERATURA: 
PRES. ACEITE: </v>
      </c>
      <c r="AV195" s="683">
        <f>COUNTIFS(Q195:Q2195,"MANTENIMIENTO CORRECTIVO",Y195:Y2195,BDEGENER[[#This Row],[SERIE]])</f>
        <v>6</v>
      </c>
      <c r="AW195" s="683">
        <f>COUNTIFS(Q195:Q2195,"MANTENIMIENTO PREVENTIVO",Y195:Y2195,BDEGENER[[#This Row],[SERIE]])</f>
        <v>7</v>
      </c>
      <c r="AX19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N°6</v>
      </c>
      <c r="AY195" s="683">
        <f>COUNTIFS(BDEGENER[SERIE],BDEGENER[[#This Row],[SERIE]],BDEGENER[TIPO DE SERVICIO],"MANTENIMIENTO PREVENTIVO")</f>
        <v>9</v>
      </c>
      <c r="AZ195" s="683" t="str">
        <f>CONCATENATE("MANTENIMIENTO PREVENTIVO N°",BDEGENER[[#This Row],[GA1]])</f>
        <v>MANTENIMIENTO PREVENTIVO N°9</v>
      </c>
      <c r="BA195" s="683" t="str">
        <f>IF(BDEGENER[[#This Row],[SERVICIO]]=BDEGENER[[#This Row],[GA2]],BDEGENER[[#This Row],[HORAS]],"0")</f>
        <v>0</v>
      </c>
      <c r="BB195" s="683">
        <f>SUMIF(BDEGENER[SERIE],BDEGENER[[#This Row],[SERIE]],BDEGENER[GA3])</f>
        <v>2751</v>
      </c>
      <c r="BC195" s="683" t="str">
        <f>CONCATENATE("MANT",COUNTIF($Y$7:Y195,Y195))</f>
        <v>MANT3</v>
      </c>
      <c r="BD195" s="683" t="str">
        <f>CONCATENATE(BDEGENER[[#This Row],[SERIE]],BDEGENER[[#This Row],[GA5]])</f>
        <v>3004214491MANT3</v>
      </c>
      <c r="BE195" s="683" t="str">
        <f>CONCATENATE(BDEGENER[[#This Row],[CODIGO PATRIMONIAL]],BDEGENER[[#This Row],[GA5]])</f>
        <v>MANT3</v>
      </c>
      <c r="BF195" s="683">
        <f>COUNTIF(BDEGENER[SERIE],BDEGENER[[#This Row],[SERIE]])</f>
        <v>18</v>
      </c>
      <c r="BG195" s="683" t="str">
        <f>CONCATENATE("F",COUNTIF($K$7:K195,K195))</f>
        <v>F1</v>
      </c>
      <c r="BH195" s="683" t="str">
        <f>CONCATENATE(BDEGENER[[#This Row],[FECHA DE SERVICIO]],BDEGENER[[#This Row],[N° DE REGISTROS DEL DIA]])</f>
        <v>44092F1</v>
      </c>
      <c r="BI195" s="684">
        <v>32329.9</v>
      </c>
      <c r="BJ195" s="683" t="s">
        <v>1544</v>
      </c>
      <c r="BK195" s="762"/>
    </row>
    <row r="196" spans="2:63" ht="69" hidden="1" x14ac:dyDescent="0.3">
      <c r="B196" s="2"/>
      <c r="C196" s="2"/>
      <c r="D196" s="2"/>
      <c r="E196" s="2"/>
      <c r="F196" s="2"/>
      <c r="G196" s="2"/>
      <c r="H196" s="2"/>
      <c r="I196" s="2"/>
      <c r="J196" s="685"/>
      <c r="K196" s="682">
        <v>44092</v>
      </c>
      <c r="L196" s="683" t="s">
        <v>791</v>
      </c>
      <c r="M196" s="683" t="s">
        <v>1174</v>
      </c>
      <c r="N196" s="683" t="s">
        <v>793</v>
      </c>
      <c r="O196" s="683"/>
      <c r="P196" s="683"/>
      <c r="Q196" s="683" t="s">
        <v>37</v>
      </c>
      <c r="R196" s="683" t="s">
        <v>1782</v>
      </c>
      <c r="S196" s="686" t="s">
        <v>3605</v>
      </c>
      <c r="T196" s="683" t="s">
        <v>3606</v>
      </c>
      <c r="U196" s="683"/>
      <c r="V196" s="683" t="s">
        <v>150</v>
      </c>
      <c r="W196" s="683" t="s">
        <v>914</v>
      </c>
      <c r="X196" s="691" t="s">
        <v>917</v>
      </c>
      <c r="Y196" s="687" t="s">
        <v>3607</v>
      </c>
      <c r="Z196" s="692" t="s">
        <v>159</v>
      </c>
      <c r="AA196" s="683" t="s">
        <v>159</v>
      </c>
      <c r="AB196" s="683" t="s">
        <v>159</v>
      </c>
      <c r="AC196" s="683" t="s">
        <v>1445</v>
      </c>
      <c r="AD196" s="683"/>
      <c r="AE196" s="683"/>
      <c r="AF196" s="684">
        <v>84.42</v>
      </c>
      <c r="AG196" s="683" t="s">
        <v>159</v>
      </c>
      <c r="AH196" s="683" t="s">
        <v>159</v>
      </c>
      <c r="AI196" s="683" t="s">
        <v>844</v>
      </c>
      <c r="AJ196" s="683" t="s">
        <v>3607</v>
      </c>
      <c r="AK196" s="683" t="s">
        <v>1448</v>
      </c>
      <c r="AL196" s="683" t="s">
        <v>3608</v>
      </c>
      <c r="AM196" s="683"/>
      <c r="AN196" s="683"/>
      <c r="AO196" s="683"/>
      <c r="AP196" s="683" t="s">
        <v>240</v>
      </c>
      <c r="AQ196" s="688" t="str">
        <f>CONCATENATE("REG-",BDEGENER[[#This Row],[FECHA DE SERVICIO]],"-",BDEGENER[[#This Row],[SERIE]],"-",BDEGENER[[#This Row],[HORAS]])</f>
        <v>REG-44092-U7517796-84,42</v>
      </c>
      <c r="AR196" s="683" t="str">
        <f>CONCATENATE("MARCA: ",BDEGENER[[#This Row],[MARCA]],"
 MODELO: ",BDEGENER[[#This Row],[MODELO]])</f>
        <v xml:space="preserve">MARCA: 
 MODELO: </v>
      </c>
      <c r="AS196" s="683" t="str">
        <f>CONCATENATE("MARCA: ",BDEGENER[[#This Row],[MARCA DE MOTOR]],"
SERIE: ",BDEGENER[[#This Row],[SERIE DE MOTOR]])</f>
        <v>MARCA: PERKINS
SERIE: U7517796</v>
      </c>
      <c r="AT196" s="683" t="str">
        <f>CONCATENATE("MARCA: ",BDEGENER[[#This Row],[MARCA ALTERNADOR ]],"
SERIE: ",BDEGENER[[#This Row],[SERIE DE ALTERNADOR]])</f>
        <v>MARCA: LEROY SOMER
SERIE: N4100/1</v>
      </c>
      <c r="AU196" s="683" t="str">
        <f>CONCATENATE("HORAS: ",BDEGENER[[#This Row],[HORAS]],"
KW-HR: ",BDEGENER[[#This Row],[KW-HORA]],"
VOLT.BATERIA: ",BDEGENER[[#This Row],[VOLTAJE DE BATERIA]],"
TEMPERATURA: ",BDEGENER[[#This Row],[TEMPERATURA DE AGUA]],"
PRES. ACEITE: ",BDEGENER[[#This Row],[PRESION DE ACEITE]])</f>
        <v xml:space="preserve">HORAS: 84,42
KW-HR: 
VOLT.BATERIA: 
TEMPERATURA: 
PRES. ACEITE: </v>
      </c>
      <c r="AV196" s="761">
        <f>COUNTIFS(Q196:Q2196,"MANTENIMIENTO CORRECTIVO",Y196:Y2196,BDEGENER[[#This Row],[SERIE]])</f>
        <v>0</v>
      </c>
      <c r="AW196" s="761">
        <f>COUNTIFS(Q196:Q2196,"MANTENIMIENTO PREVENTIVO",Y196:Y2196,BDEGENER[[#This Row],[SERIE]])</f>
        <v>1</v>
      </c>
      <c r="AX19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96" s="683">
        <f>COUNTIFS(BDEGENER[SERIE],BDEGENER[[#This Row],[SERIE]],BDEGENER[TIPO DE SERVICIO],"MANTENIMIENTO PREVENTIVO")</f>
        <v>1</v>
      </c>
      <c r="AZ196" s="683" t="str">
        <f>CONCATENATE("MANTENIMIENTO PREVENTIVO N°",BDEGENER[[#This Row],[GA1]])</f>
        <v>MANTENIMIENTO PREVENTIVO N°1</v>
      </c>
      <c r="BA196" s="683">
        <f>IF(BDEGENER[[#This Row],[SERVICIO]]=BDEGENER[[#This Row],[GA2]],BDEGENER[[#This Row],[HORAS]],"0")</f>
        <v>84.42</v>
      </c>
      <c r="BB196" s="683">
        <f>SUMIF(BDEGENER[SERIE],BDEGENER[[#This Row],[SERIE]],BDEGENER[GA3])</f>
        <v>84.42</v>
      </c>
      <c r="BC196" s="761" t="str">
        <f>CONCATENATE("MANT",COUNTIF($Y$7:Y196,Y196))</f>
        <v>MANT1</v>
      </c>
      <c r="BD196" s="683" t="str">
        <f>CONCATENATE(BDEGENER[[#This Row],[SERIE]],BDEGENER[[#This Row],[GA5]])</f>
        <v>U7517796MANT1</v>
      </c>
      <c r="BE196" s="683" t="str">
        <f>CONCATENATE(BDEGENER[[#This Row],[CODIGO PATRIMONIAL]],BDEGENER[[#This Row],[GA5]])</f>
        <v>MANT1</v>
      </c>
      <c r="BF196" s="683">
        <f>COUNTIF(BDEGENER[SERIE],BDEGENER[[#This Row],[SERIE]])</f>
        <v>1</v>
      </c>
      <c r="BG196" s="761" t="str">
        <f>CONCATENATE("F",COUNTIF($K$7:K196,K196))</f>
        <v>F2</v>
      </c>
      <c r="BH196" s="683" t="str">
        <f>CONCATENATE(BDEGENER[[#This Row],[FECHA DE SERVICIO]],BDEGENER[[#This Row],[N° DE REGISTROS DEL DIA]])</f>
        <v>44092F2</v>
      </c>
      <c r="BI196" s="684"/>
      <c r="BJ196" s="683" t="s">
        <v>1544</v>
      </c>
      <c r="BK196" s="762"/>
    </row>
    <row r="197" spans="2:63" ht="69" hidden="1" x14ac:dyDescent="0.3">
      <c r="B197" s="2"/>
      <c r="C197" s="2"/>
      <c r="D197" s="2"/>
      <c r="E197" s="2"/>
      <c r="F197" s="2"/>
      <c r="G197" s="2"/>
      <c r="H197" s="2"/>
      <c r="I197" s="2"/>
      <c r="J197" s="685"/>
      <c r="K197" s="682">
        <v>44092</v>
      </c>
      <c r="L197" s="683" t="s">
        <v>791</v>
      </c>
      <c r="M197" s="683" t="s">
        <v>1174</v>
      </c>
      <c r="N197" s="683" t="s">
        <v>793</v>
      </c>
      <c r="O197" s="683"/>
      <c r="P197" s="683"/>
      <c r="Q197" s="683" t="s">
        <v>37</v>
      </c>
      <c r="R197" s="683" t="s">
        <v>1782</v>
      </c>
      <c r="S197" s="686" t="s">
        <v>3604</v>
      </c>
      <c r="T197" s="683" t="s">
        <v>2546</v>
      </c>
      <c r="U197" s="683"/>
      <c r="V197" s="683" t="s">
        <v>150</v>
      </c>
      <c r="W197" s="683" t="s">
        <v>914</v>
      </c>
      <c r="X197" s="691" t="s">
        <v>917</v>
      </c>
      <c r="Y197" s="687" t="s">
        <v>836</v>
      </c>
      <c r="Z197" s="692"/>
      <c r="AA197" s="683" t="s">
        <v>841</v>
      </c>
      <c r="AB197" s="683" t="s">
        <v>1171</v>
      </c>
      <c r="AC197" s="683" t="s">
        <v>852</v>
      </c>
      <c r="AD197" s="683"/>
      <c r="AE197" s="683"/>
      <c r="AF197" s="684">
        <v>119.6</v>
      </c>
      <c r="AG197" s="683"/>
      <c r="AH197" s="683"/>
      <c r="AI197" s="683" t="s">
        <v>841</v>
      </c>
      <c r="AJ197" s="683" t="s">
        <v>861</v>
      </c>
      <c r="AK197" s="683" t="s">
        <v>841</v>
      </c>
      <c r="AL197" s="683" t="s">
        <v>836</v>
      </c>
      <c r="AM197" s="683"/>
      <c r="AN197" s="683"/>
      <c r="AO197" s="683"/>
      <c r="AP197" s="683" t="s">
        <v>240</v>
      </c>
      <c r="AQ197" s="688" t="str">
        <f>CONCATENATE("REG-",BDEGENER[[#This Row],[FECHA DE SERVICIO]],"-",BDEGENER[[#This Row],[SERIE]],"-",BDEGENER[[#This Row],[HORAS]])</f>
        <v>REG-44092-6JA02715-119,6</v>
      </c>
      <c r="AR197" s="683" t="str">
        <f>CONCATENATE("MARCA: ",BDEGENER[[#This Row],[MARCA]],"
 MODELO: ",BDEGENER[[#This Row],[MODELO]])</f>
        <v>MARCA: CATERPILLAR
 MODELO: SR4</v>
      </c>
      <c r="AS197" s="683" t="str">
        <f>CONCATENATE("MARCA: ",BDEGENER[[#This Row],[MARCA DE MOTOR]],"
SERIE: ",BDEGENER[[#This Row],[SERIE DE MOTOR]])</f>
        <v>MARCA: CATERPILLAR
SERIE: 30A04135</v>
      </c>
      <c r="AT197" s="683" t="str">
        <f>CONCATENATE("MARCA: ",BDEGENER[[#This Row],[MARCA ALTERNADOR ]],"
SERIE: ",BDEGENER[[#This Row],[SERIE DE ALTERNADOR]])</f>
        <v>MARCA: CATERPILLAR
SERIE: 6JA02715</v>
      </c>
      <c r="AU197" s="683" t="str">
        <f>CONCATENATE("HORAS: ",BDEGENER[[#This Row],[HORAS]],"
KW-HR: ",BDEGENER[[#This Row],[KW-HORA]],"
VOLT.BATERIA: ",BDEGENER[[#This Row],[VOLTAJE DE BATERIA]],"
TEMPERATURA: ",BDEGENER[[#This Row],[TEMPERATURA DE AGUA]],"
PRES. ACEITE: ",BDEGENER[[#This Row],[PRESION DE ACEITE]])</f>
        <v xml:space="preserve">HORAS: 119,6
KW-HR: 
VOLT.BATERIA: 
TEMPERATURA: 
PRES. ACEITE: </v>
      </c>
      <c r="AV197" s="683">
        <f>COUNTIFS(Q197:Q2197,"MANTENIMIENTO CORRECTIVO",Y197:Y2197,BDEGENER[[#This Row],[SERIE]])</f>
        <v>1</v>
      </c>
      <c r="AW197" s="683">
        <f>COUNTIFS(Q197:Q2197,"MANTENIMIENTO PREVENTIVO",Y197:Y2197,BDEGENER[[#This Row],[SERIE]])</f>
        <v>4</v>
      </c>
      <c r="AX19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197" s="683">
        <f>COUNTIFS(BDEGENER[SERIE],BDEGENER[[#This Row],[SERIE]],BDEGENER[TIPO DE SERVICIO],"MANTENIMIENTO PREVENTIVO")</f>
        <v>4</v>
      </c>
      <c r="AZ197" s="683" t="str">
        <f>CONCATENATE("MANTENIMIENTO PREVENTIVO N°",BDEGENER[[#This Row],[GA1]])</f>
        <v>MANTENIMIENTO PREVENTIVO N°4</v>
      </c>
      <c r="BA197" s="683">
        <f>IF(BDEGENER[[#This Row],[SERVICIO]]=BDEGENER[[#This Row],[GA2]],BDEGENER[[#This Row],[HORAS]],"0")</f>
        <v>119.6</v>
      </c>
      <c r="BB197" s="683">
        <f>SUMIF(BDEGENER[SERIE],BDEGENER[[#This Row],[SERIE]],BDEGENER[GA3])</f>
        <v>119.6</v>
      </c>
      <c r="BC197" s="683" t="str">
        <f>CONCATENATE("MANT",COUNTIF($Y$7:Y197,Y197))</f>
        <v>MANT1</v>
      </c>
      <c r="BD197" s="683" t="str">
        <f>CONCATENATE(BDEGENER[[#This Row],[SERIE]],BDEGENER[[#This Row],[GA5]])</f>
        <v>6JA02715MANT1</v>
      </c>
      <c r="BE197" s="683" t="str">
        <f>CONCATENATE(BDEGENER[[#This Row],[CODIGO PATRIMONIAL]],BDEGENER[[#This Row],[GA5]])</f>
        <v>MANT1</v>
      </c>
      <c r="BF197" s="683">
        <f>COUNTIF(BDEGENER[SERIE],BDEGENER[[#This Row],[SERIE]])</f>
        <v>6</v>
      </c>
      <c r="BG197" s="683" t="str">
        <f>CONCATENATE("F",COUNTIF($K$7:K197,K197))</f>
        <v>F3</v>
      </c>
      <c r="BH197" s="683" t="str">
        <f>CONCATENATE(BDEGENER[[#This Row],[FECHA DE SERVICIO]],BDEGENER[[#This Row],[N° DE REGISTROS DEL DIA]])</f>
        <v>44092F3</v>
      </c>
      <c r="BI197" s="684"/>
      <c r="BJ197" s="683" t="s">
        <v>1544</v>
      </c>
      <c r="BK197" s="762"/>
    </row>
    <row r="198" spans="2:63" ht="69" hidden="1" x14ac:dyDescent="0.3">
      <c r="B198" s="2"/>
      <c r="C198" s="2"/>
      <c r="D198" s="2"/>
      <c r="E198" s="2"/>
      <c r="F198" s="2"/>
      <c r="G198" s="2"/>
      <c r="H198" s="2"/>
      <c r="I198" s="2"/>
      <c r="J198" s="685"/>
      <c r="K198" s="682">
        <v>44092</v>
      </c>
      <c r="L198" s="683" t="s">
        <v>181</v>
      </c>
      <c r="M198" s="683" t="s">
        <v>190</v>
      </c>
      <c r="N198" s="683" t="s">
        <v>183</v>
      </c>
      <c r="O198" s="683"/>
      <c r="P198" s="683"/>
      <c r="Q198" s="683" t="s">
        <v>2037</v>
      </c>
      <c r="R198" s="683" t="s">
        <v>1782</v>
      </c>
      <c r="S198" s="686" t="s">
        <v>3305</v>
      </c>
      <c r="T198" s="683" t="s">
        <v>3303</v>
      </c>
      <c r="U198" s="683" t="s">
        <v>3141</v>
      </c>
      <c r="V198" s="683" t="s">
        <v>146</v>
      </c>
      <c r="W198" s="683" t="s">
        <v>914</v>
      </c>
      <c r="X198" s="691" t="s">
        <v>918</v>
      </c>
      <c r="Y198" s="687">
        <v>3004381438</v>
      </c>
      <c r="Z198" s="692"/>
      <c r="AA198" s="683" t="s">
        <v>33</v>
      </c>
      <c r="AB198" s="683" t="s">
        <v>34</v>
      </c>
      <c r="AC198" s="683" t="s">
        <v>230</v>
      </c>
      <c r="AD198" s="683" t="s">
        <v>1111</v>
      </c>
      <c r="AE198" s="683">
        <v>60</v>
      </c>
      <c r="AF198" s="684">
        <v>2528.1</v>
      </c>
      <c r="AG198" s="683" t="s">
        <v>243</v>
      </c>
      <c r="AH198" s="683" t="s">
        <v>220</v>
      </c>
      <c r="AI198" s="683" t="s">
        <v>33</v>
      </c>
      <c r="AJ198" s="683">
        <v>3004333873</v>
      </c>
      <c r="AK198" s="683" t="s">
        <v>33</v>
      </c>
      <c r="AL198" s="683">
        <v>106309650</v>
      </c>
      <c r="AM198" s="683"/>
      <c r="AN198" s="683"/>
      <c r="AO198" s="683"/>
      <c r="AP198" s="683" t="s">
        <v>240</v>
      </c>
      <c r="AQ198" s="683" t="str">
        <f>CONCATENATE("REG-",BDEGENER[[#This Row],[FECHA DE SERVICIO]],"-",BDEGENER[[#This Row],[SERIE]],"-",BDEGENER[[#This Row],[HORAS]])</f>
        <v>REG-44092-3004381438-2528,1</v>
      </c>
      <c r="AR198" s="683" t="str">
        <f>CONCATENATE("MARCA: ",BDEGENER[[#This Row],[MARCA]],"
 MODELO: ",BDEGENER[[#This Row],[MODELO]])</f>
        <v>MARCA: GENERAC
 MODELO: PG090</v>
      </c>
      <c r="AS198" s="683" t="str">
        <f>CONCATENATE("MARCA: ",BDEGENER[[#This Row],[MARCA DE MOTOR]],"
SERIE: ",BDEGENER[[#This Row],[SERIE DE MOTOR]])</f>
        <v>MARCA: GENERAC
SERIE: 3004333873</v>
      </c>
      <c r="AT198" s="683" t="str">
        <f>CONCATENATE("MARCA: ",BDEGENER[[#This Row],[MARCA ALTERNADOR ]],"
SERIE: ",BDEGENER[[#This Row],[SERIE DE ALTERNADOR]])</f>
        <v>MARCA: GENERAC
SERIE: 106309650</v>
      </c>
      <c r="AU198" s="683" t="str">
        <f>CONCATENATE("HORAS: ",BDEGENER[[#This Row],[HORAS]],"
KW-HR: ",BDEGENER[[#This Row],[KW-HORA]],"
VOLT.BATERIA: ",BDEGENER[[#This Row],[VOLTAJE DE BATERIA]],"
TEMPERATURA: ",BDEGENER[[#This Row],[TEMPERATURA DE AGUA]],"
PRES. ACEITE: ",BDEGENER[[#This Row],[PRESION DE ACEITE]])</f>
        <v xml:space="preserve">HORAS: 2528,1
KW-HR: 
VOLT.BATERIA: 
TEMPERATURA: 
PRES. ACEITE: </v>
      </c>
      <c r="AV198" s="683">
        <f>COUNTIFS(Q198:Q2198,"MANTENIMIENTO CORRECTIVO",Y198:Y2198,BDEGENER[[#This Row],[SERIE]])</f>
        <v>1</v>
      </c>
      <c r="AW198" s="683">
        <f>COUNTIFS(Q198:Q2198,"MANTENIMIENTO PREVENTIVO",Y198:Y2198,BDEGENER[[#This Row],[SERIE]])</f>
        <v>8</v>
      </c>
      <c r="AX19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198" s="683">
        <f>COUNTIFS(BDEGENER[SERIE],BDEGENER[[#This Row],[SERIE]],BDEGENER[TIPO DE SERVICIO],"MANTENIMIENTO PREVENTIVO")</f>
        <v>10</v>
      </c>
      <c r="AZ198" s="683" t="str">
        <f>CONCATENATE("MANTENIMIENTO PREVENTIVO N°",BDEGENER[[#This Row],[GA1]])</f>
        <v>MANTENIMIENTO PREVENTIVO N°10</v>
      </c>
      <c r="BA198" s="683" t="str">
        <f>IF(BDEGENER[[#This Row],[SERVICIO]]=BDEGENER[[#This Row],[GA2]],BDEGENER[[#This Row],[HORAS]],"0")</f>
        <v>0</v>
      </c>
      <c r="BB198" s="683">
        <f>SUMIF(BDEGENER[SERIE],BDEGENER[[#This Row],[SERIE]],BDEGENER[GA3])</f>
        <v>3227.9</v>
      </c>
      <c r="BC198" s="683" t="str">
        <f>CONCATENATE("MANT",COUNTIF($Y$7:Y198,Y198))</f>
        <v>MANT3</v>
      </c>
      <c r="BD198" s="683" t="str">
        <f>CONCATENATE(BDEGENER[[#This Row],[SERIE]],BDEGENER[[#This Row],[GA5]])</f>
        <v>3004381438MANT3</v>
      </c>
      <c r="BE198" s="683" t="str">
        <f>CONCATENATE(BDEGENER[[#This Row],[CODIGO PATRIMONIAL]],BDEGENER[[#This Row],[GA5]])</f>
        <v>MANT3</v>
      </c>
      <c r="BF198" s="683">
        <f>COUNTIF(BDEGENER[SERIE],BDEGENER[[#This Row],[SERIE]])</f>
        <v>13</v>
      </c>
      <c r="BG198" s="683" t="str">
        <f>CONCATENATE("F",COUNTIF($K$7:K198,K198))</f>
        <v>F4</v>
      </c>
      <c r="BH198" s="683" t="str">
        <f>CONCATENATE(BDEGENER[[#This Row],[FECHA DE SERVICIO]],BDEGENER[[#This Row],[N° DE REGISTROS DEL DIA]])</f>
        <v>44092F4</v>
      </c>
      <c r="BI198" s="684"/>
      <c r="BJ198" s="683" t="s">
        <v>1544</v>
      </c>
      <c r="BK198" s="762"/>
    </row>
    <row r="199" spans="2:63" ht="69" hidden="1" x14ac:dyDescent="0.3">
      <c r="B199" s="2"/>
      <c r="C199" s="2"/>
      <c r="D199" s="2"/>
      <c r="E199" s="2"/>
      <c r="F199" s="2"/>
      <c r="G199" s="2"/>
      <c r="H199" s="2"/>
      <c r="I199" s="2"/>
      <c r="J199" s="685"/>
      <c r="K199" s="682">
        <v>44092</v>
      </c>
      <c r="L199" s="683" t="s">
        <v>181</v>
      </c>
      <c r="M199" s="683" t="s">
        <v>182</v>
      </c>
      <c r="N199" s="683" t="s">
        <v>183</v>
      </c>
      <c r="O199" s="683"/>
      <c r="P199" s="683"/>
      <c r="Q199" s="683" t="s">
        <v>107</v>
      </c>
      <c r="R199" s="683" t="s">
        <v>1782</v>
      </c>
      <c r="S199" s="686" t="s">
        <v>3302</v>
      </c>
      <c r="T199" s="683" t="s">
        <v>3303</v>
      </c>
      <c r="U199" s="683" t="s">
        <v>3304</v>
      </c>
      <c r="V199" s="683" t="s">
        <v>146</v>
      </c>
      <c r="W199" s="683" t="s">
        <v>914</v>
      </c>
      <c r="X199" s="691" t="s">
        <v>918</v>
      </c>
      <c r="Y199" s="687">
        <v>3004256777</v>
      </c>
      <c r="Z199" s="692"/>
      <c r="AA199" s="683" t="s">
        <v>33</v>
      </c>
      <c r="AB199" s="683" t="s">
        <v>34</v>
      </c>
      <c r="AC199" s="683" t="s">
        <v>230</v>
      </c>
      <c r="AD199" s="683"/>
      <c r="AE199" s="683"/>
      <c r="AF199" s="684">
        <v>2059.6</v>
      </c>
      <c r="AG199" s="683" t="s">
        <v>243</v>
      </c>
      <c r="AH199" s="683" t="s">
        <v>220</v>
      </c>
      <c r="AI199" s="683" t="s">
        <v>33</v>
      </c>
      <c r="AJ199" s="683">
        <v>3003930235</v>
      </c>
      <c r="AK199" s="683" t="s">
        <v>33</v>
      </c>
      <c r="AL199" s="683">
        <v>10630250</v>
      </c>
      <c r="AM199" s="683"/>
      <c r="AN199" s="683"/>
      <c r="AO199" s="683"/>
      <c r="AP199" s="683" t="s">
        <v>240</v>
      </c>
      <c r="AQ199" s="683" t="str">
        <f>CONCATENATE("REG-",BDEGENER[[#This Row],[FECHA DE SERVICIO]],"-",BDEGENER[[#This Row],[SERIE]],"-",BDEGENER[[#This Row],[HORAS]])</f>
        <v>REG-44092-3004256777-2059,6</v>
      </c>
      <c r="AR199" s="683" t="str">
        <f>CONCATENATE("MARCA: ",BDEGENER[[#This Row],[MARCA]],"
 MODELO: ",BDEGENER[[#This Row],[MODELO]])</f>
        <v>MARCA: GENERAC
 MODELO: PG090</v>
      </c>
      <c r="AS199" s="683" t="str">
        <f>CONCATENATE("MARCA: ",BDEGENER[[#This Row],[MARCA DE MOTOR]],"
SERIE: ",BDEGENER[[#This Row],[SERIE DE MOTOR]])</f>
        <v>MARCA: GENERAC
SERIE: 3003930235</v>
      </c>
      <c r="AT199" s="683" t="str">
        <f>CONCATENATE("MARCA: ",BDEGENER[[#This Row],[MARCA ALTERNADOR ]],"
SERIE: ",BDEGENER[[#This Row],[SERIE DE ALTERNADOR]])</f>
        <v>MARCA: GENERAC
SERIE: 10630250</v>
      </c>
      <c r="AU199" s="683" t="str">
        <f>CONCATENATE("HORAS: ",BDEGENER[[#This Row],[HORAS]],"
KW-HR: ",BDEGENER[[#This Row],[KW-HORA]],"
VOLT.BATERIA: ",BDEGENER[[#This Row],[VOLTAJE DE BATERIA]],"
TEMPERATURA: ",BDEGENER[[#This Row],[TEMPERATURA DE AGUA]],"
PRES. ACEITE: ",BDEGENER[[#This Row],[PRESION DE ACEITE]])</f>
        <v xml:space="preserve">HORAS: 2059,6
KW-HR: 48859,9
VOLT.BATERIA: 
TEMPERATURA: 
PRES. ACEITE: </v>
      </c>
      <c r="AV199" s="761">
        <f>COUNTIFS(Q199:Q2199,"MANTENIMIENTO CORRECTIVO",Y199:Y2199,BDEGENER[[#This Row],[SERIE]])</f>
        <v>5</v>
      </c>
      <c r="AW199" s="761">
        <f>COUNTIFS(Q199:Q2199,"MANTENIMIENTO PREVENTIVO",Y199:Y2199,BDEGENER[[#This Row],[SERIE]])</f>
        <v>6</v>
      </c>
      <c r="AX19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N°5</v>
      </c>
      <c r="AY199" s="683">
        <f>COUNTIFS(BDEGENER[SERIE],BDEGENER[[#This Row],[SERIE]],BDEGENER[TIPO DE SERVICIO],"MANTENIMIENTO PREVENTIVO")</f>
        <v>9</v>
      </c>
      <c r="AZ199" s="683" t="str">
        <f>CONCATENATE("MANTENIMIENTO PREVENTIVO N°",BDEGENER[[#This Row],[GA1]])</f>
        <v>MANTENIMIENTO PREVENTIVO N°9</v>
      </c>
      <c r="BA199" s="683" t="str">
        <f>IF(BDEGENER[[#This Row],[SERVICIO]]=BDEGENER[[#This Row],[GA2]],BDEGENER[[#This Row],[HORAS]],"0")</f>
        <v>0</v>
      </c>
      <c r="BB199" s="683">
        <f>SUMIF(BDEGENER[SERIE],BDEGENER[[#This Row],[SERIE]],BDEGENER[GA3])</f>
        <v>2804.7</v>
      </c>
      <c r="BC199" s="761" t="str">
        <f>CONCATENATE("MANT",COUNTIF($Y$7:Y199,Y199))</f>
        <v>MANT5</v>
      </c>
      <c r="BD199" s="683" t="str">
        <f>CONCATENATE(BDEGENER[[#This Row],[SERIE]],BDEGENER[[#This Row],[GA5]])</f>
        <v>3004256777MANT5</v>
      </c>
      <c r="BE199" s="683" t="str">
        <f>CONCATENATE(BDEGENER[[#This Row],[CODIGO PATRIMONIAL]],BDEGENER[[#This Row],[GA5]])</f>
        <v>MANT5</v>
      </c>
      <c r="BF199" s="683">
        <f>COUNTIF(BDEGENER[SERIE],BDEGENER[[#This Row],[SERIE]])</f>
        <v>16</v>
      </c>
      <c r="BG199" s="761" t="str">
        <f>CONCATENATE("F",COUNTIF($K$7:K199,K199))</f>
        <v>F5</v>
      </c>
      <c r="BH199" s="683" t="str">
        <f>CONCATENATE(BDEGENER[[#This Row],[FECHA DE SERVICIO]],BDEGENER[[#This Row],[N° DE REGISTROS DEL DIA]])</f>
        <v>44092F5</v>
      </c>
      <c r="BI199" s="684">
        <v>48859.9</v>
      </c>
      <c r="BJ199" s="683" t="s">
        <v>1544</v>
      </c>
      <c r="BK199" s="762"/>
    </row>
    <row r="200" spans="2:63" ht="69" hidden="1" x14ac:dyDescent="0.3">
      <c r="B200" s="2"/>
      <c r="C200" s="2"/>
      <c r="D200" s="2"/>
      <c r="E200" s="2"/>
      <c r="F200" s="2"/>
      <c r="G200" s="2"/>
      <c r="H200" s="2"/>
      <c r="I200" s="2"/>
      <c r="J200" s="685"/>
      <c r="K200" s="682">
        <v>44092</v>
      </c>
      <c r="L200" s="683" t="s">
        <v>181</v>
      </c>
      <c r="M200" s="683" t="s">
        <v>188</v>
      </c>
      <c r="N200" s="683" t="s">
        <v>183</v>
      </c>
      <c r="O200" s="683"/>
      <c r="P200" s="683"/>
      <c r="Q200" s="683" t="s">
        <v>107</v>
      </c>
      <c r="R200" s="683" t="s">
        <v>1782</v>
      </c>
      <c r="S200" s="686" t="s">
        <v>3302</v>
      </c>
      <c r="T200" s="683" t="s">
        <v>3303</v>
      </c>
      <c r="U200" s="683" t="s">
        <v>3304</v>
      </c>
      <c r="V200" s="683" t="s">
        <v>146</v>
      </c>
      <c r="W200" s="683" t="s">
        <v>914</v>
      </c>
      <c r="X200" s="691" t="s">
        <v>918</v>
      </c>
      <c r="Y200" s="687">
        <v>3004337388</v>
      </c>
      <c r="Z200" s="692"/>
      <c r="AA200" s="683" t="s">
        <v>33</v>
      </c>
      <c r="AB200" s="683" t="s">
        <v>34</v>
      </c>
      <c r="AC200" s="683" t="s">
        <v>230</v>
      </c>
      <c r="AD200" s="683"/>
      <c r="AE200" s="683"/>
      <c r="AF200" s="684">
        <v>2028.1</v>
      </c>
      <c r="AG200" s="683" t="s">
        <v>243</v>
      </c>
      <c r="AH200" s="683" t="s">
        <v>220</v>
      </c>
      <c r="AI200" s="683" t="s">
        <v>33</v>
      </c>
      <c r="AJ200" s="683">
        <v>3004346829</v>
      </c>
      <c r="AK200" s="683" t="s">
        <v>33</v>
      </c>
      <c r="AL200" s="683">
        <v>10630871</v>
      </c>
      <c r="AM200" s="683"/>
      <c r="AN200" s="683"/>
      <c r="AO200" s="683"/>
      <c r="AP200" s="683" t="s">
        <v>240</v>
      </c>
      <c r="AQ200" s="683" t="str">
        <f>CONCATENATE("REG-",BDEGENER[[#This Row],[FECHA DE SERVICIO]],"-",BDEGENER[[#This Row],[SERIE]],"-",BDEGENER[[#This Row],[HORAS]])</f>
        <v>REG-44092-3004337388-2028,1</v>
      </c>
      <c r="AR200" s="683" t="str">
        <f>CONCATENATE("MARCA: ",BDEGENER[[#This Row],[MARCA]],"
 MODELO: ",BDEGENER[[#This Row],[MODELO]])</f>
        <v>MARCA: GENERAC
 MODELO: PG090</v>
      </c>
      <c r="AS200" s="683" t="str">
        <f>CONCATENATE("MARCA: ",BDEGENER[[#This Row],[MARCA DE MOTOR]],"
SERIE: ",BDEGENER[[#This Row],[SERIE DE MOTOR]])</f>
        <v>MARCA: GENERAC
SERIE: 3004346829</v>
      </c>
      <c r="AT200" s="683" t="str">
        <f>CONCATENATE("MARCA: ",BDEGENER[[#This Row],[MARCA ALTERNADOR ]],"
SERIE: ",BDEGENER[[#This Row],[SERIE DE ALTERNADOR]])</f>
        <v>MARCA: GENERAC
SERIE: 10630871</v>
      </c>
      <c r="AU200" s="683" t="str">
        <f>CONCATENATE("HORAS: ",BDEGENER[[#This Row],[HORAS]],"
KW-HR: ",BDEGENER[[#This Row],[KW-HORA]],"
VOLT.BATERIA: ",BDEGENER[[#This Row],[VOLTAJE DE BATERIA]],"
TEMPERATURA: ",BDEGENER[[#This Row],[TEMPERATURA DE AGUA]],"
PRES. ACEITE: ",BDEGENER[[#This Row],[PRESION DE ACEITE]])</f>
        <v xml:space="preserve">HORAS: 2028,1
KW-HR: 36842,1
VOLT.BATERIA: 
TEMPERATURA: 
PRES. ACEITE: </v>
      </c>
      <c r="AV200" s="683">
        <f>COUNTIFS(Q200:Q2200,"MANTENIMIENTO CORRECTIVO",Y200:Y2200,BDEGENER[[#This Row],[SERIE]])</f>
        <v>4</v>
      </c>
      <c r="AW200" s="683">
        <f>COUNTIFS(Q200:Q2200,"MANTENIMIENTO PREVENTIVO",Y200:Y2200,BDEGENER[[#This Row],[SERIE]])</f>
        <v>6</v>
      </c>
      <c r="AX20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200" s="683">
        <f>COUNTIFS(BDEGENER[SERIE],BDEGENER[[#This Row],[SERIE]],BDEGENER[TIPO DE SERVICIO],"MANTENIMIENTO PREVENTIVO")</f>
        <v>7</v>
      </c>
      <c r="AZ200" s="683" t="str">
        <f>CONCATENATE("MANTENIMIENTO PREVENTIVO N°",BDEGENER[[#This Row],[GA1]])</f>
        <v>MANTENIMIENTO PREVENTIVO N°7</v>
      </c>
      <c r="BA200" s="683" t="str">
        <f>IF(BDEGENER[[#This Row],[SERVICIO]]=BDEGENER[[#This Row],[GA2]],BDEGENER[[#This Row],[HORAS]],"0")</f>
        <v>0</v>
      </c>
      <c r="BB200" s="683">
        <f>SUMIF(BDEGENER[SERIE],BDEGENER[[#This Row],[SERIE]],BDEGENER[GA3])</f>
        <v>2129.8000000000002</v>
      </c>
      <c r="BC200" s="683" t="str">
        <f>CONCATENATE("MANT",COUNTIF($Y$7:Y200,Y200))</f>
        <v>MANT2</v>
      </c>
      <c r="BD200" s="683" t="str">
        <f>CONCATENATE(BDEGENER[[#This Row],[SERIE]],BDEGENER[[#This Row],[GA5]])</f>
        <v>3004337388MANT2</v>
      </c>
      <c r="BE200" s="683" t="str">
        <f>CONCATENATE(BDEGENER[[#This Row],[CODIGO PATRIMONIAL]],BDEGENER[[#This Row],[GA5]])</f>
        <v>MANT2</v>
      </c>
      <c r="BF200" s="683">
        <f>COUNTIF(BDEGENER[SERIE],BDEGENER[[#This Row],[SERIE]])</f>
        <v>14</v>
      </c>
      <c r="BG200" s="683" t="str">
        <f>CONCATENATE("F",COUNTIF($K$7:K200,K200))</f>
        <v>F6</v>
      </c>
      <c r="BH200" s="683" t="str">
        <f>CONCATENATE(BDEGENER[[#This Row],[FECHA DE SERVICIO]],BDEGENER[[#This Row],[N° DE REGISTROS DEL DIA]])</f>
        <v>44092F6</v>
      </c>
      <c r="BI200" s="684">
        <v>36842.1</v>
      </c>
      <c r="BJ200" s="683" t="s">
        <v>1544</v>
      </c>
      <c r="BK200" s="762"/>
    </row>
    <row r="201" spans="2:63" ht="69" hidden="1" x14ac:dyDescent="0.3">
      <c r="B201" s="2"/>
      <c r="C201" s="2"/>
      <c r="D201" s="2"/>
      <c r="E201" s="2"/>
      <c r="F201" s="2"/>
      <c r="G201" s="2"/>
      <c r="H201" s="2"/>
      <c r="I201" s="2"/>
      <c r="J201" s="685"/>
      <c r="K201" s="682">
        <v>44092</v>
      </c>
      <c r="L201" s="683" t="s">
        <v>181</v>
      </c>
      <c r="M201" s="683" t="s">
        <v>188</v>
      </c>
      <c r="N201" s="683" t="s">
        <v>183</v>
      </c>
      <c r="O201" s="683"/>
      <c r="P201" s="683"/>
      <c r="Q201" s="683" t="s">
        <v>107</v>
      </c>
      <c r="R201" s="683" t="s">
        <v>1782</v>
      </c>
      <c r="S201" s="686" t="s">
        <v>3302</v>
      </c>
      <c r="T201" s="683" t="s">
        <v>3303</v>
      </c>
      <c r="U201" s="683" t="s">
        <v>3304</v>
      </c>
      <c r="V201" s="683" t="s">
        <v>146</v>
      </c>
      <c r="W201" s="683" t="s">
        <v>914</v>
      </c>
      <c r="X201" s="691" t="s">
        <v>918</v>
      </c>
      <c r="Y201" s="687">
        <v>3004235514</v>
      </c>
      <c r="Z201" s="692"/>
      <c r="AA201" s="683" t="s">
        <v>33</v>
      </c>
      <c r="AB201" s="683" t="s">
        <v>34</v>
      </c>
      <c r="AC201" s="683" t="s">
        <v>230</v>
      </c>
      <c r="AD201" s="683"/>
      <c r="AE201" s="683"/>
      <c r="AF201" s="684">
        <v>2079</v>
      </c>
      <c r="AG201" s="683" t="s">
        <v>243</v>
      </c>
      <c r="AH201" s="683" t="s">
        <v>220</v>
      </c>
      <c r="AI201" s="683" t="s">
        <v>33</v>
      </c>
      <c r="AJ201" s="683">
        <v>3003266420</v>
      </c>
      <c r="AK201" s="683" t="s">
        <v>33</v>
      </c>
      <c r="AL201" s="683">
        <v>1630250</v>
      </c>
      <c r="AM201" s="683"/>
      <c r="AN201" s="683"/>
      <c r="AO201" s="683"/>
      <c r="AP201" s="683" t="s">
        <v>240</v>
      </c>
      <c r="AQ201" s="683" t="str">
        <f>CONCATENATE("REG-",BDEGENER[[#This Row],[FECHA DE SERVICIO]],"-",BDEGENER[[#This Row],[SERIE]],"-",BDEGENER[[#This Row],[HORAS]])</f>
        <v>REG-44092-3004235514-2079</v>
      </c>
      <c r="AR201" s="683" t="str">
        <f>CONCATENATE("MARCA: ",BDEGENER[[#This Row],[MARCA]],"
 MODELO: ",BDEGENER[[#This Row],[MODELO]])</f>
        <v>MARCA: GENERAC
 MODELO: PG090</v>
      </c>
      <c r="AS201" s="683" t="str">
        <f>CONCATENATE("MARCA: ",BDEGENER[[#This Row],[MARCA DE MOTOR]],"
SERIE: ",BDEGENER[[#This Row],[SERIE DE MOTOR]])</f>
        <v>MARCA: GENERAC
SERIE: 3003266420</v>
      </c>
      <c r="AT201" s="683" t="str">
        <f>CONCATENATE("MARCA: ",BDEGENER[[#This Row],[MARCA ALTERNADOR ]],"
SERIE: ",BDEGENER[[#This Row],[SERIE DE ALTERNADOR]])</f>
        <v>MARCA: GENERAC
SERIE: 1630250</v>
      </c>
      <c r="AU201" s="683" t="str">
        <f>CONCATENATE("HORAS: ",BDEGENER[[#This Row],[HORAS]],"
KW-HR: ",BDEGENER[[#This Row],[KW-HORA]],"
VOLT.BATERIA: ",BDEGENER[[#This Row],[VOLTAJE DE BATERIA]],"
TEMPERATURA: ",BDEGENER[[#This Row],[TEMPERATURA DE AGUA]],"
PRES. ACEITE: ",BDEGENER[[#This Row],[PRESION DE ACEITE]])</f>
        <v xml:space="preserve">HORAS: 2079
KW-HR: 48106,6
VOLT.BATERIA: 
TEMPERATURA: 
PRES. ACEITE: </v>
      </c>
      <c r="AV201" s="683">
        <f>COUNTIFS(Q201:Q2201,"MANTENIMIENTO CORRECTIVO",Y201:Y2201,BDEGENER[[#This Row],[SERIE]])</f>
        <v>2</v>
      </c>
      <c r="AW201" s="683">
        <f>COUNTIFS(Q201:Q2201,"MANTENIMIENTO PREVENTIVO",Y201:Y2201,BDEGENER[[#This Row],[SERIE]])</f>
        <v>7</v>
      </c>
      <c r="AX20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201" s="683">
        <f>COUNTIFS(BDEGENER[SERIE],BDEGENER[[#This Row],[SERIE]],BDEGENER[TIPO DE SERVICIO],"MANTENIMIENTO PREVENTIVO")</f>
        <v>7</v>
      </c>
      <c r="AZ201" s="683" t="str">
        <f>CONCATENATE("MANTENIMIENTO PREVENTIVO N°",BDEGENER[[#This Row],[GA1]])</f>
        <v>MANTENIMIENTO PREVENTIVO N°7</v>
      </c>
      <c r="BA201" s="683" t="str">
        <f>IF(BDEGENER[[#This Row],[SERVICIO]]=BDEGENER[[#This Row],[GA2]],BDEGENER[[#This Row],[HORAS]],"0")</f>
        <v>0</v>
      </c>
      <c r="BB201" s="683">
        <f>SUMIF(BDEGENER[SERIE],BDEGENER[[#This Row],[SERIE]],BDEGENER[GA3])</f>
        <v>2044.9</v>
      </c>
      <c r="BC201" s="683" t="str">
        <f>CONCATENATE("MANT",COUNTIF($Y$7:Y201,Y201))</f>
        <v>MANT1</v>
      </c>
      <c r="BD201" s="683" t="str">
        <f>CONCATENATE(BDEGENER[[#This Row],[SERIE]],BDEGENER[[#This Row],[GA5]])</f>
        <v>3004235514MANT1</v>
      </c>
      <c r="BE201" s="683" t="str">
        <f>CONCATENATE(BDEGENER[[#This Row],[CODIGO PATRIMONIAL]],BDEGENER[[#This Row],[GA5]])</f>
        <v>MANT1</v>
      </c>
      <c r="BF201" s="683">
        <f>COUNTIF(BDEGENER[SERIE],BDEGENER[[#This Row],[SERIE]])</f>
        <v>10</v>
      </c>
      <c r="BG201" s="683" t="str">
        <f>CONCATENATE("F",COUNTIF($K$7:K201,K201))</f>
        <v>F7</v>
      </c>
      <c r="BH201" s="683" t="str">
        <f>CONCATENATE(BDEGENER[[#This Row],[FECHA DE SERVICIO]],BDEGENER[[#This Row],[N° DE REGISTROS DEL DIA]])</f>
        <v>44092F7</v>
      </c>
      <c r="BI201" s="684">
        <v>48106.6</v>
      </c>
      <c r="BJ201" s="683" t="s">
        <v>1544</v>
      </c>
      <c r="BK201" s="762"/>
    </row>
    <row r="202" spans="2:63" ht="69" hidden="1" x14ac:dyDescent="0.3">
      <c r="B202" s="2"/>
      <c r="C202" s="2"/>
      <c r="D202" s="2"/>
      <c r="E202" s="2"/>
      <c r="F202" s="2"/>
      <c r="G202" s="2"/>
      <c r="H202" s="2"/>
      <c r="I202" s="2"/>
      <c r="J202" s="685"/>
      <c r="K202" s="682">
        <v>44091</v>
      </c>
      <c r="L202" s="683" t="s">
        <v>181</v>
      </c>
      <c r="M202" s="683" t="s">
        <v>184</v>
      </c>
      <c r="N202" s="683" t="s">
        <v>183</v>
      </c>
      <c r="O202" s="683"/>
      <c r="P202" s="683"/>
      <c r="Q202" s="683" t="s">
        <v>107</v>
      </c>
      <c r="R202" s="683" t="s">
        <v>3306</v>
      </c>
      <c r="S202" s="686" t="s">
        <v>3307</v>
      </c>
      <c r="T202" s="683" t="s">
        <v>3308</v>
      </c>
      <c r="U202" s="683" t="s">
        <v>3309</v>
      </c>
      <c r="V202" s="683" t="s">
        <v>146</v>
      </c>
      <c r="W202" s="683" t="s">
        <v>914</v>
      </c>
      <c r="X202" s="691" t="s">
        <v>918</v>
      </c>
      <c r="Y202" s="687">
        <v>3004418791</v>
      </c>
      <c r="Z202" s="692"/>
      <c r="AA202" s="683" t="s">
        <v>33</v>
      </c>
      <c r="AB202" s="683" t="s">
        <v>34</v>
      </c>
      <c r="AC202" s="683" t="s">
        <v>230</v>
      </c>
      <c r="AD202" s="683" t="s">
        <v>1111</v>
      </c>
      <c r="AE202" s="683">
        <v>60</v>
      </c>
      <c r="AF202" s="684">
        <v>1772.2</v>
      </c>
      <c r="AG202" s="683" t="s">
        <v>243</v>
      </c>
      <c r="AH202" s="683" t="s">
        <v>220</v>
      </c>
      <c r="AI202" s="683" t="s">
        <v>33</v>
      </c>
      <c r="AJ202" s="683">
        <v>3004426135</v>
      </c>
      <c r="AK202" s="683" t="s">
        <v>33</v>
      </c>
      <c r="AL202" s="683">
        <v>107745330</v>
      </c>
      <c r="AM202" s="683"/>
      <c r="AN202" s="683"/>
      <c r="AO202" s="683"/>
      <c r="AP202" s="683" t="s">
        <v>240</v>
      </c>
      <c r="AQ202" s="683" t="str">
        <f>CONCATENATE("REG-",BDEGENER[[#This Row],[FECHA DE SERVICIO]],"-",BDEGENER[[#This Row],[SERIE]],"-",BDEGENER[[#This Row],[HORAS]])</f>
        <v>REG-44091-3004418791-1772,2</v>
      </c>
      <c r="AR202" s="683" t="str">
        <f>CONCATENATE("MARCA: ",BDEGENER[[#This Row],[MARCA]],"
 MODELO: ",BDEGENER[[#This Row],[MODELO]])</f>
        <v>MARCA: GENERAC
 MODELO: PG090</v>
      </c>
      <c r="AS202" s="683" t="str">
        <f>CONCATENATE("MARCA: ",BDEGENER[[#This Row],[MARCA DE MOTOR]],"
SERIE: ",BDEGENER[[#This Row],[SERIE DE MOTOR]])</f>
        <v>MARCA: GENERAC
SERIE: 3004426135</v>
      </c>
      <c r="AT202" s="683" t="str">
        <f>CONCATENATE("MARCA: ",BDEGENER[[#This Row],[MARCA ALTERNADOR ]],"
SERIE: ",BDEGENER[[#This Row],[SERIE DE ALTERNADOR]])</f>
        <v>MARCA: GENERAC
SERIE: 107745330</v>
      </c>
      <c r="AU202" s="683" t="str">
        <f>CONCATENATE("HORAS: ",BDEGENER[[#This Row],[HORAS]],"
KW-HR: ",BDEGENER[[#This Row],[KW-HORA]],"
VOLT.BATERIA: ",BDEGENER[[#This Row],[VOLTAJE DE BATERIA]],"
TEMPERATURA: ",BDEGENER[[#This Row],[TEMPERATURA DE AGUA]],"
PRES. ACEITE: ",BDEGENER[[#This Row],[PRESION DE ACEITE]])</f>
        <v xml:space="preserve">HORAS: 1772,2
KW-HR: 27941
VOLT.BATERIA: 
TEMPERATURA: 
PRES. ACEITE: </v>
      </c>
      <c r="AV202" s="761">
        <f>COUNTIFS(Q202:Q2202,"MANTENIMIENTO CORRECTIVO",Y202:Y2202,BDEGENER[[#This Row],[SERIE]])</f>
        <v>7</v>
      </c>
      <c r="AW202" s="761">
        <f>COUNTIFS(Q202:Q2202,"MANTENIMIENTO PREVENTIVO",Y202:Y2202,BDEGENER[[#This Row],[SERIE]])</f>
        <v>6</v>
      </c>
      <c r="AX20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N°7</v>
      </c>
      <c r="AY202" s="683">
        <f>COUNTIFS(BDEGENER[SERIE],BDEGENER[[#This Row],[SERIE]],BDEGENER[TIPO DE SERVICIO],"MANTENIMIENTO PREVENTIVO")</f>
        <v>7</v>
      </c>
      <c r="AZ202" s="683" t="str">
        <f>CONCATENATE("MANTENIMIENTO PREVENTIVO N°",BDEGENER[[#This Row],[GA1]])</f>
        <v>MANTENIMIENTO PREVENTIVO N°7</v>
      </c>
      <c r="BA202" s="683" t="str">
        <f>IF(BDEGENER[[#This Row],[SERVICIO]]=BDEGENER[[#This Row],[GA2]],BDEGENER[[#This Row],[HORAS]],"0")</f>
        <v>0</v>
      </c>
      <c r="BB202" s="683">
        <f>SUMIF(BDEGENER[SERIE],BDEGENER[[#This Row],[SERIE]],BDEGENER[GA3])</f>
        <v>2074.3000000000002</v>
      </c>
      <c r="BC202" s="761" t="str">
        <f>CONCATENATE("MANT",COUNTIF($Y$7:Y202,Y202))</f>
        <v>MANT2</v>
      </c>
      <c r="BD202" s="683" t="str">
        <f>CONCATENATE(BDEGENER[[#This Row],[SERIE]],BDEGENER[[#This Row],[GA5]])</f>
        <v>3004418791MANT2</v>
      </c>
      <c r="BE202" s="683" t="str">
        <f>CONCATENATE(BDEGENER[[#This Row],[CODIGO PATRIMONIAL]],BDEGENER[[#This Row],[GA5]])</f>
        <v>MANT2</v>
      </c>
      <c r="BF202" s="683">
        <f>COUNTIF(BDEGENER[SERIE],BDEGENER[[#This Row],[SERIE]])</f>
        <v>16</v>
      </c>
      <c r="BG202" s="761" t="str">
        <f>CONCATENATE("F",COUNTIF($K$7:K202,K202))</f>
        <v>F1</v>
      </c>
      <c r="BH202" s="683" t="str">
        <f>CONCATENATE(BDEGENER[[#This Row],[FECHA DE SERVICIO]],BDEGENER[[#This Row],[N° DE REGISTROS DEL DIA]])</f>
        <v>44091F1</v>
      </c>
      <c r="BI202" s="684">
        <v>27941</v>
      </c>
      <c r="BJ202" s="683" t="s">
        <v>1544</v>
      </c>
      <c r="BK202" s="762"/>
    </row>
    <row r="203" spans="2:63" ht="69" hidden="1" x14ac:dyDescent="0.3">
      <c r="B203" s="2"/>
      <c r="C203" s="2"/>
      <c r="D203" s="2"/>
      <c r="E203" s="2"/>
      <c r="F203" s="2"/>
      <c r="G203" s="2"/>
      <c r="H203" s="2"/>
      <c r="I203" s="2"/>
      <c r="J203" s="685"/>
      <c r="K203" s="682">
        <v>44091</v>
      </c>
      <c r="L203" s="683" t="s">
        <v>181</v>
      </c>
      <c r="M203" s="683" t="s">
        <v>184</v>
      </c>
      <c r="N203" s="683" t="s">
        <v>183</v>
      </c>
      <c r="O203" s="683"/>
      <c r="P203" s="683"/>
      <c r="Q203" s="683" t="s">
        <v>107</v>
      </c>
      <c r="R203" s="683" t="s">
        <v>1782</v>
      </c>
      <c r="S203" s="686" t="s">
        <v>3302</v>
      </c>
      <c r="T203" s="683" t="s">
        <v>3303</v>
      </c>
      <c r="U203" s="683" t="s">
        <v>3304</v>
      </c>
      <c r="V203" s="683" t="s">
        <v>146</v>
      </c>
      <c r="W203" s="683" t="s">
        <v>914</v>
      </c>
      <c r="X203" s="691" t="s">
        <v>918</v>
      </c>
      <c r="Y203" s="687">
        <v>3004227749</v>
      </c>
      <c r="Z203" s="692"/>
      <c r="AA203" s="683" t="s">
        <v>33</v>
      </c>
      <c r="AB203" s="683" t="s">
        <v>34</v>
      </c>
      <c r="AC203" s="683" t="s">
        <v>230</v>
      </c>
      <c r="AD203" s="683"/>
      <c r="AE203" s="683"/>
      <c r="AF203" s="684">
        <v>2129.6999999999998</v>
      </c>
      <c r="AG203" s="683" t="s">
        <v>243</v>
      </c>
      <c r="AH203" s="683" t="s">
        <v>220</v>
      </c>
      <c r="AI203" s="683" t="s">
        <v>33</v>
      </c>
      <c r="AJ203" s="683">
        <v>3004231901</v>
      </c>
      <c r="AK203" s="683" t="s">
        <v>33</v>
      </c>
      <c r="AL203" s="683">
        <v>10630140</v>
      </c>
      <c r="AM203" s="683"/>
      <c r="AN203" s="683"/>
      <c r="AO203" s="683"/>
      <c r="AP203" s="683" t="s">
        <v>240</v>
      </c>
      <c r="AQ203" s="683" t="str">
        <f>CONCATENATE("REG-",BDEGENER[[#This Row],[FECHA DE SERVICIO]],"-",BDEGENER[[#This Row],[SERIE]],"-",BDEGENER[[#This Row],[HORAS]])</f>
        <v>REG-44091-3004227749-2129,7</v>
      </c>
      <c r="AR203" s="683" t="str">
        <f>CONCATENATE("MARCA: ",BDEGENER[[#This Row],[MARCA]],"
 MODELO: ",BDEGENER[[#This Row],[MODELO]])</f>
        <v>MARCA: GENERAC
 MODELO: PG090</v>
      </c>
      <c r="AS203" s="683" t="str">
        <f>CONCATENATE("MARCA: ",BDEGENER[[#This Row],[MARCA DE MOTOR]],"
SERIE: ",BDEGENER[[#This Row],[SERIE DE MOTOR]])</f>
        <v>MARCA: GENERAC
SERIE: 3004231901</v>
      </c>
      <c r="AT203" s="683" t="str">
        <f>CONCATENATE("MARCA: ",BDEGENER[[#This Row],[MARCA ALTERNADOR ]],"
SERIE: ",BDEGENER[[#This Row],[SERIE DE ALTERNADOR]])</f>
        <v>MARCA: GENERAC
SERIE: 10630140</v>
      </c>
      <c r="AU203" s="683" t="str">
        <f>CONCATENATE("HORAS: ",BDEGENER[[#This Row],[HORAS]],"
KW-HR: ",BDEGENER[[#This Row],[KW-HORA]],"
VOLT.BATERIA: ",BDEGENER[[#This Row],[VOLTAJE DE BATERIA]],"
TEMPERATURA: ",BDEGENER[[#This Row],[TEMPERATURA DE AGUA]],"
PRES. ACEITE: ",BDEGENER[[#This Row],[PRESION DE ACEITE]])</f>
        <v xml:space="preserve">HORAS: 2129,7
KW-HR: 56030,6
VOLT.BATERIA: 
TEMPERATURA: 
PRES. ACEITE: </v>
      </c>
      <c r="AV203" s="683">
        <f>COUNTIFS(Q203:Q2203,"MANTENIMIENTO CORRECTIVO",Y203:Y2203,BDEGENER[[#This Row],[SERIE]])</f>
        <v>4</v>
      </c>
      <c r="AW203" s="683">
        <f>COUNTIFS(Q203:Q2203,"MANTENIMIENTO PREVENTIVO",Y203:Y2203,BDEGENER[[#This Row],[SERIE]])</f>
        <v>7</v>
      </c>
      <c r="AX20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203" s="683">
        <f>COUNTIFS(BDEGENER[SERIE],BDEGENER[[#This Row],[SERIE]],BDEGENER[TIPO DE SERVICIO],"MANTENIMIENTO PREVENTIVO")</f>
        <v>8</v>
      </c>
      <c r="AZ203" s="683" t="str">
        <f>CONCATENATE("MANTENIMIENTO PREVENTIVO N°",BDEGENER[[#This Row],[GA1]])</f>
        <v>MANTENIMIENTO PREVENTIVO N°8</v>
      </c>
      <c r="BA203" s="683" t="str">
        <f>IF(BDEGENER[[#This Row],[SERVICIO]]=BDEGENER[[#This Row],[GA2]],BDEGENER[[#This Row],[HORAS]],"0")</f>
        <v>0</v>
      </c>
      <c r="BB203" s="683">
        <f>SUMIF(BDEGENER[SERIE],BDEGENER[[#This Row],[SERIE]],BDEGENER[GA3])</f>
        <v>2404.1999999999998</v>
      </c>
      <c r="BC203" s="683" t="str">
        <f>CONCATENATE("MANT",COUNTIF($Y$7:Y203,Y203))</f>
        <v>MANT3</v>
      </c>
      <c r="BD203" s="683" t="str">
        <f>CONCATENATE(BDEGENER[[#This Row],[SERIE]],BDEGENER[[#This Row],[GA5]])</f>
        <v>3004227749MANT3</v>
      </c>
      <c r="BE203" s="683" t="str">
        <f>CONCATENATE(BDEGENER[[#This Row],[CODIGO PATRIMONIAL]],BDEGENER[[#This Row],[GA5]])</f>
        <v>MANT3</v>
      </c>
      <c r="BF203" s="683">
        <f>COUNTIF(BDEGENER[SERIE],BDEGENER[[#This Row],[SERIE]])</f>
        <v>16</v>
      </c>
      <c r="BG203" s="683" t="str">
        <f>CONCATENATE("F",COUNTIF($K$7:K203,K203))</f>
        <v>F2</v>
      </c>
      <c r="BH203" s="683" t="str">
        <f>CONCATENATE(BDEGENER[[#This Row],[FECHA DE SERVICIO]],BDEGENER[[#This Row],[N° DE REGISTROS DEL DIA]])</f>
        <v>44091F2</v>
      </c>
      <c r="BI203" s="684">
        <v>56030.6</v>
      </c>
      <c r="BJ203" s="683" t="s">
        <v>1544</v>
      </c>
      <c r="BK203" s="762"/>
    </row>
    <row r="204" spans="2:63" ht="69" hidden="1" x14ac:dyDescent="0.3">
      <c r="B204" s="2"/>
      <c r="C204" s="2"/>
      <c r="D204" s="2"/>
      <c r="E204" s="2"/>
      <c r="F204" s="2"/>
      <c r="G204" s="2"/>
      <c r="H204" s="2"/>
      <c r="I204" s="2"/>
      <c r="J204" s="685"/>
      <c r="K204" s="682">
        <v>44089</v>
      </c>
      <c r="L204" s="683" t="s">
        <v>561</v>
      </c>
      <c r="M204" s="683" t="s">
        <v>571</v>
      </c>
      <c r="N204" s="683" t="s">
        <v>572</v>
      </c>
      <c r="O204" s="683"/>
      <c r="P204" s="683"/>
      <c r="Q204" s="683" t="s">
        <v>108</v>
      </c>
      <c r="R204" s="683" t="s">
        <v>1782</v>
      </c>
      <c r="S204" s="686" t="s">
        <v>3295</v>
      </c>
      <c r="T204" s="683" t="s">
        <v>2843</v>
      </c>
      <c r="U204" s="683"/>
      <c r="V204" s="683" t="s">
        <v>677</v>
      </c>
      <c r="W204" s="683" t="s">
        <v>913</v>
      </c>
      <c r="X204" s="691" t="s">
        <v>918</v>
      </c>
      <c r="Y204" s="687">
        <v>3004370203</v>
      </c>
      <c r="Z204" s="692" t="s">
        <v>2598</v>
      </c>
      <c r="AA204" s="683" t="s">
        <v>33</v>
      </c>
      <c r="AB204" s="683" t="s">
        <v>217</v>
      </c>
      <c r="AC204" s="683" t="s">
        <v>749</v>
      </c>
      <c r="AD204" s="683" t="s">
        <v>1087</v>
      </c>
      <c r="AE204" s="683"/>
      <c r="AF204" s="684">
        <v>2644</v>
      </c>
      <c r="AG204" s="683" t="s">
        <v>243</v>
      </c>
      <c r="AH204" s="683" t="s">
        <v>1803</v>
      </c>
      <c r="AI204" s="683" t="s">
        <v>2553</v>
      </c>
      <c r="AJ204" s="683"/>
      <c r="AK204" s="683" t="s">
        <v>33</v>
      </c>
      <c r="AL204" s="683"/>
      <c r="AM204" s="683"/>
      <c r="AN204" s="683"/>
      <c r="AO204" s="683"/>
      <c r="AP204" s="683" t="s">
        <v>557</v>
      </c>
      <c r="AQ204" s="688" t="str">
        <f>CONCATENATE("REG-",BDEGENER[[#This Row],[FECHA DE SERVICIO]],"-",BDEGENER[[#This Row],[SERIE]],"-",BDEGENER[[#This Row],[HORAS]])</f>
        <v>REG-44089-3004370203-2644</v>
      </c>
      <c r="AR204" s="683" t="str">
        <f>CONCATENATE("MARCA: ",BDEGENER[[#This Row],[MARCA]],"
 MODELO: ",BDEGENER[[#This Row],[MODELO]])</f>
        <v>MARCA: GENERAC
 MODELO: RG022</v>
      </c>
      <c r="AS204" s="683" t="str">
        <f>CONCATENATE("MARCA: ",BDEGENER[[#This Row],[MARCA DE MOTOR]],"
SERIE: ",BDEGENER[[#This Row],[SERIE DE MOTOR]])</f>
        <v xml:space="preserve">MARCA: MITSUBISHI
SERIE: </v>
      </c>
      <c r="AT204" s="683" t="str">
        <f>CONCATENATE("MARCA: ",BDEGENER[[#This Row],[MARCA ALTERNADOR ]],"
SERIE: ",BDEGENER[[#This Row],[SERIE DE ALTERNADOR]])</f>
        <v xml:space="preserve">MARCA: GENERAC
SERIE: </v>
      </c>
      <c r="AU204" s="683" t="str">
        <f>CONCATENATE("HORAS: ",BDEGENER[[#This Row],[HORAS]],"
KW-HR: ",BDEGENER[[#This Row],[KW-HORA]],"
VOLT.BATERIA: ",BDEGENER[[#This Row],[VOLTAJE DE BATERIA]],"
TEMPERATURA: ",BDEGENER[[#This Row],[TEMPERATURA DE AGUA]],"
PRES. ACEITE: ",BDEGENER[[#This Row],[PRESION DE ACEITE]])</f>
        <v xml:space="preserve">HORAS: 2644
KW-HR: 
VOLT.BATERIA: 
TEMPERATURA: 
PRES. ACEITE: </v>
      </c>
      <c r="AV204" s="683">
        <f>COUNTIFS(Q204:Q2204,"MANTENIMIENTO CORRECTIVO",Y204:Y2204,BDEGENER[[#This Row],[SERIE]])</f>
        <v>2</v>
      </c>
      <c r="AW204" s="683">
        <f>COUNTIFS(Q204:Q2204,"MANTENIMIENTO PREVENTIVO",Y204:Y2204,BDEGENER[[#This Row],[SERIE]])</f>
        <v>4</v>
      </c>
      <c r="AX20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204" s="683">
        <f>COUNTIFS(BDEGENER[SERIE],BDEGENER[[#This Row],[SERIE]],BDEGENER[TIPO DE SERVICIO],"MANTENIMIENTO PREVENTIVO")</f>
        <v>6</v>
      </c>
      <c r="AZ204" s="683" t="str">
        <f>CONCATENATE("MANTENIMIENTO PREVENTIVO N°",BDEGENER[[#This Row],[GA1]])</f>
        <v>MANTENIMIENTO PREVENTIVO N°6</v>
      </c>
      <c r="BA204" s="683" t="str">
        <f>IF(BDEGENER[[#This Row],[SERVICIO]]=BDEGENER[[#This Row],[GA2]],BDEGENER[[#This Row],[HORAS]],"0")</f>
        <v>0</v>
      </c>
      <c r="BB204" s="683">
        <f>SUMIF(BDEGENER[SERIE],BDEGENER[[#This Row],[SERIE]],BDEGENER[GA3])</f>
        <v>2885.1</v>
      </c>
      <c r="BC204" s="683" t="str">
        <f>CONCATENATE("MANT",COUNTIF($Y$7:Y204,Y204))</f>
        <v>MANT5</v>
      </c>
      <c r="BD204" s="683" t="str">
        <f>CONCATENATE(BDEGENER[[#This Row],[SERIE]],BDEGENER[[#This Row],[GA5]])</f>
        <v>3004370203MANT5</v>
      </c>
      <c r="BE204" s="683" t="str">
        <f>CONCATENATE(BDEGENER[[#This Row],[CODIGO PATRIMONIAL]],BDEGENER[[#This Row],[GA5]])</f>
        <v>SUR-GEG-0002MANT5</v>
      </c>
      <c r="BF204" s="683">
        <f>COUNTIF(BDEGENER[SERIE],BDEGENER[[#This Row],[SERIE]])</f>
        <v>14</v>
      </c>
      <c r="BG204" s="683" t="str">
        <f>CONCATENATE("F",COUNTIF($K$7:K204,K204))</f>
        <v>F1</v>
      </c>
      <c r="BH204" s="683" t="str">
        <f>CONCATENATE(BDEGENER[[#This Row],[FECHA DE SERVICIO]],BDEGENER[[#This Row],[N° DE REGISTROS DEL DIA]])</f>
        <v>44089F1</v>
      </c>
      <c r="BI204" s="684"/>
      <c r="BJ204" s="683" t="s">
        <v>1544</v>
      </c>
      <c r="BK204" s="762"/>
    </row>
    <row r="205" spans="2:63" ht="69" hidden="1" x14ac:dyDescent="0.3">
      <c r="B205" s="2"/>
      <c r="C205" s="2"/>
      <c r="D205" s="2"/>
      <c r="E205" s="2"/>
      <c r="F205" s="2"/>
      <c r="G205" s="2"/>
      <c r="H205" s="2"/>
      <c r="I205" s="2"/>
      <c r="J205" s="685"/>
      <c r="K205" s="682">
        <v>44089</v>
      </c>
      <c r="L205" s="683" t="s">
        <v>181</v>
      </c>
      <c r="M205" s="683" t="s">
        <v>571</v>
      </c>
      <c r="N205" s="683" t="s">
        <v>572</v>
      </c>
      <c r="O205" s="683"/>
      <c r="P205" s="688" t="s">
        <v>3288</v>
      </c>
      <c r="Q205" s="683" t="s">
        <v>107</v>
      </c>
      <c r="R205" s="683" t="s">
        <v>1782</v>
      </c>
      <c r="S205" s="686" t="s">
        <v>3289</v>
      </c>
      <c r="T205" s="683" t="s">
        <v>3424</v>
      </c>
      <c r="U205" s="683" t="s">
        <v>3290</v>
      </c>
      <c r="V205" s="683" t="s">
        <v>677</v>
      </c>
      <c r="W205" s="683" t="s">
        <v>913</v>
      </c>
      <c r="X205" s="691" t="s">
        <v>918</v>
      </c>
      <c r="Y205" s="687">
        <v>3004555915</v>
      </c>
      <c r="Z205" s="692" t="s">
        <v>2610</v>
      </c>
      <c r="AA205" s="683" t="s">
        <v>33</v>
      </c>
      <c r="AB205" s="683" t="s">
        <v>217</v>
      </c>
      <c r="AC205" s="683" t="s">
        <v>749</v>
      </c>
      <c r="AD205" s="683" t="s">
        <v>1123</v>
      </c>
      <c r="AE205" s="683">
        <v>60</v>
      </c>
      <c r="AF205" s="684">
        <v>3060.7</v>
      </c>
      <c r="AG205" s="683" t="s">
        <v>243</v>
      </c>
      <c r="AH205" s="683" t="s">
        <v>1803</v>
      </c>
      <c r="AI205" s="683" t="s">
        <v>2553</v>
      </c>
      <c r="AJ205" s="683"/>
      <c r="AK205" s="683" t="s">
        <v>33</v>
      </c>
      <c r="AL205" s="683"/>
      <c r="AM205" s="683" t="s">
        <v>1347</v>
      </c>
      <c r="AN205" s="683"/>
      <c r="AO205" s="683"/>
      <c r="AP205" s="683" t="s">
        <v>240</v>
      </c>
      <c r="AQ205" s="688" t="str">
        <f>CONCATENATE("REG-",BDEGENER[[#This Row],[FECHA DE SERVICIO]],"-",BDEGENER[[#This Row],[SERIE]],"-",BDEGENER[[#This Row],[HORAS]])</f>
        <v>REG-44089-3004555915-3060,7</v>
      </c>
      <c r="AR205" s="683" t="str">
        <f>CONCATENATE("MARCA: ",BDEGENER[[#This Row],[MARCA]],"
 MODELO: ",BDEGENER[[#This Row],[MODELO]])</f>
        <v>MARCA: GENERAC
 MODELO: RG022</v>
      </c>
      <c r="AS205" s="683" t="str">
        <f>CONCATENATE("MARCA: ",BDEGENER[[#This Row],[MARCA DE MOTOR]],"
SERIE: ",BDEGENER[[#This Row],[SERIE DE MOTOR]])</f>
        <v xml:space="preserve">MARCA: MITSUBISHI
SERIE: </v>
      </c>
      <c r="AT205" s="683" t="str">
        <f>CONCATENATE("MARCA: ",BDEGENER[[#This Row],[MARCA ALTERNADOR ]],"
SERIE: ",BDEGENER[[#This Row],[SERIE DE ALTERNADOR]])</f>
        <v xml:space="preserve">MARCA: GENERAC
SERIE: </v>
      </c>
      <c r="AU205" s="683" t="str">
        <f>CONCATENATE("HORAS: ",BDEGENER[[#This Row],[HORAS]],"
KW-HR: ",BDEGENER[[#This Row],[KW-HORA]],"
VOLT.BATERIA: ",BDEGENER[[#This Row],[VOLTAJE DE BATERIA]],"
TEMPERATURA: ",BDEGENER[[#This Row],[TEMPERATURA DE AGUA]],"
PRES. ACEITE: ",BDEGENER[[#This Row],[PRESION DE ACEITE]])</f>
        <v xml:space="preserve">HORAS: 3060,7
KW-HR: 
VOLT.BATERIA: 13.3 V
TEMPERATURA: 
PRES. ACEITE: </v>
      </c>
      <c r="AV205" s="761">
        <f>COUNTIFS(Q205:Q2205,"MANTENIMIENTO CORRECTIVO",Y205:Y2205,BDEGENER[[#This Row],[SERIE]])</f>
        <v>1</v>
      </c>
      <c r="AW205" s="761">
        <f>COUNTIFS(Q205:Q2205,"MANTENIMIENTO PREVENTIVO",Y205:Y2205,BDEGENER[[#This Row],[SERIE]])</f>
        <v>6</v>
      </c>
      <c r="AX20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205" s="683">
        <f>COUNTIFS(BDEGENER[SERIE],BDEGENER[[#This Row],[SERIE]],BDEGENER[TIPO DE SERVICIO],"MANTENIMIENTO PREVENTIVO")</f>
        <v>7</v>
      </c>
      <c r="AZ205" s="683" t="str">
        <f>CONCATENATE("MANTENIMIENTO PREVENTIVO N°",BDEGENER[[#This Row],[GA1]])</f>
        <v>MANTENIMIENTO PREVENTIVO N°7</v>
      </c>
      <c r="BA205" s="683" t="str">
        <f>IF(BDEGENER[[#This Row],[SERVICIO]]=BDEGENER[[#This Row],[GA2]],BDEGENER[[#This Row],[HORAS]],"0")</f>
        <v>0</v>
      </c>
      <c r="BB205" s="683">
        <f>SUMIF(BDEGENER[SERIE],BDEGENER[[#This Row],[SERIE]],BDEGENER[GA3])</f>
        <v>3379.4</v>
      </c>
      <c r="BC205" s="761" t="str">
        <f>CONCATENATE("MANT",COUNTIF($Y$7:Y205,Y205))</f>
        <v>MANT2</v>
      </c>
      <c r="BD205" s="683" t="str">
        <f>CONCATENATE(BDEGENER[[#This Row],[SERIE]],BDEGENER[[#This Row],[GA5]])</f>
        <v>3004555915MANT2</v>
      </c>
      <c r="BE205" s="683" t="str">
        <f>CONCATENATE(BDEGENER[[#This Row],[CODIGO PATRIMONIAL]],BDEGENER[[#This Row],[GA5]])</f>
        <v>SUR-GEG-0022MANT2</v>
      </c>
      <c r="BF205" s="683">
        <f>COUNTIF(BDEGENER[SERIE],BDEGENER[[#This Row],[SERIE]])</f>
        <v>9</v>
      </c>
      <c r="BG205" s="761" t="str">
        <f>CONCATENATE("F",COUNTIF($K$7:K205,K205))</f>
        <v>F2</v>
      </c>
      <c r="BH205" s="683" t="str">
        <f>CONCATENATE(BDEGENER[[#This Row],[FECHA DE SERVICIO]],BDEGENER[[#This Row],[N° DE REGISTROS DEL DIA]])</f>
        <v>44089F2</v>
      </c>
      <c r="BI205" s="684"/>
      <c r="BJ205" s="683" t="s">
        <v>1544</v>
      </c>
      <c r="BK205" s="762"/>
    </row>
    <row r="206" spans="2:63" ht="69" hidden="1" x14ac:dyDescent="0.3">
      <c r="B206" s="2"/>
      <c r="C206" s="2"/>
      <c r="D206" s="2"/>
      <c r="E206" s="2"/>
      <c r="F206" s="2"/>
      <c r="G206" s="2"/>
      <c r="H206" s="2"/>
      <c r="I206" s="2"/>
      <c r="J206" s="685"/>
      <c r="K206" s="682">
        <v>44087</v>
      </c>
      <c r="L206" s="683" t="s">
        <v>764</v>
      </c>
      <c r="M206" s="683" t="s">
        <v>2645</v>
      </c>
      <c r="N206" s="683" t="s">
        <v>2641</v>
      </c>
      <c r="O206" s="683"/>
      <c r="P206" s="688" t="s">
        <v>3266</v>
      </c>
      <c r="Q206" s="683" t="s">
        <v>107</v>
      </c>
      <c r="R206" s="683" t="s">
        <v>1782</v>
      </c>
      <c r="S206" s="686" t="s">
        <v>3267</v>
      </c>
      <c r="T206" s="683" t="s">
        <v>3268</v>
      </c>
      <c r="U206" s="683" t="s">
        <v>3269</v>
      </c>
      <c r="V206" s="683" t="s">
        <v>147</v>
      </c>
      <c r="W206" s="683" t="s">
        <v>914</v>
      </c>
      <c r="X206" s="691" t="s">
        <v>917</v>
      </c>
      <c r="Y206" s="687" t="s">
        <v>2644</v>
      </c>
      <c r="Z206" s="692" t="s">
        <v>159</v>
      </c>
      <c r="AA206" s="683" t="s">
        <v>840</v>
      </c>
      <c r="AB206" s="683" t="s">
        <v>1921</v>
      </c>
      <c r="AC206" s="683" t="s">
        <v>1922</v>
      </c>
      <c r="AD206" s="683" t="s">
        <v>1087</v>
      </c>
      <c r="AE206" s="683">
        <v>60</v>
      </c>
      <c r="AF206" s="684">
        <v>203.3</v>
      </c>
      <c r="AG206" s="683" t="s">
        <v>1412</v>
      </c>
      <c r="AH206" s="683" t="s">
        <v>1578</v>
      </c>
      <c r="AI206" s="683" t="s">
        <v>844</v>
      </c>
      <c r="AJ206" s="683" t="s">
        <v>2651</v>
      </c>
      <c r="AK206" s="683" t="s">
        <v>1923</v>
      </c>
      <c r="AL206" s="683" t="s">
        <v>159</v>
      </c>
      <c r="AM206" s="683"/>
      <c r="AN206" s="683" t="s">
        <v>3264</v>
      </c>
      <c r="AO206" s="683" t="s">
        <v>1427</v>
      </c>
      <c r="AP206" s="683" t="s">
        <v>240</v>
      </c>
      <c r="AQ206" s="688" t="str">
        <f>CONCATENATE("REG-",BDEGENER[[#This Row],[FECHA DE SERVICIO]],"-",BDEGENER[[#This Row],[SERIE]],"-",BDEGENER[[#This Row],[HORAS]])</f>
        <v>REG-44087-B5524F-001-203,3</v>
      </c>
      <c r="AR206" s="683" t="str">
        <f>CONCATENATE("MARCA: ",BDEGENER[[#This Row],[MARCA]],"
 MODELO: ",BDEGENER[[#This Row],[MODELO]])</f>
        <v>MARCA: FG - WILSON
 MODELO: P110E</v>
      </c>
      <c r="AS206" s="683" t="str">
        <f>CONCATENATE("MARCA: ",BDEGENER[[#This Row],[MARCA DE MOTOR]],"
SERIE: ",BDEGENER[[#This Row],[SERIE DE MOTOR]])</f>
        <v>MARCA: PERKINS
SERIE: 1797/1500</v>
      </c>
      <c r="AT206" s="683" t="str">
        <f>CONCATENATE("MARCA: ",BDEGENER[[#This Row],[MARCA ALTERNADOR ]],"
SERIE: ",BDEGENER[[#This Row],[SERIE DE ALTERNADOR]])</f>
        <v xml:space="preserve">MARCA: FG WILSON
SERIE: </v>
      </c>
      <c r="AU206" s="683" t="str">
        <f>CONCATENATE("HORAS: ",BDEGENER[[#This Row],[HORAS]],"
KW-HR: ",BDEGENER[[#This Row],[KW-HORA]],"
VOLT.BATERIA: ",BDEGENER[[#This Row],[VOLTAJE DE BATERIA]],"
TEMPERATURA: ",BDEGENER[[#This Row],[TEMPERATURA DE AGUA]],"
PRES. ACEITE: ",BDEGENER[[#This Row],[PRESION DE ACEITE]])</f>
        <v>HORAS: 203,3
KW-HR: 
VOLT.BATERIA: 
TEMPERATURA: 160 °F
PRES. ACEITE: 60 PSI</v>
      </c>
      <c r="AV206" s="683">
        <f>COUNTIFS(Q206:Q2206,"MANTENIMIENTO CORRECTIVO",Y206:Y2206,BDEGENER[[#This Row],[SERIE]])</f>
        <v>3</v>
      </c>
      <c r="AW206" s="683">
        <f>COUNTIFS(Q206:Q2206,"MANTENIMIENTO PREVENTIVO",Y206:Y2206,BDEGENER[[#This Row],[SERIE]])</f>
        <v>2</v>
      </c>
      <c r="AX20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206" s="683">
        <f>COUNTIFS(BDEGENER[SERIE],BDEGENER[[#This Row],[SERIE]],BDEGENER[TIPO DE SERVICIO],"MANTENIMIENTO PREVENTIVO")</f>
        <v>2</v>
      </c>
      <c r="AZ206" s="683" t="str">
        <f>CONCATENATE("MANTENIMIENTO PREVENTIVO N°",BDEGENER[[#This Row],[GA1]])</f>
        <v>MANTENIMIENTO PREVENTIVO N°2</v>
      </c>
      <c r="BA206" s="683" t="str">
        <f>IF(BDEGENER[[#This Row],[SERVICIO]]=BDEGENER[[#This Row],[GA2]],BDEGENER[[#This Row],[HORAS]],"0")</f>
        <v>0</v>
      </c>
      <c r="BB206" s="683">
        <f>SUMIF(BDEGENER[SERIE],BDEGENER[[#This Row],[SERIE]],BDEGENER[GA3])</f>
        <v>185.7</v>
      </c>
      <c r="BC206" s="683" t="str">
        <f>CONCATENATE("MANT",COUNTIF($Y$7:Y206,Y206))</f>
        <v>MANT1</v>
      </c>
      <c r="BD206" s="683" t="str">
        <f>CONCATENATE(BDEGENER[[#This Row],[SERIE]],BDEGENER[[#This Row],[GA5]])</f>
        <v>B5524F-001MANT1</v>
      </c>
      <c r="BE206" s="683" t="str">
        <f>CONCATENATE(BDEGENER[[#This Row],[CODIGO PATRIMONIAL]],BDEGENER[[#This Row],[GA5]])</f>
        <v>MANT1</v>
      </c>
      <c r="BF206" s="683">
        <f>COUNTIF(BDEGENER[SERIE],BDEGENER[[#This Row],[SERIE]])</f>
        <v>7</v>
      </c>
      <c r="BG206" s="683" t="str">
        <f>CONCATENATE("F",COUNTIF($K$7:K206,K206))</f>
        <v>F1</v>
      </c>
      <c r="BH206" s="683" t="str">
        <f>CONCATENATE(BDEGENER[[#This Row],[FECHA DE SERVICIO]],BDEGENER[[#This Row],[N° DE REGISTROS DEL DIA]])</f>
        <v>44087F1</v>
      </c>
      <c r="BI206" s="684"/>
      <c r="BJ206" s="683" t="s">
        <v>1544</v>
      </c>
      <c r="BK206" s="762"/>
    </row>
    <row r="207" spans="2:63" ht="69" hidden="1" x14ac:dyDescent="0.3">
      <c r="B207" s="2"/>
      <c r="C207" s="2"/>
      <c r="D207" s="2"/>
      <c r="E207" s="2"/>
      <c r="F207" s="2"/>
      <c r="G207" s="2"/>
      <c r="H207" s="2"/>
      <c r="I207" s="2"/>
      <c r="J207" s="685"/>
      <c r="K207" s="682">
        <v>44087</v>
      </c>
      <c r="L207" s="683" t="s">
        <v>764</v>
      </c>
      <c r="M207" s="683" t="s">
        <v>2645</v>
      </c>
      <c r="N207" s="683" t="s">
        <v>2641</v>
      </c>
      <c r="O207" s="683"/>
      <c r="P207" s="683"/>
      <c r="Q207" s="683" t="s">
        <v>108</v>
      </c>
      <c r="R207" s="683" t="s">
        <v>1782</v>
      </c>
      <c r="S207" s="686" t="s">
        <v>3263</v>
      </c>
      <c r="T207" s="683" t="s">
        <v>3265</v>
      </c>
      <c r="U207" s="683"/>
      <c r="V207" s="683" t="s">
        <v>147</v>
      </c>
      <c r="W207" s="683" t="s">
        <v>914</v>
      </c>
      <c r="X207" s="691" t="s">
        <v>917</v>
      </c>
      <c r="Y207" s="687" t="s">
        <v>2644</v>
      </c>
      <c r="Z207" s="692" t="s">
        <v>159</v>
      </c>
      <c r="AA207" s="683" t="s">
        <v>840</v>
      </c>
      <c r="AB207" s="683" t="s">
        <v>1921</v>
      </c>
      <c r="AC207" s="683" t="s">
        <v>1922</v>
      </c>
      <c r="AD207" s="683" t="s">
        <v>1087</v>
      </c>
      <c r="AE207" s="683">
        <v>60</v>
      </c>
      <c r="AF207" s="684">
        <v>196.6</v>
      </c>
      <c r="AG207" s="683" t="s">
        <v>1412</v>
      </c>
      <c r="AH207" s="683" t="s">
        <v>1578</v>
      </c>
      <c r="AI207" s="683" t="s">
        <v>844</v>
      </c>
      <c r="AJ207" s="683" t="s">
        <v>2651</v>
      </c>
      <c r="AK207" s="683" t="s">
        <v>1923</v>
      </c>
      <c r="AL207" s="683" t="s">
        <v>159</v>
      </c>
      <c r="AM207" s="683" t="s">
        <v>1126</v>
      </c>
      <c r="AN207" s="683" t="s">
        <v>3264</v>
      </c>
      <c r="AO207" s="683" t="s">
        <v>1427</v>
      </c>
      <c r="AP207" s="683" t="s">
        <v>240</v>
      </c>
      <c r="AQ207" s="688" t="str">
        <f>CONCATENATE("REG-",BDEGENER[[#This Row],[FECHA DE SERVICIO]],"-",BDEGENER[[#This Row],[SERIE]],"-",BDEGENER[[#This Row],[HORAS]])</f>
        <v>REG-44087-B5524F-001-196,6</v>
      </c>
      <c r="AR207" s="683" t="str">
        <f>CONCATENATE("MARCA: ",BDEGENER[[#This Row],[MARCA]],"
 MODELO: ",BDEGENER[[#This Row],[MODELO]])</f>
        <v>MARCA: FG - WILSON
 MODELO: P110E</v>
      </c>
      <c r="AS207" s="683" t="str">
        <f>CONCATENATE("MARCA: ",BDEGENER[[#This Row],[MARCA DE MOTOR]],"
SERIE: ",BDEGENER[[#This Row],[SERIE DE MOTOR]])</f>
        <v>MARCA: PERKINS
SERIE: 1797/1500</v>
      </c>
      <c r="AT207" s="683" t="str">
        <f>CONCATENATE("MARCA: ",BDEGENER[[#This Row],[MARCA ALTERNADOR ]],"
SERIE: ",BDEGENER[[#This Row],[SERIE DE ALTERNADOR]])</f>
        <v xml:space="preserve">MARCA: FG WILSON
SERIE: </v>
      </c>
      <c r="AU207" s="683" t="str">
        <f>CONCATENATE("HORAS: ",BDEGENER[[#This Row],[HORAS]],"
KW-HR: ",BDEGENER[[#This Row],[KW-HORA]],"
VOLT.BATERIA: ",BDEGENER[[#This Row],[VOLTAJE DE BATERIA]],"
TEMPERATURA: ",BDEGENER[[#This Row],[TEMPERATURA DE AGUA]],"
PRES. ACEITE: ",BDEGENER[[#This Row],[PRESION DE ACEITE]])</f>
        <v>HORAS: 196,6
KW-HR: 
VOLT.BATERIA: 13 V
TEMPERATURA: 160 °F
PRES. ACEITE: 60 PSI</v>
      </c>
      <c r="AV207" s="683">
        <f>COUNTIFS(Q207:Q2207,"MANTENIMIENTO CORRECTIVO",Y207:Y2207,BDEGENER[[#This Row],[SERIE]])</f>
        <v>2</v>
      </c>
      <c r="AW207" s="683">
        <f>COUNTIFS(Q207:Q2207,"MANTENIMIENTO PREVENTIVO",Y207:Y2207,BDEGENER[[#This Row],[SERIE]])</f>
        <v>2</v>
      </c>
      <c r="AX20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207" s="683">
        <f>COUNTIFS(BDEGENER[SERIE],BDEGENER[[#This Row],[SERIE]],BDEGENER[TIPO DE SERVICIO],"MANTENIMIENTO PREVENTIVO")</f>
        <v>2</v>
      </c>
      <c r="AZ207" s="683" t="str">
        <f>CONCATENATE("MANTENIMIENTO PREVENTIVO N°",BDEGENER[[#This Row],[GA1]])</f>
        <v>MANTENIMIENTO PREVENTIVO N°2</v>
      </c>
      <c r="BA207" s="683" t="str">
        <f>IF(BDEGENER[[#This Row],[SERVICIO]]=BDEGENER[[#This Row],[GA2]],BDEGENER[[#This Row],[HORAS]],"0")</f>
        <v>0</v>
      </c>
      <c r="BB207" s="683">
        <f>SUMIF(BDEGENER[SERIE],BDEGENER[[#This Row],[SERIE]],BDEGENER[GA3])</f>
        <v>185.7</v>
      </c>
      <c r="BC207" s="683" t="str">
        <f>CONCATENATE("MANT",COUNTIF($Y$7:Y207,Y207))</f>
        <v>MANT2</v>
      </c>
      <c r="BD207" s="683" t="str">
        <f>CONCATENATE(BDEGENER[[#This Row],[SERIE]],BDEGENER[[#This Row],[GA5]])</f>
        <v>B5524F-001MANT2</v>
      </c>
      <c r="BE207" s="683" t="str">
        <f>CONCATENATE(BDEGENER[[#This Row],[CODIGO PATRIMONIAL]],BDEGENER[[#This Row],[GA5]])</f>
        <v>MANT2</v>
      </c>
      <c r="BF207" s="683">
        <f>COUNTIF(BDEGENER[SERIE],BDEGENER[[#This Row],[SERIE]])</f>
        <v>7</v>
      </c>
      <c r="BG207" s="683" t="str">
        <f>CONCATENATE("F",COUNTIF($K$7:K207,K207))</f>
        <v>F2</v>
      </c>
      <c r="BH207" s="683" t="str">
        <f>CONCATENATE(BDEGENER[[#This Row],[FECHA DE SERVICIO]],BDEGENER[[#This Row],[N° DE REGISTROS DEL DIA]])</f>
        <v>44087F2</v>
      </c>
      <c r="BI207" s="684"/>
      <c r="BJ207" s="683" t="s">
        <v>1544</v>
      </c>
      <c r="BK207" s="762" t="s">
        <v>239</v>
      </c>
    </row>
    <row r="208" spans="2:63" ht="69" hidden="1" x14ac:dyDescent="0.3">
      <c r="B208" s="2"/>
      <c r="C208" s="2"/>
      <c r="D208" s="2"/>
      <c r="E208" s="2"/>
      <c r="F208" s="2"/>
      <c r="G208" s="2"/>
      <c r="H208" s="2"/>
      <c r="I208" s="2"/>
      <c r="J208" s="685"/>
      <c r="K208" s="682">
        <v>44086</v>
      </c>
      <c r="L208" s="683" t="s">
        <v>764</v>
      </c>
      <c r="M208" s="683" t="s">
        <v>1434</v>
      </c>
      <c r="N208" s="683" t="s">
        <v>1435</v>
      </c>
      <c r="O208" s="683"/>
      <c r="P208" s="688" t="s">
        <v>3281</v>
      </c>
      <c r="Q208" s="683" t="s">
        <v>37</v>
      </c>
      <c r="R208" s="683" t="s">
        <v>1782</v>
      </c>
      <c r="S208" s="686" t="s">
        <v>3282</v>
      </c>
      <c r="T208" s="683" t="s">
        <v>3283</v>
      </c>
      <c r="U208" s="683" t="s">
        <v>3284</v>
      </c>
      <c r="V208" s="683" t="s">
        <v>147</v>
      </c>
      <c r="W208" s="683" t="s">
        <v>914</v>
      </c>
      <c r="X208" s="691" t="s">
        <v>917</v>
      </c>
      <c r="Y208" s="687" t="s">
        <v>1437</v>
      </c>
      <c r="Z208" s="692" t="s">
        <v>159</v>
      </c>
      <c r="AA208" s="683" t="s">
        <v>841</v>
      </c>
      <c r="AB208" s="683">
        <v>3412</v>
      </c>
      <c r="AC208" s="683" t="s">
        <v>1438</v>
      </c>
      <c r="AD208" s="683" t="s">
        <v>2344</v>
      </c>
      <c r="AE208" s="683">
        <v>60.4</v>
      </c>
      <c r="AF208" s="684">
        <v>2737.2</v>
      </c>
      <c r="AG208" s="683" t="s">
        <v>1412</v>
      </c>
      <c r="AH208" s="683" t="s">
        <v>1440</v>
      </c>
      <c r="AI208" s="683" t="s">
        <v>841</v>
      </c>
      <c r="AJ208" s="683" t="s">
        <v>1444</v>
      </c>
      <c r="AK208" s="683" t="s">
        <v>841</v>
      </c>
      <c r="AL208" s="683" t="s">
        <v>1437</v>
      </c>
      <c r="AM208" s="683" t="s">
        <v>3279</v>
      </c>
      <c r="AN208" s="683" t="s">
        <v>3280</v>
      </c>
      <c r="AO208" s="683" t="s">
        <v>2193</v>
      </c>
      <c r="AP208" s="683" t="s">
        <v>240</v>
      </c>
      <c r="AQ208" s="688" t="str">
        <f>CONCATENATE("REG-",BDEGENER[[#This Row],[FECHA DE SERVICIO]],"-",BDEGENER[[#This Row],[SERIE]],"-",BDEGENER[[#This Row],[HORAS]])</f>
        <v>REG-44086-6FA06155-2737,2</v>
      </c>
      <c r="AR208" s="683" t="str">
        <f>CONCATENATE("MARCA: ",BDEGENER[[#This Row],[MARCA]],"
 MODELO: ",BDEGENER[[#This Row],[MODELO]])</f>
        <v>MARCA: CATERPILLAR
 MODELO: 3412</v>
      </c>
      <c r="AS208" s="683" t="str">
        <f>CONCATENATE("MARCA: ",BDEGENER[[#This Row],[MARCA DE MOTOR]],"
SERIE: ",BDEGENER[[#This Row],[SERIE DE MOTOR]])</f>
        <v>MARCA: CATERPILLAR
SERIE: 81Z09896</v>
      </c>
      <c r="AT208" s="683" t="str">
        <f>CONCATENATE("MARCA: ",BDEGENER[[#This Row],[MARCA ALTERNADOR ]],"
SERIE: ",BDEGENER[[#This Row],[SERIE DE ALTERNADOR]])</f>
        <v>MARCA: CATERPILLAR
SERIE: 6FA06155</v>
      </c>
      <c r="AU208" s="683" t="str">
        <f>CONCATENATE("HORAS: ",BDEGENER[[#This Row],[HORAS]],"
KW-HR: ",BDEGENER[[#This Row],[KW-HORA]],"
VOLT.BATERIA: ",BDEGENER[[#This Row],[VOLTAJE DE BATERIA]],"
TEMPERATURA: ",BDEGENER[[#This Row],[TEMPERATURA DE AGUA]],"
PRES. ACEITE: ",BDEGENER[[#This Row],[PRESION DE ACEITE]])</f>
        <v>HORAS: 2737,2
KW-HR: 
VOLT.BATERIA: 27 V
TEMPERATURA: 133 °F
PRES. ACEITE: 95 PSI</v>
      </c>
      <c r="AV208" s="761">
        <f>COUNTIFS(Q208:Q2208,"MANTENIMIENTO CORRECTIVO",Y208:Y2208,BDEGENER[[#This Row],[SERIE]])</f>
        <v>0</v>
      </c>
      <c r="AW208" s="761">
        <f>COUNTIFS(Q208:Q2208,"MANTENIMIENTO PREVENTIVO",Y208:Y2208,BDEGENER[[#This Row],[SERIE]])</f>
        <v>2</v>
      </c>
      <c r="AX20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208" s="683">
        <f>COUNTIFS(BDEGENER[SERIE],BDEGENER[[#This Row],[SERIE]],BDEGENER[TIPO DE SERVICIO],"MANTENIMIENTO PREVENTIVO")</f>
        <v>2</v>
      </c>
      <c r="AZ208" s="683" t="str">
        <f>CONCATENATE("MANTENIMIENTO PREVENTIVO N°",BDEGENER[[#This Row],[GA1]])</f>
        <v>MANTENIMIENTO PREVENTIVO N°2</v>
      </c>
      <c r="BA208" s="683">
        <f>IF(BDEGENER[[#This Row],[SERVICIO]]=BDEGENER[[#This Row],[GA2]],BDEGENER[[#This Row],[HORAS]],"0")</f>
        <v>2737.2</v>
      </c>
      <c r="BB208" s="683">
        <f>SUMIF(BDEGENER[SERIE],BDEGENER[[#This Row],[SERIE]],BDEGENER[GA3])</f>
        <v>2737.2</v>
      </c>
      <c r="BC208" s="761" t="str">
        <f>CONCATENATE("MANT",COUNTIF($Y$7:Y208,Y208))</f>
        <v>MANT1</v>
      </c>
      <c r="BD208" s="683" t="str">
        <f>CONCATENATE(BDEGENER[[#This Row],[SERIE]],BDEGENER[[#This Row],[GA5]])</f>
        <v>6FA06155MANT1</v>
      </c>
      <c r="BE208" s="683" t="str">
        <f>CONCATENATE(BDEGENER[[#This Row],[CODIGO PATRIMONIAL]],BDEGENER[[#This Row],[GA5]])</f>
        <v>MANT1</v>
      </c>
      <c r="BF208" s="683">
        <f>COUNTIF(BDEGENER[SERIE],BDEGENER[[#This Row],[SERIE]])</f>
        <v>2</v>
      </c>
      <c r="BG208" s="761" t="str">
        <f>CONCATENATE("F",COUNTIF($K$7:K208,K208))</f>
        <v>F1</v>
      </c>
      <c r="BH208" s="683" t="str">
        <f>CONCATENATE(BDEGENER[[#This Row],[FECHA DE SERVICIO]],BDEGENER[[#This Row],[N° DE REGISTROS DEL DIA]])</f>
        <v>44086F1</v>
      </c>
      <c r="BI208" s="684"/>
      <c r="BJ208" s="683" t="s">
        <v>1544</v>
      </c>
      <c r="BK208" s="762"/>
    </row>
    <row r="209" spans="2:63" ht="69" hidden="1" x14ac:dyDescent="0.3">
      <c r="B209" s="2"/>
      <c r="C209" s="2"/>
      <c r="D209" s="2"/>
      <c r="E209" s="2"/>
      <c r="F209" s="2"/>
      <c r="G209" s="2"/>
      <c r="H209" s="2"/>
      <c r="I209" s="2"/>
      <c r="J209" s="685"/>
      <c r="K209" s="682">
        <v>44085</v>
      </c>
      <c r="L209" s="683" t="s">
        <v>561</v>
      </c>
      <c r="M209" s="683" t="s">
        <v>582</v>
      </c>
      <c r="N209" s="683" t="s">
        <v>578</v>
      </c>
      <c r="O209" s="683"/>
      <c r="P209" s="683"/>
      <c r="Q209" s="683" t="s">
        <v>107</v>
      </c>
      <c r="R209" s="683" t="s">
        <v>1782</v>
      </c>
      <c r="S209" s="686" t="s">
        <v>3274</v>
      </c>
      <c r="T209" s="683" t="s">
        <v>2546</v>
      </c>
      <c r="U209" s="683" t="s">
        <v>3275</v>
      </c>
      <c r="V209" s="683" t="s">
        <v>147</v>
      </c>
      <c r="W209" s="683" t="s">
        <v>913</v>
      </c>
      <c r="X209" s="691" t="s">
        <v>918</v>
      </c>
      <c r="Y209" s="687">
        <v>3003415544</v>
      </c>
      <c r="Z209" s="692" t="s">
        <v>2601</v>
      </c>
      <c r="AA209" s="683" t="s">
        <v>33</v>
      </c>
      <c r="AB209" s="683" t="s">
        <v>217</v>
      </c>
      <c r="AC209" s="683" t="s">
        <v>749</v>
      </c>
      <c r="AD209" s="683" t="s">
        <v>1123</v>
      </c>
      <c r="AE209" s="683">
        <v>60</v>
      </c>
      <c r="AF209" s="684">
        <v>5316.3</v>
      </c>
      <c r="AG209" s="683" t="s">
        <v>243</v>
      </c>
      <c r="AH209" s="683" t="s">
        <v>1803</v>
      </c>
      <c r="AI209" s="683" t="s">
        <v>2553</v>
      </c>
      <c r="AJ209" s="683"/>
      <c r="AK209" s="683" t="s">
        <v>33</v>
      </c>
      <c r="AL209" s="683"/>
      <c r="AM209" s="683" t="s">
        <v>1145</v>
      </c>
      <c r="AN209" s="683"/>
      <c r="AO209" s="683"/>
      <c r="AP209" s="683" t="s">
        <v>240</v>
      </c>
      <c r="AQ209" s="688" t="str">
        <f>CONCATENATE("REG-",BDEGENER[[#This Row],[FECHA DE SERVICIO]],"-",BDEGENER[[#This Row],[SERIE]],"-",BDEGENER[[#This Row],[HORAS]])</f>
        <v>REG-44085-3003415544-5316,3</v>
      </c>
      <c r="AR209" s="683" t="str">
        <f>CONCATENATE("MARCA: ",BDEGENER[[#This Row],[MARCA]],"
 MODELO: ",BDEGENER[[#This Row],[MODELO]])</f>
        <v>MARCA: GENERAC
 MODELO: RG022</v>
      </c>
      <c r="AS209" s="683" t="str">
        <f>CONCATENATE("MARCA: ",BDEGENER[[#This Row],[MARCA DE MOTOR]],"
SERIE: ",BDEGENER[[#This Row],[SERIE DE MOTOR]])</f>
        <v xml:space="preserve">MARCA: MITSUBISHI
SERIE: </v>
      </c>
      <c r="AT209" s="683" t="str">
        <f>CONCATENATE("MARCA: ",BDEGENER[[#This Row],[MARCA ALTERNADOR ]],"
SERIE: ",BDEGENER[[#This Row],[SERIE DE ALTERNADOR]])</f>
        <v xml:space="preserve">MARCA: GENERAC
SERIE: </v>
      </c>
      <c r="AU209" s="683" t="str">
        <f>CONCATENATE("HORAS: ",BDEGENER[[#This Row],[HORAS]],"
KW-HR: ",BDEGENER[[#This Row],[KW-HORA]],"
VOLT.BATERIA: ",BDEGENER[[#This Row],[VOLTAJE DE BATERIA]],"
TEMPERATURA: ",BDEGENER[[#This Row],[TEMPERATURA DE AGUA]],"
PRES. ACEITE: ",BDEGENER[[#This Row],[PRESION DE ACEITE]])</f>
        <v xml:space="preserve">HORAS: 5316,3
KW-HR: 
VOLT.BATERIA: 13.4 V
TEMPERATURA: 
PRES. ACEITE: </v>
      </c>
      <c r="AV209" s="683">
        <f>COUNTIFS(Q209:Q2209,"MANTENIMIENTO CORRECTIVO",Y209:Y2209,BDEGENER[[#This Row],[SERIE]])</f>
        <v>2</v>
      </c>
      <c r="AW209" s="683">
        <f>COUNTIFS(Q209:Q2209,"MANTENIMIENTO PREVENTIVO",Y209:Y2209,BDEGENER[[#This Row],[SERIE]])</f>
        <v>8</v>
      </c>
      <c r="AX20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209" s="683">
        <f>COUNTIFS(BDEGENER[SERIE],BDEGENER[[#This Row],[SERIE]],BDEGENER[TIPO DE SERVICIO],"MANTENIMIENTO PREVENTIVO")</f>
        <v>9</v>
      </c>
      <c r="AZ209" s="683" t="str">
        <f>CONCATENATE("MANTENIMIENTO PREVENTIVO N°",BDEGENER[[#This Row],[GA1]])</f>
        <v>MANTENIMIENTO PREVENTIVO N°9</v>
      </c>
      <c r="BA209" s="683" t="str">
        <f>IF(BDEGENER[[#This Row],[SERVICIO]]=BDEGENER[[#This Row],[GA2]],BDEGENER[[#This Row],[HORAS]],"0")</f>
        <v>0</v>
      </c>
      <c r="BB209" s="683">
        <f>SUMIF(BDEGENER[SERIE],BDEGENER[[#This Row],[SERIE]],BDEGENER[GA3])</f>
        <v>5449.4</v>
      </c>
      <c r="BC209" s="683" t="str">
        <f>CONCATENATE("MANT",COUNTIF($Y$7:Y209,Y209))</f>
        <v>MANT3</v>
      </c>
      <c r="BD209" s="683" t="str">
        <f>CONCATENATE(BDEGENER[[#This Row],[SERIE]],BDEGENER[[#This Row],[GA5]])</f>
        <v>3003415544MANT3</v>
      </c>
      <c r="BE209" s="683" t="str">
        <f>CONCATENATE(BDEGENER[[#This Row],[CODIGO PATRIMONIAL]],BDEGENER[[#This Row],[GA5]])</f>
        <v>SUR-GEG-0005MANT3</v>
      </c>
      <c r="BF209" s="683">
        <f>COUNTIF(BDEGENER[SERIE],BDEGENER[[#This Row],[SERIE]])</f>
        <v>13</v>
      </c>
      <c r="BG209" s="683" t="str">
        <f>CONCATENATE("F",COUNTIF($K$7:K209,K209))</f>
        <v>F1</v>
      </c>
      <c r="BH209" s="683" t="str">
        <f>CONCATENATE(BDEGENER[[#This Row],[FECHA DE SERVICIO]],BDEGENER[[#This Row],[N° DE REGISTROS DEL DIA]])</f>
        <v>44085F1</v>
      </c>
      <c r="BI209" s="684"/>
      <c r="BJ209" s="683" t="s">
        <v>1544</v>
      </c>
      <c r="BK209" s="762"/>
    </row>
    <row r="210" spans="2:63" ht="69" hidden="1" x14ac:dyDescent="0.3">
      <c r="B210" s="2"/>
      <c r="C210" s="2"/>
      <c r="D210" s="2"/>
      <c r="E210" s="2"/>
      <c r="F210" s="2"/>
      <c r="G210" s="2"/>
      <c r="H210" s="2"/>
      <c r="I210" s="2"/>
      <c r="J210" s="685"/>
      <c r="K210" s="682">
        <v>44084</v>
      </c>
      <c r="L210" s="683" t="s">
        <v>181</v>
      </c>
      <c r="M210" s="683" t="s">
        <v>185</v>
      </c>
      <c r="N210" s="683" t="s">
        <v>183</v>
      </c>
      <c r="O210" s="683">
        <v>4500853865</v>
      </c>
      <c r="P210" s="683" t="s">
        <v>3254</v>
      </c>
      <c r="Q210" s="683" t="s">
        <v>37</v>
      </c>
      <c r="R210" s="683" t="s">
        <v>1782</v>
      </c>
      <c r="S210" s="686" t="s">
        <v>3257</v>
      </c>
      <c r="T210" s="683" t="s">
        <v>3258</v>
      </c>
      <c r="U210" s="683" t="s">
        <v>2049</v>
      </c>
      <c r="V210" s="683" t="s">
        <v>146</v>
      </c>
      <c r="W210" s="683" t="s">
        <v>914</v>
      </c>
      <c r="X210" s="691" t="s">
        <v>918</v>
      </c>
      <c r="Y210" s="687">
        <v>3004416581</v>
      </c>
      <c r="Z210" s="692"/>
      <c r="AA210" s="683" t="s">
        <v>33</v>
      </c>
      <c r="AB210" s="683" t="s">
        <v>34</v>
      </c>
      <c r="AC210" s="683" t="s">
        <v>230</v>
      </c>
      <c r="AD210" s="683" t="s">
        <v>1110</v>
      </c>
      <c r="AE210" s="683">
        <v>60</v>
      </c>
      <c r="AF210" s="684">
        <v>1056.8</v>
      </c>
      <c r="AG210" s="683" t="s">
        <v>243</v>
      </c>
      <c r="AH210" s="683" t="s">
        <v>220</v>
      </c>
      <c r="AI210" s="683" t="s">
        <v>33</v>
      </c>
      <c r="AJ210" s="683">
        <v>3004309056</v>
      </c>
      <c r="AK210" s="683" t="s">
        <v>33</v>
      </c>
      <c r="AL210" s="683">
        <v>107748810</v>
      </c>
      <c r="AM210" s="683" t="s">
        <v>1377</v>
      </c>
      <c r="AN210" s="683" t="s">
        <v>1352</v>
      </c>
      <c r="AO210" s="683" t="s">
        <v>1349</v>
      </c>
      <c r="AP210" s="683" t="s">
        <v>240</v>
      </c>
      <c r="AQ210" s="688" t="str">
        <f>CONCATENATE("REG-",BDEGENER[[#This Row],[FECHA DE SERVICIO]],"-",BDEGENER[[#This Row],[SERIE]],"-",BDEGENER[[#This Row],[HORAS]])</f>
        <v>REG-44084-3004416581-1056,8</v>
      </c>
      <c r="AR210" s="683" t="str">
        <f>CONCATENATE("MARCA: ",BDEGENER[[#This Row],[MARCA]],"
 MODELO: ",BDEGENER[[#This Row],[MODELO]])</f>
        <v>MARCA: GENERAC
 MODELO: PG090</v>
      </c>
      <c r="AS210" s="683" t="str">
        <f>CONCATENATE("MARCA: ",BDEGENER[[#This Row],[MARCA DE MOTOR]],"
SERIE: ",BDEGENER[[#This Row],[SERIE DE MOTOR]])</f>
        <v>MARCA: GENERAC
SERIE: 3004309056</v>
      </c>
      <c r="AT210" s="683" t="str">
        <f>CONCATENATE("MARCA: ",BDEGENER[[#This Row],[MARCA ALTERNADOR ]],"
SERIE: ",BDEGENER[[#This Row],[SERIE DE ALTERNADOR]])</f>
        <v>MARCA: GENERAC
SERIE: 107748810</v>
      </c>
      <c r="AU210" s="683" t="str">
        <f>CONCATENATE("HORAS: ",BDEGENER[[#This Row],[HORAS]],"
KW-HR: ",BDEGENER[[#This Row],[KW-HORA]],"
VOLT.BATERIA: ",BDEGENER[[#This Row],[VOLTAJE DE BATERIA]],"
TEMPERATURA: ",BDEGENER[[#This Row],[TEMPERATURA DE AGUA]],"
PRES. ACEITE: ",BDEGENER[[#This Row],[PRESION DE ACEITE]])</f>
        <v>HORAS: 1056,8
KW-HR: 15782,9
VOLT.BATERIA: 13.8 V
TEMPERATURA: 196 °F
PRES. ACEITE: 56 PSI</v>
      </c>
      <c r="AV210" s="683">
        <f>COUNTIFS(Q210:Q2210,"MANTENIMIENTO CORRECTIVO",Y210:Y2210,BDEGENER[[#This Row],[SERIE]])</f>
        <v>2</v>
      </c>
      <c r="AW210" s="683">
        <f>COUNTIFS(Q210:Q2210,"MANTENIMIENTO PREVENTIVO",Y210:Y2210,BDEGENER[[#This Row],[SERIE]])</f>
        <v>4</v>
      </c>
      <c r="AX21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210" s="683">
        <f>COUNTIFS(BDEGENER[SERIE],BDEGENER[[#This Row],[SERIE]],BDEGENER[TIPO DE SERVICIO],"MANTENIMIENTO PREVENTIVO")</f>
        <v>6</v>
      </c>
      <c r="AZ210" s="683" t="str">
        <f>CONCATENATE("MANTENIMIENTO PREVENTIVO N°",BDEGENER[[#This Row],[GA1]])</f>
        <v>MANTENIMIENTO PREVENTIVO N°6</v>
      </c>
      <c r="BA210" s="683" t="str">
        <f>IF(BDEGENER[[#This Row],[SERVICIO]]=BDEGENER[[#This Row],[GA2]],BDEGENER[[#This Row],[HORAS]],"0")</f>
        <v>0</v>
      </c>
      <c r="BB210" s="683">
        <f>SUMIF(BDEGENER[SERIE],BDEGENER[[#This Row],[SERIE]],BDEGENER[GA3])</f>
        <v>1659.1</v>
      </c>
      <c r="BC210" s="683" t="str">
        <f>CONCATENATE("MANT",COUNTIF($Y$7:Y210,Y210))</f>
        <v>MANT3</v>
      </c>
      <c r="BD210" s="683" t="str">
        <f>CONCATENATE(BDEGENER[[#This Row],[SERIE]],BDEGENER[[#This Row],[GA5]])</f>
        <v>3004416581MANT3</v>
      </c>
      <c r="BE210" s="683" t="str">
        <f>CONCATENATE(BDEGENER[[#This Row],[CODIGO PATRIMONIAL]],BDEGENER[[#This Row],[GA5]])</f>
        <v>MANT3</v>
      </c>
      <c r="BF210" s="683">
        <f>COUNTIF(BDEGENER[SERIE],BDEGENER[[#This Row],[SERIE]])</f>
        <v>11</v>
      </c>
      <c r="BG210" s="683" t="str">
        <f>CONCATENATE("F",COUNTIF($K$7:K210,K210))</f>
        <v>F1</v>
      </c>
      <c r="BH210" s="683" t="str">
        <f>CONCATENATE(BDEGENER[[#This Row],[FECHA DE SERVICIO]],BDEGENER[[#This Row],[N° DE REGISTROS DEL DIA]])</f>
        <v>44084F1</v>
      </c>
      <c r="BI210" s="684">
        <v>15782.9</v>
      </c>
      <c r="BJ210" s="683" t="s">
        <v>1544</v>
      </c>
      <c r="BK210" s="762"/>
    </row>
    <row r="211" spans="2:63" ht="69" hidden="1" x14ac:dyDescent="0.3">
      <c r="B211" s="2"/>
      <c r="C211" s="2"/>
      <c r="D211" s="2"/>
      <c r="E211" s="2"/>
      <c r="F211" s="2"/>
      <c r="G211" s="2"/>
      <c r="H211" s="2"/>
      <c r="I211" s="2"/>
      <c r="J211" s="685"/>
      <c r="K211" s="682">
        <v>44084</v>
      </c>
      <c r="L211" s="683" t="s">
        <v>561</v>
      </c>
      <c r="M211" s="683" t="s">
        <v>2659</v>
      </c>
      <c r="N211" s="683" t="s">
        <v>2660</v>
      </c>
      <c r="O211" s="683"/>
      <c r="P211" s="688" t="s">
        <v>3285</v>
      </c>
      <c r="Q211" s="683" t="s">
        <v>37</v>
      </c>
      <c r="R211" s="683" t="s">
        <v>1782</v>
      </c>
      <c r="S211" s="686" t="s">
        <v>3286</v>
      </c>
      <c r="T211" s="683" t="s">
        <v>2870</v>
      </c>
      <c r="U211" s="683" t="s">
        <v>3287</v>
      </c>
      <c r="V211" s="683" t="s">
        <v>147</v>
      </c>
      <c r="W211" s="683" t="s">
        <v>913</v>
      </c>
      <c r="X211" s="691" t="s">
        <v>918</v>
      </c>
      <c r="Y211" s="687">
        <v>3004555912</v>
      </c>
      <c r="Z211" s="692" t="s">
        <v>2607</v>
      </c>
      <c r="AA211" s="683" t="s">
        <v>33</v>
      </c>
      <c r="AB211" s="683" t="s">
        <v>217</v>
      </c>
      <c r="AC211" s="683" t="s">
        <v>749</v>
      </c>
      <c r="AD211" s="683" t="s">
        <v>1123</v>
      </c>
      <c r="AE211" s="683">
        <v>60</v>
      </c>
      <c r="AF211" s="684">
        <v>2468.1</v>
      </c>
      <c r="AG211" s="683" t="s">
        <v>243</v>
      </c>
      <c r="AH211" s="683" t="s">
        <v>1803</v>
      </c>
      <c r="AI211" s="683" t="s">
        <v>2553</v>
      </c>
      <c r="AJ211" s="683"/>
      <c r="AK211" s="683" t="s">
        <v>33</v>
      </c>
      <c r="AL211" s="683"/>
      <c r="AM211" s="683"/>
      <c r="AN211" s="683"/>
      <c r="AO211" s="683"/>
      <c r="AP211" s="683" t="s">
        <v>240</v>
      </c>
      <c r="AQ211" s="688" t="str">
        <f>CONCATENATE("REG-",BDEGENER[[#This Row],[FECHA DE SERVICIO]],"-",BDEGENER[[#This Row],[SERIE]],"-",BDEGENER[[#This Row],[HORAS]])</f>
        <v>REG-44084-3004555912-2468,1</v>
      </c>
      <c r="AR211" s="683" t="str">
        <f>CONCATENATE("MARCA: ",BDEGENER[[#This Row],[MARCA]],"
 MODELO: ",BDEGENER[[#This Row],[MODELO]])</f>
        <v>MARCA: GENERAC
 MODELO: RG022</v>
      </c>
      <c r="AS211" s="683" t="str">
        <f>CONCATENATE("MARCA: ",BDEGENER[[#This Row],[MARCA DE MOTOR]],"
SERIE: ",BDEGENER[[#This Row],[SERIE DE MOTOR]])</f>
        <v xml:space="preserve">MARCA: MITSUBISHI
SERIE: </v>
      </c>
      <c r="AT211" s="683" t="str">
        <f>CONCATENATE("MARCA: ",BDEGENER[[#This Row],[MARCA ALTERNADOR ]],"
SERIE: ",BDEGENER[[#This Row],[SERIE DE ALTERNADOR]])</f>
        <v xml:space="preserve">MARCA: GENERAC
SERIE: </v>
      </c>
      <c r="AU211" s="683" t="str">
        <f>CONCATENATE("HORAS: ",BDEGENER[[#This Row],[HORAS]],"
KW-HR: ",BDEGENER[[#This Row],[KW-HORA]],"
VOLT.BATERIA: ",BDEGENER[[#This Row],[VOLTAJE DE BATERIA]],"
TEMPERATURA: ",BDEGENER[[#This Row],[TEMPERATURA DE AGUA]],"
PRES. ACEITE: ",BDEGENER[[#This Row],[PRESION DE ACEITE]])</f>
        <v xml:space="preserve">HORAS: 2468,1
KW-HR: 
VOLT.BATERIA: 
TEMPERATURA: 
PRES. ACEITE: </v>
      </c>
      <c r="AV211" s="761">
        <f>COUNTIFS(Q211:Q2211,"MANTENIMIENTO CORRECTIVO",Y211:Y2211,BDEGENER[[#This Row],[SERIE]])</f>
        <v>1</v>
      </c>
      <c r="AW211" s="761">
        <f>COUNTIFS(Q211:Q2211,"MANTENIMIENTO PREVENTIVO",Y211:Y2211,BDEGENER[[#This Row],[SERIE]])</f>
        <v>5</v>
      </c>
      <c r="AX21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211" s="683">
        <f>COUNTIFS(BDEGENER[SERIE],BDEGENER[[#This Row],[SERIE]],BDEGENER[TIPO DE SERVICIO],"MANTENIMIENTO PREVENTIVO")</f>
        <v>6</v>
      </c>
      <c r="AZ211" s="683" t="str">
        <f>CONCATENATE("MANTENIMIENTO PREVENTIVO N°",BDEGENER[[#This Row],[GA1]])</f>
        <v>MANTENIMIENTO PREVENTIVO N°6</v>
      </c>
      <c r="BA211" s="683" t="str">
        <f>IF(BDEGENER[[#This Row],[SERVICIO]]=BDEGENER[[#This Row],[GA2]],BDEGENER[[#This Row],[HORAS]],"0")</f>
        <v>0</v>
      </c>
      <c r="BB211" s="683">
        <f>SUMIF(BDEGENER[SERIE],BDEGENER[[#This Row],[SERIE]],BDEGENER[GA3])</f>
        <v>2869.9</v>
      </c>
      <c r="BC211" s="761" t="str">
        <f>CONCATENATE("MANT",COUNTIF($Y$7:Y211,Y211))</f>
        <v>MANT3</v>
      </c>
      <c r="BD211" s="683" t="str">
        <f>CONCATENATE(BDEGENER[[#This Row],[SERIE]],BDEGENER[[#This Row],[GA5]])</f>
        <v>3004555912MANT3</v>
      </c>
      <c r="BE211" s="683" t="str">
        <f>CONCATENATE(BDEGENER[[#This Row],[CODIGO PATRIMONIAL]],BDEGENER[[#This Row],[GA5]])</f>
        <v>SUR-GEG-0011MANT3</v>
      </c>
      <c r="BF211" s="683">
        <f>COUNTIF(BDEGENER[SERIE],BDEGENER[[#This Row],[SERIE]])</f>
        <v>11</v>
      </c>
      <c r="BG211" s="761" t="str">
        <f>CONCATENATE("F",COUNTIF($K$7:K211,K211))</f>
        <v>F2</v>
      </c>
      <c r="BH211" s="683" t="str">
        <f>CONCATENATE(BDEGENER[[#This Row],[FECHA DE SERVICIO]],BDEGENER[[#This Row],[N° DE REGISTROS DEL DIA]])</f>
        <v>44084F2</v>
      </c>
      <c r="BI211" s="684"/>
      <c r="BJ211" s="683" t="s">
        <v>1544</v>
      </c>
      <c r="BK211" s="762"/>
    </row>
    <row r="212" spans="2:63" ht="69" hidden="1" x14ac:dyDescent="0.3">
      <c r="B212" s="2"/>
      <c r="C212" s="2"/>
      <c r="D212" s="2"/>
      <c r="E212" s="2"/>
      <c r="F212" s="2"/>
      <c r="G212" s="2"/>
      <c r="H212" s="2"/>
      <c r="I212" s="2"/>
      <c r="J212" s="685"/>
      <c r="K212" s="682">
        <v>44084</v>
      </c>
      <c r="L212" s="683" t="s">
        <v>561</v>
      </c>
      <c r="M212" s="683" t="s">
        <v>571</v>
      </c>
      <c r="N212" s="683" t="s">
        <v>572</v>
      </c>
      <c r="O212" s="683"/>
      <c r="P212" s="688" t="s">
        <v>3276</v>
      </c>
      <c r="Q212" s="683" t="s">
        <v>37</v>
      </c>
      <c r="R212" s="683" t="s">
        <v>1782</v>
      </c>
      <c r="S212" s="686" t="s">
        <v>3277</v>
      </c>
      <c r="T212" s="683" t="s">
        <v>3252</v>
      </c>
      <c r="U212" s="683" t="s">
        <v>3278</v>
      </c>
      <c r="V212" s="683" t="s">
        <v>147</v>
      </c>
      <c r="W212" s="683" t="s">
        <v>913</v>
      </c>
      <c r="X212" s="691" t="s">
        <v>918</v>
      </c>
      <c r="Y212" s="687">
        <v>3004555915</v>
      </c>
      <c r="Z212" s="692" t="s">
        <v>2610</v>
      </c>
      <c r="AA212" s="683" t="s">
        <v>33</v>
      </c>
      <c r="AB212" s="683" t="s">
        <v>217</v>
      </c>
      <c r="AC212" s="683" t="s">
        <v>749</v>
      </c>
      <c r="AD212" s="683" t="s">
        <v>1123</v>
      </c>
      <c r="AE212" s="683">
        <v>60</v>
      </c>
      <c r="AF212" s="684">
        <v>3006.1</v>
      </c>
      <c r="AG212" s="683" t="s">
        <v>243</v>
      </c>
      <c r="AH212" s="683" t="s">
        <v>1803</v>
      </c>
      <c r="AI212" s="683" t="s">
        <v>2553</v>
      </c>
      <c r="AJ212" s="683"/>
      <c r="AK212" s="683" t="s">
        <v>33</v>
      </c>
      <c r="AL212" s="683"/>
      <c r="AM212" s="683" t="s">
        <v>1145</v>
      </c>
      <c r="AN212" s="683"/>
      <c r="AO212" s="683"/>
      <c r="AP212" s="683" t="s">
        <v>240</v>
      </c>
      <c r="AQ212" s="688" t="str">
        <f>CONCATENATE("REG-",BDEGENER[[#This Row],[FECHA DE SERVICIO]],"-",BDEGENER[[#This Row],[SERIE]],"-",BDEGENER[[#This Row],[HORAS]])</f>
        <v>REG-44084-3004555915-3006,1</v>
      </c>
      <c r="AR212" s="683" t="str">
        <f>CONCATENATE("MARCA: ",BDEGENER[[#This Row],[MARCA]],"
 MODELO: ",BDEGENER[[#This Row],[MODELO]])</f>
        <v>MARCA: GENERAC
 MODELO: RG022</v>
      </c>
      <c r="AS212" s="683" t="str">
        <f>CONCATENATE("MARCA: ",BDEGENER[[#This Row],[MARCA DE MOTOR]],"
SERIE: ",BDEGENER[[#This Row],[SERIE DE MOTOR]])</f>
        <v xml:space="preserve">MARCA: MITSUBISHI
SERIE: </v>
      </c>
      <c r="AT212" s="683" t="str">
        <f>CONCATENATE("MARCA: ",BDEGENER[[#This Row],[MARCA ALTERNADOR ]],"
SERIE: ",BDEGENER[[#This Row],[SERIE DE ALTERNADOR]])</f>
        <v xml:space="preserve">MARCA: GENERAC
SERIE: </v>
      </c>
      <c r="AU212" s="683" t="str">
        <f>CONCATENATE("HORAS: ",BDEGENER[[#This Row],[HORAS]],"
KW-HR: ",BDEGENER[[#This Row],[KW-HORA]],"
VOLT.BATERIA: ",BDEGENER[[#This Row],[VOLTAJE DE BATERIA]],"
TEMPERATURA: ",BDEGENER[[#This Row],[TEMPERATURA DE AGUA]],"
PRES. ACEITE: ",BDEGENER[[#This Row],[PRESION DE ACEITE]])</f>
        <v xml:space="preserve">HORAS: 3006,1
KW-HR: 
VOLT.BATERIA: 13.4 V
TEMPERATURA: 
PRES. ACEITE: </v>
      </c>
      <c r="AV212" s="683">
        <f>COUNTIFS(Q212:Q2212,"MANTENIMIENTO CORRECTIVO",Y212:Y2212,BDEGENER[[#This Row],[SERIE]])</f>
        <v>0</v>
      </c>
      <c r="AW212" s="683">
        <f>COUNTIFS(Q212:Q2212,"MANTENIMIENTO PREVENTIVO",Y212:Y2212,BDEGENER[[#This Row],[SERIE]])</f>
        <v>6</v>
      </c>
      <c r="AX21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12" s="683">
        <f>COUNTIFS(BDEGENER[SERIE],BDEGENER[[#This Row],[SERIE]],BDEGENER[TIPO DE SERVICIO],"MANTENIMIENTO PREVENTIVO")</f>
        <v>7</v>
      </c>
      <c r="AZ212" s="683" t="str">
        <f>CONCATENATE("MANTENIMIENTO PREVENTIVO N°",BDEGENER[[#This Row],[GA1]])</f>
        <v>MANTENIMIENTO PREVENTIVO N°7</v>
      </c>
      <c r="BA212" s="683" t="str">
        <f>IF(BDEGENER[[#This Row],[SERVICIO]]=BDEGENER[[#This Row],[GA2]],BDEGENER[[#This Row],[HORAS]],"0")</f>
        <v>0</v>
      </c>
      <c r="BB212" s="683">
        <f>SUMIF(BDEGENER[SERIE],BDEGENER[[#This Row],[SERIE]],BDEGENER[GA3])</f>
        <v>3379.4</v>
      </c>
      <c r="BC212" s="683" t="str">
        <f>CONCATENATE("MANT",COUNTIF($Y$7:Y212,Y212))</f>
        <v>MANT3</v>
      </c>
      <c r="BD212" s="683" t="str">
        <f>CONCATENATE(BDEGENER[[#This Row],[SERIE]],BDEGENER[[#This Row],[GA5]])</f>
        <v>3004555915MANT3</v>
      </c>
      <c r="BE212" s="683" t="str">
        <f>CONCATENATE(BDEGENER[[#This Row],[CODIGO PATRIMONIAL]],BDEGENER[[#This Row],[GA5]])</f>
        <v>SUR-GEG-0022MANT3</v>
      </c>
      <c r="BF212" s="683">
        <f>COUNTIF(BDEGENER[SERIE],BDEGENER[[#This Row],[SERIE]])</f>
        <v>9</v>
      </c>
      <c r="BG212" s="683" t="str">
        <f>CONCATENATE("F",COUNTIF($K$7:K212,K212))</f>
        <v>F3</v>
      </c>
      <c r="BH212" s="683" t="str">
        <f>CONCATENATE(BDEGENER[[#This Row],[FECHA DE SERVICIO]],BDEGENER[[#This Row],[N° DE REGISTROS DEL DIA]])</f>
        <v>44084F3</v>
      </c>
      <c r="BI212" s="684"/>
      <c r="BJ212" s="683" t="s">
        <v>1544</v>
      </c>
      <c r="BK212" s="762"/>
    </row>
    <row r="213" spans="2:63" ht="69" hidden="1" x14ac:dyDescent="0.3">
      <c r="B213" s="2"/>
      <c r="C213" s="2"/>
      <c r="D213" s="2"/>
      <c r="E213" s="2"/>
      <c r="F213" s="2"/>
      <c r="G213" s="2"/>
      <c r="H213" s="2"/>
      <c r="I213" s="2"/>
      <c r="J213" s="685"/>
      <c r="K213" s="682">
        <v>44084</v>
      </c>
      <c r="L213" s="683" t="s">
        <v>561</v>
      </c>
      <c r="M213" s="683" t="s">
        <v>582</v>
      </c>
      <c r="N213" s="683" t="s">
        <v>578</v>
      </c>
      <c r="O213" s="683"/>
      <c r="P213" s="688" t="s">
        <v>3270</v>
      </c>
      <c r="Q213" s="683" t="s">
        <v>37</v>
      </c>
      <c r="R213" s="683" t="s">
        <v>1782</v>
      </c>
      <c r="S213" s="686" t="s">
        <v>3272</v>
      </c>
      <c r="T213" s="683" t="s">
        <v>3273</v>
      </c>
      <c r="U213" s="683" t="s">
        <v>3271</v>
      </c>
      <c r="V213" s="683" t="s">
        <v>147</v>
      </c>
      <c r="W213" s="683" t="s">
        <v>913</v>
      </c>
      <c r="X213" s="691" t="s">
        <v>918</v>
      </c>
      <c r="Y213" s="687">
        <v>3003415544</v>
      </c>
      <c r="Z213" s="692" t="s">
        <v>2601</v>
      </c>
      <c r="AA213" s="683" t="s">
        <v>33</v>
      </c>
      <c r="AB213" s="683" t="s">
        <v>217</v>
      </c>
      <c r="AC213" s="683" t="s">
        <v>749</v>
      </c>
      <c r="AD213" s="683" t="s">
        <v>1123</v>
      </c>
      <c r="AE213" s="683">
        <v>60</v>
      </c>
      <c r="AF213" s="684">
        <v>5302.8</v>
      </c>
      <c r="AG213" s="683" t="s">
        <v>243</v>
      </c>
      <c r="AH213" s="683" t="s">
        <v>1803</v>
      </c>
      <c r="AI213" s="683" t="s">
        <v>2553</v>
      </c>
      <c r="AJ213" s="683"/>
      <c r="AK213" s="683" t="s">
        <v>33</v>
      </c>
      <c r="AL213" s="683"/>
      <c r="AM213" s="683" t="s">
        <v>1145</v>
      </c>
      <c r="AN213" s="683"/>
      <c r="AO213" s="683"/>
      <c r="AP213" s="683" t="s">
        <v>557</v>
      </c>
      <c r="AQ213" s="688" t="str">
        <f>CONCATENATE("REG-",BDEGENER[[#This Row],[FECHA DE SERVICIO]],"-",BDEGENER[[#This Row],[SERIE]],"-",BDEGENER[[#This Row],[HORAS]])</f>
        <v>REG-44084-3003415544-5302,8</v>
      </c>
      <c r="AR213" s="683" t="str">
        <f>CONCATENATE("MARCA: ",BDEGENER[[#This Row],[MARCA]],"
 MODELO: ",BDEGENER[[#This Row],[MODELO]])</f>
        <v>MARCA: GENERAC
 MODELO: RG022</v>
      </c>
      <c r="AS213" s="683" t="str">
        <f>CONCATENATE("MARCA: ",BDEGENER[[#This Row],[MARCA DE MOTOR]],"
SERIE: ",BDEGENER[[#This Row],[SERIE DE MOTOR]])</f>
        <v xml:space="preserve">MARCA: MITSUBISHI
SERIE: </v>
      </c>
      <c r="AT213" s="683" t="str">
        <f>CONCATENATE("MARCA: ",BDEGENER[[#This Row],[MARCA ALTERNADOR ]],"
SERIE: ",BDEGENER[[#This Row],[SERIE DE ALTERNADOR]])</f>
        <v xml:space="preserve">MARCA: GENERAC
SERIE: </v>
      </c>
      <c r="AU213" s="683" t="str">
        <f>CONCATENATE("HORAS: ",BDEGENER[[#This Row],[HORAS]],"
KW-HR: ",BDEGENER[[#This Row],[KW-HORA]],"
VOLT.BATERIA: ",BDEGENER[[#This Row],[VOLTAJE DE BATERIA]],"
TEMPERATURA: ",BDEGENER[[#This Row],[TEMPERATURA DE AGUA]],"
PRES. ACEITE: ",BDEGENER[[#This Row],[PRESION DE ACEITE]])</f>
        <v xml:space="preserve">HORAS: 5302,8
KW-HR: 
VOLT.BATERIA: 13.4 V
TEMPERATURA: 
PRES. ACEITE: </v>
      </c>
      <c r="AV213" s="683">
        <f>COUNTIFS(Q213:Q2213,"MANTENIMIENTO CORRECTIVO",Y213:Y2213,BDEGENER[[#This Row],[SERIE]])</f>
        <v>1</v>
      </c>
      <c r="AW213" s="683">
        <f>COUNTIFS(Q213:Q2213,"MANTENIMIENTO PREVENTIVO",Y213:Y2213,BDEGENER[[#This Row],[SERIE]])</f>
        <v>8</v>
      </c>
      <c r="AX21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213" s="683">
        <f>COUNTIFS(BDEGENER[SERIE],BDEGENER[[#This Row],[SERIE]],BDEGENER[TIPO DE SERVICIO],"MANTENIMIENTO PREVENTIVO")</f>
        <v>9</v>
      </c>
      <c r="AZ213" s="683" t="str">
        <f>CONCATENATE("MANTENIMIENTO PREVENTIVO N°",BDEGENER[[#This Row],[GA1]])</f>
        <v>MANTENIMIENTO PREVENTIVO N°9</v>
      </c>
      <c r="BA213" s="683" t="str">
        <f>IF(BDEGENER[[#This Row],[SERVICIO]]=BDEGENER[[#This Row],[GA2]],BDEGENER[[#This Row],[HORAS]],"0")</f>
        <v>0</v>
      </c>
      <c r="BB213" s="683">
        <f>SUMIF(BDEGENER[SERIE],BDEGENER[[#This Row],[SERIE]],BDEGENER[GA3])</f>
        <v>5449.4</v>
      </c>
      <c r="BC213" s="683" t="str">
        <f>CONCATENATE("MANT",COUNTIF($Y$7:Y213,Y213))</f>
        <v>MANT4</v>
      </c>
      <c r="BD213" s="683" t="str">
        <f>CONCATENATE(BDEGENER[[#This Row],[SERIE]],BDEGENER[[#This Row],[GA5]])</f>
        <v>3003415544MANT4</v>
      </c>
      <c r="BE213" s="683" t="str">
        <f>CONCATENATE(BDEGENER[[#This Row],[CODIGO PATRIMONIAL]],BDEGENER[[#This Row],[GA5]])</f>
        <v>SUR-GEG-0005MANT4</v>
      </c>
      <c r="BF213" s="683">
        <f>COUNTIF(BDEGENER[SERIE],BDEGENER[[#This Row],[SERIE]])</f>
        <v>13</v>
      </c>
      <c r="BG213" s="683" t="str">
        <f>CONCATENATE("F",COUNTIF($K$7:K213,K213))</f>
        <v>F4</v>
      </c>
      <c r="BH213" s="683" t="str">
        <f>CONCATENATE(BDEGENER[[#This Row],[FECHA DE SERVICIO]],BDEGENER[[#This Row],[N° DE REGISTROS DEL DIA]])</f>
        <v>44084F4</v>
      </c>
      <c r="BI213" s="684"/>
      <c r="BJ213" s="683" t="s">
        <v>1544</v>
      </c>
      <c r="BK213" s="762" t="s">
        <v>2409</v>
      </c>
    </row>
    <row r="214" spans="2:63" ht="69" hidden="1" x14ac:dyDescent="0.3">
      <c r="B214" s="2"/>
      <c r="C214" s="2"/>
      <c r="D214" s="2"/>
      <c r="E214" s="2"/>
      <c r="F214" s="2"/>
      <c r="G214" s="2"/>
      <c r="H214" s="2"/>
      <c r="I214" s="2"/>
      <c r="J214" s="685"/>
      <c r="K214" s="682">
        <v>44084</v>
      </c>
      <c r="L214" s="683" t="s">
        <v>181</v>
      </c>
      <c r="M214" s="683" t="s">
        <v>185</v>
      </c>
      <c r="N214" s="683" t="s">
        <v>183</v>
      </c>
      <c r="O214" s="683">
        <v>4500873022</v>
      </c>
      <c r="P214" s="683" t="s">
        <v>3254</v>
      </c>
      <c r="Q214" s="683" t="s">
        <v>37</v>
      </c>
      <c r="R214" s="683" t="s">
        <v>1782</v>
      </c>
      <c r="S214" s="686" t="s">
        <v>3044</v>
      </c>
      <c r="T214" s="683" t="s">
        <v>2870</v>
      </c>
      <c r="U214" s="683" t="s">
        <v>2053</v>
      </c>
      <c r="V214" s="683" t="s">
        <v>146</v>
      </c>
      <c r="W214" s="683" t="s">
        <v>914</v>
      </c>
      <c r="X214" s="691" t="s">
        <v>918</v>
      </c>
      <c r="Y214" s="687">
        <v>3004344017</v>
      </c>
      <c r="Z214" s="692"/>
      <c r="AA214" s="683" t="s">
        <v>33</v>
      </c>
      <c r="AB214" s="683" t="s">
        <v>34</v>
      </c>
      <c r="AC214" s="683" t="s">
        <v>230</v>
      </c>
      <c r="AD214" s="683" t="s">
        <v>1110</v>
      </c>
      <c r="AE214" s="683">
        <v>60</v>
      </c>
      <c r="AF214" s="684">
        <v>1851.6</v>
      </c>
      <c r="AG214" s="683" t="s">
        <v>243</v>
      </c>
      <c r="AH214" s="683" t="s">
        <v>220</v>
      </c>
      <c r="AI214" s="683" t="s">
        <v>33</v>
      </c>
      <c r="AJ214" s="683">
        <v>3004346832</v>
      </c>
      <c r="AK214" s="683" t="s">
        <v>33</v>
      </c>
      <c r="AL214" s="683">
        <v>106308750</v>
      </c>
      <c r="AM214" s="683" t="s">
        <v>1121</v>
      </c>
      <c r="AN214" s="683" t="s">
        <v>1348</v>
      </c>
      <c r="AO214" s="683" t="s">
        <v>1318</v>
      </c>
      <c r="AP214" s="683" t="s">
        <v>240</v>
      </c>
      <c r="AQ214" s="688" t="str">
        <f>CONCATENATE("REG-",BDEGENER[[#This Row],[FECHA DE SERVICIO]],"-",BDEGENER[[#This Row],[SERIE]],"-",BDEGENER[[#This Row],[HORAS]])</f>
        <v>REG-44084-3004344017-1851,6</v>
      </c>
      <c r="AR214" s="683" t="str">
        <f>CONCATENATE("MARCA: ",BDEGENER[[#This Row],[MARCA]],"
 MODELO: ",BDEGENER[[#This Row],[MODELO]])</f>
        <v>MARCA: GENERAC
 MODELO: PG090</v>
      </c>
      <c r="AS214" s="683" t="str">
        <f>CONCATENATE("MARCA: ",BDEGENER[[#This Row],[MARCA DE MOTOR]],"
SERIE: ",BDEGENER[[#This Row],[SERIE DE MOTOR]])</f>
        <v>MARCA: GENERAC
SERIE: 3004346832</v>
      </c>
      <c r="AT214" s="683" t="str">
        <f>CONCATENATE("MARCA: ",BDEGENER[[#This Row],[MARCA ALTERNADOR ]],"
SERIE: ",BDEGENER[[#This Row],[SERIE DE ALTERNADOR]])</f>
        <v>MARCA: GENERAC
SERIE: 106308750</v>
      </c>
      <c r="AU214" s="683" t="str">
        <f>CONCATENATE("HORAS: ",BDEGENER[[#This Row],[HORAS]],"
KW-HR: ",BDEGENER[[#This Row],[KW-HORA]],"
VOLT.BATERIA: ",BDEGENER[[#This Row],[VOLTAJE DE BATERIA]],"
TEMPERATURA: ",BDEGENER[[#This Row],[TEMPERATURA DE AGUA]],"
PRES. ACEITE: ",BDEGENER[[#This Row],[PRESION DE ACEITE]])</f>
        <v>HORAS: 1851,6
KW-HR: 43032,5
VOLT.BATERIA: 13.7 V
TEMPERATURA: 193 °F
PRES. ACEITE: 58 PSI</v>
      </c>
      <c r="AV214" s="761">
        <f>COUNTIFS(Q214:Q2214,"MANTENIMIENTO CORRECTIVO",Y214:Y2214,BDEGENER[[#This Row],[SERIE]])</f>
        <v>4</v>
      </c>
      <c r="AW214" s="761">
        <f>COUNTIFS(Q214:Q2214,"MANTENIMIENTO PREVENTIVO",Y214:Y2214,BDEGENER[[#This Row],[SERIE]])</f>
        <v>5</v>
      </c>
      <c r="AX21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214" s="683">
        <f>COUNTIFS(BDEGENER[SERIE],BDEGENER[[#This Row],[SERIE]],BDEGENER[TIPO DE SERVICIO],"MANTENIMIENTO PREVENTIVO")</f>
        <v>6</v>
      </c>
      <c r="AZ214" s="683" t="str">
        <f>CONCATENATE("MANTENIMIENTO PREVENTIVO N°",BDEGENER[[#This Row],[GA1]])</f>
        <v>MANTENIMIENTO PREVENTIVO N°6</v>
      </c>
      <c r="BA214" s="683" t="str">
        <f>IF(BDEGENER[[#This Row],[SERVICIO]]=BDEGENER[[#This Row],[GA2]],BDEGENER[[#This Row],[HORAS]],"0")</f>
        <v>0</v>
      </c>
      <c r="BB214" s="683">
        <f>SUMIF(BDEGENER[SERIE],BDEGENER[[#This Row],[SERIE]],BDEGENER[GA3])</f>
        <v>2140.9</v>
      </c>
      <c r="BC214" s="761" t="str">
        <f>CONCATENATE("MANT",COUNTIF($Y$7:Y214,Y214))</f>
        <v>MANT2</v>
      </c>
      <c r="BD214" s="683" t="str">
        <f>CONCATENATE(BDEGENER[[#This Row],[SERIE]],BDEGENER[[#This Row],[GA5]])</f>
        <v>3004344017MANT2</v>
      </c>
      <c r="BE214" s="683" t="str">
        <f>CONCATENATE(BDEGENER[[#This Row],[CODIGO PATRIMONIAL]],BDEGENER[[#This Row],[GA5]])</f>
        <v>MANT2</v>
      </c>
      <c r="BF214" s="683">
        <f>COUNTIF(BDEGENER[SERIE],BDEGENER[[#This Row],[SERIE]])</f>
        <v>12</v>
      </c>
      <c r="BG214" s="761" t="str">
        <f>CONCATENATE("F",COUNTIF($K$7:K214,K214))</f>
        <v>F5</v>
      </c>
      <c r="BH214" s="683" t="str">
        <f>CONCATENATE(BDEGENER[[#This Row],[FECHA DE SERVICIO]],BDEGENER[[#This Row],[N° DE REGISTROS DEL DIA]])</f>
        <v>44084F5</v>
      </c>
      <c r="BI214" s="684">
        <v>43032.5</v>
      </c>
      <c r="BJ214" s="683" t="s">
        <v>1544</v>
      </c>
      <c r="BK214" s="762"/>
    </row>
    <row r="215" spans="2:63" ht="69" hidden="1" x14ac:dyDescent="0.3">
      <c r="B215" s="2"/>
      <c r="C215" s="2"/>
      <c r="D215" s="2"/>
      <c r="E215" s="2"/>
      <c r="F215" s="2"/>
      <c r="G215" s="2"/>
      <c r="H215" s="2"/>
      <c r="I215" s="2"/>
      <c r="J215" s="685"/>
      <c r="K215" s="682">
        <v>44084</v>
      </c>
      <c r="L215" s="683" t="s">
        <v>181</v>
      </c>
      <c r="M215" s="683" t="s">
        <v>185</v>
      </c>
      <c r="N215" s="683" t="s">
        <v>183</v>
      </c>
      <c r="O215" s="683">
        <v>4500873022</v>
      </c>
      <c r="P215" s="683" t="s">
        <v>3254</v>
      </c>
      <c r="Q215" s="683" t="s">
        <v>37</v>
      </c>
      <c r="R215" s="683" t="s">
        <v>1782</v>
      </c>
      <c r="S215" s="686" t="s">
        <v>3259</v>
      </c>
      <c r="T215" s="683" t="s">
        <v>2870</v>
      </c>
      <c r="U215" s="683" t="s">
        <v>2107</v>
      </c>
      <c r="V215" s="683" t="s">
        <v>146</v>
      </c>
      <c r="W215" s="683" t="s">
        <v>914</v>
      </c>
      <c r="X215" s="691" t="s">
        <v>918</v>
      </c>
      <c r="Y215" s="687">
        <v>3004344014</v>
      </c>
      <c r="Z215" s="692"/>
      <c r="AA215" s="683" t="s">
        <v>33</v>
      </c>
      <c r="AB215" s="683" t="s">
        <v>34</v>
      </c>
      <c r="AC215" s="683" t="s">
        <v>230</v>
      </c>
      <c r="AD215" s="683" t="s">
        <v>1110</v>
      </c>
      <c r="AE215" s="683">
        <v>60</v>
      </c>
      <c r="AF215" s="684">
        <v>1832.7</v>
      </c>
      <c r="AG215" s="683" t="s">
        <v>243</v>
      </c>
      <c r="AH215" s="683" t="s">
        <v>220</v>
      </c>
      <c r="AI215" s="683" t="s">
        <v>33</v>
      </c>
      <c r="AJ215" s="683">
        <v>3004346826</v>
      </c>
      <c r="AK215" s="683" t="s">
        <v>33</v>
      </c>
      <c r="AL215" s="683">
        <v>106308730</v>
      </c>
      <c r="AM215" s="683" t="s">
        <v>1121</v>
      </c>
      <c r="AN215" s="683" t="s">
        <v>1505</v>
      </c>
      <c r="AO215" s="683" t="s">
        <v>1166</v>
      </c>
      <c r="AP215" s="683" t="s">
        <v>240</v>
      </c>
      <c r="AQ215" s="688" t="str">
        <f>CONCATENATE("REG-",BDEGENER[[#This Row],[FECHA DE SERVICIO]],"-",BDEGENER[[#This Row],[SERIE]],"-",BDEGENER[[#This Row],[HORAS]])</f>
        <v>REG-44084-3004344014-1832,7</v>
      </c>
      <c r="AR215" s="683" t="str">
        <f>CONCATENATE("MARCA: ",BDEGENER[[#This Row],[MARCA]],"
 MODELO: ",BDEGENER[[#This Row],[MODELO]])</f>
        <v>MARCA: GENERAC
 MODELO: PG090</v>
      </c>
      <c r="AS215" s="683" t="str">
        <f>CONCATENATE("MARCA: ",BDEGENER[[#This Row],[MARCA DE MOTOR]],"
SERIE: ",BDEGENER[[#This Row],[SERIE DE MOTOR]])</f>
        <v>MARCA: GENERAC
SERIE: 3004346826</v>
      </c>
      <c r="AT215" s="683" t="str">
        <f>CONCATENATE("MARCA: ",BDEGENER[[#This Row],[MARCA ALTERNADOR ]],"
SERIE: ",BDEGENER[[#This Row],[SERIE DE ALTERNADOR]])</f>
        <v>MARCA: GENERAC
SERIE: 106308730</v>
      </c>
      <c r="AU215" s="683" t="str">
        <f>CONCATENATE("HORAS: ",BDEGENER[[#This Row],[HORAS]],"
KW-HR: ",BDEGENER[[#This Row],[KW-HORA]],"
VOLT.BATERIA: ",BDEGENER[[#This Row],[VOLTAJE DE BATERIA]],"
TEMPERATURA: ",BDEGENER[[#This Row],[TEMPERATURA DE AGUA]],"
PRES. ACEITE: ",BDEGENER[[#This Row],[PRESION DE ACEITE]])</f>
        <v>HORAS: 1832,7
KW-HR: 46593,9
VOLT.BATERIA: 13.7 V
TEMPERATURA: 194 °F
PRES. ACEITE: 57 PSI</v>
      </c>
      <c r="AV215" s="683">
        <f>COUNTIFS(Q215:Q2215,"MANTENIMIENTO CORRECTIVO",Y215:Y2215,BDEGENER[[#This Row],[SERIE]])</f>
        <v>2</v>
      </c>
      <c r="AW215" s="683">
        <f>COUNTIFS(Q215:Q2215,"MANTENIMIENTO PREVENTIVO",Y215:Y2215,BDEGENER[[#This Row],[SERIE]])</f>
        <v>7</v>
      </c>
      <c r="AX21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15" s="683">
        <f>COUNTIFS(BDEGENER[SERIE],BDEGENER[[#This Row],[SERIE]],BDEGENER[TIPO DE SERVICIO],"MANTENIMIENTO PREVENTIVO")</f>
        <v>8</v>
      </c>
      <c r="AZ215" s="683" t="str">
        <f>CONCATENATE("MANTENIMIENTO PREVENTIVO N°",BDEGENER[[#This Row],[GA1]])</f>
        <v>MANTENIMIENTO PREVENTIVO N°8</v>
      </c>
      <c r="BA215" s="683" t="str">
        <f>IF(BDEGENER[[#This Row],[SERVICIO]]=BDEGENER[[#This Row],[GA2]],BDEGENER[[#This Row],[HORAS]],"0")</f>
        <v>0</v>
      </c>
      <c r="BB215" s="683">
        <f>SUMIF(BDEGENER[SERIE],BDEGENER[[#This Row],[SERIE]],BDEGENER[GA3])</f>
        <v>2070.3000000000002</v>
      </c>
      <c r="BC215" s="683" t="str">
        <f>CONCATENATE("MANT",COUNTIF($Y$7:Y215,Y215))</f>
        <v>MANT3</v>
      </c>
      <c r="BD215" s="683" t="str">
        <f>CONCATENATE(BDEGENER[[#This Row],[SERIE]],BDEGENER[[#This Row],[GA5]])</f>
        <v>3004344014MANT3</v>
      </c>
      <c r="BE215" s="683" t="str">
        <f>CONCATENATE(BDEGENER[[#This Row],[CODIGO PATRIMONIAL]],BDEGENER[[#This Row],[GA5]])</f>
        <v>MANT3</v>
      </c>
      <c r="BF215" s="683">
        <f>COUNTIF(BDEGENER[SERIE],BDEGENER[[#This Row],[SERIE]])</f>
        <v>12</v>
      </c>
      <c r="BG215" s="683" t="str">
        <f>CONCATENATE("F",COUNTIF($K$7:K215,K215))</f>
        <v>F6</v>
      </c>
      <c r="BH215" s="683" t="str">
        <f>CONCATENATE(BDEGENER[[#This Row],[FECHA DE SERVICIO]],BDEGENER[[#This Row],[N° DE REGISTROS DEL DIA]])</f>
        <v>44084F6</v>
      </c>
      <c r="BI215" s="684">
        <v>46593.9</v>
      </c>
      <c r="BJ215" s="683" t="s">
        <v>1544</v>
      </c>
      <c r="BK215" s="762"/>
    </row>
    <row r="216" spans="2:63" ht="69" hidden="1" x14ac:dyDescent="0.3">
      <c r="B216" s="2"/>
      <c r="C216" s="2"/>
      <c r="D216" s="2"/>
      <c r="E216" s="2"/>
      <c r="F216" s="2"/>
      <c r="G216" s="2"/>
      <c r="H216" s="2"/>
      <c r="I216" s="2"/>
      <c r="J216" s="685"/>
      <c r="K216" s="682">
        <v>44084</v>
      </c>
      <c r="L216" s="683" t="s">
        <v>181</v>
      </c>
      <c r="M216" s="683" t="s">
        <v>185</v>
      </c>
      <c r="N216" s="683" t="s">
        <v>183</v>
      </c>
      <c r="O216" s="683">
        <v>4500925048</v>
      </c>
      <c r="P216" s="683" t="s">
        <v>3254</v>
      </c>
      <c r="Q216" s="683" t="s">
        <v>37</v>
      </c>
      <c r="R216" s="683" t="s">
        <v>1782</v>
      </c>
      <c r="S216" s="686" t="s">
        <v>3044</v>
      </c>
      <c r="T216" s="683" t="s">
        <v>3255</v>
      </c>
      <c r="U216" s="683" t="s">
        <v>2053</v>
      </c>
      <c r="V216" s="683" t="s">
        <v>146</v>
      </c>
      <c r="W216" s="683" t="s">
        <v>914</v>
      </c>
      <c r="X216" s="691" t="s">
        <v>918</v>
      </c>
      <c r="Y216" s="687">
        <v>3004402506</v>
      </c>
      <c r="Z216" s="692"/>
      <c r="AA216" s="683" t="s">
        <v>33</v>
      </c>
      <c r="AB216" s="683" t="s">
        <v>34</v>
      </c>
      <c r="AC216" s="683" t="s">
        <v>230</v>
      </c>
      <c r="AD216" s="683" t="s">
        <v>1110</v>
      </c>
      <c r="AE216" s="683">
        <v>60</v>
      </c>
      <c r="AF216" s="684">
        <v>2582.6</v>
      </c>
      <c r="AG216" s="683" t="s">
        <v>243</v>
      </c>
      <c r="AH216" s="683" t="s">
        <v>220</v>
      </c>
      <c r="AI216" s="683" t="s">
        <v>33</v>
      </c>
      <c r="AJ216" s="683">
        <v>3004333866</v>
      </c>
      <c r="AK216" s="683" t="s">
        <v>33</v>
      </c>
      <c r="AL216" s="683">
        <v>1063100</v>
      </c>
      <c r="AM216" s="683" t="s">
        <v>1121</v>
      </c>
      <c r="AN216" s="683" t="s">
        <v>3256</v>
      </c>
      <c r="AO216" s="683" t="s">
        <v>1166</v>
      </c>
      <c r="AP216" s="683" t="s">
        <v>240</v>
      </c>
      <c r="AQ216" s="688" t="str">
        <f>CONCATENATE("REG-",BDEGENER[[#This Row],[FECHA DE SERVICIO]],"-",BDEGENER[[#This Row],[SERIE]],"-",BDEGENER[[#This Row],[HORAS]])</f>
        <v>REG-44084-3004402506-2582,6</v>
      </c>
      <c r="AR216" s="683" t="str">
        <f>CONCATENATE("MARCA: ",BDEGENER[[#This Row],[MARCA]],"
 MODELO: ",BDEGENER[[#This Row],[MODELO]])</f>
        <v>MARCA: GENERAC
 MODELO: PG090</v>
      </c>
      <c r="AS216" s="683" t="str">
        <f>CONCATENATE("MARCA: ",BDEGENER[[#This Row],[MARCA DE MOTOR]],"
SERIE: ",BDEGENER[[#This Row],[SERIE DE MOTOR]])</f>
        <v>MARCA: GENERAC
SERIE: 3004333866</v>
      </c>
      <c r="AT216" s="683" t="str">
        <f>CONCATENATE("MARCA: ",BDEGENER[[#This Row],[MARCA ALTERNADOR ]],"
SERIE: ",BDEGENER[[#This Row],[SERIE DE ALTERNADOR]])</f>
        <v>MARCA: GENERAC
SERIE: 1063100</v>
      </c>
      <c r="AU216" s="683" t="str">
        <f>CONCATENATE("HORAS: ",BDEGENER[[#This Row],[HORAS]],"
KW-HR: ",BDEGENER[[#This Row],[KW-HORA]],"
VOLT.BATERIA: ",BDEGENER[[#This Row],[VOLTAJE DE BATERIA]],"
TEMPERATURA: ",BDEGENER[[#This Row],[TEMPERATURA DE AGUA]],"
PRES. ACEITE: ",BDEGENER[[#This Row],[PRESION DE ACEITE]])</f>
        <v>HORAS: 2582,6
KW-HR: 63275,4
VOLT.BATERIA: 13.7 V
TEMPERATURA: 147 °F
PRES. ACEITE: 57 PSI</v>
      </c>
      <c r="AV216" s="683">
        <f>COUNTIFS(Q216:Q2216,"MANTENIMIENTO CORRECTIVO",Y216:Y2216,BDEGENER[[#This Row],[SERIE]])</f>
        <v>2</v>
      </c>
      <c r="AW216" s="683">
        <f>COUNTIFS(Q216:Q2216,"MANTENIMIENTO PREVENTIVO",Y216:Y2216,BDEGENER[[#This Row],[SERIE]])</f>
        <v>7</v>
      </c>
      <c r="AX21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16" s="683">
        <f>COUNTIFS(BDEGENER[SERIE],BDEGENER[[#This Row],[SERIE]],BDEGENER[TIPO DE SERVICIO],"MANTENIMIENTO PREVENTIVO")</f>
        <v>8</v>
      </c>
      <c r="AZ216" s="683" t="str">
        <f>CONCATENATE("MANTENIMIENTO PREVENTIVO N°",BDEGENER[[#This Row],[GA1]])</f>
        <v>MANTENIMIENTO PREVENTIVO N°8</v>
      </c>
      <c r="BA216" s="683" t="str">
        <f>IF(BDEGENER[[#This Row],[SERVICIO]]=BDEGENER[[#This Row],[GA2]],BDEGENER[[#This Row],[HORAS]],"0")</f>
        <v>0</v>
      </c>
      <c r="BB216" s="683">
        <f>SUMIF(BDEGENER[SERIE],BDEGENER[[#This Row],[SERIE]],BDEGENER[GA3])</f>
        <v>2907.9</v>
      </c>
      <c r="BC216" s="683" t="str">
        <f>CONCATENATE("MANT",COUNTIF($Y$7:Y216,Y216))</f>
        <v>MANT4</v>
      </c>
      <c r="BD216" s="683" t="str">
        <f>CONCATENATE(BDEGENER[[#This Row],[SERIE]],BDEGENER[[#This Row],[GA5]])</f>
        <v>3004402506MANT4</v>
      </c>
      <c r="BE216" s="683" t="str">
        <f>CONCATENATE(BDEGENER[[#This Row],[CODIGO PATRIMONIAL]],BDEGENER[[#This Row],[GA5]])</f>
        <v>MANT4</v>
      </c>
      <c r="BF216" s="683">
        <f>COUNTIF(BDEGENER[SERIE],BDEGENER[[#This Row],[SERIE]])</f>
        <v>14</v>
      </c>
      <c r="BG216" s="683" t="str">
        <f>CONCATENATE("F",COUNTIF($K$7:K216,K216))</f>
        <v>F7</v>
      </c>
      <c r="BH216" s="683" t="str">
        <f>CONCATENATE(BDEGENER[[#This Row],[FECHA DE SERVICIO]],BDEGENER[[#This Row],[N° DE REGISTROS DEL DIA]])</f>
        <v>44084F7</v>
      </c>
      <c r="BI216" s="684">
        <v>63275.4</v>
      </c>
      <c r="BJ216" s="683" t="s">
        <v>1544</v>
      </c>
      <c r="BK216" s="762"/>
    </row>
    <row r="217" spans="2:63" ht="69" hidden="1" x14ac:dyDescent="0.3">
      <c r="B217" s="2"/>
      <c r="C217" s="2"/>
      <c r="D217" s="2"/>
      <c r="E217" s="2"/>
      <c r="F217" s="2"/>
      <c r="G217" s="2"/>
      <c r="H217" s="2"/>
      <c r="I217" s="2"/>
      <c r="J217" s="685"/>
      <c r="K217" s="682">
        <v>44083</v>
      </c>
      <c r="L217" s="683" t="s">
        <v>248</v>
      </c>
      <c r="M217" s="683" t="s">
        <v>3106</v>
      </c>
      <c r="N217" s="683" t="s">
        <v>275</v>
      </c>
      <c r="O217" s="683"/>
      <c r="P217" s="688" t="s">
        <v>3242</v>
      </c>
      <c r="Q217" s="683" t="s">
        <v>37</v>
      </c>
      <c r="R217" s="683" t="s">
        <v>1782</v>
      </c>
      <c r="S217" s="686" t="s">
        <v>3243</v>
      </c>
      <c r="T217" s="683" t="s">
        <v>3244</v>
      </c>
      <c r="U217" s="683" t="s">
        <v>3245</v>
      </c>
      <c r="V217" s="683" t="s">
        <v>147</v>
      </c>
      <c r="W217" s="683" t="s">
        <v>914</v>
      </c>
      <c r="X217" s="691" t="s">
        <v>917</v>
      </c>
      <c r="Y217" s="687">
        <v>3005786151</v>
      </c>
      <c r="Z217" s="692" t="s">
        <v>159</v>
      </c>
      <c r="AA217" s="683" t="s">
        <v>33</v>
      </c>
      <c r="AB217" s="683" t="s">
        <v>3109</v>
      </c>
      <c r="AC217" s="683" t="s">
        <v>3110</v>
      </c>
      <c r="AD217" s="683" t="s">
        <v>1087</v>
      </c>
      <c r="AE217" s="683">
        <v>60</v>
      </c>
      <c r="AF217" s="684">
        <v>50.42</v>
      </c>
      <c r="AG217" s="683" t="s">
        <v>243</v>
      </c>
      <c r="AH217" s="683" t="s">
        <v>3111</v>
      </c>
      <c r="AI217" s="683" t="s">
        <v>844</v>
      </c>
      <c r="AJ217" s="683" t="s">
        <v>3112</v>
      </c>
      <c r="AK217" s="683" t="s">
        <v>3113</v>
      </c>
      <c r="AL217" s="683">
        <v>36888300001</v>
      </c>
      <c r="AM217" s="683" t="s">
        <v>1121</v>
      </c>
      <c r="AN217" s="683" t="s">
        <v>2309</v>
      </c>
      <c r="AO217" s="683" t="s">
        <v>3246</v>
      </c>
      <c r="AP217" s="683" t="s">
        <v>240</v>
      </c>
      <c r="AQ217" s="688" t="str">
        <f>CONCATENATE("REG-",BDEGENER[[#This Row],[FECHA DE SERVICIO]],"-",BDEGENER[[#This Row],[SERIE]],"-",BDEGENER[[#This Row],[HORAS]])</f>
        <v>REG-44083-3005786151-50,42</v>
      </c>
      <c r="AR217" s="683" t="str">
        <f>CONCATENATE("MARCA: ",BDEGENER[[#This Row],[MARCA]],"
 MODELO: ",BDEGENER[[#This Row],[MODELO]])</f>
        <v>MARCA: GENERAC
 MODELO: PLY200</v>
      </c>
      <c r="AS217" s="683" t="str">
        <f>CONCATENATE("MARCA: ",BDEGENER[[#This Row],[MARCA DE MOTOR]],"
SERIE: ",BDEGENER[[#This Row],[SERIE DE MOTOR]])</f>
        <v>MARCA: PERKINS
SERIE: PWR024528E</v>
      </c>
      <c r="AT217" s="683" t="str">
        <f>CONCATENATE("MARCA: ",BDEGENER[[#This Row],[MARCA ALTERNADOR ]],"
SERIE: ",BDEGENER[[#This Row],[SERIE DE ALTERNADOR]])</f>
        <v>MARCA: LEROY SOMMER
SERIE: 36888300001</v>
      </c>
      <c r="AU217" s="683" t="str">
        <f>CONCATENATE("HORAS: ",BDEGENER[[#This Row],[HORAS]],"
KW-HR: ",BDEGENER[[#This Row],[KW-HORA]],"
VOLT.BATERIA: ",BDEGENER[[#This Row],[VOLTAJE DE BATERIA]],"
TEMPERATURA: ",BDEGENER[[#This Row],[TEMPERATURA DE AGUA]],"
PRES. ACEITE: ",BDEGENER[[#This Row],[PRESION DE ACEITE]])</f>
        <v>HORAS: 50,42
KW-HR: 
VOLT.BATERIA: 13.7 V
TEMPERATURA: 125 °F
PRES. ACEITE: 79 PSI</v>
      </c>
      <c r="AV217" s="761">
        <f>COUNTIFS(Q217:Q2217,"MANTENIMIENTO CORRECTIVO",Y217:Y2217,BDEGENER[[#This Row],[SERIE]])</f>
        <v>0</v>
      </c>
      <c r="AW217" s="761">
        <f>COUNTIFS(Q217:Q2217,"MANTENIMIENTO PREVENTIVO",Y217:Y2217,BDEGENER[[#This Row],[SERIE]])</f>
        <v>1</v>
      </c>
      <c r="AX21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217" s="683">
        <f>COUNTIFS(BDEGENER[SERIE],BDEGENER[[#This Row],[SERIE]],BDEGENER[TIPO DE SERVICIO],"MANTENIMIENTO PREVENTIVO")</f>
        <v>3</v>
      </c>
      <c r="AZ217" s="683" t="str">
        <f>CONCATENATE("MANTENIMIENTO PREVENTIVO N°",BDEGENER[[#This Row],[GA1]])</f>
        <v>MANTENIMIENTO PREVENTIVO N°3</v>
      </c>
      <c r="BA217" s="683" t="str">
        <f>IF(BDEGENER[[#This Row],[SERVICIO]]=BDEGENER[[#This Row],[GA2]],BDEGENER[[#This Row],[HORAS]],"0")</f>
        <v>0</v>
      </c>
      <c r="BB217" s="683">
        <f>SUMIF(BDEGENER[SERIE],BDEGENER[[#This Row],[SERIE]],BDEGENER[GA3])</f>
        <v>646</v>
      </c>
      <c r="BC217" s="761" t="str">
        <f>CONCATENATE("MANT",COUNTIF($Y$7:Y217,Y217))</f>
        <v>MANT3</v>
      </c>
      <c r="BD217" s="683" t="str">
        <f>CONCATENATE(BDEGENER[[#This Row],[SERIE]],BDEGENER[[#This Row],[GA5]])</f>
        <v>3005786151MANT3</v>
      </c>
      <c r="BE217" s="683" t="str">
        <f>CONCATENATE(BDEGENER[[#This Row],[CODIGO PATRIMONIAL]],BDEGENER[[#This Row],[GA5]])</f>
        <v>MANT3</v>
      </c>
      <c r="BF217" s="683">
        <f>COUNTIF(BDEGENER[SERIE],BDEGENER[[#This Row],[SERIE]])</f>
        <v>4</v>
      </c>
      <c r="BG217" s="761" t="str">
        <f>CONCATENATE("F",COUNTIF($K$7:K217,K217))</f>
        <v>F1</v>
      </c>
      <c r="BH217" s="683" t="str">
        <f>CONCATENATE(BDEGENER[[#This Row],[FECHA DE SERVICIO]],BDEGENER[[#This Row],[N° DE REGISTROS DEL DIA]])</f>
        <v>44083F1</v>
      </c>
      <c r="BI217" s="684"/>
      <c r="BJ217" s="683" t="s">
        <v>1544</v>
      </c>
      <c r="BK217" s="762"/>
    </row>
    <row r="218" spans="2:63" ht="69" hidden="1" x14ac:dyDescent="0.3">
      <c r="B218" s="2"/>
      <c r="C218" s="2"/>
      <c r="D218" s="2"/>
      <c r="E218" s="2"/>
      <c r="F218" s="2"/>
      <c r="G218" s="2"/>
      <c r="H218" s="2"/>
      <c r="I218" s="2"/>
      <c r="J218" s="685"/>
      <c r="K218" s="682">
        <v>44083</v>
      </c>
      <c r="L218" s="683" t="s">
        <v>248</v>
      </c>
      <c r="M218" s="683" t="s">
        <v>3106</v>
      </c>
      <c r="N218" s="683" t="s">
        <v>275</v>
      </c>
      <c r="O218" s="683"/>
      <c r="P218" s="688" t="s">
        <v>3238</v>
      </c>
      <c r="Q218" s="683" t="s">
        <v>37</v>
      </c>
      <c r="R218" s="683" t="s">
        <v>1782</v>
      </c>
      <c r="S218" s="686" t="s">
        <v>3241</v>
      </c>
      <c r="T218" s="683" t="s">
        <v>2870</v>
      </c>
      <c r="U218" s="683" t="s">
        <v>3239</v>
      </c>
      <c r="V218" s="683" t="s">
        <v>147</v>
      </c>
      <c r="W218" s="683" t="s">
        <v>914</v>
      </c>
      <c r="X218" s="691" t="s">
        <v>917</v>
      </c>
      <c r="Y218" s="687">
        <v>3005786155</v>
      </c>
      <c r="Z218" s="692" t="s">
        <v>159</v>
      </c>
      <c r="AA218" s="683" t="s">
        <v>33</v>
      </c>
      <c r="AB218" s="683" t="s">
        <v>3118</v>
      </c>
      <c r="AC218" s="683" t="s">
        <v>3119</v>
      </c>
      <c r="AD218" s="683" t="s">
        <v>1087</v>
      </c>
      <c r="AE218" s="683">
        <v>59.9</v>
      </c>
      <c r="AF218" s="684">
        <v>48.4</v>
      </c>
      <c r="AG218" s="683" t="s">
        <v>243</v>
      </c>
      <c r="AH218" s="683" t="s">
        <v>3111</v>
      </c>
      <c r="AI218" s="683" t="s">
        <v>844</v>
      </c>
      <c r="AJ218" s="683" t="s">
        <v>3121</v>
      </c>
      <c r="AK218" s="683" t="s">
        <v>1448</v>
      </c>
      <c r="AL218" s="683">
        <v>36949500005</v>
      </c>
      <c r="AM218" s="683" t="s">
        <v>2581</v>
      </c>
      <c r="AN218" s="683" t="s">
        <v>1425</v>
      </c>
      <c r="AO218" s="683" t="s">
        <v>3240</v>
      </c>
      <c r="AP218" s="683" t="s">
        <v>240</v>
      </c>
      <c r="AQ218" s="688" t="str">
        <f>CONCATENATE("REG-",BDEGENER[[#This Row],[FECHA DE SERVICIO]],"-",BDEGENER[[#This Row],[SERIE]],"-",BDEGENER[[#This Row],[HORAS]])</f>
        <v>REG-44083-3005786155-48,4</v>
      </c>
      <c r="AR218" s="683" t="str">
        <f>CONCATENATE("MARCA: ",BDEGENER[[#This Row],[MARCA]],"
 MODELO: ",BDEGENER[[#This Row],[MODELO]])</f>
        <v>MARCA: GENERAC
 MODELO: PLY250</v>
      </c>
      <c r="AS218" s="683" t="str">
        <f>CONCATENATE("MARCA: ",BDEGENER[[#This Row],[MARCA DE MOTOR]],"
SERIE: ",BDEGENER[[#This Row],[SERIE DE MOTOR]])</f>
        <v>MARCA: PERKINS
SERIE: LGDI1028N13734E</v>
      </c>
      <c r="AT218" s="683" t="str">
        <f>CONCATENATE("MARCA: ",BDEGENER[[#This Row],[MARCA ALTERNADOR ]],"
SERIE: ",BDEGENER[[#This Row],[SERIE DE ALTERNADOR]])</f>
        <v>MARCA: LEROY SOMER
SERIE: 36949500005</v>
      </c>
      <c r="AU218" s="683" t="str">
        <f>CONCATENATE("HORAS: ",BDEGENER[[#This Row],[HORAS]],"
KW-HR: ",BDEGENER[[#This Row],[KW-HORA]],"
VOLT.BATERIA: ",BDEGENER[[#This Row],[VOLTAJE DE BATERIA]],"
TEMPERATURA: ",BDEGENER[[#This Row],[TEMPERATURA DE AGUA]],"
PRES. ACEITE: ",BDEGENER[[#This Row],[PRESION DE ACEITE]])</f>
        <v>HORAS: 48,4
KW-HR: 
VOLT.BATERIA: 24 V
TEMPERATURA: 113 °F
PRES. ACEITE: 85 PSI</v>
      </c>
      <c r="AV218" s="683">
        <f>COUNTIFS(Q218:Q2218,"MANTENIMIENTO CORRECTIVO",Y218:Y2218,BDEGENER[[#This Row],[SERIE]])</f>
        <v>0</v>
      </c>
      <c r="AW218" s="683">
        <f>COUNTIFS(Q218:Q2218,"MANTENIMIENTO PREVENTIVO",Y218:Y2218,BDEGENER[[#This Row],[SERIE]])</f>
        <v>1</v>
      </c>
      <c r="AX21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218" s="683">
        <f>COUNTIFS(BDEGENER[SERIE],BDEGENER[[#This Row],[SERIE]],BDEGENER[TIPO DE SERVICIO],"MANTENIMIENTO PREVENTIVO")</f>
        <v>1</v>
      </c>
      <c r="AZ218" s="683" t="str">
        <f>CONCATENATE("MANTENIMIENTO PREVENTIVO N°",BDEGENER[[#This Row],[GA1]])</f>
        <v>MANTENIMIENTO PREVENTIVO N°1</v>
      </c>
      <c r="BA218" s="683">
        <f>IF(BDEGENER[[#This Row],[SERVICIO]]=BDEGENER[[#This Row],[GA2]],BDEGENER[[#This Row],[HORAS]],"0")</f>
        <v>48.4</v>
      </c>
      <c r="BB218" s="683">
        <f>SUMIF(BDEGENER[SERIE],BDEGENER[[#This Row],[SERIE]],BDEGENER[GA3])</f>
        <v>48.4</v>
      </c>
      <c r="BC218" s="683" t="str">
        <f>CONCATENATE("MANT",COUNTIF($Y$7:Y218,Y218))</f>
        <v>MANT1</v>
      </c>
      <c r="BD218" s="683" t="str">
        <f>CONCATENATE(BDEGENER[[#This Row],[SERIE]],BDEGENER[[#This Row],[GA5]])</f>
        <v>3005786155MANT1</v>
      </c>
      <c r="BE218" s="683" t="str">
        <f>CONCATENATE(BDEGENER[[#This Row],[CODIGO PATRIMONIAL]],BDEGENER[[#This Row],[GA5]])</f>
        <v>MANT1</v>
      </c>
      <c r="BF218" s="683">
        <f>COUNTIF(BDEGENER[SERIE],BDEGENER[[#This Row],[SERIE]])</f>
        <v>2</v>
      </c>
      <c r="BG218" s="683" t="str">
        <f>CONCATENATE("F",COUNTIF($K$7:K218,K218))</f>
        <v>F2</v>
      </c>
      <c r="BH218" s="683" t="str">
        <f>CONCATENATE(BDEGENER[[#This Row],[FECHA DE SERVICIO]],BDEGENER[[#This Row],[N° DE REGISTROS DEL DIA]])</f>
        <v>44083F2</v>
      </c>
      <c r="BI218" s="684"/>
      <c r="BJ218" s="683" t="s">
        <v>1544</v>
      </c>
      <c r="BK218" s="762"/>
    </row>
    <row r="219" spans="2:63" ht="69" hidden="1" x14ac:dyDescent="0.3">
      <c r="B219" s="2"/>
      <c r="C219" s="2"/>
      <c r="D219" s="2"/>
      <c r="E219" s="2"/>
      <c r="F219" s="2"/>
      <c r="G219" s="2"/>
      <c r="H219" s="2"/>
      <c r="I219" s="2"/>
      <c r="J219" s="685"/>
      <c r="K219" s="682">
        <v>44083</v>
      </c>
      <c r="L219" s="683" t="s">
        <v>561</v>
      </c>
      <c r="M219" s="683" t="s">
        <v>2554</v>
      </c>
      <c r="N219" s="683" t="s">
        <v>586</v>
      </c>
      <c r="O219" s="683"/>
      <c r="P219" s="688" t="s">
        <v>3235</v>
      </c>
      <c r="Q219" s="683" t="s">
        <v>37</v>
      </c>
      <c r="R219" s="683" t="s">
        <v>1782</v>
      </c>
      <c r="S219" s="686" t="s">
        <v>3236</v>
      </c>
      <c r="T219" s="683" t="s">
        <v>2870</v>
      </c>
      <c r="U219" s="683" t="s">
        <v>124</v>
      </c>
      <c r="V219" s="683" t="s">
        <v>147</v>
      </c>
      <c r="W219" s="683" t="s">
        <v>914</v>
      </c>
      <c r="X219" s="691" t="s">
        <v>918</v>
      </c>
      <c r="Y219" s="687">
        <v>3003963150</v>
      </c>
      <c r="Z219" s="692" t="s">
        <v>2618</v>
      </c>
      <c r="AA219" s="683" t="s">
        <v>33</v>
      </c>
      <c r="AB219" s="683" t="s">
        <v>34</v>
      </c>
      <c r="AC219" s="683" t="s">
        <v>230</v>
      </c>
      <c r="AD219" s="683" t="s">
        <v>1123</v>
      </c>
      <c r="AE219" s="683">
        <v>60</v>
      </c>
      <c r="AF219" s="684">
        <v>4003.7</v>
      </c>
      <c r="AG219" s="683" t="s">
        <v>243</v>
      </c>
      <c r="AH219" s="683" t="s">
        <v>220</v>
      </c>
      <c r="AI219" s="683" t="s">
        <v>33</v>
      </c>
      <c r="AJ219" s="683">
        <v>3003966249</v>
      </c>
      <c r="AK219" s="683" t="s">
        <v>33</v>
      </c>
      <c r="AL219" s="683"/>
      <c r="AM219" s="683" t="s">
        <v>3237</v>
      </c>
      <c r="AN219" s="683" t="s">
        <v>1424</v>
      </c>
      <c r="AO219" s="683" t="s">
        <v>1374</v>
      </c>
      <c r="AP219" s="683" t="s">
        <v>240</v>
      </c>
      <c r="AQ219" s="688" t="str">
        <f>CONCATENATE("REG-",BDEGENER[[#This Row],[FECHA DE SERVICIO]],"-",BDEGENER[[#This Row],[SERIE]],"-",BDEGENER[[#This Row],[HORAS]])</f>
        <v>REG-44083-3003963150-4003,7</v>
      </c>
      <c r="AR219" s="683" t="str">
        <f>CONCATENATE("MARCA: ",BDEGENER[[#This Row],[MARCA]],"
 MODELO: ",BDEGENER[[#This Row],[MODELO]])</f>
        <v>MARCA: GENERAC
 MODELO: PG090</v>
      </c>
      <c r="AS219" s="683" t="str">
        <f>CONCATENATE("MARCA: ",BDEGENER[[#This Row],[MARCA DE MOTOR]],"
SERIE: ",BDEGENER[[#This Row],[SERIE DE MOTOR]])</f>
        <v>MARCA: GENERAC
SERIE: 3003966249</v>
      </c>
      <c r="AT219" s="683" t="str">
        <f>CONCATENATE("MARCA: ",BDEGENER[[#This Row],[MARCA ALTERNADOR ]],"
SERIE: ",BDEGENER[[#This Row],[SERIE DE ALTERNADOR]])</f>
        <v xml:space="preserve">MARCA: GENERAC
SERIE: </v>
      </c>
      <c r="AU219" s="683" t="str">
        <f>CONCATENATE("HORAS: ",BDEGENER[[#This Row],[HORAS]],"
KW-HR: ",BDEGENER[[#This Row],[KW-HORA]],"
VOLT.BATERIA: ",BDEGENER[[#This Row],[VOLTAJE DE BATERIA]],"
TEMPERATURA: ",BDEGENER[[#This Row],[TEMPERATURA DE AGUA]],"
PRES. ACEITE: ",BDEGENER[[#This Row],[PRESION DE ACEITE]])</f>
        <v>HORAS: 4003,7
KW-HR: 101100,3
VOLT.BATERIA: 14.0 V
TEMPERATURA: 185 °F
PRES. ACEITE: 65 PSI</v>
      </c>
      <c r="AV219" s="683">
        <f>COUNTIFS(Q219:Q2219,"MANTENIMIENTO CORRECTIVO",Y219:Y2219,BDEGENER[[#This Row],[SERIE]])</f>
        <v>2</v>
      </c>
      <c r="AW219" s="683">
        <f>COUNTIFS(Q219:Q2219,"MANTENIMIENTO PREVENTIVO",Y219:Y2219,BDEGENER[[#This Row],[SERIE]])</f>
        <v>5</v>
      </c>
      <c r="AX21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219" s="683">
        <f>COUNTIFS(BDEGENER[SERIE],BDEGENER[[#This Row],[SERIE]],BDEGENER[TIPO DE SERVICIO],"MANTENIMIENTO PREVENTIVO")</f>
        <v>7</v>
      </c>
      <c r="AZ219" s="683" t="str">
        <f>CONCATENATE("MANTENIMIENTO PREVENTIVO N°",BDEGENER[[#This Row],[GA1]])</f>
        <v>MANTENIMIENTO PREVENTIVO N°7</v>
      </c>
      <c r="BA219" s="683" t="str">
        <f>IF(BDEGENER[[#This Row],[SERVICIO]]=BDEGENER[[#This Row],[GA2]],BDEGENER[[#This Row],[HORAS]],"0")</f>
        <v>0</v>
      </c>
      <c r="BB219" s="683">
        <f>SUMIF(BDEGENER[SERIE],BDEGENER[[#This Row],[SERIE]],BDEGENER[GA3])</f>
        <v>4620.5</v>
      </c>
      <c r="BC219" s="683" t="str">
        <f>CONCATENATE("MANT",COUNTIF($Y$7:Y219,Y219))</f>
        <v>MANT4</v>
      </c>
      <c r="BD219" s="683" t="str">
        <f>CONCATENATE(BDEGENER[[#This Row],[SERIE]],BDEGENER[[#This Row],[GA5]])</f>
        <v>3003963150MANT4</v>
      </c>
      <c r="BE219" s="683" t="str">
        <f>CONCATENATE(BDEGENER[[#This Row],[CODIGO PATRIMONIAL]],BDEGENER[[#This Row],[GA5]])</f>
        <v>NOR-GEG-0020MANT4</v>
      </c>
      <c r="BF219" s="683">
        <f>COUNTIF(BDEGENER[SERIE],BDEGENER[[#This Row],[SERIE]])</f>
        <v>13</v>
      </c>
      <c r="BG219" s="683" t="str">
        <f>CONCATENATE("F",COUNTIF($K$7:K219,K219))</f>
        <v>F3</v>
      </c>
      <c r="BH219" s="683" t="str">
        <f>CONCATENATE(BDEGENER[[#This Row],[FECHA DE SERVICIO]],BDEGENER[[#This Row],[N° DE REGISTROS DEL DIA]])</f>
        <v>44083F3</v>
      </c>
      <c r="BI219" s="684">
        <v>101100.3</v>
      </c>
      <c r="BJ219" s="683" t="s">
        <v>1544</v>
      </c>
      <c r="BK219" s="762"/>
    </row>
    <row r="220" spans="2:63" ht="69" hidden="1" x14ac:dyDescent="0.3">
      <c r="B220" s="2"/>
      <c r="C220" s="2"/>
      <c r="D220" s="2"/>
      <c r="E220" s="2"/>
      <c r="F220" s="2"/>
      <c r="G220" s="2"/>
      <c r="H220" s="2"/>
      <c r="I220" s="2"/>
      <c r="J220" s="685"/>
      <c r="K220" s="682">
        <v>44082</v>
      </c>
      <c r="L220" s="683" t="s">
        <v>181</v>
      </c>
      <c r="M220" s="683" t="s">
        <v>188</v>
      </c>
      <c r="N220" s="683" t="s">
        <v>183</v>
      </c>
      <c r="O220" s="683"/>
      <c r="P220" s="683"/>
      <c r="Q220" s="683" t="s">
        <v>2037</v>
      </c>
      <c r="R220" s="683" t="s">
        <v>1782</v>
      </c>
      <c r="S220" s="686" t="s">
        <v>3253</v>
      </c>
      <c r="T220" s="683" t="s">
        <v>2546</v>
      </c>
      <c r="U220" s="683" t="s">
        <v>2918</v>
      </c>
      <c r="V220" s="683" t="s">
        <v>146</v>
      </c>
      <c r="W220" s="683" t="s">
        <v>914</v>
      </c>
      <c r="X220" s="691" t="s">
        <v>918</v>
      </c>
      <c r="Y220" s="687">
        <v>3004290369</v>
      </c>
      <c r="Z220" s="692"/>
      <c r="AA220" s="683" t="s">
        <v>33</v>
      </c>
      <c r="AB220" s="683" t="s">
        <v>34</v>
      </c>
      <c r="AC220" s="683" t="s">
        <v>230</v>
      </c>
      <c r="AD220" s="683" t="s">
        <v>1111</v>
      </c>
      <c r="AE220" s="683">
        <v>60</v>
      </c>
      <c r="AF220" s="684">
        <v>1616</v>
      </c>
      <c r="AG220" s="683" t="s">
        <v>243</v>
      </c>
      <c r="AH220" s="683" t="s">
        <v>220</v>
      </c>
      <c r="AI220" s="683" t="s">
        <v>33</v>
      </c>
      <c r="AJ220" s="683">
        <v>3004308219</v>
      </c>
      <c r="AK220" s="683" t="s">
        <v>33</v>
      </c>
      <c r="AL220" s="683">
        <v>1063018</v>
      </c>
      <c r="AM220" s="683"/>
      <c r="AN220" s="683"/>
      <c r="AO220" s="683"/>
      <c r="AP220" s="683" t="s">
        <v>240</v>
      </c>
      <c r="AQ220" s="683" t="str">
        <f>CONCATENATE("REG-",BDEGENER[[#This Row],[FECHA DE SERVICIO]],"-",BDEGENER[[#This Row],[SERIE]],"-",BDEGENER[[#This Row],[HORAS]])</f>
        <v>REG-44082-3004290369-1616</v>
      </c>
      <c r="AR220" s="683" t="str">
        <f>CONCATENATE("MARCA: ",BDEGENER[[#This Row],[MARCA]],"
 MODELO: ",BDEGENER[[#This Row],[MODELO]])</f>
        <v>MARCA: GENERAC
 MODELO: PG090</v>
      </c>
      <c r="AS220" s="683" t="str">
        <f>CONCATENATE("MARCA: ",BDEGENER[[#This Row],[MARCA DE MOTOR]],"
SERIE: ",BDEGENER[[#This Row],[SERIE DE MOTOR]])</f>
        <v>MARCA: GENERAC
SERIE: 3004308219</v>
      </c>
      <c r="AT220" s="683" t="str">
        <f>CONCATENATE("MARCA: ",BDEGENER[[#This Row],[MARCA ALTERNADOR ]],"
SERIE: ",BDEGENER[[#This Row],[SERIE DE ALTERNADOR]])</f>
        <v>MARCA: GENERAC
SERIE: 1063018</v>
      </c>
      <c r="AU220" s="683" t="str">
        <f>CONCATENATE("HORAS: ",BDEGENER[[#This Row],[HORAS]],"
KW-HR: ",BDEGENER[[#This Row],[KW-HORA]],"
VOLT.BATERIA: ",BDEGENER[[#This Row],[VOLTAJE DE BATERIA]],"
TEMPERATURA: ",BDEGENER[[#This Row],[TEMPERATURA DE AGUA]],"
PRES. ACEITE: ",BDEGENER[[#This Row],[PRESION DE ACEITE]])</f>
        <v xml:space="preserve">HORAS: 1616
KW-HR: 35589,2
VOLT.BATERIA: 
TEMPERATURA: 
PRES. ACEITE: </v>
      </c>
      <c r="AV220" s="761">
        <f>COUNTIFS(Q220:Q2220,"MANTENIMIENTO CORRECTIVO",Y220:Y2220,BDEGENER[[#This Row],[SERIE]])</f>
        <v>2</v>
      </c>
      <c r="AW220" s="761">
        <f>COUNTIFS(Q220:Q2220,"MANTENIMIENTO PREVENTIVO",Y220:Y2220,BDEGENER[[#This Row],[SERIE]])</f>
        <v>5</v>
      </c>
      <c r="AX22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220" s="683">
        <f>COUNTIFS(BDEGENER[SERIE],BDEGENER[[#This Row],[SERIE]],BDEGENER[TIPO DE SERVICIO],"MANTENIMIENTO PREVENTIVO")</f>
        <v>7</v>
      </c>
      <c r="AZ220" s="683" t="str">
        <f>CONCATENATE("MANTENIMIENTO PREVENTIVO N°",BDEGENER[[#This Row],[GA1]])</f>
        <v>MANTENIMIENTO PREVENTIVO N°7</v>
      </c>
      <c r="BA220" s="683" t="str">
        <f>IF(BDEGENER[[#This Row],[SERVICIO]]=BDEGENER[[#This Row],[GA2]],BDEGENER[[#This Row],[HORAS]],"0")</f>
        <v>0</v>
      </c>
      <c r="BB220" s="683">
        <f>SUMIF(BDEGENER[SERIE],BDEGENER[[#This Row],[SERIE]],BDEGENER[GA3])</f>
        <v>2294</v>
      </c>
      <c r="BC220" s="761" t="str">
        <f>CONCATENATE("MANT",COUNTIF($Y$7:Y220,Y220))</f>
        <v>MANT3</v>
      </c>
      <c r="BD220" s="683" t="str">
        <f>CONCATENATE(BDEGENER[[#This Row],[SERIE]],BDEGENER[[#This Row],[GA5]])</f>
        <v>3004290369MANT3</v>
      </c>
      <c r="BE220" s="683" t="str">
        <f>CONCATENATE(BDEGENER[[#This Row],[CODIGO PATRIMONIAL]],BDEGENER[[#This Row],[GA5]])</f>
        <v>MANT3</v>
      </c>
      <c r="BF220" s="683">
        <f>COUNTIF(BDEGENER[SERIE],BDEGENER[[#This Row],[SERIE]])</f>
        <v>11</v>
      </c>
      <c r="BG220" s="761" t="str">
        <f>CONCATENATE("F",COUNTIF($K$7:K220,K220))</f>
        <v>F1</v>
      </c>
      <c r="BH220" s="683" t="str">
        <f>CONCATENATE(BDEGENER[[#This Row],[FECHA DE SERVICIO]],BDEGENER[[#This Row],[N° DE REGISTROS DEL DIA]])</f>
        <v>44082F1</v>
      </c>
      <c r="BI220" s="684">
        <v>35589.199999999997</v>
      </c>
      <c r="BJ220" s="683" t="s">
        <v>1544</v>
      </c>
      <c r="BK220" s="762"/>
    </row>
    <row r="221" spans="2:63" ht="69" hidden="1" x14ac:dyDescent="0.3">
      <c r="B221" s="2"/>
      <c r="C221" s="2"/>
      <c r="D221" s="2"/>
      <c r="E221" s="2"/>
      <c r="F221" s="2"/>
      <c r="G221" s="2"/>
      <c r="H221" s="2"/>
      <c r="I221" s="2"/>
      <c r="J221" s="685"/>
      <c r="K221" s="682">
        <v>44082</v>
      </c>
      <c r="L221" s="683" t="s">
        <v>181</v>
      </c>
      <c r="M221" s="683" t="s">
        <v>188</v>
      </c>
      <c r="N221" s="683" t="s">
        <v>183</v>
      </c>
      <c r="O221" s="683"/>
      <c r="P221" s="683"/>
      <c r="Q221" s="683" t="s">
        <v>2037</v>
      </c>
      <c r="R221" s="683" t="s">
        <v>1782</v>
      </c>
      <c r="S221" s="686" t="s">
        <v>3253</v>
      </c>
      <c r="T221" s="683" t="s">
        <v>2546</v>
      </c>
      <c r="U221" s="683" t="s">
        <v>2918</v>
      </c>
      <c r="V221" s="683" t="s">
        <v>146</v>
      </c>
      <c r="W221" s="683" t="s">
        <v>914</v>
      </c>
      <c r="X221" s="691" t="s">
        <v>918</v>
      </c>
      <c r="Y221" s="687">
        <v>3004337388</v>
      </c>
      <c r="Z221" s="692"/>
      <c r="AA221" s="683" t="s">
        <v>33</v>
      </c>
      <c r="AB221" s="683" t="s">
        <v>34</v>
      </c>
      <c r="AC221" s="683" t="s">
        <v>230</v>
      </c>
      <c r="AD221" s="683" t="s">
        <v>1111</v>
      </c>
      <c r="AE221" s="683">
        <v>60</v>
      </c>
      <c r="AF221" s="684">
        <v>2028.1</v>
      </c>
      <c r="AG221" s="683" t="s">
        <v>243</v>
      </c>
      <c r="AH221" s="683" t="s">
        <v>220</v>
      </c>
      <c r="AI221" s="683" t="s">
        <v>33</v>
      </c>
      <c r="AJ221" s="683">
        <v>3004346829</v>
      </c>
      <c r="AK221" s="683" t="s">
        <v>33</v>
      </c>
      <c r="AL221" s="683">
        <v>10630871</v>
      </c>
      <c r="AM221" s="683"/>
      <c r="AN221" s="683"/>
      <c r="AO221" s="683"/>
      <c r="AP221" s="683" t="s">
        <v>240</v>
      </c>
      <c r="AQ221" s="683" t="str">
        <f>CONCATENATE("REG-",BDEGENER[[#This Row],[FECHA DE SERVICIO]],"-",BDEGENER[[#This Row],[SERIE]],"-",BDEGENER[[#This Row],[HORAS]])</f>
        <v>REG-44082-3004337388-2028,1</v>
      </c>
      <c r="AR221" s="683" t="str">
        <f>CONCATENATE("MARCA: ",BDEGENER[[#This Row],[MARCA]],"
 MODELO: ",BDEGENER[[#This Row],[MODELO]])</f>
        <v>MARCA: GENERAC
 MODELO: PG090</v>
      </c>
      <c r="AS221" s="683" t="str">
        <f>CONCATENATE("MARCA: ",BDEGENER[[#This Row],[MARCA DE MOTOR]],"
SERIE: ",BDEGENER[[#This Row],[SERIE DE MOTOR]])</f>
        <v>MARCA: GENERAC
SERIE: 3004346829</v>
      </c>
      <c r="AT221" s="683" t="str">
        <f>CONCATENATE("MARCA: ",BDEGENER[[#This Row],[MARCA ALTERNADOR ]],"
SERIE: ",BDEGENER[[#This Row],[SERIE DE ALTERNADOR]])</f>
        <v>MARCA: GENERAC
SERIE: 10630871</v>
      </c>
      <c r="AU221" s="683" t="str">
        <f>CONCATENATE("HORAS: ",BDEGENER[[#This Row],[HORAS]],"
KW-HR: ",BDEGENER[[#This Row],[KW-HORA]],"
VOLT.BATERIA: ",BDEGENER[[#This Row],[VOLTAJE DE BATERIA]],"
TEMPERATURA: ",BDEGENER[[#This Row],[TEMPERATURA DE AGUA]],"
PRES. ACEITE: ",BDEGENER[[#This Row],[PRESION DE ACEITE]])</f>
        <v xml:space="preserve">HORAS: 2028,1
KW-HR: 36842,1
VOLT.BATERIA: 
TEMPERATURA: 
PRES. ACEITE: </v>
      </c>
      <c r="AV221" s="683">
        <f>COUNTIFS(Q221:Q2221,"MANTENIMIENTO CORRECTIVO",Y221:Y2221,BDEGENER[[#This Row],[SERIE]])</f>
        <v>3</v>
      </c>
      <c r="AW221" s="683">
        <f>COUNTIFS(Q221:Q2221,"MANTENIMIENTO PREVENTIVO",Y221:Y2221,BDEGENER[[#This Row],[SERIE]])</f>
        <v>6</v>
      </c>
      <c r="AX22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221" s="683">
        <f>COUNTIFS(BDEGENER[SERIE],BDEGENER[[#This Row],[SERIE]],BDEGENER[TIPO DE SERVICIO],"MANTENIMIENTO PREVENTIVO")</f>
        <v>7</v>
      </c>
      <c r="AZ221" s="683" t="str">
        <f>CONCATENATE("MANTENIMIENTO PREVENTIVO N°",BDEGENER[[#This Row],[GA1]])</f>
        <v>MANTENIMIENTO PREVENTIVO N°7</v>
      </c>
      <c r="BA221" s="683" t="str">
        <f>IF(BDEGENER[[#This Row],[SERVICIO]]=BDEGENER[[#This Row],[GA2]],BDEGENER[[#This Row],[HORAS]],"0")</f>
        <v>0</v>
      </c>
      <c r="BB221" s="683">
        <f>SUMIF(BDEGENER[SERIE],BDEGENER[[#This Row],[SERIE]],BDEGENER[GA3])</f>
        <v>2129.8000000000002</v>
      </c>
      <c r="BC221" s="683" t="str">
        <f>CONCATENATE("MANT",COUNTIF($Y$7:Y221,Y221))</f>
        <v>MANT3</v>
      </c>
      <c r="BD221" s="683" t="str">
        <f>CONCATENATE(BDEGENER[[#This Row],[SERIE]],BDEGENER[[#This Row],[GA5]])</f>
        <v>3004337388MANT3</v>
      </c>
      <c r="BE221" s="683" t="str">
        <f>CONCATENATE(BDEGENER[[#This Row],[CODIGO PATRIMONIAL]],BDEGENER[[#This Row],[GA5]])</f>
        <v>MANT3</v>
      </c>
      <c r="BF221" s="683">
        <f>COUNTIF(BDEGENER[SERIE],BDEGENER[[#This Row],[SERIE]])</f>
        <v>14</v>
      </c>
      <c r="BG221" s="683" t="str">
        <f>CONCATENATE("F",COUNTIF($K$7:K221,K221))</f>
        <v>F2</v>
      </c>
      <c r="BH221" s="683" t="str">
        <f>CONCATENATE(BDEGENER[[#This Row],[FECHA DE SERVICIO]],BDEGENER[[#This Row],[N° DE REGISTROS DEL DIA]])</f>
        <v>44082F2</v>
      </c>
      <c r="BI221" s="684">
        <v>36842.1</v>
      </c>
      <c r="BJ221" s="683" t="s">
        <v>1544</v>
      </c>
      <c r="BK221" s="762"/>
    </row>
    <row r="222" spans="2:63" ht="69" hidden="1" x14ac:dyDescent="0.3">
      <c r="B222" s="2"/>
      <c r="C222" s="2"/>
      <c r="D222" s="2"/>
      <c r="E222" s="2"/>
      <c r="F222" s="2"/>
      <c r="G222" s="2"/>
      <c r="H222" s="2"/>
      <c r="I222" s="2"/>
      <c r="J222" s="685"/>
      <c r="K222" s="682">
        <v>44082</v>
      </c>
      <c r="L222" s="683" t="s">
        <v>181</v>
      </c>
      <c r="M222" s="683" t="s">
        <v>182</v>
      </c>
      <c r="N222" s="683" t="s">
        <v>183</v>
      </c>
      <c r="O222" s="683"/>
      <c r="P222" s="683"/>
      <c r="Q222" s="683" t="s">
        <v>2037</v>
      </c>
      <c r="R222" s="683" t="s">
        <v>1782</v>
      </c>
      <c r="S222" s="686" t="s">
        <v>3253</v>
      </c>
      <c r="T222" s="683" t="s">
        <v>2546</v>
      </c>
      <c r="U222" s="683" t="s">
        <v>2918</v>
      </c>
      <c r="V222" s="683" t="s">
        <v>146</v>
      </c>
      <c r="W222" s="683" t="s">
        <v>914</v>
      </c>
      <c r="X222" s="691" t="s">
        <v>918</v>
      </c>
      <c r="Y222" s="687">
        <v>3004381435</v>
      </c>
      <c r="Z222" s="692"/>
      <c r="AA222" s="683" t="s">
        <v>33</v>
      </c>
      <c r="AB222" s="683" t="s">
        <v>34</v>
      </c>
      <c r="AC222" s="683" t="s">
        <v>230</v>
      </c>
      <c r="AD222" s="683" t="s">
        <v>1111</v>
      </c>
      <c r="AE222" s="683">
        <v>60</v>
      </c>
      <c r="AF222" s="684">
        <v>1542.4</v>
      </c>
      <c r="AG222" s="683" t="s">
        <v>243</v>
      </c>
      <c r="AH222" s="683" t="s">
        <v>220</v>
      </c>
      <c r="AI222" s="683" t="s">
        <v>33</v>
      </c>
      <c r="AJ222" s="683">
        <v>3004346796</v>
      </c>
      <c r="AK222" s="683" t="s">
        <v>33</v>
      </c>
      <c r="AL222" s="683">
        <v>10630960</v>
      </c>
      <c r="AM222" s="683"/>
      <c r="AN222" s="683"/>
      <c r="AO222" s="683"/>
      <c r="AP222" s="683" t="s">
        <v>240</v>
      </c>
      <c r="AQ222" s="683" t="str">
        <f>CONCATENATE("REG-",BDEGENER[[#This Row],[FECHA DE SERVICIO]],"-",BDEGENER[[#This Row],[SERIE]],"-",BDEGENER[[#This Row],[HORAS]])</f>
        <v>REG-44082-3004381435-1542,4</v>
      </c>
      <c r="AR222" s="683" t="str">
        <f>CONCATENATE("MARCA: ",BDEGENER[[#This Row],[MARCA]],"
 MODELO: ",BDEGENER[[#This Row],[MODELO]])</f>
        <v>MARCA: GENERAC
 MODELO: PG090</v>
      </c>
      <c r="AS222" s="683" t="str">
        <f>CONCATENATE("MARCA: ",BDEGENER[[#This Row],[MARCA DE MOTOR]],"
SERIE: ",BDEGENER[[#This Row],[SERIE DE MOTOR]])</f>
        <v>MARCA: GENERAC
SERIE: 3004346796</v>
      </c>
      <c r="AT222" s="683" t="str">
        <f>CONCATENATE("MARCA: ",BDEGENER[[#This Row],[MARCA ALTERNADOR ]],"
SERIE: ",BDEGENER[[#This Row],[SERIE DE ALTERNADOR]])</f>
        <v>MARCA: GENERAC
SERIE: 10630960</v>
      </c>
      <c r="AU222" s="683" t="str">
        <f>CONCATENATE("HORAS: ",BDEGENER[[#This Row],[HORAS]],"
KW-HR: ",BDEGENER[[#This Row],[KW-HORA]],"
VOLT.BATERIA: ",BDEGENER[[#This Row],[VOLTAJE DE BATERIA]],"
TEMPERATURA: ",BDEGENER[[#This Row],[TEMPERATURA DE AGUA]],"
PRES. ACEITE: ",BDEGENER[[#This Row],[PRESION DE ACEITE]])</f>
        <v xml:space="preserve">HORAS: 1542,4
KW-HR: 28883,2
VOLT.BATERIA: 
TEMPERATURA: 
PRES. ACEITE: </v>
      </c>
      <c r="AV222" s="683">
        <f>COUNTIFS(Q222:Q2222,"MANTENIMIENTO CORRECTIVO",Y222:Y2222,BDEGENER[[#This Row],[SERIE]])</f>
        <v>2</v>
      </c>
      <c r="AW222" s="683">
        <f>COUNTIFS(Q222:Q2222,"MANTENIMIENTO PREVENTIVO",Y222:Y2222,BDEGENER[[#This Row],[SERIE]])</f>
        <v>6</v>
      </c>
      <c r="AX22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222" s="683">
        <f>COUNTIFS(BDEGENER[SERIE],BDEGENER[[#This Row],[SERIE]],BDEGENER[TIPO DE SERVICIO],"MANTENIMIENTO PREVENTIVO")</f>
        <v>8</v>
      </c>
      <c r="AZ222" s="683" t="str">
        <f>CONCATENATE("MANTENIMIENTO PREVENTIVO N°",BDEGENER[[#This Row],[GA1]])</f>
        <v>MANTENIMIENTO PREVENTIVO N°8</v>
      </c>
      <c r="BA222" s="683" t="str">
        <f>IF(BDEGENER[[#This Row],[SERVICIO]]=BDEGENER[[#This Row],[GA2]],BDEGENER[[#This Row],[HORAS]],"0")</f>
        <v>0</v>
      </c>
      <c r="BB222" s="683">
        <f>SUMIF(BDEGENER[SERIE],BDEGENER[[#This Row],[SERIE]],BDEGENER[GA3])</f>
        <v>2141.3000000000002</v>
      </c>
      <c r="BC222" s="683" t="str">
        <f>CONCATENATE("MANT",COUNTIF($Y$7:Y222,Y222))</f>
        <v>MANT4</v>
      </c>
      <c r="BD222" s="683" t="str">
        <f>CONCATENATE(BDEGENER[[#This Row],[SERIE]],BDEGENER[[#This Row],[GA5]])</f>
        <v>3004381435MANT4</v>
      </c>
      <c r="BE222" s="683" t="str">
        <f>CONCATENATE(BDEGENER[[#This Row],[CODIGO PATRIMONIAL]],BDEGENER[[#This Row],[GA5]])</f>
        <v>MANT4</v>
      </c>
      <c r="BF222" s="683">
        <f>COUNTIF(BDEGENER[SERIE],BDEGENER[[#This Row],[SERIE]])</f>
        <v>13</v>
      </c>
      <c r="BG222" s="683" t="str">
        <f>CONCATENATE("F",COUNTIF($K$7:K222,K222))</f>
        <v>F3</v>
      </c>
      <c r="BH222" s="683" t="str">
        <f>CONCATENATE(BDEGENER[[#This Row],[FECHA DE SERVICIO]],BDEGENER[[#This Row],[N° DE REGISTROS DEL DIA]])</f>
        <v>44082F3</v>
      </c>
      <c r="BI222" s="684">
        <v>28883.200000000001</v>
      </c>
      <c r="BJ222" s="683" t="s">
        <v>1544</v>
      </c>
      <c r="BK222" s="762"/>
    </row>
    <row r="223" spans="2:63" ht="69" hidden="1" x14ac:dyDescent="0.3">
      <c r="B223" s="2"/>
      <c r="C223" s="2"/>
      <c r="D223" s="2"/>
      <c r="E223" s="2"/>
      <c r="F223" s="2"/>
      <c r="G223" s="2"/>
      <c r="H223" s="2"/>
      <c r="I223" s="2"/>
      <c r="J223" s="685"/>
      <c r="K223" s="682">
        <v>44082</v>
      </c>
      <c r="L223" s="683" t="s">
        <v>3227</v>
      </c>
      <c r="M223" s="683" t="s">
        <v>3228</v>
      </c>
      <c r="N223" s="683" t="s">
        <v>3229</v>
      </c>
      <c r="O223" s="683"/>
      <c r="P223" s="683"/>
      <c r="Q223" s="683" t="s">
        <v>37</v>
      </c>
      <c r="R223" s="683" t="s">
        <v>1782</v>
      </c>
      <c r="S223" s="686" t="s">
        <v>3232</v>
      </c>
      <c r="T223" s="683" t="s">
        <v>2546</v>
      </c>
      <c r="U223" s="683" t="s">
        <v>3233</v>
      </c>
      <c r="V223" s="683" t="s">
        <v>148</v>
      </c>
      <c r="W223" s="683" t="s">
        <v>915</v>
      </c>
      <c r="X223" s="691" t="s">
        <v>917</v>
      </c>
      <c r="Y223" s="687">
        <v>1603587</v>
      </c>
      <c r="Z223" s="692"/>
      <c r="AA223" s="683" t="s">
        <v>33</v>
      </c>
      <c r="AB223" s="683" t="s">
        <v>1120</v>
      </c>
      <c r="AC223" s="683" t="s">
        <v>231</v>
      </c>
      <c r="AD223" s="683"/>
      <c r="AE223" s="683"/>
      <c r="AF223" s="684">
        <v>1781.5</v>
      </c>
      <c r="AG223" s="683" t="s">
        <v>243</v>
      </c>
      <c r="AH223" s="683" t="s">
        <v>1088</v>
      </c>
      <c r="AI223" s="683" t="s">
        <v>868</v>
      </c>
      <c r="AJ223" s="683" t="s">
        <v>1591</v>
      </c>
      <c r="AK223" s="683" t="s">
        <v>1572</v>
      </c>
      <c r="AL223" s="683" t="s">
        <v>3234</v>
      </c>
      <c r="AM223" s="683"/>
      <c r="AN223" s="683"/>
      <c r="AO223" s="683"/>
      <c r="AP223" s="683" t="s">
        <v>240</v>
      </c>
      <c r="AQ223" s="688" t="str">
        <f>CONCATENATE("REG-",BDEGENER[[#This Row],[FECHA DE SERVICIO]],"-",BDEGENER[[#This Row],[SERIE]],"-",BDEGENER[[#This Row],[HORAS]])</f>
        <v>REG-44082-1603587-1781,5</v>
      </c>
      <c r="AR223" s="683" t="str">
        <f>CONCATENATE("MARCA: ",BDEGENER[[#This Row],[MARCA]],"
 MODELO: ",BDEGENER[[#This Row],[MODELO]])</f>
        <v>MARCA: GENERAC
 MODELO: VT8 K3</v>
      </c>
      <c r="AS223" s="683" t="str">
        <f>CONCATENATE("MARCA: ",BDEGENER[[#This Row],[MARCA DE MOTOR]],"
SERIE: ",BDEGENER[[#This Row],[SERIE DE MOTOR]])</f>
        <v>MARCA: KUBOTA
SERIE: 1GL1188</v>
      </c>
      <c r="AT223" s="683" t="str">
        <f>CONCATENATE("MARCA: ",BDEGENER[[#This Row],[MARCA ALTERNADOR ]],"
SERIE: ",BDEGENER[[#This Row],[SERIE DE ALTERNADOR]])</f>
        <v>MARCA: LINZ
SERIE: E101324352</v>
      </c>
      <c r="AU223" s="683" t="str">
        <f>CONCATENATE("HORAS: ",BDEGENER[[#This Row],[HORAS]],"
KW-HR: ",BDEGENER[[#This Row],[KW-HORA]],"
VOLT.BATERIA: ",BDEGENER[[#This Row],[VOLTAJE DE BATERIA]],"
TEMPERATURA: ",BDEGENER[[#This Row],[TEMPERATURA DE AGUA]],"
PRES. ACEITE: ",BDEGENER[[#This Row],[PRESION DE ACEITE]])</f>
        <v xml:space="preserve">HORAS: 1781,5
KW-HR: 
VOLT.BATERIA: 
TEMPERATURA: 
PRES. ACEITE: </v>
      </c>
      <c r="AV223" s="761">
        <f>COUNTIFS(Q223:Q2223,"MANTENIMIENTO CORRECTIVO",Y223:Y2223,BDEGENER[[#This Row],[SERIE]])</f>
        <v>1</v>
      </c>
      <c r="AW223" s="761">
        <f>COUNTIFS(Q223:Q2223,"MANTENIMIENTO PREVENTIVO",Y223:Y2223,BDEGENER[[#This Row],[SERIE]])</f>
        <v>5</v>
      </c>
      <c r="AX22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223" s="683">
        <f>COUNTIFS(BDEGENER[SERIE],BDEGENER[[#This Row],[SERIE]],BDEGENER[TIPO DE SERVICIO],"MANTENIMIENTO PREVENTIVO")</f>
        <v>5</v>
      </c>
      <c r="AZ223" s="683" t="str">
        <f>CONCATENATE("MANTENIMIENTO PREVENTIVO N°",BDEGENER[[#This Row],[GA1]])</f>
        <v>MANTENIMIENTO PREVENTIVO N°5</v>
      </c>
      <c r="BA223" s="683">
        <f>IF(BDEGENER[[#This Row],[SERVICIO]]=BDEGENER[[#This Row],[GA2]],BDEGENER[[#This Row],[HORAS]],"0")</f>
        <v>1781.5</v>
      </c>
      <c r="BB223" s="683">
        <f>SUMIF(BDEGENER[SERIE],BDEGENER[[#This Row],[SERIE]],BDEGENER[GA3])</f>
        <v>1781.5</v>
      </c>
      <c r="BC223" s="761" t="str">
        <f>CONCATENATE("MANT",COUNTIF($Y$7:Y223,Y223))</f>
        <v>MANT1</v>
      </c>
      <c r="BD223" s="683" t="str">
        <f>CONCATENATE(BDEGENER[[#This Row],[SERIE]],BDEGENER[[#This Row],[GA5]])</f>
        <v>1603587MANT1</v>
      </c>
      <c r="BE223" s="683" t="str">
        <f>CONCATENATE(BDEGENER[[#This Row],[CODIGO PATRIMONIAL]],BDEGENER[[#This Row],[GA5]])</f>
        <v>MANT1</v>
      </c>
      <c r="BF223" s="683">
        <f>COUNTIF(BDEGENER[SERIE],BDEGENER[[#This Row],[SERIE]])</f>
        <v>6</v>
      </c>
      <c r="BG223" s="761" t="str">
        <f>CONCATENATE("F",COUNTIF($K$7:K223,K223))</f>
        <v>F4</v>
      </c>
      <c r="BH223" s="683" t="str">
        <f>CONCATENATE(BDEGENER[[#This Row],[FECHA DE SERVICIO]],BDEGENER[[#This Row],[N° DE REGISTROS DEL DIA]])</f>
        <v>44082F4</v>
      </c>
      <c r="BI223" s="684"/>
      <c r="BJ223" s="683" t="s">
        <v>1545</v>
      </c>
      <c r="BK223" s="762"/>
    </row>
    <row r="224" spans="2:63" ht="69" hidden="1" x14ac:dyDescent="0.3">
      <c r="B224" s="2"/>
      <c r="C224" s="2"/>
      <c r="D224" s="2"/>
      <c r="E224" s="2"/>
      <c r="F224" s="2"/>
      <c r="G224" s="2"/>
      <c r="H224" s="2"/>
      <c r="I224" s="2"/>
      <c r="J224" s="685"/>
      <c r="K224" s="682">
        <v>44082</v>
      </c>
      <c r="L224" s="683" t="s">
        <v>3227</v>
      </c>
      <c r="M224" s="683" t="s">
        <v>3228</v>
      </c>
      <c r="N224" s="683" t="s">
        <v>3229</v>
      </c>
      <c r="O224" s="683"/>
      <c r="P224" s="683"/>
      <c r="Q224" s="683" t="s">
        <v>37</v>
      </c>
      <c r="R224" s="683" t="s">
        <v>1782</v>
      </c>
      <c r="S224" s="686" t="s">
        <v>3230</v>
      </c>
      <c r="T224" s="683" t="s">
        <v>2546</v>
      </c>
      <c r="U224" s="683" t="s">
        <v>3231</v>
      </c>
      <c r="V224" s="683" t="s">
        <v>148</v>
      </c>
      <c r="W224" s="683" t="s">
        <v>915</v>
      </c>
      <c r="X224" s="691" t="s">
        <v>917</v>
      </c>
      <c r="Y224" s="687">
        <v>1603596</v>
      </c>
      <c r="Z224" s="692" t="s">
        <v>159</v>
      </c>
      <c r="AA224" s="683" t="s">
        <v>33</v>
      </c>
      <c r="AB224" s="683" t="s">
        <v>1120</v>
      </c>
      <c r="AC224" s="683" t="s">
        <v>231</v>
      </c>
      <c r="AD224" s="683"/>
      <c r="AE224" s="683"/>
      <c r="AF224" s="684">
        <v>1817.8</v>
      </c>
      <c r="AG224" s="683" t="s">
        <v>243</v>
      </c>
      <c r="AH224" s="683" t="s">
        <v>1578</v>
      </c>
      <c r="AI224" s="683" t="s">
        <v>868</v>
      </c>
      <c r="AJ224" s="683" t="s">
        <v>1579</v>
      </c>
      <c r="AK224" s="683" t="s">
        <v>33</v>
      </c>
      <c r="AL224" s="683" t="s">
        <v>159</v>
      </c>
      <c r="AM224" s="683"/>
      <c r="AN224" s="683"/>
      <c r="AO224" s="683"/>
      <c r="AP224" s="683" t="s">
        <v>240</v>
      </c>
      <c r="AQ224" s="688" t="str">
        <f>CONCATENATE("REG-",BDEGENER[[#This Row],[FECHA DE SERVICIO]],"-",BDEGENER[[#This Row],[SERIE]],"-",BDEGENER[[#This Row],[HORAS]])</f>
        <v>REG-44082-1603596-1817,8</v>
      </c>
      <c r="AR224" s="683" t="str">
        <f>CONCATENATE("MARCA: ",BDEGENER[[#This Row],[MARCA]],"
 MODELO: ",BDEGENER[[#This Row],[MODELO]])</f>
        <v>MARCA: GENERAC
 MODELO: VT8 K3</v>
      </c>
      <c r="AS224" s="683" t="str">
        <f>CONCATENATE("MARCA: ",BDEGENER[[#This Row],[MARCA DE MOTOR]],"
SERIE: ",BDEGENER[[#This Row],[SERIE DE MOTOR]])</f>
        <v>MARCA: KUBOTA
SERIE: 1GL1486</v>
      </c>
      <c r="AT224" s="683" t="str">
        <f>CONCATENATE("MARCA: ",BDEGENER[[#This Row],[MARCA ALTERNADOR ]],"
SERIE: ",BDEGENER[[#This Row],[SERIE DE ALTERNADOR]])</f>
        <v xml:space="preserve">MARCA: GENERAC
SERIE: </v>
      </c>
      <c r="AU224" s="683" t="str">
        <f>CONCATENATE("HORAS: ",BDEGENER[[#This Row],[HORAS]],"
KW-HR: ",BDEGENER[[#This Row],[KW-HORA]],"
VOLT.BATERIA: ",BDEGENER[[#This Row],[VOLTAJE DE BATERIA]],"
TEMPERATURA: ",BDEGENER[[#This Row],[TEMPERATURA DE AGUA]],"
PRES. ACEITE: ",BDEGENER[[#This Row],[PRESION DE ACEITE]])</f>
        <v xml:space="preserve">HORAS: 1817,8
KW-HR: 
VOLT.BATERIA: 
TEMPERATURA: 
PRES. ACEITE: </v>
      </c>
      <c r="AV224" s="683">
        <f>COUNTIFS(Q224:Q2224,"MANTENIMIENTO CORRECTIVO",Y224:Y2224,BDEGENER[[#This Row],[SERIE]])</f>
        <v>1</v>
      </c>
      <c r="AW224" s="683">
        <f>COUNTIFS(Q224:Q2224,"MANTENIMIENTO PREVENTIVO",Y224:Y2224,BDEGENER[[#This Row],[SERIE]])</f>
        <v>4</v>
      </c>
      <c r="AX22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224" s="683">
        <f>COUNTIFS(BDEGENER[SERIE],BDEGENER[[#This Row],[SERIE]],BDEGENER[TIPO DE SERVICIO],"MANTENIMIENTO PREVENTIVO")</f>
        <v>4</v>
      </c>
      <c r="AZ224" s="683" t="str">
        <f>CONCATENATE("MANTENIMIENTO PREVENTIVO N°",BDEGENER[[#This Row],[GA1]])</f>
        <v>MANTENIMIENTO PREVENTIVO N°4</v>
      </c>
      <c r="BA224" s="683">
        <f>IF(BDEGENER[[#This Row],[SERVICIO]]=BDEGENER[[#This Row],[GA2]],BDEGENER[[#This Row],[HORAS]],"0")</f>
        <v>1817.8</v>
      </c>
      <c r="BB224" s="683">
        <f>SUMIF(BDEGENER[SERIE],BDEGENER[[#This Row],[SERIE]],BDEGENER[GA3])</f>
        <v>1817.8</v>
      </c>
      <c r="BC224" s="683" t="str">
        <f>CONCATENATE("MANT",COUNTIF($Y$7:Y224,Y224))</f>
        <v>MANT2</v>
      </c>
      <c r="BD224" s="683" t="str">
        <f>CONCATENATE(BDEGENER[[#This Row],[SERIE]],BDEGENER[[#This Row],[GA5]])</f>
        <v>1603596MANT2</v>
      </c>
      <c r="BE224" s="683" t="str">
        <f>CONCATENATE(BDEGENER[[#This Row],[CODIGO PATRIMONIAL]],BDEGENER[[#This Row],[GA5]])</f>
        <v>MANT2</v>
      </c>
      <c r="BF224" s="683">
        <f>COUNTIF(BDEGENER[SERIE],BDEGENER[[#This Row],[SERIE]])</f>
        <v>6</v>
      </c>
      <c r="BG224" s="683" t="str">
        <f>CONCATENATE("F",COUNTIF($K$7:K224,K224))</f>
        <v>F5</v>
      </c>
      <c r="BH224" s="683" t="str">
        <f>CONCATENATE(BDEGENER[[#This Row],[FECHA DE SERVICIO]],BDEGENER[[#This Row],[N° DE REGISTROS DEL DIA]])</f>
        <v>44082F5</v>
      </c>
      <c r="BI224" s="684"/>
      <c r="BJ224" s="683" t="s">
        <v>1545</v>
      </c>
      <c r="BK224" s="762"/>
    </row>
    <row r="225" spans="2:63" ht="69" hidden="1" x14ac:dyDescent="0.3">
      <c r="B225" s="2"/>
      <c r="C225" s="2"/>
      <c r="D225" s="2"/>
      <c r="E225" s="2"/>
      <c r="F225" s="2"/>
      <c r="G225" s="2"/>
      <c r="H225" s="2"/>
      <c r="I225" s="2"/>
      <c r="J225" s="685"/>
      <c r="K225" s="682">
        <v>44081</v>
      </c>
      <c r="L225" s="683" t="s">
        <v>561</v>
      </c>
      <c r="M225" s="683" t="s">
        <v>2890</v>
      </c>
      <c r="N225" s="683" t="s">
        <v>3093</v>
      </c>
      <c r="O225" s="683"/>
      <c r="P225" s="688" t="s">
        <v>3296</v>
      </c>
      <c r="Q225" s="683" t="s">
        <v>37</v>
      </c>
      <c r="R225" s="683" t="s">
        <v>1782</v>
      </c>
      <c r="S225" s="686" t="s">
        <v>3044</v>
      </c>
      <c r="T225" s="683" t="s">
        <v>3297</v>
      </c>
      <c r="U225" s="683" t="s">
        <v>3298</v>
      </c>
      <c r="V225" s="683" t="s">
        <v>148</v>
      </c>
      <c r="W225" s="683" t="s">
        <v>913</v>
      </c>
      <c r="X225" s="691" t="s">
        <v>918</v>
      </c>
      <c r="Y225" s="687">
        <v>3003415532</v>
      </c>
      <c r="Z225" s="692" t="s">
        <v>2606</v>
      </c>
      <c r="AA225" s="683" t="s">
        <v>33</v>
      </c>
      <c r="AB225" s="683" t="s">
        <v>217</v>
      </c>
      <c r="AC225" s="683" t="s">
        <v>749</v>
      </c>
      <c r="AD225" s="683" t="s">
        <v>1087</v>
      </c>
      <c r="AE225" s="683">
        <v>60</v>
      </c>
      <c r="AF225" s="684">
        <v>4662.2</v>
      </c>
      <c r="AG225" s="683" t="s">
        <v>243</v>
      </c>
      <c r="AH225" s="683" t="s">
        <v>1803</v>
      </c>
      <c r="AI225" s="683" t="s">
        <v>2553</v>
      </c>
      <c r="AJ225" s="683"/>
      <c r="AK225" s="683" t="s">
        <v>33</v>
      </c>
      <c r="AL225" s="683"/>
      <c r="AM225" s="683" t="s">
        <v>1196</v>
      </c>
      <c r="AN225" s="683"/>
      <c r="AO225" s="683"/>
      <c r="AP225" s="683" t="s">
        <v>240</v>
      </c>
      <c r="AQ225" s="688" t="str">
        <f>CONCATENATE("REG-",BDEGENER[[#This Row],[FECHA DE SERVICIO]],"-",BDEGENER[[#This Row],[SERIE]],"-",BDEGENER[[#This Row],[HORAS]])</f>
        <v>REG-44081-3003415532-4662,2</v>
      </c>
      <c r="AR225" s="683" t="str">
        <f>CONCATENATE("MARCA: ",BDEGENER[[#This Row],[MARCA]],"
 MODELO: ",BDEGENER[[#This Row],[MODELO]])</f>
        <v>MARCA: GENERAC
 MODELO: RG022</v>
      </c>
      <c r="AS225" s="683" t="str">
        <f>CONCATENATE("MARCA: ",BDEGENER[[#This Row],[MARCA DE MOTOR]],"
SERIE: ",BDEGENER[[#This Row],[SERIE DE MOTOR]])</f>
        <v xml:space="preserve">MARCA: MITSUBISHI
SERIE: </v>
      </c>
      <c r="AT225" s="683" t="str">
        <f>CONCATENATE("MARCA: ",BDEGENER[[#This Row],[MARCA ALTERNADOR ]],"
SERIE: ",BDEGENER[[#This Row],[SERIE DE ALTERNADOR]])</f>
        <v xml:space="preserve">MARCA: GENERAC
SERIE: </v>
      </c>
      <c r="AU225" s="683" t="str">
        <f>CONCATENATE("HORAS: ",BDEGENER[[#This Row],[HORAS]],"
KW-HR: ",BDEGENER[[#This Row],[KW-HORA]],"
VOLT.BATERIA: ",BDEGENER[[#This Row],[VOLTAJE DE BATERIA]],"
TEMPERATURA: ",BDEGENER[[#This Row],[TEMPERATURA DE AGUA]],"
PRES. ACEITE: ",BDEGENER[[#This Row],[PRESION DE ACEITE]])</f>
        <v xml:space="preserve">HORAS: 4662,2
KW-HR: 
VOLT.BATERIA: 13.2 V
TEMPERATURA: 
PRES. ACEITE: </v>
      </c>
      <c r="AV225" s="683">
        <f>COUNTIFS(Q225:Q2225,"MANTENIMIENTO CORRECTIVO",Y225:Y2225,BDEGENER[[#This Row],[SERIE]])</f>
        <v>0</v>
      </c>
      <c r="AW225" s="683">
        <f>COUNTIFS(Q225:Q2225,"MANTENIMIENTO PREVENTIVO",Y225:Y2225,BDEGENER[[#This Row],[SERIE]])</f>
        <v>10</v>
      </c>
      <c r="AX22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N°10</v>
      </c>
      <c r="AY225" s="683">
        <f>COUNTIFS(BDEGENER[SERIE],BDEGENER[[#This Row],[SERIE]],BDEGENER[TIPO DE SERVICIO],"MANTENIMIENTO PREVENTIVO")</f>
        <v>14</v>
      </c>
      <c r="AZ225" s="683" t="str">
        <f>CONCATENATE("MANTENIMIENTO PREVENTIVO N°",BDEGENER[[#This Row],[GA1]])</f>
        <v>MANTENIMIENTO PREVENTIVO N°14</v>
      </c>
      <c r="BA225" s="683" t="str">
        <f>IF(BDEGENER[[#This Row],[SERVICIO]]=BDEGENER[[#This Row],[GA2]],BDEGENER[[#This Row],[HORAS]],"0")</f>
        <v>0</v>
      </c>
      <c r="BB225" s="683">
        <f>SUMIF(BDEGENER[SERIE],BDEGENER[[#This Row],[SERIE]],BDEGENER[GA3])</f>
        <v>5730.6</v>
      </c>
      <c r="BC225" s="683" t="str">
        <f>CONCATENATE("MANT",COUNTIF($Y$7:Y225,Y225))</f>
        <v>MANT5</v>
      </c>
      <c r="BD225" s="683" t="str">
        <f>CONCATENATE(BDEGENER[[#This Row],[SERIE]],BDEGENER[[#This Row],[GA5]])</f>
        <v>3003415532MANT5</v>
      </c>
      <c r="BE225" s="683" t="str">
        <f>CONCATENATE(BDEGENER[[#This Row],[CODIGO PATRIMONIAL]],BDEGENER[[#This Row],[GA5]])</f>
        <v>SUR-GEG-0010MANT5</v>
      </c>
      <c r="BF225" s="683">
        <f>COUNTIF(BDEGENER[SERIE],BDEGENER[[#This Row],[SERIE]])</f>
        <v>14</v>
      </c>
      <c r="BG225" s="683" t="str">
        <f>CONCATENATE("F",COUNTIF($K$7:K225,K225))</f>
        <v>F1</v>
      </c>
      <c r="BH225" s="683" t="str">
        <f>CONCATENATE(BDEGENER[[#This Row],[FECHA DE SERVICIO]],BDEGENER[[#This Row],[N° DE REGISTROS DEL DIA]])</f>
        <v>44081F1</v>
      </c>
      <c r="BI225" s="684"/>
      <c r="BJ225" s="683" t="s">
        <v>1544</v>
      </c>
      <c r="BK225" s="762"/>
    </row>
    <row r="226" spans="2:63" ht="69" hidden="1" x14ac:dyDescent="0.3">
      <c r="B226" s="2"/>
      <c r="C226" s="2"/>
      <c r="D226" s="2"/>
      <c r="E226" s="2"/>
      <c r="F226" s="2"/>
      <c r="G226" s="2"/>
      <c r="H226" s="2"/>
      <c r="I226" s="2"/>
      <c r="J226" s="685"/>
      <c r="K226" s="682">
        <v>44081</v>
      </c>
      <c r="L226" s="683" t="s">
        <v>561</v>
      </c>
      <c r="M226" s="683" t="s">
        <v>571</v>
      </c>
      <c r="N226" s="683" t="s">
        <v>572</v>
      </c>
      <c r="O226" s="683"/>
      <c r="P226" s="688" t="s">
        <v>3291</v>
      </c>
      <c r="Q226" s="683" t="s">
        <v>37</v>
      </c>
      <c r="R226" s="683" t="s">
        <v>1782</v>
      </c>
      <c r="S226" s="686" t="s">
        <v>3292</v>
      </c>
      <c r="T226" s="683" t="s">
        <v>3293</v>
      </c>
      <c r="U226" s="683" t="s">
        <v>3294</v>
      </c>
      <c r="V226" s="683" t="s">
        <v>148</v>
      </c>
      <c r="W226" s="683" t="s">
        <v>913</v>
      </c>
      <c r="X226" s="691" t="s">
        <v>918</v>
      </c>
      <c r="Y226" s="687">
        <v>3004370203</v>
      </c>
      <c r="Z226" s="692" t="s">
        <v>2598</v>
      </c>
      <c r="AA226" s="683" t="s">
        <v>33</v>
      </c>
      <c r="AB226" s="683" t="s">
        <v>217</v>
      </c>
      <c r="AC226" s="683" t="s">
        <v>749</v>
      </c>
      <c r="AD226" s="683" t="s">
        <v>1087</v>
      </c>
      <c r="AE226" s="683">
        <v>60</v>
      </c>
      <c r="AF226" s="684">
        <v>2643.9</v>
      </c>
      <c r="AG226" s="683" t="s">
        <v>243</v>
      </c>
      <c r="AH226" s="683" t="s">
        <v>1803</v>
      </c>
      <c r="AI226" s="683" t="s">
        <v>2553</v>
      </c>
      <c r="AJ226" s="683"/>
      <c r="AK226" s="683" t="s">
        <v>33</v>
      </c>
      <c r="AL226" s="683"/>
      <c r="AM226" s="683" t="s">
        <v>1126</v>
      </c>
      <c r="AN226" s="683"/>
      <c r="AO226" s="683"/>
      <c r="AP226" s="683" t="s">
        <v>557</v>
      </c>
      <c r="AQ226" s="688" t="str">
        <f>CONCATENATE("REG-",BDEGENER[[#This Row],[FECHA DE SERVICIO]],"-",BDEGENER[[#This Row],[SERIE]],"-",BDEGENER[[#This Row],[HORAS]])</f>
        <v>REG-44081-3004370203-2643,9</v>
      </c>
      <c r="AR226" s="683" t="str">
        <f>CONCATENATE("MARCA: ",BDEGENER[[#This Row],[MARCA]],"
 MODELO: ",BDEGENER[[#This Row],[MODELO]])</f>
        <v>MARCA: GENERAC
 MODELO: RG022</v>
      </c>
      <c r="AS226" s="683" t="str">
        <f>CONCATENATE("MARCA: ",BDEGENER[[#This Row],[MARCA DE MOTOR]],"
SERIE: ",BDEGENER[[#This Row],[SERIE DE MOTOR]])</f>
        <v xml:space="preserve">MARCA: MITSUBISHI
SERIE: </v>
      </c>
      <c r="AT226" s="683" t="str">
        <f>CONCATENATE("MARCA: ",BDEGENER[[#This Row],[MARCA ALTERNADOR ]],"
SERIE: ",BDEGENER[[#This Row],[SERIE DE ALTERNADOR]])</f>
        <v xml:space="preserve">MARCA: GENERAC
SERIE: </v>
      </c>
      <c r="AU226" s="683" t="str">
        <f>CONCATENATE("HORAS: ",BDEGENER[[#This Row],[HORAS]],"
KW-HR: ",BDEGENER[[#This Row],[KW-HORA]],"
VOLT.BATERIA: ",BDEGENER[[#This Row],[VOLTAJE DE BATERIA]],"
TEMPERATURA: ",BDEGENER[[#This Row],[TEMPERATURA DE AGUA]],"
PRES. ACEITE: ",BDEGENER[[#This Row],[PRESION DE ACEITE]])</f>
        <v xml:space="preserve">HORAS: 2643,9
KW-HR: 
VOLT.BATERIA: 13 V
TEMPERATURA: 
PRES. ACEITE: </v>
      </c>
      <c r="AV226" s="761">
        <f>COUNTIFS(Q226:Q2226,"MANTENIMIENTO CORRECTIVO",Y226:Y2226,BDEGENER[[#This Row],[SERIE]])</f>
        <v>2</v>
      </c>
      <c r="AW226" s="761">
        <f>COUNTIFS(Q226:Q2226,"MANTENIMIENTO PREVENTIVO",Y226:Y2226,BDEGENER[[#This Row],[SERIE]])</f>
        <v>4</v>
      </c>
      <c r="AX22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226" s="683">
        <f>COUNTIFS(BDEGENER[SERIE],BDEGENER[[#This Row],[SERIE]],BDEGENER[TIPO DE SERVICIO],"MANTENIMIENTO PREVENTIVO")</f>
        <v>6</v>
      </c>
      <c r="AZ226" s="683" t="str">
        <f>CONCATENATE("MANTENIMIENTO PREVENTIVO N°",BDEGENER[[#This Row],[GA1]])</f>
        <v>MANTENIMIENTO PREVENTIVO N°6</v>
      </c>
      <c r="BA226" s="683" t="str">
        <f>IF(BDEGENER[[#This Row],[SERVICIO]]=BDEGENER[[#This Row],[GA2]],BDEGENER[[#This Row],[HORAS]],"0")</f>
        <v>0</v>
      </c>
      <c r="BB226" s="683">
        <f>SUMIF(BDEGENER[SERIE],BDEGENER[[#This Row],[SERIE]],BDEGENER[GA3])</f>
        <v>2885.1</v>
      </c>
      <c r="BC226" s="761" t="str">
        <f>CONCATENATE("MANT",COUNTIF($Y$7:Y226,Y226))</f>
        <v>MANT6</v>
      </c>
      <c r="BD226" s="683" t="str">
        <f>CONCATENATE(BDEGENER[[#This Row],[SERIE]],BDEGENER[[#This Row],[GA5]])</f>
        <v>3004370203MANT6</v>
      </c>
      <c r="BE226" s="683" t="str">
        <f>CONCATENATE(BDEGENER[[#This Row],[CODIGO PATRIMONIAL]],BDEGENER[[#This Row],[GA5]])</f>
        <v>SUR-GEG-0002MANT6</v>
      </c>
      <c r="BF226" s="683">
        <f>COUNTIF(BDEGENER[SERIE],BDEGENER[[#This Row],[SERIE]])</f>
        <v>14</v>
      </c>
      <c r="BG226" s="761" t="str">
        <f>CONCATENATE("F",COUNTIF($K$7:K226,K226))</f>
        <v>F2</v>
      </c>
      <c r="BH226" s="683" t="str">
        <f>CONCATENATE(BDEGENER[[#This Row],[FECHA DE SERVICIO]],BDEGENER[[#This Row],[N° DE REGISTROS DEL DIA]])</f>
        <v>44081F2</v>
      </c>
      <c r="BI226" s="684"/>
      <c r="BJ226" s="683" t="s">
        <v>1544</v>
      </c>
      <c r="BK226" s="762"/>
    </row>
    <row r="227" spans="2:63" ht="69" hidden="1" x14ac:dyDescent="0.3">
      <c r="B227" s="2"/>
      <c r="C227" s="2"/>
      <c r="D227" s="2"/>
      <c r="E227" s="2"/>
      <c r="F227" s="2"/>
      <c r="G227" s="2"/>
      <c r="H227" s="2"/>
      <c r="I227" s="2"/>
      <c r="J227" s="685"/>
      <c r="K227" s="682">
        <v>44081</v>
      </c>
      <c r="L227" s="683" t="s">
        <v>561</v>
      </c>
      <c r="M227" s="683" t="s">
        <v>583</v>
      </c>
      <c r="N227" s="683" t="s">
        <v>578</v>
      </c>
      <c r="O227" s="683"/>
      <c r="P227" s="688" t="s">
        <v>3250</v>
      </c>
      <c r="Q227" s="683" t="s">
        <v>37</v>
      </c>
      <c r="R227" s="683" t="s">
        <v>1782</v>
      </c>
      <c r="S227" s="686" t="s">
        <v>3251</v>
      </c>
      <c r="T227" s="683" t="s">
        <v>3252</v>
      </c>
      <c r="U227" s="683" t="s">
        <v>2887</v>
      </c>
      <c r="V227" s="683" t="s">
        <v>148</v>
      </c>
      <c r="W227" s="683" t="s">
        <v>913</v>
      </c>
      <c r="X227" s="691" t="s">
        <v>918</v>
      </c>
      <c r="Y227" s="687">
        <v>3003415539</v>
      </c>
      <c r="Z227" s="692" t="s">
        <v>2600</v>
      </c>
      <c r="AA227" s="683" t="s">
        <v>33</v>
      </c>
      <c r="AB227" s="683" t="s">
        <v>217</v>
      </c>
      <c r="AC227" s="683" t="s">
        <v>749</v>
      </c>
      <c r="AD227" s="683" t="s">
        <v>1087</v>
      </c>
      <c r="AE227" s="683">
        <v>60</v>
      </c>
      <c r="AF227" s="684">
        <v>5584.8</v>
      </c>
      <c r="AG227" s="683" t="s">
        <v>243</v>
      </c>
      <c r="AH227" s="683" t="s">
        <v>1803</v>
      </c>
      <c r="AI227" s="683" t="s">
        <v>2553</v>
      </c>
      <c r="AJ227" s="683"/>
      <c r="AK227" s="683" t="s">
        <v>33</v>
      </c>
      <c r="AL227" s="683"/>
      <c r="AM227" s="683" t="s">
        <v>1094</v>
      </c>
      <c r="AN227" s="683"/>
      <c r="AO227" s="683"/>
      <c r="AP227" s="683" t="s">
        <v>240</v>
      </c>
      <c r="AQ227" s="688" t="str">
        <f>CONCATENATE("REG-",BDEGENER[[#This Row],[FECHA DE SERVICIO]],"-",BDEGENER[[#This Row],[SERIE]],"-",BDEGENER[[#This Row],[HORAS]])</f>
        <v>REG-44081-3003415539-5584,8</v>
      </c>
      <c r="AR227" s="683" t="str">
        <f>CONCATENATE("MARCA: ",BDEGENER[[#This Row],[MARCA]],"
 MODELO: ",BDEGENER[[#This Row],[MODELO]])</f>
        <v>MARCA: GENERAC
 MODELO: RG022</v>
      </c>
      <c r="AS227" s="683" t="str">
        <f>CONCATENATE("MARCA: ",BDEGENER[[#This Row],[MARCA DE MOTOR]],"
SERIE: ",BDEGENER[[#This Row],[SERIE DE MOTOR]])</f>
        <v xml:space="preserve">MARCA: MITSUBISHI
SERIE: </v>
      </c>
      <c r="AT227" s="683" t="str">
        <f>CONCATENATE("MARCA: ",BDEGENER[[#This Row],[MARCA ALTERNADOR ]],"
SERIE: ",BDEGENER[[#This Row],[SERIE DE ALTERNADOR]])</f>
        <v xml:space="preserve">MARCA: GENERAC
SERIE: </v>
      </c>
      <c r="AU227" s="683" t="str">
        <f>CONCATENATE("HORAS: ",BDEGENER[[#This Row],[HORAS]],"
KW-HR: ",BDEGENER[[#This Row],[KW-HORA]],"
VOLT.BATERIA: ",BDEGENER[[#This Row],[VOLTAJE DE BATERIA]],"
TEMPERATURA: ",BDEGENER[[#This Row],[TEMPERATURA DE AGUA]],"
PRES. ACEITE: ",BDEGENER[[#This Row],[PRESION DE ACEITE]])</f>
        <v xml:space="preserve">HORAS: 5584,8
KW-HR: 
VOLT.BATERIA: 13.5 V
TEMPERATURA: 
PRES. ACEITE: </v>
      </c>
      <c r="AV227" s="683">
        <f>COUNTIFS(Q227:Q2227,"MANTENIMIENTO CORRECTIVO",Y227:Y2227,BDEGENER[[#This Row],[SERIE]])</f>
        <v>4</v>
      </c>
      <c r="AW227" s="683">
        <f>COUNTIFS(Q227:Q2227,"MANTENIMIENTO PREVENTIVO",Y227:Y2227,BDEGENER[[#This Row],[SERIE]])</f>
        <v>9</v>
      </c>
      <c r="AX22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227" s="683">
        <f>COUNTIFS(BDEGENER[SERIE],BDEGENER[[#This Row],[SERIE]],BDEGENER[TIPO DE SERVICIO],"MANTENIMIENTO PREVENTIVO")</f>
        <v>11</v>
      </c>
      <c r="AZ227" s="683" t="str">
        <f>CONCATENATE("MANTENIMIENTO PREVENTIVO N°",BDEGENER[[#This Row],[GA1]])</f>
        <v>MANTENIMIENTO PREVENTIVO N°11</v>
      </c>
      <c r="BA227" s="683" t="str">
        <f>IF(BDEGENER[[#This Row],[SERVICIO]]=BDEGENER[[#This Row],[GA2]],BDEGENER[[#This Row],[HORAS]],"0")</f>
        <v>0</v>
      </c>
      <c r="BB227" s="683">
        <f>SUMIF(BDEGENER[SERIE],BDEGENER[[#This Row],[SERIE]],BDEGENER[GA3])</f>
        <v>5881.6</v>
      </c>
      <c r="BC227" s="683" t="str">
        <f>CONCATENATE("MANT",COUNTIF($Y$7:Y227,Y227))</f>
        <v>MANT3</v>
      </c>
      <c r="BD227" s="683" t="str">
        <f>CONCATENATE(BDEGENER[[#This Row],[SERIE]],BDEGENER[[#This Row],[GA5]])</f>
        <v>3003415539MANT3</v>
      </c>
      <c r="BE227" s="683" t="str">
        <f>CONCATENATE(BDEGENER[[#This Row],[CODIGO PATRIMONIAL]],BDEGENER[[#This Row],[GA5]])</f>
        <v>SUR-GEG-0004MANT3</v>
      </c>
      <c r="BF227" s="683">
        <f>COUNTIF(BDEGENER[SERIE],BDEGENER[[#This Row],[SERIE]])</f>
        <v>16</v>
      </c>
      <c r="BG227" s="683" t="str">
        <f>CONCATENATE("F",COUNTIF($K$7:K227,K227))</f>
        <v>F3</v>
      </c>
      <c r="BH227" s="683" t="str">
        <f>CONCATENATE(BDEGENER[[#This Row],[FECHA DE SERVICIO]],BDEGENER[[#This Row],[N° DE REGISTROS DEL DIA]])</f>
        <v>44081F3</v>
      </c>
      <c r="BI227" s="684"/>
      <c r="BJ227" s="683" t="s">
        <v>1544</v>
      </c>
      <c r="BK227" s="762"/>
    </row>
    <row r="228" spans="2:63" ht="69" hidden="1" x14ac:dyDescent="0.3">
      <c r="B228" s="2"/>
      <c r="C228" s="2"/>
      <c r="D228" s="2"/>
      <c r="E228" s="2"/>
      <c r="F228" s="2"/>
      <c r="G228" s="2"/>
      <c r="H228" s="2"/>
      <c r="I228" s="2"/>
      <c r="J228" s="685"/>
      <c r="K228" s="682">
        <v>44081</v>
      </c>
      <c r="L228" s="683" t="s">
        <v>561</v>
      </c>
      <c r="M228" s="683" t="s">
        <v>577</v>
      </c>
      <c r="N228" s="683" t="s">
        <v>578</v>
      </c>
      <c r="O228" s="683"/>
      <c r="P228" s="688" t="s">
        <v>3247</v>
      </c>
      <c r="Q228" s="683" t="s">
        <v>37</v>
      </c>
      <c r="R228" s="683" t="s">
        <v>1782</v>
      </c>
      <c r="S228" s="686" t="s">
        <v>3248</v>
      </c>
      <c r="T228" s="683" t="s">
        <v>2870</v>
      </c>
      <c r="U228" s="683" t="s">
        <v>3249</v>
      </c>
      <c r="V228" s="683" t="s">
        <v>148</v>
      </c>
      <c r="W228" s="683" t="s">
        <v>913</v>
      </c>
      <c r="X228" s="691" t="s">
        <v>918</v>
      </c>
      <c r="Y228" s="687">
        <v>3003415536</v>
      </c>
      <c r="Z228" s="692" t="s">
        <v>2604</v>
      </c>
      <c r="AA228" s="683" t="s">
        <v>33</v>
      </c>
      <c r="AB228" s="683" t="s">
        <v>217</v>
      </c>
      <c r="AC228" s="683" t="s">
        <v>749</v>
      </c>
      <c r="AD228" s="683" t="s">
        <v>1087</v>
      </c>
      <c r="AE228" s="683">
        <v>60</v>
      </c>
      <c r="AF228" s="684">
        <v>4982.6000000000004</v>
      </c>
      <c r="AG228" s="683" t="s">
        <v>243</v>
      </c>
      <c r="AH228" s="683" t="s">
        <v>1803</v>
      </c>
      <c r="AI228" s="683" t="s">
        <v>2553</v>
      </c>
      <c r="AJ228" s="683"/>
      <c r="AK228" s="683" t="s">
        <v>33</v>
      </c>
      <c r="AL228" s="683"/>
      <c r="AM228" s="683" t="s">
        <v>1094</v>
      </c>
      <c r="AN228" s="683"/>
      <c r="AO228" s="683"/>
      <c r="AP228" s="683" t="s">
        <v>240</v>
      </c>
      <c r="AQ228" s="688" t="str">
        <f>CONCATENATE("REG-",BDEGENER[[#This Row],[FECHA DE SERVICIO]],"-",BDEGENER[[#This Row],[SERIE]],"-",BDEGENER[[#This Row],[HORAS]])</f>
        <v>REG-44081-3003415536-4982,6</v>
      </c>
      <c r="AR228" s="683" t="str">
        <f>CONCATENATE("MARCA: ",BDEGENER[[#This Row],[MARCA]],"
 MODELO: ",BDEGENER[[#This Row],[MODELO]])</f>
        <v>MARCA: GENERAC
 MODELO: RG022</v>
      </c>
      <c r="AS228" s="683" t="str">
        <f>CONCATENATE("MARCA: ",BDEGENER[[#This Row],[MARCA DE MOTOR]],"
SERIE: ",BDEGENER[[#This Row],[SERIE DE MOTOR]])</f>
        <v xml:space="preserve">MARCA: MITSUBISHI
SERIE: </v>
      </c>
      <c r="AT228" s="683" t="str">
        <f>CONCATENATE("MARCA: ",BDEGENER[[#This Row],[MARCA ALTERNADOR ]],"
SERIE: ",BDEGENER[[#This Row],[SERIE DE ALTERNADOR]])</f>
        <v xml:space="preserve">MARCA: GENERAC
SERIE: </v>
      </c>
      <c r="AU228" s="683" t="str">
        <f>CONCATENATE("HORAS: ",BDEGENER[[#This Row],[HORAS]],"
KW-HR: ",BDEGENER[[#This Row],[KW-HORA]],"
VOLT.BATERIA: ",BDEGENER[[#This Row],[VOLTAJE DE BATERIA]],"
TEMPERATURA: ",BDEGENER[[#This Row],[TEMPERATURA DE AGUA]],"
PRES. ACEITE: ",BDEGENER[[#This Row],[PRESION DE ACEITE]])</f>
        <v xml:space="preserve">HORAS: 4982,6
KW-HR: 
VOLT.BATERIA: 13.5 V
TEMPERATURA: 
PRES. ACEITE: </v>
      </c>
      <c r="AV228" s="683">
        <f>COUNTIFS(Q228:Q2228,"MANTENIMIENTO CORRECTIVO",Y228:Y2228,BDEGENER[[#This Row],[SERIE]])</f>
        <v>0</v>
      </c>
      <c r="AW228" s="683">
        <f>COUNTIFS(Q228:Q2228,"MANTENIMIENTO PREVENTIVO",Y228:Y2228,BDEGENER[[#This Row],[SERIE]])</f>
        <v>7</v>
      </c>
      <c r="AX22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28" s="683">
        <f>COUNTIFS(BDEGENER[SERIE],BDEGENER[[#This Row],[SERIE]],BDEGENER[TIPO DE SERVICIO],"MANTENIMIENTO PREVENTIVO")</f>
        <v>10</v>
      </c>
      <c r="AZ228" s="683" t="str">
        <f>CONCATENATE("MANTENIMIENTO PREVENTIVO N°",BDEGENER[[#This Row],[GA1]])</f>
        <v>MANTENIMIENTO PREVENTIVO N°10</v>
      </c>
      <c r="BA228" s="683" t="str">
        <f>IF(BDEGENER[[#This Row],[SERVICIO]]=BDEGENER[[#This Row],[GA2]],BDEGENER[[#This Row],[HORAS]],"0")</f>
        <v>0</v>
      </c>
      <c r="BB228" s="683">
        <f>SUMIF(BDEGENER[SERIE],BDEGENER[[#This Row],[SERIE]],BDEGENER[GA3])</f>
        <v>5559.8</v>
      </c>
      <c r="BC228" s="683" t="str">
        <f>CONCATENATE("MANT",COUNTIF($Y$7:Y228,Y228))</f>
        <v>MANT5</v>
      </c>
      <c r="BD228" s="683" t="str">
        <f>CONCATENATE(BDEGENER[[#This Row],[SERIE]],BDEGENER[[#This Row],[GA5]])</f>
        <v>3003415536MANT5</v>
      </c>
      <c r="BE228" s="683" t="str">
        <f>CONCATENATE(BDEGENER[[#This Row],[CODIGO PATRIMONIAL]],BDEGENER[[#This Row],[GA5]])</f>
        <v>SUR-GEG-0008MANT5</v>
      </c>
      <c r="BF228" s="683">
        <f>COUNTIF(BDEGENER[SERIE],BDEGENER[[#This Row],[SERIE]])</f>
        <v>12</v>
      </c>
      <c r="BG228" s="683" t="str">
        <f>CONCATENATE("F",COUNTIF($K$7:K228,K228))</f>
        <v>F4</v>
      </c>
      <c r="BH228" s="683" t="str">
        <f>CONCATENATE(BDEGENER[[#This Row],[FECHA DE SERVICIO]],BDEGENER[[#This Row],[N° DE REGISTROS DEL DIA]])</f>
        <v>44081F4</v>
      </c>
      <c r="BI228" s="684"/>
      <c r="BJ228" s="683" t="s">
        <v>1544</v>
      </c>
      <c r="BK228" s="762"/>
    </row>
    <row r="229" spans="2:63" ht="69" hidden="1" x14ac:dyDescent="0.3">
      <c r="B229" s="2"/>
      <c r="C229" s="2"/>
      <c r="D229" s="2"/>
      <c r="E229" s="2"/>
      <c r="F229" s="2"/>
      <c r="G229" s="2"/>
      <c r="H229" s="2"/>
      <c r="I229" s="2"/>
      <c r="J229" s="685"/>
      <c r="K229" s="682">
        <v>44078</v>
      </c>
      <c r="L229" s="683" t="s">
        <v>764</v>
      </c>
      <c r="M229" s="683" t="s">
        <v>2392</v>
      </c>
      <c r="N229" s="683" t="s">
        <v>2393</v>
      </c>
      <c r="O229" s="683"/>
      <c r="P229" s="683"/>
      <c r="Q229" s="683" t="s">
        <v>108</v>
      </c>
      <c r="R229" s="683" t="s">
        <v>1782</v>
      </c>
      <c r="S229" s="686" t="s">
        <v>3311</v>
      </c>
      <c r="T229" s="683" t="s">
        <v>3312</v>
      </c>
      <c r="U229" s="683" t="s">
        <v>3313</v>
      </c>
      <c r="V229" s="683" t="s">
        <v>148</v>
      </c>
      <c r="W229" s="683" t="s">
        <v>914</v>
      </c>
      <c r="X229" s="691" t="s">
        <v>917</v>
      </c>
      <c r="Y229" s="687" t="s">
        <v>783</v>
      </c>
      <c r="Z229" s="692"/>
      <c r="AA229" s="683" t="s">
        <v>1966</v>
      </c>
      <c r="AB229" s="683" t="s">
        <v>2386</v>
      </c>
      <c r="AC229" s="683" t="s">
        <v>789</v>
      </c>
      <c r="AD229" s="683" t="s">
        <v>1123</v>
      </c>
      <c r="AE229" s="683">
        <v>60</v>
      </c>
      <c r="AF229" s="684">
        <v>2096.6</v>
      </c>
      <c r="AG229" s="683" t="s">
        <v>243</v>
      </c>
      <c r="AH229" s="683" t="s">
        <v>1578</v>
      </c>
      <c r="AI229" s="683" t="s">
        <v>1966</v>
      </c>
      <c r="AJ229" s="683">
        <v>37131122</v>
      </c>
      <c r="AK229" s="683" t="s">
        <v>2401</v>
      </c>
      <c r="AL229" s="683" t="s">
        <v>2398</v>
      </c>
      <c r="AM229" s="683" t="s">
        <v>3114</v>
      </c>
      <c r="AN229" s="683" t="s">
        <v>3314</v>
      </c>
      <c r="AO229" s="683" t="s">
        <v>3315</v>
      </c>
      <c r="AP229" s="683" t="s">
        <v>240</v>
      </c>
      <c r="AQ229" s="688" t="str">
        <f>CONCATENATE("REG-",BDEGENER[[#This Row],[FECHA DE SERVICIO]],"-",BDEGENER[[#This Row],[SERIE]],"-",BDEGENER[[#This Row],[HORAS]])</f>
        <v>REG-44078-G-4012-2096,6</v>
      </c>
      <c r="AR229" s="683" t="str">
        <f>CONCATENATE("MARCA: ",BDEGENER[[#This Row],[MARCA]],"
 MODELO: ",BDEGENER[[#This Row],[MODELO]])</f>
        <v>MARCA: CUMMINS
 MODELO: 0B400K-DW63</v>
      </c>
      <c r="AS229" s="683" t="str">
        <f>CONCATENATE("MARCA: ",BDEGENER[[#This Row],[MARCA DE MOTOR]],"
SERIE: ",BDEGENER[[#This Row],[SERIE DE MOTOR]])</f>
        <v>MARCA: CUMMINS
SERIE: 37131122</v>
      </c>
      <c r="AT229" s="683" t="str">
        <f>CONCATENATE("MARCA: ",BDEGENER[[#This Row],[MARCA ALTERNADOR ]],"
SERIE: ",BDEGENER[[#This Row],[SERIE DE ALTERNADOR]])</f>
        <v>MARCA: STAMFORD
SERIE: WB3668482</v>
      </c>
      <c r="AU229" s="683" t="str">
        <f>CONCATENATE("HORAS: ",BDEGENER[[#This Row],[HORAS]],"
KW-HR: ",BDEGENER[[#This Row],[KW-HORA]],"
VOLT.BATERIA: ",BDEGENER[[#This Row],[VOLTAJE DE BATERIA]],"
TEMPERATURA: ",BDEGENER[[#This Row],[TEMPERATURA DE AGUA]],"
PRES. ACEITE: ",BDEGENER[[#This Row],[PRESION DE ACEITE]])</f>
        <v>HORAS: 2096,6
KW-HR: 
VOLT.BATERIA: 27.3 V
TEMPERATURA: 62 °C
PRES. ACEITE: 92 PSI</v>
      </c>
      <c r="AV229" s="761">
        <f>COUNTIFS(Q229:Q2229,"MANTENIMIENTO CORRECTIVO",Y229:Y2229,BDEGENER[[#This Row],[SERIE]])</f>
        <v>0</v>
      </c>
      <c r="AW229" s="761">
        <f>COUNTIFS(Q229:Q2229,"MANTENIMIENTO PREVENTIVO",Y229:Y2229,BDEGENER[[#This Row],[SERIE]])</f>
        <v>2</v>
      </c>
      <c r="AX22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229" s="683">
        <f>COUNTIFS(BDEGENER[SERIE],BDEGENER[[#This Row],[SERIE]],BDEGENER[TIPO DE SERVICIO],"MANTENIMIENTO PREVENTIVO")</f>
        <v>2</v>
      </c>
      <c r="AZ229" s="683" t="str">
        <f>CONCATENATE("MANTENIMIENTO PREVENTIVO N°",BDEGENER[[#This Row],[GA1]])</f>
        <v>MANTENIMIENTO PREVENTIVO N°2</v>
      </c>
      <c r="BA229" s="683" t="str">
        <f>IF(BDEGENER[[#This Row],[SERVICIO]]=BDEGENER[[#This Row],[GA2]],BDEGENER[[#This Row],[HORAS]],"0")</f>
        <v>0</v>
      </c>
      <c r="BB229" s="683">
        <f>SUMIF(BDEGENER[SERIE],BDEGENER[[#This Row],[SERIE]],BDEGENER[GA3])</f>
        <v>2095</v>
      </c>
      <c r="BC229" s="761" t="str">
        <f>CONCATENATE("MANT",COUNTIF($Y$7:Y229,Y229))</f>
        <v>MANT1</v>
      </c>
      <c r="BD229" s="683" t="str">
        <f>CONCATENATE(BDEGENER[[#This Row],[SERIE]],BDEGENER[[#This Row],[GA5]])</f>
        <v>G-4012MANT1</v>
      </c>
      <c r="BE229" s="683" t="str">
        <f>CONCATENATE(BDEGENER[[#This Row],[CODIGO PATRIMONIAL]],BDEGENER[[#This Row],[GA5]])</f>
        <v>MANT1</v>
      </c>
      <c r="BF229" s="683">
        <f>COUNTIF(BDEGENER[SERIE],BDEGENER[[#This Row],[SERIE]])</f>
        <v>4</v>
      </c>
      <c r="BG229" s="761" t="str">
        <f>CONCATENATE("F",COUNTIF($K$7:K229,K229))</f>
        <v>F1</v>
      </c>
      <c r="BH229" s="683" t="str">
        <f>CONCATENATE(BDEGENER[[#This Row],[FECHA DE SERVICIO]],BDEGENER[[#This Row],[N° DE REGISTROS DEL DIA]])</f>
        <v>44078F1</v>
      </c>
      <c r="BI229" s="684"/>
      <c r="BJ229" s="683" t="s">
        <v>1544</v>
      </c>
      <c r="BK229" s="762" t="s">
        <v>3316</v>
      </c>
    </row>
    <row r="230" spans="2:63" ht="69" hidden="1" x14ac:dyDescent="0.3">
      <c r="B230" s="2"/>
      <c r="C230" s="2"/>
      <c r="D230" s="2"/>
      <c r="E230" s="2"/>
      <c r="F230" s="2"/>
      <c r="G230" s="2"/>
      <c r="H230" s="2"/>
      <c r="I230" s="2"/>
      <c r="J230" s="685"/>
      <c r="K230" s="682">
        <v>44077</v>
      </c>
      <c r="L230" s="683" t="s">
        <v>181</v>
      </c>
      <c r="M230" s="683" t="s">
        <v>184</v>
      </c>
      <c r="N230" s="683" t="s">
        <v>183</v>
      </c>
      <c r="O230" s="683">
        <v>4500925048</v>
      </c>
      <c r="P230" s="683" t="s">
        <v>3219</v>
      </c>
      <c r="Q230" s="683" t="s">
        <v>37</v>
      </c>
      <c r="R230" s="683" t="s">
        <v>1782</v>
      </c>
      <c r="S230" s="686" t="s">
        <v>3226</v>
      </c>
      <c r="T230" s="683" t="s">
        <v>3310</v>
      </c>
      <c r="U230" s="683" t="s">
        <v>3220</v>
      </c>
      <c r="V230" s="683" t="s">
        <v>146</v>
      </c>
      <c r="W230" s="683" t="s">
        <v>914</v>
      </c>
      <c r="X230" s="691" t="s">
        <v>918</v>
      </c>
      <c r="Y230" s="687">
        <v>3004336197</v>
      </c>
      <c r="Z230" s="692"/>
      <c r="AA230" s="683" t="s">
        <v>33</v>
      </c>
      <c r="AB230" s="683" t="s">
        <v>34</v>
      </c>
      <c r="AC230" s="683" t="s">
        <v>230</v>
      </c>
      <c r="AD230" s="683" t="s">
        <v>1110</v>
      </c>
      <c r="AE230" s="683">
        <v>60</v>
      </c>
      <c r="AF230" s="684">
        <v>2408.6</v>
      </c>
      <c r="AG230" s="683" t="s">
        <v>243</v>
      </c>
      <c r="AH230" s="683" t="s">
        <v>220</v>
      </c>
      <c r="AI230" s="683" t="s">
        <v>33</v>
      </c>
      <c r="AJ230" s="683">
        <v>3004309062</v>
      </c>
      <c r="AK230" s="683" t="s">
        <v>33</v>
      </c>
      <c r="AL230" s="683">
        <v>10650720</v>
      </c>
      <c r="AM230" s="683" t="s">
        <v>1121</v>
      </c>
      <c r="AN230" s="683" t="s">
        <v>1505</v>
      </c>
      <c r="AO230" s="683" t="s">
        <v>1166</v>
      </c>
      <c r="AP230" s="683" t="s">
        <v>240</v>
      </c>
      <c r="AQ230" s="688" t="str">
        <f>CONCATENATE("REG-",BDEGENER[[#This Row],[FECHA DE SERVICIO]],"-",BDEGENER[[#This Row],[SERIE]],"-",BDEGENER[[#This Row],[HORAS]])</f>
        <v>REG-44077-3004336197-2408,6</v>
      </c>
      <c r="AR230" s="683" t="str">
        <f>CONCATENATE("MARCA: ",BDEGENER[[#This Row],[MARCA]],"
 MODELO: ",BDEGENER[[#This Row],[MODELO]])</f>
        <v>MARCA: GENERAC
 MODELO: PG090</v>
      </c>
      <c r="AS230" s="683" t="str">
        <f>CONCATENATE("MARCA: ",BDEGENER[[#This Row],[MARCA DE MOTOR]],"
SERIE: ",BDEGENER[[#This Row],[SERIE DE MOTOR]])</f>
        <v>MARCA: GENERAC
SERIE: 3004309062</v>
      </c>
      <c r="AT230" s="683" t="str">
        <f>CONCATENATE("MARCA: ",BDEGENER[[#This Row],[MARCA ALTERNADOR ]],"
SERIE: ",BDEGENER[[#This Row],[SERIE DE ALTERNADOR]])</f>
        <v>MARCA: GENERAC
SERIE: 10650720</v>
      </c>
      <c r="AU230" s="683" t="str">
        <f>CONCATENATE("HORAS: ",BDEGENER[[#This Row],[HORAS]],"
KW-HR: ",BDEGENER[[#This Row],[KW-HORA]],"
VOLT.BATERIA: ",BDEGENER[[#This Row],[VOLTAJE DE BATERIA]],"
TEMPERATURA: ",BDEGENER[[#This Row],[TEMPERATURA DE AGUA]],"
PRES. ACEITE: ",BDEGENER[[#This Row],[PRESION DE ACEITE]])</f>
        <v>HORAS: 2408,6
KW-HR: 57015,4
VOLT.BATERIA: 13.7 V
TEMPERATURA: 194 °F
PRES. ACEITE: 57 PSI</v>
      </c>
      <c r="AV230" s="683">
        <f>COUNTIFS(Q230:Q2230,"MANTENIMIENTO CORRECTIVO",Y230:Y2230,BDEGENER[[#This Row],[SERIE]])</f>
        <v>4</v>
      </c>
      <c r="AW230" s="683">
        <f>COUNTIFS(Q230:Q2230,"MANTENIMIENTO PREVENTIVO",Y230:Y2230,BDEGENER[[#This Row],[SERIE]])</f>
        <v>8</v>
      </c>
      <c r="AX23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230" s="683">
        <f>COUNTIFS(BDEGENER[SERIE],BDEGENER[[#This Row],[SERIE]],BDEGENER[TIPO DE SERVICIO],"MANTENIMIENTO PREVENTIVO")</f>
        <v>9</v>
      </c>
      <c r="AZ230" s="683" t="str">
        <f>CONCATENATE("MANTENIMIENTO PREVENTIVO N°",BDEGENER[[#This Row],[GA1]])</f>
        <v>MANTENIMIENTO PREVENTIVO N°9</v>
      </c>
      <c r="BA230" s="683" t="str">
        <f>IF(BDEGENER[[#This Row],[SERVICIO]]=BDEGENER[[#This Row],[GA2]],BDEGENER[[#This Row],[HORAS]],"0")</f>
        <v>0</v>
      </c>
      <c r="BB230" s="683">
        <f>SUMIF(BDEGENER[SERIE],BDEGENER[[#This Row],[SERIE]],BDEGENER[GA3])</f>
        <v>2922.3</v>
      </c>
      <c r="BC230" s="683" t="str">
        <f>CONCATENATE("MANT",COUNTIF($Y$7:Y230,Y230))</f>
        <v>MANT3</v>
      </c>
      <c r="BD230" s="683" t="str">
        <f>CONCATENATE(BDEGENER[[#This Row],[SERIE]],BDEGENER[[#This Row],[GA5]])</f>
        <v>3004336197MANT3</v>
      </c>
      <c r="BE230" s="683" t="str">
        <f>CONCATENATE(BDEGENER[[#This Row],[CODIGO PATRIMONIAL]],BDEGENER[[#This Row],[GA5]])</f>
        <v>MANT3</v>
      </c>
      <c r="BF230" s="683">
        <f>COUNTIF(BDEGENER[SERIE],BDEGENER[[#This Row],[SERIE]])</f>
        <v>17</v>
      </c>
      <c r="BG230" s="683" t="str">
        <f>CONCATENATE("F",COUNTIF($K$7:K230,K230))</f>
        <v>F1</v>
      </c>
      <c r="BH230" s="683" t="str">
        <f>CONCATENATE(BDEGENER[[#This Row],[FECHA DE SERVICIO]],BDEGENER[[#This Row],[N° DE REGISTROS DEL DIA]])</f>
        <v>44077F1</v>
      </c>
      <c r="BI230" s="684">
        <v>57015.4</v>
      </c>
      <c r="BJ230" s="683" t="s">
        <v>1544</v>
      </c>
      <c r="BK230" s="762"/>
    </row>
    <row r="231" spans="2:63" ht="69" hidden="1" x14ac:dyDescent="0.3">
      <c r="B231" s="2"/>
      <c r="C231" s="2"/>
      <c r="D231" s="2"/>
      <c r="E231" s="2"/>
      <c r="F231" s="2"/>
      <c r="G231" s="2"/>
      <c r="H231" s="2"/>
      <c r="I231" s="2"/>
      <c r="J231" s="685"/>
      <c r="K231" s="682">
        <v>44077</v>
      </c>
      <c r="L231" s="683" t="s">
        <v>181</v>
      </c>
      <c r="M231" s="683" t="s">
        <v>184</v>
      </c>
      <c r="N231" s="683" t="s">
        <v>183</v>
      </c>
      <c r="O231" s="683">
        <v>4500925048</v>
      </c>
      <c r="P231" s="683" t="s">
        <v>3219</v>
      </c>
      <c r="Q231" s="683" t="s">
        <v>37</v>
      </c>
      <c r="R231" s="683" t="s">
        <v>1782</v>
      </c>
      <c r="S231" s="686" t="s">
        <v>3226</v>
      </c>
      <c r="T231" s="683" t="s">
        <v>3310</v>
      </c>
      <c r="U231" s="683" t="s">
        <v>3220</v>
      </c>
      <c r="V231" s="683" t="s">
        <v>146</v>
      </c>
      <c r="W231" s="683" t="s">
        <v>914</v>
      </c>
      <c r="X231" s="691" t="s">
        <v>918</v>
      </c>
      <c r="Y231" s="687">
        <v>3004416580</v>
      </c>
      <c r="Z231" s="692"/>
      <c r="AA231" s="683" t="s">
        <v>33</v>
      </c>
      <c r="AB231" s="683" t="s">
        <v>34</v>
      </c>
      <c r="AC231" s="683" t="s">
        <v>230</v>
      </c>
      <c r="AD231" s="683" t="s">
        <v>1110</v>
      </c>
      <c r="AE231" s="683">
        <v>60</v>
      </c>
      <c r="AF231" s="684">
        <v>2865.4</v>
      </c>
      <c r="AG231" s="683" t="s">
        <v>243</v>
      </c>
      <c r="AH231" s="683" t="s">
        <v>220</v>
      </c>
      <c r="AI231" s="683" t="s">
        <v>33</v>
      </c>
      <c r="AJ231" s="683">
        <v>3004426061</v>
      </c>
      <c r="AK231" s="683" t="s">
        <v>33</v>
      </c>
      <c r="AL231" s="683">
        <v>107746810</v>
      </c>
      <c r="AM231" s="683" t="s">
        <v>1377</v>
      </c>
      <c r="AN231" s="683" t="s">
        <v>1122</v>
      </c>
      <c r="AO231" s="683" t="s">
        <v>1144</v>
      </c>
      <c r="AP231" s="683" t="s">
        <v>240</v>
      </c>
      <c r="AQ231" s="688" t="str">
        <f>CONCATENATE("REG-",BDEGENER[[#This Row],[FECHA DE SERVICIO]],"-",BDEGENER[[#This Row],[SERIE]],"-",BDEGENER[[#This Row],[HORAS]])</f>
        <v>REG-44077-3004416580-2865,4</v>
      </c>
      <c r="AR231" s="683" t="str">
        <f>CONCATENATE("MARCA: ",BDEGENER[[#This Row],[MARCA]],"
 MODELO: ",BDEGENER[[#This Row],[MODELO]])</f>
        <v>MARCA: GENERAC
 MODELO: PG090</v>
      </c>
      <c r="AS231" s="683" t="str">
        <f>CONCATENATE("MARCA: ",BDEGENER[[#This Row],[MARCA DE MOTOR]],"
SERIE: ",BDEGENER[[#This Row],[SERIE DE MOTOR]])</f>
        <v>MARCA: GENERAC
SERIE: 3004426061</v>
      </c>
      <c r="AT231" s="683" t="str">
        <f>CONCATENATE("MARCA: ",BDEGENER[[#This Row],[MARCA ALTERNADOR ]],"
SERIE: ",BDEGENER[[#This Row],[SERIE DE ALTERNADOR]])</f>
        <v>MARCA: GENERAC
SERIE: 107746810</v>
      </c>
      <c r="AU231" s="683" t="str">
        <f>CONCATENATE("HORAS: ",BDEGENER[[#This Row],[HORAS]],"
KW-HR: ",BDEGENER[[#This Row],[KW-HORA]],"
VOLT.BATERIA: ",BDEGENER[[#This Row],[VOLTAJE DE BATERIA]],"
TEMPERATURA: ",BDEGENER[[#This Row],[TEMPERATURA DE AGUA]],"
PRES. ACEITE: ",BDEGENER[[#This Row],[PRESION DE ACEITE]])</f>
        <v>HORAS: 2865,4
KW-HR: 32160,3
VOLT.BATERIA: 13.8 V
TEMPERATURA: 195 °F
PRES. ACEITE: 59 PSI</v>
      </c>
      <c r="AV231" s="683">
        <f>COUNTIFS(Q231:Q2231,"MANTENIMIENTO CORRECTIVO",Y231:Y2231,BDEGENER[[#This Row],[SERIE]])</f>
        <v>2</v>
      </c>
      <c r="AW231" s="683">
        <f>COUNTIFS(Q231:Q2231,"MANTENIMIENTO PREVENTIVO",Y231:Y2231,BDEGENER[[#This Row],[SERIE]])</f>
        <v>7</v>
      </c>
      <c r="AX23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31" s="683">
        <f>COUNTIFS(BDEGENER[SERIE],BDEGENER[[#This Row],[SERIE]],BDEGENER[TIPO DE SERVICIO],"MANTENIMIENTO PREVENTIVO")</f>
        <v>8</v>
      </c>
      <c r="AZ231" s="683" t="str">
        <f>CONCATENATE("MANTENIMIENTO PREVENTIVO N°",BDEGENER[[#This Row],[GA1]])</f>
        <v>MANTENIMIENTO PREVENTIVO N°8</v>
      </c>
      <c r="BA231" s="683" t="str">
        <f>IF(BDEGENER[[#This Row],[SERVICIO]]=BDEGENER[[#This Row],[GA2]],BDEGENER[[#This Row],[HORAS]],"0")</f>
        <v>0</v>
      </c>
      <c r="BB231" s="683">
        <f>SUMIF(BDEGENER[SERIE],BDEGENER[[#This Row],[SERIE]],BDEGENER[GA3])</f>
        <v>3113.9</v>
      </c>
      <c r="BC231" s="683" t="str">
        <f>CONCATENATE("MANT",COUNTIF($Y$7:Y231,Y231))</f>
        <v>MANT3</v>
      </c>
      <c r="BD231" s="683" t="str">
        <f>CONCATENATE(BDEGENER[[#This Row],[SERIE]],BDEGENER[[#This Row],[GA5]])</f>
        <v>3004416580MANT3</v>
      </c>
      <c r="BE231" s="683" t="str">
        <f>CONCATENATE(BDEGENER[[#This Row],[CODIGO PATRIMONIAL]],BDEGENER[[#This Row],[GA5]])</f>
        <v>MANT3</v>
      </c>
      <c r="BF231" s="683">
        <f>COUNTIF(BDEGENER[SERIE],BDEGENER[[#This Row],[SERIE]])</f>
        <v>14</v>
      </c>
      <c r="BG231" s="683" t="str">
        <f>CONCATENATE("F",COUNTIF($K$7:K231,K231))</f>
        <v>F2</v>
      </c>
      <c r="BH231" s="683" t="str">
        <f>CONCATENATE(BDEGENER[[#This Row],[FECHA DE SERVICIO]],BDEGENER[[#This Row],[N° DE REGISTROS DEL DIA]])</f>
        <v>44077F2</v>
      </c>
      <c r="BI231" s="684">
        <v>32160.3</v>
      </c>
      <c r="BJ231" s="683" t="s">
        <v>1544</v>
      </c>
      <c r="BK231" s="762"/>
    </row>
    <row r="232" spans="2:63" ht="69" hidden="1" x14ac:dyDescent="0.3">
      <c r="B232" s="2"/>
      <c r="C232" s="2"/>
      <c r="D232" s="2"/>
      <c r="E232" s="2"/>
      <c r="F232" s="2"/>
      <c r="G232" s="2"/>
      <c r="H232" s="2"/>
      <c r="I232" s="2"/>
      <c r="J232" s="685"/>
      <c r="K232" s="682">
        <v>44076</v>
      </c>
      <c r="L232" s="683" t="s">
        <v>561</v>
      </c>
      <c r="M232" s="683" t="s">
        <v>3201</v>
      </c>
      <c r="N232" s="683" t="s">
        <v>584</v>
      </c>
      <c r="O232" s="683"/>
      <c r="P232" s="688" t="s">
        <v>3202</v>
      </c>
      <c r="Q232" s="683" t="s">
        <v>37</v>
      </c>
      <c r="R232" s="683" t="s">
        <v>1782</v>
      </c>
      <c r="S232" s="686" t="s">
        <v>3203</v>
      </c>
      <c r="T232" s="683" t="s">
        <v>2870</v>
      </c>
      <c r="U232" s="683" t="s">
        <v>3198</v>
      </c>
      <c r="V232" s="683" t="s">
        <v>148</v>
      </c>
      <c r="W232" s="683" t="s">
        <v>913</v>
      </c>
      <c r="X232" s="691" t="s">
        <v>918</v>
      </c>
      <c r="Y232" s="687">
        <v>3003987064</v>
      </c>
      <c r="Z232" s="692" t="s">
        <v>2614</v>
      </c>
      <c r="AA232" s="683" t="s">
        <v>33</v>
      </c>
      <c r="AB232" s="683" t="s">
        <v>217</v>
      </c>
      <c r="AC232" s="683" t="s">
        <v>749</v>
      </c>
      <c r="AD232" s="683" t="s">
        <v>1123</v>
      </c>
      <c r="AE232" s="683">
        <v>60.1</v>
      </c>
      <c r="AF232" s="684">
        <v>4885.8</v>
      </c>
      <c r="AG232" s="683" t="s">
        <v>243</v>
      </c>
      <c r="AH232" s="683" t="s">
        <v>1803</v>
      </c>
      <c r="AI232" s="683" t="s">
        <v>2553</v>
      </c>
      <c r="AJ232" s="683" t="s">
        <v>2824</v>
      </c>
      <c r="AK232" s="683" t="s">
        <v>33</v>
      </c>
      <c r="AL232" s="683">
        <v>20181125</v>
      </c>
      <c r="AM232" s="683" t="s">
        <v>1193</v>
      </c>
      <c r="AN232" s="683"/>
      <c r="AO232" s="683"/>
      <c r="AP232" s="683" t="s">
        <v>240</v>
      </c>
      <c r="AQ232" s="688" t="str">
        <f>CONCATENATE("REG-",BDEGENER[[#This Row],[FECHA DE SERVICIO]],"-",BDEGENER[[#This Row],[SERIE]],"-",BDEGENER[[#This Row],[HORAS]])</f>
        <v>REG-44076-3003987064-4885,8</v>
      </c>
      <c r="AR232" s="683" t="str">
        <f>CONCATENATE("MARCA: ",BDEGENER[[#This Row],[MARCA]],"
 MODELO: ",BDEGENER[[#This Row],[MODELO]])</f>
        <v>MARCA: GENERAC
 MODELO: RG022</v>
      </c>
      <c r="AS232" s="683" t="str">
        <f>CONCATENATE("MARCA: ",BDEGENER[[#This Row],[MARCA DE MOTOR]],"
SERIE: ",BDEGENER[[#This Row],[SERIE DE MOTOR]])</f>
        <v>MARCA: MITSUBISHI
SERIE: 4B6454M/SXJ7539</v>
      </c>
      <c r="AT232" s="683" t="str">
        <f>CONCATENATE("MARCA: ",BDEGENER[[#This Row],[MARCA ALTERNADOR ]],"
SERIE: ",BDEGENER[[#This Row],[SERIE DE ALTERNADOR]])</f>
        <v>MARCA: GENERAC
SERIE: 20181125</v>
      </c>
      <c r="AU232" s="683" t="str">
        <f>CONCATENATE("HORAS: ",BDEGENER[[#This Row],[HORAS]],"
KW-HR: ",BDEGENER[[#This Row],[KW-HORA]],"
VOLT.BATERIA: ",BDEGENER[[#This Row],[VOLTAJE DE BATERIA]],"
TEMPERATURA: ",BDEGENER[[#This Row],[TEMPERATURA DE AGUA]],"
PRES. ACEITE: ",BDEGENER[[#This Row],[PRESION DE ACEITE]])</f>
        <v xml:space="preserve">HORAS: 4885,8
KW-HR: 
VOLT.BATERIA: 13.1 V
TEMPERATURA: 
PRES. ACEITE: </v>
      </c>
      <c r="AV232" s="761">
        <f>COUNTIFS(Q232:Q2232,"MANTENIMIENTO CORRECTIVO",Y232:Y2232,BDEGENER[[#This Row],[SERIE]])</f>
        <v>0</v>
      </c>
      <c r="AW232" s="761">
        <f>COUNTIFS(Q232:Q2232,"MANTENIMIENTO PREVENTIVO",Y232:Y2232,BDEGENER[[#This Row],[SERIE]])</f>
        <v>6</v>
      </c>
      <c r="AX23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32" s="683">
        <f>COUNTIFS(BDEGENER[SERIE],BDEGENER[[#This Row],[SERIE]],BDEGENER[TIPO DE SERVICIO],"MANTENIMIENTO PREVENTIVO")</f>
        <v>11</v>
      </c>
      <c r="AZ232" s="683" t="str">
        <f>CONCATENATE("MANTENIMIENTO PREVENTIVO N°",BDEGENER[[#This Row],[GA1]])</f>
        <v>MANTENIMIENTO PREVENTIVO N°11</v>
      </c>
      <c r="BA232" s="683" t="str">
        <f>IF(BDEGENER[[#This Row],[SERVICIO]]=BDEGENER[[#This Row],[GA2]],BDEGENER[[#This Row],[HORAS]],"0")</f>
        <v>0</v>
      </c>
      <c r="BB232" s="683">
        <f>SUMIF(BDEGENER[SERIE],BDEGENER[[#This Row],[SERIE]],BDEGENER[GA3])</f>
        <v>6420.8</v>
      </c>
      <c r="BC232" s="761" t="str">
        <f>CONCATENATE("MANT",COUNTIF($Y$7:Y232,Y232))</f>
        <v>MANT7</v>
      </c>
      <c r="BD232" s="683" t="str">
        <f>CONCATENATE(BDEGENER[[#This Row],[SERIE]],BDEGENER[[#This Row],[GA5]])</f>
        <v>3003987064MANT7</v>
      </c>
      <c r="BE232" s="683" t="str">
        <f>CONCATENATE(BDEGENER[[#This Row],[CODIGO PATRIMONIAL]],BDEGENER[[#This Row],[GA5]])</f>
        <v>NOR-GEG-0016MANT7</v>
      </c>
      <c r="BF232" s="683">
        <f>COUNTIF(BDEGENER[SERIE],BDEGENER[[#This Row],[SERIE]])</f>
        <v>12</v>
      </c>
      <c r="BG232" s="761" t="str">
        <f>CONCATENATE("F",COUNTIF($K$7:K232,K232))</f>
        <v>F1</v>
      </c>
      <c r="BH232" s="683" t="str">
        <f>CONCATENATE(BDEGENER[[#This Row],[FECHA DE SERVICIO]],BDEGENER[[#This Row],[N° DE REGISTROS DEL DIA]])</f>
        <v>44076F1</v>
      </c>
      <c r="BI232" s="684"/>
      <c r="BJ232" s="683" t="s">
        <v>1544</v>
      </c>
      <c r="BK232" s="762"/>
    </row>
    <row r="233" spans="2:63" ht="69" hidden="1" x14ac:dyDescent="0.3">
      <c r="B233" s="2"/>
      <c r="C233" s="2"/>
      <c r="D233" s="2"/>
      <c r="E233" s="2"/>
      <c r="F233" s="2"/>
      <c r="G233" s="2"/>
      <c r="H233" s="2"/>
      <c r="I233" s="2"/>
      <c r="J233" s="685"/>
      <c r="K233" s="682">
        <v>44076</v>
      </c>
      <c r="L233" s="683" t="s">
        <v>561</v>
      </c>
      <c r="M233" s="683" t="s">
        <v>2451</v>
      </c>
      <c r="N233" s="683" t="s">
        <v>584</v>
      </c>
      <c r="O233" s="683"/>
      <c r="P233" s="688" t="s">
        <v>3197</v>
      </c>
      <c r="Q233" s="683" t="s">
        <v>37</v>
      </c>
      <c r="R233" s="683" t="s">
        <v>1782</v>
      </c>
      <c r="S233" s="686" t="s">
        <v>3199</v>
      </c>
      <c r="T233" s="683" t="s">
        <v>3200</v>
      </c>
      <c r="U233" s="683" t="s">
        <v>3198</v>
      </c>
      <c r="V233" s="683" t="s">
        <v>148</v>
      </c>
      <c r="W233" s="683" t="s">
        <v>913</v>
      </c>
      <c r="X233" s="691" t="s">
        <v>918</v>
      </c>
      <c r="Y233" s="687">
        <v>3003940357</v>
      </c>
      <c r="Z233" s="692" t="s">
        <v>2612</v>
      </c>
      <c r="AA233" s="683" t="s">
        <v>33</v>
      </c>
      <c r="AB233" s="683" t="s">
        <v>217</v>
      </c>
      <c r="AC233" s="683" t="s">
        <v>749</v>
      </c>
      <c r="AD233" s="683" t="s">
        <v>1123</v>
      </c>
      <c r="AE233" s="683">
        <v>60</v>
      </c>
      <c r="AF233" s="684">
        <v>4841.2</v>
      </c>
      <c r="AG233" s="683" t="s">
        <v>243</v>
      </c>
      <c r="AH233" s="683" t="s">
        <v>1803</v>
      </c>
      <c r="AI233" s="683" t="s">
        <v>2553</v>
      </c>
      <c r="AJ233" s="683" t="s">
        <v>2816</v>
      </c>
      <c r="AK233" s="683" t="s">
        <v>33</v>
      </c>
      <c r="AL233" s="683">
        <v>20181104</v>
      </c>
      <c r="AM233" s="683" t="s">
        <v>1196</v>
      </c>
      <c r="AN233" s="683"/>
      <c r="AO233" s="683"/>
      <c r="AP233" s="683" t="s">
        <v>240</v>
      </c>
      <c r="AQ233" s="688" t="str">
        <f>CONCATENATE("REG-",BDEGENER[[#This Row],[FECHA DE SERVICIO]],"-",BDEGENER[[#This Row],[SERIE]],"-",BDEGENER[[#This Row],[HORAS]])</f>
        <v>REG-44076-3003940357-4841,2</v>
      </c>
      <c r="AR233" s="683" t="str">
        <f>CONCATENATE("MARCA: ",BDEGENER[[#This Row],[MARCA]],"
 MODELO: ",BDEGENER[[#This Row],[MODELO]])</f>
        <v>MARCA: GENERAC
 MODELO: RG022</v>
      </c>
      <c r="AS233" s="683" t="str">
        <f>CONCATENATE("MARCA: ",BDEGENER[[#This Row],[MARCA DE MOTOR]],"
SERIE: ",BDEGENER[[#This Row],[SERIE DE MOTOR]])</f>
        <v>MARCA: MITSUBISHI
SERIE: 4G6454M/SXG1014</v>
      </c>
      <c r="AT233" s="683" t="str">
        <f>CONCATENATE("MARCA: ",BDEGENER[[#This Row],[MARCA ALTERNADOR ]],"
SERIE: ",BDEGENER[[#This Row],[SERIE DE ALTERNADOR]])</f>
        <v>MARCA: GENERAC
SERIE: 20181104</v>
      </c>
      <c r="AU233" s="683" t="str">
        <f>CONCATENATE("HORAS: ",BDEGENER[[#This Row],[HORAS]],"
KW-HR: ",BDEGENER[[#This Row],[KW-HORA]],"
VOLT.BATERIA: ",BDEGENER[[#This Row],[VOLTAJE DE BATERIA]],"
TEMPERATURA: ",BDEGENER[[#This Row],[TEMPERATURA DE AGUA]],"
PRES. ACEITE: ",BDEGENER[[#This Row],[PRESION DE ACEITE]])</f>
        <v xml:space="preserve">HORAS: 4841,2
KW-HR: 
VOLT.BATERIA: 13.2 V
TEMPERATURA: 
PRES. ACEITE: </v>
      </c>
      <c r="AV233" s="683">
        <f>COUNTIFS(Q233:Q2233,"MANTENIMIENTO CORRECTIVO",Y233:Y2233,BDEGENER[[#This Row],[SERIE]])</f>
        <v>0</v>
      </c>
      <c r="AW233" s="683">
        <f>COUNTIFS(Q233:Q2233,"MANTENIMIENTO PREVENTIVO",Y233:Y2233,BDEGENER[[#This Row],[SERIE]])</f>
        <v>8</v>
      </c>
      <c r="AX23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233" s="683">
        <f>COUNTIFS(BDEGENER[SERIE],BDEGENER[[#This Row],[SERIE]],BDEGENER[TIPO DE SERVICIO],"MANTENIMIENTO PREVENTIVO")</f>
        <v>12</v>
      </c>
      <c r="AZ233" s="683" t="str">
        <f>CONCATENATE("MANTENIMIENTO PREVENTIVO N°",BDEGENER[[#This Row],[GA1]])</f>
        <v>MANTENIMIENTO PREVENTIVO N°12</v>
      </c>
      <c r="BA233" s="683" t="str">
        <f>IF(BDEGENER[[#This Row],[SERVICIO]]=BDEGENER[[#This Row],[GA2]],BDEGENER[[#This Row],[HORAS]],"0")</f>
        <v>0</v>
      </c>
      <c r="BB233" s="683">
        <f>SUMIF(BDEGENER[SERIE],BDEGENER[[#This Row],[SERIE]],BDEGENER[GA3])</f>
        <v>6263.3</v>
      </c>
      <c r="BC233" s="683" t="str">
        <f>CONCATENATE("MANT",COUNTIF($Y$7:Y233,Y233))</f>
        <v>MANT8</v>
      </c>
      <c r="BD233" s="683" t="str">
        <f>CONCATENATE(BDEGENER[[#This Row],[SERIE]],BDEGENER[[#This Row],[GA5]])</f>
        <v>3003940357MANT8</v>
      </c>
      <c r="BE233" s="683" t="str">
        <f>CONCATENATE(BDEGENER[[#This Row],[CODIGO PATRIMONIAL]],BDEGENER[[#This Row],[GA5]])</f>
        <v>NOR-GEG-0014MANT8</v>
      </c>
      <c r="BF233" s="683">
        <f>COUNTIF(BDEGENER[SERIE],BDEGENER[[#This Row],[SERIE]])</f>
        <v>16</v>
      </c>
      <c r="BG233" s="683" t="str">
        <f>CONCATENATE("F",COUNTIF($K$7:K233,K233))</f>
        <v>F2</v>
      </c>
      <c r="BH233" s="683" t="str">
        <f>CONCATENATE(BDEGENER[[#This Row],[FECHA DE SERVICIO]],BDEGENER[[#This Row],[N° DE REGISTROS DEL DIA]])</f>
        <v>44076F2</v>
      </c>
      <c r="BI233" s="684"/>
      <c r="BJ233" s="683" t="s">
        <v>1544</v>
      </c>
      <c r="BK233" s="762"/>
    </row>
    <row r="234" spans="2:63" ht="69" hidden="1" x14ac:dyDescent="0.3">
      <c r="B234" s="2"/>
      <c r="C234" s="2"/>
      <c r="D234" s="2"/>
      <c r="E234" s="2"/>
      <c r="F234" s="2"/>
      <c r="G234" s="2"/>
      <c r="H234" s="2"/>
      <c r="I234" s="2"/>
      <c r="J234" s="685"/>
      <c r="K234" s="682">
        <v>44076</v>
      </c>
      <c r="L234" s="683" t="s">
        <v>561</v>
      </c>
      <c r="M234" s="683" t="s">
        <v>2453</v>
      </c>
      <c r="N234" s="683" t="s">
        <v>584</v>
      </c>
      <c r="O234" s="683"/>
      <c r="P234" s="688" t="s">
        <v>3193</v>
      </c>
      <c r="Q234" s="683" t="s">
        <v>37</v>
      </c>
      <c r="R234" s="683" t="s">
        <v>1782</v>
      </c>
      <c r="S234" s="686" t="s">
        <v>3195</v>
      </c>
      <c r="T234" s="683" t="s">
        <v>3196</v>
      </c>
      <c r="U234" s="683" t="s">
        <v>3194</v>
      </c>
      <c r="V234" s="683" t="s">
        <v>148</v>
      </c>
      <c r="W234" s="683" t="s">
        <v>914</v>
      </c>
      <c r="X234" s="691" t="s">
        <v>918</v>
      </c>
      <c r="Y234" s="687">
        <v>3003566703</v>
      </c>
      <c r="Z234" s="692" t="s">
        <v>2615</v>
      </c>
      <c r="AA234" s="683" t="s">
        <v>33</v>
      </c>
      <c r="AB234" s="683" t="s">
        <v>34</v>
      </c>
      <c r="AC234" s="683" t="s">
        <v>230</v>
      </c>
      <c r="AD234" s="683" t="s">
        <v>1123</v>
      </c>
      <c r="AE234" s="683">
        <v>60</v>
      </c>
      <c r="AF234" s="684">
        <v>5819.3</v>
      </c>
      <c r="AG234" s="683" t="s">
        <v>243</v>
      </c>
      <c r="AH234" s="683" t="s">
        <v>220</v>
      </c>
      <c r="AI234" s="683" t="s">
        <v>33</v>
      </c>
      <c r="AJ234" s="683">
        <v>3003412041</v>
      </c>
      <c r="AK234" s="683" t="s">
        <v>33</v>
      </c>
      <c r="AL234" s="683">
        <v>811745</v>
      </c>
      <c r="AM234" s="683" t="s">
        <v>1196</v>
      </c>
      <c r="AN234" s="683" t="s">
        <v>2309</v>
      </c>
      <c r="AO234" s="683" t="s">
        <v>1144</v>
      </c>
      <c r="AP234" s="683" t="s">
        <v>240</v>
      </c>
      <c r="AQ234" s="688" t="str">
        <f>CONCATENATE("REG-",BDEGENER[[#This Row],[FECHA DE SERVICIO]],"-",BDEGENER[[#This Row],[SERIE]],"-",BDEGENER[[#This Row],[HORAS]])</f>
        <v>REG-44076-3003566703-5819,3</v>
      </c>
      <c r="AR234" s="683" t="str">
        <f>CONCATENATE("MARCA: ",BDEGENER[[#This Row],[MARCA]],"
 MODELO: ",BDEGENER[[#This Row],[MODELO]])</f>
        <v>MARCA: GENERAC
 MODELO: PG090</v>
      </c>
      <c r="AS234" s="683" t="str">
        <f>CONCATENATE("MARCA: ",BDEGENER[[#This Row],[MARCA DE MOTOR]],"
SERIE: ",BDEGENER[[#This Row],[SERIE DE MOTOR]])</f>
        <v>MARCA: GENERAC
SERIE: 3003412041</v>
      </c>
      <c r="AT234" s="683" t="str">
        <f>CONCATENATE("MARCA: ",BDEGENER[[#This Row],[MARCA ALTERNADOR ]],"
SERIE: ",BDEGENER[[#This Row],[SERIE DE ALTERNADOR]])</f>
        <v>MARCA: GENERAC
SERIE: 811745</v>
      </c>
      <c r="AU234" s="683" t="str">
        <f>CONCATENATE("HORAS: ",BDEGENER[[#This Row],[HORAS]],"
KW-HR: ",BDEGENER[[#This Row],[KW-HORA]],"
VOLT.BATERIA: ",BDEGENER[[#This Row],[VOLTAJE DE BATERIA]],"
TEMPERATURA: ",BDEGENER[[#This Row],[TEMPERATURA DE AGUA]],"
PRES. ACEITE: ",BDEGENER[[#This Row],[PRESION DE ACEITE]])</f>
        <v>HORAS: 5819,3
KW-HR: 42579,6
VOLT.BATERIA: 13.2 V
TEMPERATURA: 125 °F
PRES. ACEITE: 59 PSI</v>
      </c>
      <c r="AV234" s="683">
        <f>COUNTIFS(Q234:Q2234,"MANTENIMIENTO CORRECTIVO",Y234:Y2234,BDEGENER[[#This Row],[SERIE]])</f>
        <v>0</v>
      </c>
      <c r="AW234" s="683">
        <f>COUNTIFS(Q234:Q2234,"MANTENIMIENTO PREVENTIVO",Y234:Y2234,BDEGENER[[#This Row],[SERIE]])</f>
        <v>6</v>
      </c>
      <c r="AX23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34" s="683">
        <f>COUNTIFS(BDEGENER[SERIE],BDEGENER[[#This Row],[SERIE]],BDEGENER[TIPO DE SERVICIO],"MANTENIMIENTO PREVENTIVO")</f>
        <v>8</v>
      </c>
      <c r="AZ234" s="683" t="str">
        <f>CONCATENATE("MANTENIMIENTO PREVENTIVO N°",BDEGENER[[#This Row],[GA1]])</f>
        <v>MANTENIMIENTO PREVENTIVO N°8</v>
      </c>
      <c r="BA234" s="683" t="str">
        <f>IF(BDEGENER[[#This Row],[SERVICIO]]=BDEGENER[[#This Row],[GA2]],BDEGENER[[#This Row],[HORAS]],"0")</f>
        <v>0</v>
      </c>
      <c r="BB234" s="683">
        <f>SUMIF(BDEGENER[SERIE],BDEGENER[[#This Row],[SERIE]],BDEGENER[GA3])</f>
        <v>6396.5</v>
      </c>
      <c r="BC234" s="683" t="str">
        <f>CONCATENATE("MANT",COUNTIF($Y$7:Y234,Y234))</f>
        <v>MANT5</v>
      </c>
      <c r="BD234" s="683" t="str">
        <f>CONCATENATE(BDEGENER[[#This Row],[SERIE]],BDEGENER[[#This Row],[GA5]])</f>
        <v>3003566703MANT5</v>
      </c>
      <c r="BE234" s="683" t="str">
        <f>CONCATENATE(BDEGENER[[#This Row],[CODIGO PATRIMONIAL]],BDEGENER[[#This Row],[GA5]])</f>
        <v>NOR-GEG-0017MANT5</v>
      </c>
      <c r="BF234" s="683">
        <f>COUNTIF(BDEGENER[SERIE],BDEGENER[[#This Row],[SERIE]])</f>
        <v>11</v>
      </c>
      <c r="BG234" s="683" t="str">
        <f>CONCATENATE("F",COUNTIF($K$7:K234,K234))</f>
        <v>F3</v>
      </c>
      <c r="BH234" s="683" t="str">
        <f>CONCATENATE(BDEGENER[[#This Row],[FECHA DE SERVICIO]],BDEGENER[[#This Row],[N° DE REGISTROS DEL DIA]])</f>
        <v>44076F3</v>
      </c>
      <c r="BI234" s="684">
        <v>42579.6</v>
      </c>
      <c r="BJ234" s="683" t="s">
        <v>1544</v>
      </c>
      <c r="BK234" s="762"/>
    </row>
    <row r="235" spans="2:63" ht="82.8" hidden="1" x14ac:dyDescent="0.3">
      <c r="B235" s="2"/>
      <c r="C235" s="2"/>
      <c r="D235" s="2"/>
      <c r="E235" s="2"/>
      <c r="F235" s="2"/>
      <c r="G235" s="2"/>
      <c r="H235" s="2"/>
      <c r="I235" s="2"/>
      <c r="J235" s="685"/>
      <c r="K235" s="682">
        <v>44076</v>
      </c>
      <c r="L235" s="683" t="s">
        <v>561</v>
      </c>
      <c r="M235" s="683" t="s">
        <v>2452</v>
      </c>
      <c r="N235" s="683" t="s">
        <v>584</v>
      </c>
      <c r="O235" s="683"/>
      <c r="P235" s="688" t="s">
        <v>3189</v>
      </c>
      <c r="Q235" s="683" t="s">
        <v>37</v>
      </c>
      <c r="R235" s="683" t="s">
        <v>1782</v>
      </c>
      <c r="S235" s="686" t="s">
        <v>3191</v>
      </c>
      <c r="T235" s="683" t="s">
        <v>3192</v>
      </c>
      <c r="U235" s="683" t="s">
        <v>3190</v>
      </c>
      <c r="V235" s="683" t="s">
        <v>148</v>
      </c>
      <c r="W235" s="683" t="s">
        <v>914</v>
      </c>
      <c r="X235" s="691" t="s">
        <v>918</v>
      </c>
      <c r="Y235" s="687">
        <v>3003566705</v>
      </c>
      <c r="Z235" s="692" t="s">
        <v>2613</v>
      </c>
      <c r="AA235" s="683" t="s">
        <v>33</v>
      </c>
      <c r="AB235" s="683" t="s">
        <v>34</v>
      </c>
      <c r="AC235" s="683" t="s">
        <v>230</v>
      </c>
      <c r="AD235" s="683" t="s">
        <v>1123</v>
      </c>
      <c r="AE235" s="683">
        <v>60</v>
      </c>
      <c r="AF235" s="684">
        <v>6247.9</v>
      </c>
      <c r="AG235" s="683" t="s">
        <v>243</v>
      </c>
      <c r="AH235" s="683" t="s">
        <v>220</v>
      </c>
      <c r="AI235" s="683" t="s">
        <v>33</v>
      </c>
      <c r="AJ235" s="683">
        <v>3003388541</v>
      </c>
      <c r="AK235" s="683" t="s">
        <v>33</v>
      </c>
      <c r="AL235" s="683"/>
      <c r="AM235" s="683" t="s">
        <v>1377</v>
      </c>
      <c r="AN235" s="683" t="s">
        <v>1988</v>
      </c>
      <c r="AO235" s="683" t="s">
        <v>1349</v>
      </c>
      <c r="AP235" s="683" t="s">
        <v>240</v>
      </c>
      <c r="AQ235" s="688" t="str">
        <f>CONCATENATE("REG-",BDEGENER[[#This Row],[FECHA DE SERVICIO]],"-",BDEGENER[[#This Row],[SERIE]],"-",BDEGENER[[#This Row],[HORAS]])</f>
        <v>REG-44076-3003566705-6247,9</v>
      </c>
      <c r="AR235" s="683" t="str">
        <f>CONCATENATE("MARCA: ",BDEGENER[[#This Row],[MARCA]],"
 MODELO: ",BDEGENER[[#This Row],[MODELO]])</f>
        <v>MARCA: GENERAC
 MODELO: PG090</v>
      </c>
      <c r="AS235" s="683" t="str">
        <f>CONCATENATE("MARCA: ",BDEGENER[[#This Row],[MARCA DE MOTOR]],"
SERIE: ",BDEGENER[[#This Row],[SERIE DE MOTOR]])</f>
        <v>MARCA: GENERAC
SERIE: 3003388541</v>
      </c>
      <c r="AT235" s="683" t="str">
        <f>CONCATENATE("MARCA: ",BDEGENER[[#This Row],[MARCA ALTERNADOR ]],"
SERIE: ",BDEGENER[[#This Row],[SERIE DE ALTERNADOR]])</f>
        <v xml:space="preserve">MARCA: GENERAC
SERIE: </v>
      </c>
      <c r="AU235" s="683" t="str">
        <f>CONCATENATE("HORAS: ",BDEGENER[[#This Row],[HORAS]],"
KW-HR: ",BDEGENER[[#This Row],[KW-HORA]],"
VOLT.BATERIA: ",BDEGENER[[#This Row],[VOLTAJE DE BATERIA]],"
TEMPERATURA: ",BDEGENER[[#This Row],[TEMPERATURA DE AGUA]],"
PRES. ACEITE: ",BDEGENER[[#This Row],[PRESION DE ACEITE]])</f>
        <v>HORAS: 6247,9
KW-HR: 81447,3
VOLT.BATERIA: 13.8 V
TEMPERATURA: 150 °F
PRES. ACEITE: 56 PSI</v>
      </c>
      <c r="AV235" s="761">
        <f>COUNTIFS(Q235:Q2235,"MANTENIMIENTO CORRECTIVO",Y235:Y2235,BDEGENER[[#This Row],[SERIE]])</f>
        <v>0</v>
      </c>
      <c r="AW235" s="761">
        <f>COUNTIFS(Q235:Q2235,"MANTENIMIENTO PREVENTIVO",Y235:Y2235,BDEGENER[[#This Row],[SERIE]])</f>
        <v>6</v>
      </c>
      <c r="AX23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35" s="683">
        <f>COUNTIFS(BDEGENER[SERIE],BDEGENER[[#This Row],[SERIE]],BDEGENER[TIPO DE SERVICIO],"MANTENIMIENTO PREVENTIVO")</f>
        <v>6</v>
      </c>
      <c r="AZ235" s="683" t="str">
        <f>CONCATENATE("MANTENIMIENTO PREVENTIVO N°",BDEGENER[[#This Row],[GA1]])</f>
        <v>MANTENIMIENTO PREVENTIVO N°6</v>
      </c>
      <c r="BA235" s="683">
        <f>IF(BDEGENER[[#This Row],[SERVICIO]]=BDEGENER[[#This Row],[GA2]],BDEGENER[[#This Row],[HORAS]],"0")</f>
        <v>6247.9</v>
      </c>
      <c r="BB235" s="683">
        <f>SUMIF(BDEGENER[SERIE],BDEGENER[[#This Row],[SERIE]],BDEGENER[GA3])</f>
        <v>6247.9</v>
      </c>
      <c r="BC235" s="761" t="str">
        <f>CONCATENATE("MANT",COUNTIF($Y$7:Y235,Y235))</f>
        <v>MANT2</v>
      </c>
      <c r="BD235" s="683" t="str">
        <f>CONCATENATE(BDEGENER[[#This Row],[SERIE]],BDEGENER[[#This Row],[GA5]])</f>
        <v>3003566705MANT2</v>
      </c>
      <c r="BE235" s="683" t="str">
        <f>CONCATENATE(BDEGENER[[#This Row],[CODIGO PATRIMONIAL]],BDEGENER[[#This Row],[GA5]])</f>
        <v>NOR-GEG-0015MANT2</v>
      </c>
      <c r="BF235" s="683">
        <f>COUNTIF(BDEGENER[SERIE],BDEGENER[[#This Row],[SERIE]])</f>
        <v>8</v>
      </c>
      <c r="BG235" s="761" t="str">
        <f>CONCATENATE("F",COUNTIF($K$7:K235,K235))</f>
        <v>F4</v>
      </c>
      <c r="BH235" s="683" t="str">
        <f>CONCATENATE(BDEGENER[[#This Row],[FECHA DE SERVICIO]],BDEGENER[[#This Row],[N° DE REGISTROS DEL DIA]])</f>
        <v>44076F4</v>
      </c>
      <c r="BI235" s="684">
        <v>81447.3</v>
      </c>
      <c r="BJ235" s="683" t="s">
        <v>1544</v>
      </c>
      <c r="BK235" s="762" t="s">
        <v>2409</v>
      </c>
    </row>
    <row r="236" spans="2:63" ht="69" hidden="1" x14ac:dyDescent="0.3">
      <c r="B236" s="2"/>
      <c r="C236" s="2"/>
      <c r="D236" s="2"/>
      <c r="E236" s="2"/>
      <c r="F236" s="2"/>
      <c r="G236" s="2"/>
      <c r="H236" s="2"/>
      <c r="I236" s="2"/>
      <c r="J236" s="685"/>
      <c r="K236" s="682">
        <v>44075</v>
      </c>
      <c r="L236" s="683" t="s">
        <v>181</v>
      </c>
      <c r="M236" s="683" t="s">
        <v>184</v>
      </c>
      <c r="N236" s="683" t="s">
        <v>183</v>
      </c>
      <c r="O236" s="683">
        <v>4500873022</v>
      </c>
      <c r="P236" s="683" t="s">
        <v>3135</v>
      </c>
      <c r="Q236" s="683" t="s">
        <v>37</v>
      </c>
      <c r="R236" s="683" t="s">
        <v>1782</v>
      </c>
      <c r="S236" s="686" t="s">
        <v>3136</v>
      </c>
      <c r="T236" s="683" t="s">
        <v>3137</v>
      </c>
      <c r="U236" s="683" t="s">
        <v>2404</v>
      </c>
      <c r="V236" s="683" t="s">
        <v>146</v>
      </c>
      <c r="W236" s="683" t="s">
        <v>914</v>
      </c>
      <c r="X236" s="691" t="s">
        <v>918</v>
      </c>
      <c r="Y236" s="687">
        <v>3004402508</v>
      </c>
      <c r="Z236" s="692"/>
      <c r="AA236" s="683" t="s">
        <v>33</v>
      </c>
      <c r="AB236" s="683" t="s">
        <v>34</v>
      </c>
      <c r="AC236" s="683" t="s">
        <v>230</v>
      </c>
      <c r="AD236" s="683" t="s">
        <v>1110</v>
      </c>
      <c r="AE236" s="683">
        <v>60</v>
      </c>
      <c r="AF236" s="684">
        <v>1914.6</v>
      </c>
      <c r="AG236" s="683" t="s">
        <v>243</v>
      </c>
      <c r="AH236" s="683" t="s">
        <v>220</v>
      </c>
      <c r="AI236" s="683" t="s">
        <v>33</v>
      </c>
      <c r="AJ236" s="683">
        <v>3004425773</v>
      </c>
      <c r="AK236" s="683" t="s">
        <v>33</v>
      </c>
      <c r="AL236" s="683">
        <v>106310050</v>
      </c>
      <c r="AM236" s="683" t="s">
        <v>245</v>
      </c>
      <c r="AN236" s="683" t="s">
        <v>1143</v>
      </c>
      <c r="AO236" s="683" t="s">
        <v>1318</v>
      </c>
      <c r="AP236" s="683" t="s">
        <v>240</v>
      </c>
      <c r="AQ236" s="688" t="str">
        <f>CONCATENATE("REG-",BDEGENER[[#This Row],[FECHA DE SERVICIO]],"-",BDEGENER[[#This Row],[SERIE]],"-",BDEGENER[[#This Row],[HORAS]])</f>
        <v>REG-44075-3004402508-1914,6</v>
      </c>
      <c r="AR236" s="683" t="str">
        <f>CONCATENATE("MARCA: ",BDEGENER[[#This Row],[MARCA]],"
 MODELO: ",BDEGENER[[#This Row],[MODELO]])</f>
        <v>MARCA: GENERAC
 MODELO: PG090</v>
      </c>
      <c r="AS236" s="683" t="str">
        <f>CONCATENATE("MARCA: ",BDEGENER[[#This Row],[MARCA DE MOTOR]],"
SERIE: ",BDEGENER[[#This Row],[SERIE DE MOTOR]])</f>
        <v>MARCA: GENERAC
SERIE: 3004425773</v>
      </c>
      <c r="AT236" s="683" t="str">
        <f>CONCATENATE("MARCA: ",BDEGENER[[#This Row],[MARCA ALTERNADOR ]],"
SERIE: ",BDEGENER[[#This Row],[SERIE DE ALTERNADOR]])</f>
        <v>MARCA: GENERAC
SERIE: 106310050</v>
      </c>
      <c r="AU236" s="683" t="str">
        <f>CONCATENATE("HORAS: ",BDEGENER[[#This Row],[HORAS]],"
KW-HR: ",BDEGENER[[#This Row],[KW-HORA]],"
VOLT.BATERIA: ",BDEGENER[[#This Row],[VOLTAJE DE BATERIA]],"
TEMPERATURA: ",BDEGENER[[#This Row],[TEMPERATURA DE AGUA]],"
PRES. ACEITE: ",BDEGENER[[#This Row],[PRESION DE ACEITE]])</f>
        <v>HORAS: 1914,6
KW-HR: 25809,5
VOLT.BATERIA: 13.6 V
TEMPERATURA: 197 °F
PRES. ACEITE: 58 PSI</v>
      </c>
      <c r="AV236" s="683">
        <f>COUNTIFS(Q236:Q2236,"MANTENIMIENTO CORRECTIVO",Y236:Y2236,BDEGENER[[#This Row],[SERIE]])</f>
        <v>3</v>
      </c>
      <c r="AW236" s="683">
        <f>COUNTIFS(Q236:Q2236,"MANTENIMIENTO PREVENTIVO",Y236:Y2236,BDEGENER[[#This Row],[SERIE]])</f>
        <v>7</v>
      </c>
      <c r="AX23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36" s="683">
        <f>COUNTIFS(BDEGENER[SERIE],BDEGENER[[#This Row],[SERIE]],BDEGENER[TIPO DE SERVICIO],"MANTENIMIENTO PREVENTIVO")</f>
        <v>8</v>
      </c>
      <c r="AZ236" s="683" t="str">
        <f>CONCATENATE("MANTENIMIENTO PREVENTIVO N°",BDEGENER[[#This Row],[GA1]])</f>
        <v>MANTENIMIENTO PREVENTIVO N°8</v>
      </c>
      <c r="BA236" s="683" t="str">
        <f>IF(BDEGENER[[#This Row],[SERVICIO]]=BDEGENER[[#This Row],[GA2]],BDEGENER[[#This Row],[HORAS]],"0")</f>
        <v>0</v>
      </c>
      <c r="BB236" s="683">
        <f>SUMIF(BDEGENER[SERIE],BDEGENER[[#This Row],[SERIE]],BDEGENER[GA3])</f>
        <v>2186.3000000000002</v>
      </c>
      <c r="BC236" s="683" t="str">
        <f>CONCATENATE("MANT",COUNTIF($Y$7:Y236,Y236))</f>
        <v>MANT3</v>
      </c>
      <c r="BD236" s="683" t="str">
        <f>CONCATENATE(BDEGENER[[#This Row],[SERIE]],BDEGENER[[#This Row],[GA5]])</f>
        <v>3004402508MANT3</v>
      </c>
      <c r="BE236" s="683" t="str">
        <f>CONCATENATE(BDEGENER[[#This Row],[CODIGO PATRIMONIAL]],BDEGENER[[#This Row],[GA5]])</f>
        <v>MANT3</v>
      </c>
      <c r="BF236" s="683">
        <f>COUNTIF(BDEGENER[SERIE],BDEGENER[[#This Row],[SERIE]])</f>
        <v>15</v>
      </c>
      <c r="BG236" s="683" t="str">
        <f>CONCATENATE("F",COUNTIF($K$7:K236,K236))</f>
        <v>F1</v>
      </c>
      <c r="BH236" s="683" t="str">
        <f>CONCATENATE(BDEGENER[[#This Row],[FECHA DE SERVICIO]],BDEGENER[[#This Row],[N° DE REGISTROS DEL DIA]])</f>
        <v>44075F1</v>
      </c>
      <c r="BI236" s="684">
        <v>25809.5</v>
      </c>
      <c r="BJ236" s="683" t="s">
        <v>1544</v>
      </c>
      <c r="BK236" s="762"/>
    </row>
    <row r="237" spans="2:63" ht="69" hidden="1" x14ac:dyDescent="0.3">
      <c r="B237" s="2"/>
      <c r="C237" s="2"/>
      <c r="D237" s="2"/>
      <c r="E237" s="2"/>
      <c r="F237" s="2"/>
      <c r="G237" s="2"/>
      <c r="H237" s="2"/>
      <c r="I237" s="2"/>
      <c r="J237" s="685"/>
      <c r="K237" s="682">
        <v>44075</v>
      </c>
      <c r="L237" s="683" t="s">
        <v>561</v>
      </c>
      <c r="M237" s="683" t="s">
        <v>588</v>
      </c>
      <c r="N237" s="683" t="s">
        <v>589</v>
      </c>
      <c r="O237" s="683"/>
      <c r="P237" s="688" t="s">
        <v>3184</v>
      </c>
      <c r="Q237" s="683" t="s">
        <v>37</v>
      </c>
      <c r="R237" s="683" t="s">
        <v>1782</v>
      </c>
      <c r="S237" s="686" t="s">
        <v>3186</v>
      </c>
      <c r="T237" s="683" t="s">
        <v>3187</v>
      </c>
      <c r="U237" s="683" t="s">
        <v>3185</v>
      </c>
      <c r="V237" s="683" t="s">
        <v>148</v>
      </c>
      <c r="W237" s="683" t="s">
        <v>914</v>
      </c>
      <c r="X237" s="691" t="s">
        <v>918</v>
      </c>
      <c r="Y237" s="687">
        <v>3003566699</v>
      </c>
      <c r="Z237" s="692" t="s">
        <v>2619</v>
      </c>
      <c r="AA237" s="683" t="s">
        <v>33</v>
      </c>
      <c r="AB237" s="683" t="s">
        <v>34</v>
      </c>
      <c r="AC237" s="683" t="s">
        <v>230</v>
      </c>
      <c r="AD237" s="683" t="s">
        <v>1123</v>
      </c>
      <c r="AE237" s="683">
        <v>60</v>
      </c>
      <c r="AF237" s="684">
        <v>6614.3</v>
      </c>
      <c r="AG237" s="683" t="s">
        <v>243</v>
      </c>
      <c r="AH237" s="683" t="s">
        <v>244</v>
      </c>
      <c r="AI237" s="683" t="s">
        <v>33</v>
      </c>
      <c r="AJ237" s="683">
        <v>3003412044</v>
      </c>
      <c r="AK237" s="683" t="s">
        <v>33</v>
      </c>
      <c r="AL237" s="683">
        <v>811745</v>
      </c>
      <c r="AM237" s="683" t="s">
        <v>1094</v>
      </c>
      <c r="AN237" s="683" t="s">
        <v>2591</v>
      </c>
      <c r="AO237" s="683" t="s">
        <v>1158</v>
      </c>
      <c r="AP237" s="683" t="s">
        <v>240</v>
      </c>
      <c r="AQ237" s="688" t="str">
        <f>CONCATENATE("REG-",BDEGENER[[#This Row],[FECHA DE SERVICIO]],"-",BDEGENER[[#This Row],[SERIE]],"-",BDEGENER[[#This Row],[HORAS]])</f>
        <v>REG-44075-3003566699-6614,3</v>
      </c>
      <c r="AR237" s="683" t="str">
        <f>CONCATENATE("MARCA: ",BDEGENER[[#This Row],[MARCA]],"
 MODELO: ",BDEGENER[[#This Row],[MODELO]])</f>
        <v>MARCA: GENERAC
 MODELO: PG090</v>
      </c>
      <c r="AS237" s="683" t="str">
        <f>CONCATENATE("MARCA: ",BDEGENER[[#This Row],[MARCA DE MOTOR]],"
SERIE: ",BDEGENER[[#This Row],[SERIE DE MOTOR]])</f>
        <v>MARCA: GENERAC
SERIE: 3003412044</v>
      </c>
      <c r="AT237" s="683" t="str">
        <f>CONCATENATE("MARCA: ",BDEGENER[[#This Row],[MARCA ALTERNADOR ]],"
SERIE: ",BDEGENER[[#This Row],[SERIE DE ALTERNADOR]])</f>
        <v>MARCA: GENERAC
SERIE: 811745</v>
      </c>
      <c r="AU237" s="683" t="str">
        <f>CONCATENATE("HORAS: ",BDEGENER[[#This Row],[HORAS]],"
KW-HR: ",BDEGENER[[#This Row],[KW-HORA]],"
VOLT.BATERIA: ",BDEGENER[[#This Row],[VOLTAJE DE BATERIA]],"
TEMPERATURA: ",BDEGENER[[#This Row],[TEMPERATURA DE AGUA]],"
PRES. ACEITE: ",BDEGENER[[#This Row],[PRESION DE ACEITE]])</f>
        <v>HORAS: 6614,3
KW-HR: 156591,1
VOLT.BATERIA: 13.5 V
TEMPERATURA: 168 °F
PRES. ACEITE: 53 PSI</v>
      </c>
      <c r="AV237" s="683">
        <f>COUNTIFS(Q237:Q2237,"MANTENIMIENTO CORRECTIVO",Y237:Y2237,BDEGENER[[#This Row],[SERIE]])</f>
        <v>4</v>
      </c>
      <c r="AW237" s="683">
        <f>COUNTIFS(Q237:Q2237,"MANTENIMIENTO PREVENTIVO",Y237:Y2237,BDEGENER[[#This Row],[SERIE]])</f>
        <v>7</v>
      </c>
      <c r="AX23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37" s="683">
        <f>COUNTIFS(BDEGENER[SERIE],BDEGENER[[#This Row],[SERIE]],BDEGENER[TIPO DE SERVICIO],"MANTENIMIENTO PREVENTIVO")</f>
        <v>12</v>
      </c>
      <c r="AZ237" s="683" t="str">
        <f>CONCATENATE("MANTENIMIENTO PREVENTIVO N°",BDEGENER[[#This Row],[GA1]])</f>
        <v>MANTENIMIENTO PREVENTIVO N°12</v>
      </c>
      <c r="BA237" s="683" t="str">
        <f>IF(BDEGENER[[#This Row],[SERVICIO]]=BDEGENER[[#This Row],[GA2]],BDEGENER[[#This Row],[HORAS]],"0")</f>
        <v>0</v>
      </c>
      <c r="BB237" s="683">
        <f>SUMIF(BDEGENER[SERIE],BDEGENER[[#This Row],[SERIE]],BDEGENER[GA3])</f>
        <v>8154.7</v>
      </c>
      <c r="BC237" s="683" t="str">
        <f>CONCATENATE("MANT",COUNTIF($Y$7:Y237,Y237))</f>
        <v>MANT6</v>
      </c>
      <c r="BD237" s="683" t="str">
        <f>CONCATENATE(BDEGENER[[#This Row],[SERIE]],BDEGENER[[#This Row],[GA5]])</f>
        <v>3003566699MANT6</v>
      </c>
      <c r="BE237" s="683" t="str">
        <f>CONCATENATE(BDEGENER[[#This Row],[CODIGO PATRIMONIAL]],BDEGENER[[#This Row],[GA5]])</f>
        <v>NOR-GEG-0021MANT6</v>
      </c>
      <c r="BF237" s="683">
        <f>COUNTIF(BDEGENER[SERIE],BDEGENER[[#This Row],[SERIE]])</f>
        <v>17</v>
      </c>
      <c r="BG237" s="683" t="str">
        <f>CONCATENATE("F",COUNTIF($K$7:K237,K237))</f>
        <v>F2</v>
      </c>
      <c r="BH237" s="683" t="str">
        <f>CONCATENATE(BDEGENER[[#This Row],[FECHA DE SERVICIO]],BDEGENER[[#This Row],[N° DE REGISTROS DEL DIA]])</f>
        <v>44075F2</v>
      </c>
      <c r="BI237" s="684">
        <v>156591.1</v>
      </c>
      <c r="BJ237" s="683" t="s">
        <v>1544</v>
      </c>
      <c r="BK237" s="762" t="s">
        <v>3188</v>
      </c>
    </row>
    <row r="238" spans="2:63" ht="69" hidden="1" x14ac:dyDescent="0.3">
      <c r="B238" s="2"/>
      <c r="C238" s="2"/>
      <c r="D238" s="2"/>
      <c r="E238" s="2"/>
      <c r="F238" s="2"/>
      <c r="G238" s="2"/>
      <c r="H238" s="2"/>
      <c r="I238" s="2"/>
      <c r="J238" s="685"/>
      <c r="K238" s="682">
        <v>44075</v>
      </c>
      <c r="L238" s="683" t="s">
        <v>561</v>
      </c>
      <c r="M238" s="683" t="s">
        <v>2592</v>
      </c>
      <c r="N238" s="683" t="s">
        <v>586</v>
      </c>
      <c r="O238" s="683">
        <v>4000029040</v>
      </c>
      <c r="P238" s="683" t="s">
        <v>3180</v>
      </c>
      <c r="Q238" s="683" t="s">
        <v>2021</v>
      </c>
      <c r="R238" s="683" t="s">
        <v>1782</v>
      </c>
      <c r="S238" s="686" t="s">
        <v>3181</v>
      </c>
      <c r="T238" s="683" t="s">
        <v>3183</v>
      </c>
      <c r="U238" s="683" t="s">
        <v>3182</v>
      </c>
      <c r="V238" s="683" t="s">
        <v>148</v>
      </c>
      <c r="W238" s="683" t="s">
        <v>914</v>
      </c>
      <c r="X238" s="691" t="s">
        <v>918</v>
      </c>
      <c r="Y238" s="687">
        <v>3003963150</v>
      </c>
      <c r="Z238" s="692" t="s">
        <v>2618</v>
      </c>
      <c r="AA238" s="683" t="s">
        <v>33</v>
      </c>
      <c r="AB238" s="683" t="s">
        <v>34</v>
      </c>
      <c r="AC238" s="683" t="s">
        <v>230</v>
      </c>
      <c r="AD238" s="683" t="s">
        <v>1123</v>
      </c>
      <c r="AE238" s="683">
        <v>60</v>
      </c>
      <c r="AF238" s="684">
        <v>3937.6</v>
      </c>
      <c r="AG238" s="683" t="s">
        <v>243</v>
      </c>
      <c r="AH238" s="683" t="s">
        <v>220</v>
      </c>
      <c r="AI238" s="683" t="s">
        <v>33</v>
      </c>
      <c r="AJ238" s="683">
        <v>3003966249</v>
      </c>
      <c r="AK238" s="683" t="s">
        <v>33</v>
      </c>
      <c r="AL238" s="683"/>
      <c r="AM238" s="683"/>
      <c r="AN238" s="683"/>
      <c r="AO238" s="683"/>
      <c r="AP238" s="683" t="s">
        <v>240</v>
      </c>
      <c r="AQ238" s="688" t="str">
        <f>CONCATENATE("REG-",BDEGENER[[#This Row],[FECHA DE SERVICIO]],"-",BDEGENER[[#This Row],[SERIE]],"-",BDEGENER[[#This Row],[HORAS]])</f>
        <v>REG-44075-3003963150-3937,6</v>
      </c>
      <c r="AR238" s="683" t="str">
        <f>CONCATENATE("MARCA: ",BDEGENER[[#This Row],[MARCA]],"
 MODELO: ",BDEGENER[[#This Row],[MODELO]])</f>
        <v>MARCA: GENERAC
 MODELO: PG090</v>
      </c>
      <c r="AS238" s="683" t="str">
        <f>CONCATENATE("MARCA: ",BDEGENER[[#This Row],[MARCA DE MOTOR]],"
SERIE: ",BDEGENER[[#This Row],[SERIE DE MOTOR]])</f>
        <v>MARCA: GENERAC
SERIE: 3003966249</v>
      </c>
      <c r="AT238" s="683" t="str">
        <f>CONCATENATE("MARCA: ",BDEGENER[[#This Row],[MARCA ALTERNADOR ]],"
SERIE: ",BDEGENER[[#This Row],[SERIE DE ALTERNADOR]])</f>
        <v xml:space="preserve">MARCA: GENERAC
SERIE: </v>
      </c>
      <c r="AU238" s="683" t="str">
        <f>CONCATENATE("HORAS: ",BDEGENER[[#This Row],[HORAS]],"
KW-HR: ",BDEGENER[[#This Row],[KW-HORA]],"
VOLT.BATERIA: ",BDEGENER[[#This Row],[VOLTAJE DE BATERIA]],"
TEMPERATURA: ",BDEGENER[[#This Row],[TEMPERATURA DE AGUA]],"
PRES. ACEITE: ",BDEGENER[[#This Row],[PRESION DE ACEITE]])</f>
        <v xml:space="preserve">HORAS: 3937,6
KW-HR: 
VOLT.BATERIA: 
TEMPERATURA: 
PRES. ACEITE: </v>
      </c>
      <c r="AV238" s="761">
        <f>COUNTIFS(Q238:Q2238,"MANTENIMIENTO CORRECTIVO",Y238:Y2238,BDEGENER[[#This Row],[SERIE]])</f>
        <v>2</v>
      </c>
      <c r="AW238" s="761">
        <f>COUNTIFS(Q238:Q2238,"MANTENIMIENTO PREVENTIVO",Y238:Y2238,BDEGENER[[#This Row],[SERIE]])</f>
        <v>4</v>
      </c>
      <c r="AX23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238" s="683">
        <f>COUNTIFS(BDEGENER[SERIE],BDEGENER[[#This Row],[SERIE]],BDEGENER[TIPO DE SERVICIO],"MANTENIMIENTO PREVENTIVO")</f>
        <v>7</v>
      </c>
      <c r="AZ238" s="683" t="str">
        <f>CONCATENATE("MANTENIMIENTO PREVENTIVO N°",BDEGENER[[#This Row],[GA1]])</f>
        <v>MANTENIMIENTO PREVENTIVO N°7</v>
      </c>
      <c r="BA238" s="683" t="str">
        <f>IF(BDEGENER[[#This Row],[SERVICIO]]=BDEGENER[[#This Row],[GA2]],BDEGENER[[#This Row],[HORAS]],"0")</f>
        <v>0</v>
      </c>
      <c r="BB238" s="683">
        <f>SUMIF(BDEGENER[SERIE],BDEGENER[[#This Row],[SERIE]],BDEGENER[GA3])</f>
        <v>4620.5</v>
      </c>
      <c r="BC238" s="761" t="str">
        <f>CONCATENATE("MANT",COUNTIF($Y$7:Y238,Y238))</f>
        <v>MANT5</v>
      </c>
      <c r="BD238" s="683" t="str">
        <f>CONCATENATE(BDEGENER[[#This Row],[SERIE]],BDEGENER[[#This Row],[GA5]])</f>
        <v>3003963150MANT5</v>
      </c>
      <c r="BE238" s="683" t="str">
        <f>CONCATENATE(BDEGENER[[#This Row],[CODIGO PATRIMONIAL]],BDEGENER[[#This Row],[GA5]])</f>
        <v>NOR-GEG-0020MANT5</v>
      </c>
      <c r="BF238" s="683">
        <f>COUNTIF(BDEGENER[SERIE],BDEGENER[[#This Row],[SERIE]])</f>
        <v>13</v>
      </c>
      <c r="BG238" s="761" t="str">
        <f>CONCATENATE("F",COUNTIF($K$7:K238,K238))</f>
        <v>F3</v>
      </c>
      <c r="BH238" s="683" t="str">
        <f>CONCATENATE(BDEGENER[[#This Row],[FECHA DE SERVICIO]],BDEGENER[[#This Row],[N° DE REGISTROS DEL DIA]])</f>
        <v>44075F3</v>
      </c>
      <c r="BI238" s="684"/>
      <c r="BJ238" s="683" t="s">
        <v>1544</v>
      </c>
      <c r="BK238" s="762"/>
    </row>
    <row r="239" spans="2:63" ht="69" hidden="1" x14ac:dyDescent="0.3">
      <c r="B239" s="2"/>
      <c r="C239" s="2"/>
      <c r="D239" s="2"/>
      <c r="E239" s="2"/>
      <c r="F239" s="2"/>
      <c r="G239" s="2"/>
      <c r="H239" s="2"/>
      <c r="I239" s="2"/>
      <c r="J239" s="685"/>
      <c r="K239" s="682">
        <v>44075</v>
      </c>
      <c r="L239" s="683" t="s">
        <v>561</v>
      </c>
      <c r="M239" s="683" t="s">
        <v>2558</v>
      </c>
      <c r="N239" s="683" t="s">
        <v>586</v>
      </c>
      <c r="O239" s="683"/>
      <c r="P239" s="688" t="s">
        <v>3176</v>
      </c>
      <c r="Q239" s="683" t="s">
        <v>37</v>
      </c>
      <c r="R239" s="683" t="s">
        <v>1782</v>
      </c>
      <c r="S239" s="686" t="s">
        <v>3177</v>
      </c>
      <c r="T239" s="683" t="s">
        <v>3179</v>
      </c>
      <c r="U239" s="683" t="s">
        <v>3178</v>
      </c>
      <c r="V239" s="683" t="s">
        <v>148</v>
      </c>
      <c r="W239" s="683" t="s">
        <v>914</v>
      </c>
      <c r="X239" s="691" t="s">
        <v>918</v>
      </c>
      <c r="Y239" s="687">
        <v>3003932245</v>
      </c>
      <c r="Z239" s="692" t="s">
        <v>2617</v>
      </c>
      <c r="AA239" s="683" t="s">
        <v>33</v>
      </c>
      <c r="AB239" s="683" t="s">
        <v>34</v>
      </c>
      <c r="AC239" s="683" t="s">
        <v>235</v>
      </c>
      <c r="AD239" s="683" t="s">
        <v>1123</v>
      </c>
      <c r="AE239" s="683">
        <v>60</v>
      </c>
      <c r="AF239" s="684">
        <v>5847</v>
      </c>
      <c r="AG239" s="683" t="s">
        <v>243</v>
      </c>
      <c r="AH239" s="683" t="s">
        <v>220</v>
      </c>
      <c r="AI239" s="683" t="s">
        <v>33</v>
      </c>
      <c r="AJ239" s="683">
        <v>3003963173</v>
      </c>
      <c r="AK239" s="683" t="s">
        <v>33</v>
      </c>
      <c r="AL239" s="683"/>
      <c r="AM239" s="683" t="s">
        <v>1193</v>
      </c>
      <c r="AN239" s="683" t="s">
        <v>1988</v>
      </c>
      <c r="AO239" s="683" t="s">
        <v>1144</v>
      </c>
      <c r="AP239" s="683" t="s">
        <v>240</v>
      </c>
      <c r="AQ239" s="688" t="str">
        <f>CONCATENATE("REG-",BDEGENER[[#This Row],[FECHA DE SERVICIO]],"-",BDEGENER[[#This Row],[SERIE]],"-",BDEGENER[[#This Row],[HORAS]])</f>
        <v>REG-44075-3003932245-5847</v>
      </c>
      <c r="AR239" s="683" t="str">
        <f>CONCATENATE("MARCA: ",BDEGENER[[#This Row],[MARCA]],"
 MODELO: ",BDEGENER[[#This Row],[MODELO]])</f>
        <v>MARCA: GENERAC
 MODELO: PG090</v>
      </c>
      <c r="AS239" s="683" t="str">
        <f>CONCATENATE("MARCA: ",BDEGENER[[#This Row],[MARCA DE MOTOR]],"
SERIE: ",BDEGENER[[#This Row],[SERIE DE MOTOR]])</f>
        <v>MARCA: GENERAC
SERIE: 3003963173</v>
      </c>
      <c r="AT239" s="683" t="str">
        <f>CONCATENATE("MARCA: ",BDEGENER[[#This Row],[MARCA ALTERNADOR ]],"
SERIE: ",BDEGENER[[#This Row],[SERIE DE ALTERNADOR]])</f>
        <v xml:space="preserve">MARCA: GENERAC
SERIE: </v>
      </c>
      <c r="AU239" s="683" t="str">
        <f>CONCATENATE("HORAS: ",BDEGENER[[#This Row],[HORAS]],"
KW-HR: ",BDEGENER[[#This Row],[KW-HORA]],"
VOLT.BATERIA: ",BDEGENER[[#This Row],[VOLTAJE DE BATERIA]],"
TEMPERATURA: ",BDEGENER[[#This Row],[TEMPERATURA DE AGUA]],"
PRES. ACEITE: ",BDEGENER[[#This Row],[PRESION DE ACEITE]])</f>
        <v>HORAS: 5847
KW-HR: 175469,4
VOLT.BATERIA: 13.1 V
TEMPERATURA: 150 °F
PRES. ACEITE: 59 PSI</v>
      </c>
      <c r="AV239" s="683">
        <f>COUNTIFS(Q239:Q2239,"MANTENIMIENTO CORRECTIVO",Y239:Y2239,BDEGENER[[#This Row],[SERIE]])</f>
        <v>0</v>
      </c>
      <c r="AW239" s="683">
        <f>COUNTIFS(Q239:Q2239,"MANTENIMIENTO PREVENTIVO",Y239:Y2239,BDEGENER[[#This Row],[SERIE]])</f>
        <v>6</v>
      </c>
      <c r="AX23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39" s="683">
        <f>COUNTIFS(BDEGENER[SERIE],BDEGENER[[#This Row],[SERIE]],BDEGENER[TIPO DE SERVICIO],"MANTENIMIENTO PREVENTIVO")</f>
        <v>9</v>
      </c>
      <c r="AZ239" s="683" t="str">
        <f>CONCATENATE("MANTENIMIENTO PREVENTIVO N°",BDEGENER[[#This Row],[GA1]])</f>
        <v>MANTENIMIENTO PREVENTIVO N°9</v>
      </c>
      <c r="BA239" s="683" t="str">
        <f>IF(BDEGENER[[#This Row],[SERVICIO]]=BDEGENER[[#This Row],[GA2]],BDEGENER[[#This Row],[HORAS]],"0")</f>
        <v>0</v>
      </c>
      <c r="BB239" s="683">
        <f>SUMIF(BDEGENER[SERIE],BDEGENER[[#This Row],[SERIE]],BDEGENER[GA3])</f>
        <v>6582.8</v>
      </c>
      <c r="BC239" s="683" t="str">
        <f>CONCATENATE("MANT",COUNTIF($Y$7:Y239,Y239))</f>
        <v>MANT5</v>
      </c>
      <c r="BD239" s="683" t="str">
        <f>CONCATENATE(BDEGENER[[#This Row],[SERIE]],BDEGENER[[#This Row],[GA5]])</f>
        <v>3003932245MANT5</v>
      </c>
      <c r="BE239" s="683" t="str">
        <f>CONCATENATE(BDEGENER[[#This Row],[CODIGO PATRIMONIAL]],BDEGENER[[#This Row],[GA5]])</f>
        <v>NOR-GEG-0019MANT5</v>
      </c>
      <c r="BF239" s="683">
        <f>COUNTIF(BDEGENER[SERIE],BDEGENER[[#This Row],[SERIE]])</f>
        <v>10</v>
      </c>
      <c r="BG239" s="683" t="str">
        <f>CONCATENATE("F",COUNTIF($K$7:K239,K239))</f>
        <v>F4</v>
      </c>
      <c r="BH239" s="683" t="str">
        <f>CONCATENATE(BDEGENER[[#This Row],[FECHA DE SERVICIO]],BDEGENER[[#This Row],[N° DE REGISTROS DEL DIA]])</f>
        <v>44075F4</v>
      </c>
      <c r="BI239" s="684">
        <v>175469.4</v>
      </c>
      <c r="BJ239" s="683" t="s">
        <v>1544</v>
      </c>
      <c r="BK239" s="762" t="s">
        <v>1968</v>
      </c>
    </row>
    <row r="240" spans="2:63" ht="69" hidden="1" x14ac:dyDescent="0.3">
      <c r="B240" s="2"/>
      <c r="C240" s="2"/>
      <c r="D240" s="2"/>
      <c r="E240" s="2"/>
      <c r="F240" s="2"/>
      <c r="G240" s="2"/>
      <c r="H240" s="2"/>
      <c r="I240" s="2"/>
      <c r="J240" s="685"/>
      <c r="K240" s="682">
        <v>44075</v>
      </c>
      <c r="L240" s="683" t="s">
        <v>181</v>
      </c>
      <c r="M240" s="683" t="s">
        <v>184</v>
      </c>
      <c r="N240" s="683" t="s">
        <v>183</v>
      </c>
      <c r="O240" s="683"/>
      <c r="P240" s="683"/>
      <c r="Q240" s="683" t="s">
        <v>2037</v>
      </c>
      <c r="R240" s="683" t="s">
        <v>1782</v>
      </c>
      <c r="S240" s="686" t="s">
        <v>3140</v>
      </c>
      <c r="T240" s="683" t="s">
        <v>2546</v>
      </c>
      <c r="U240" s="683" t="s">
        <v>3141</v>
      </c>
      <c r="V240" s="683" t="s">
        <v>146</v>
      </c>
      <c r="W240" s="683" t="s">
        <v>914</v>
      </c>
      <c r="X240" s="691" t="s">
        <v>918</v>
      </c>
      <c r="Y240" s="687">
        <v>3004336197</v>
      </c>
      <c r="Z240" s="692"/>
      <c r="AA240" s="683" t="s">
        <v>33</v>
      </c>
      <c r="AB240" s="683" t="s">
        <v>34</v>
      </c>
      <c r="AC240" s="683" t="s">
        <v>230</v>
      </c>
      <c r="AD240" s="683" t="s">
        <v>1110</v>
      </c>
      <c r="AE240" s="683">
        <v>60</v>
      </c>
      <c r="AF240" s="684">
        <v>2408.3000000000002</v>
      </c>
      <c r="AG240" s="683" t="s">
        <v>243</v>
      </c>
      <c r="AH240" s="683" t="s">
        <v>220</v>
      </c>
      <c r="AI240" s="683" t="s">
        <v>33</v>
      </c>
      <c r="AJ240" s="683">
        <v>3004309062</v>
      </c>
      <c r="AK240" s="683" t="s">
        <v>33</v>
      </c>
      <c r="AL240" s="683">
        <v>10650720</v>
      </c>
      <c r="AM240" s="683"/>
      <c r="AN240" s="683"/>
      <c r="AO240" s="683"/>
      <c r="AP240" s="683" t="s">
        <v>240</v>
      </c>
      <c r="AQ240" s="688" t="str">
        <f>CONCATENATE("REG-",BDEGENER[[#This Row],[FECHA DE SERVICIO]],"-",BDEGENER[[#This Row],[SERIE]],"-",BDEGENER[[#This Row],[HORAS]])</f>
        <v>REG-44075-3004336197-2408,3</v>
      </c>
      <c r="AR240" s="683" t="str">
        <f>CONCATENATE("MARCA: ",BDEGENER[[#This Row],[MARCA]],"
 MODELO: ",BDEGENER[[#This Row],[MODELO]])</f>
        <v>MARCA: GENERAC
 MODELO: PG090</v>
      </c>
      <c r="AS240" s="683" t="str">
        <f>CONCATENATE("MARCA: ",BDEGENER[[#This Row],[MARCA DE MOTOR]],"
SERIE: ",BDEGENER[[#This Row],[SERIE DE MOTOR]])</f>
        <v>MARCA: GENERAC
SERIE: 3004309062</v>
      </c>
      <c r="AT240" s="683" t="str">
        <f>CONCATENATE("MARCA: ",BDEGENER[[#This Row],[MARCA ALTERNADOR ]],"
SERIE: ",BDEGENER[[#This Row],[SERIE DE ALTERNADOR]])</f>
        <v>MARCA: GENERAC
SERIE: 10650720</v>
      </c>
      <c r="AU240" s="683" t="str">
        <f>CONCATENATE("HORAS: ",BDEGENER[[#This Row],[HORAS]],"
KW-HR: ",BDEGENER[[#This Row],[KW-HORA]],"
VOLT.BATERIA: ",BDEGENER[[#This Row],[VOLTAJE DE BATERIA]],"
TEMPERATURA: ",BDEGENER[[#This Row],[TEMPERATURA DE AGUA]],"
PRES. ACEITE: ",BDEGENER[[#This Row],[PRESION DE ACEITE]])</f>
        <v xml:space="preserve">HORAS: 2408,3
KW-HR: 57615,4
VOLT.BATERIA: 
TEMPERATURA: 
PRES. ACEITE: </v>
      </c>
      <c r="AV240" s="683">
        <f>COUNTIFS(Q240:Q2240,"MANTENIMIENTO CORRECTIVO",Y240:Y2240,BDEGENER[[#This Row],[SERIE]])</f>
        <v>4</v>
      </c>
      <c r="AW240" s="683">
        <f>COUNTIFS(Q240:Q2240,"MANTENIMIENTO PREVENTIVO",Y240:Y2240,BDEGENER[[#This Row],[SERIE]])</f>
        <v>7</v>
      </c>
      <c r="AX24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240" s="683">
        <f>COUNTIFS(BDEGENER[SERIE],BDEGENER[[#This Row],[SERIE]],BDEGENER[TIPO DE SERVICIO],"MANTENIMIENTO PREVENTIVO")</f>
        <v>9</v>
      </c>
      <c r="AZ240" s="683" t="str">
        <f>CONCATENATE("MANTENIMIENTO PREVENTIVO N°",BDEGENER[[#This Row],[GA1]])</f>
        <v>MANTENIMIENTO PREVENTIVO N°9</v>
      </c>
      <c r="BA240" s="683" t="str">
        <f>IF(BDEGENER[[#This Row],[SERVICIO]]=BDEGENER[[#This Row],[GA2]],BDEGENER[[#This Row],[HORAS]],"0")</f>
        <v>0</v>
      </c>
      <c r="BB240" s="683">
        <f>SUMIF(BDEGENER[SERIE],BDEGENER[[#This Row],[SERIE]],BDEGENER[GA3])</f>
        <v>2922.3</v>
      </c>
      <c r="BC240" s="683" t="str">
        <f>CONCATENATE("MANT",COUNTIF($Y$7:Y240,Y240))</f>
        <v>MANT4</v>
      </c>
      <c r="BD240" s="683" t="str">
        <f>CONCATENATE(BDEGENER[[#This Row],[SERIE]],BDEGENER[[#This Row],[GA5]])</f>
        <v>3004336197MANT4</v>
      </c>
      <c r="BE240" s="683" t="str">
        <f>CONCATENATE(BDEGENER[[#This Row],[CODIGO PATRIMONIAL]],BDEGENER[[#This Row],[GA5]])</f>
        <v>MANT4</v>
      </c>
      <c r="BF240" s="683">
        <f>COUNTIF(BDEGENER[SERIE],BDEGENER[[#This Row],[SERIE]])</f>
        <v>17</v>
      </c>
      <c r="BG240" s="683" t="str">
        <f>CONCATENATE("F",COUNTIF($K$7:K240,K240))</f>
        <v>F5</v>
      </c>
      <c r="BH240" s="683" t="str">
        <f>CONCATENATE(BDEGENER[[#This Row],[FECHA DE SERVICIO]],BDEGENER[[#This Row],[N° DE REGISTROS DEL DIA]])</f>
        <v>44075F5</v>
      </c>
      <c r="BI240" s="684">
        <v>57615.4</v>
      </c>
      <c r="BJ240" s="683" t="s">
        <v>1544</v>
      </c>
      <c r="BK240" s="762"/>
    </row>
    <row r="241" spans="2:63" ht="69" hidden="1" x14ac:dyDescent="0.3">
      <c r="B241" s="2"/>
      <c r="C241" s="2"/>
      <c r="D241" s="2"/>
      <c r="E241" s="2"/>
      <c r="F241" s="2"/>
      <c r="G241" s="2"/>
      <c r="H241" s="2"/>
      <c r="I241" s="2"/>
      <c r="J241" s="685"/>
      <c r="K241" s="682">
        <v>44075</v>
      </c>
      <c r="L241" s="683" t="s">
        <v>181</v>
      </c>
      <c r="M241" s="683" t="s">
        <v>184</v>
      </c>
      <c r="N241" s="683" t="s">
        <v>183</v>
      </c>
      <c r="O241" s="683">
        <v>4500873022</v>
      </c>
      <c r="P241" s="683" t="s">
        <v>3135</v>
      </c>
      <c r="Q241" s="683" t="s">
        <v>37</v>
      </c>
      <c r="R241" s="683" t="s">
        <v>1782</v>
      </c>
      <c r="S241" s="686" t="s">
        <v>3138</v>
      </c>
      <c r="T241" s="683" t="s">
        <v>2870</v>
      </c>
      <c r="U241" s="683" t="s">
        <v>3139</v>
      </c>
      <c r="V241" s="683" t="s">
        <v>146</v>
      </c>
      <c r="W241" s="683" t="s">
        <v>914</v>
      </c>
      <c r="X241" s="691" t="s">
        <v>918</v>
      </c>
      <c r="Y241" s="687">
        <v>3004418791</v>
      </c>
      <c r="Z241" s="692"/>
      <c r="AA241" s="683" t="s">
        <v>33</v>
      </c>
      <c r="AB241" s="683" t="s">
        <v>34</v>
      </c>
      <c r="AC241" s="683" t="s">
        <v>230</v>
      </c>
      <c r="AD241" s="683" t="s">
        <v>1110</v>
      </c>
      <c r="AE241" s="683">
        <v>60</v>
      </c>
      <c r="AF241" s="684">
        <v>1770.9</v>
      </c>
      <c r="AG241" s="683" t="s">
        <v>243</v>
      </c>
      <c r="AH241" s="683" t="s">
        <v>220</v>
      </c>
      <c r="AI241" s="683" t="s">
        <v>33</v>
      </c>
      <c r="AJ241" s="683">
        <v>3004426135</v>
      </c>
      <c r="AK241" s="683" t="s">
        <v>33</v>
      </c>
      <c r="AL241" s="683">
        <v>107745330</v>
      </c>
      <c r="AM241" s="683" t="s">
        <v>1121</v>
      </c>
      <c r="AN241" s="683" t="s">
        <v>1352</v>
      </c>
      <c r="AO241" s="683" t="s">
        <v>1144</v>
      </c>
      <c r="AP241" s="683" t="s">
        <v>240</v>
      </c>
      <c r="AQ241" s="688" t="str">
        <f>CONCATENATE("REG-",BDEGENER[[#This Row],[FECHA DE SERVICIO]],"-",BDEGENER[[#This Row],[SERIE]],"-",BDEGENER[[#This Row],[HORAS]])</f>
        <v>REG-44075-3004418791-1770,9</v>
      </c>
      <c r="AR241" s="683" t="str">
        <f>CONCATENATE("MARCA: ",BDEGENER[[#This Row],[MARCA]],"
 MODELO: ",BDEGENER[[#This Row],[MODELO]])</f>
        <v>MARCA: GENERAC
 MODELO: PG090</v>
      </c>
      <c r="AS241" s="683" t="str">
        <f>CONCATENATE("MARCA: ",BDEGENER[[#This Row],[MARCA DE MOTOR]],"
SERIE: ",BDEGENER[[#This Row],[SERIE DE MOTOR]])</f>
        <v>MARCA: GENERAC
SERIE: 3004426135</v>
      </c>
      <c r="AT241" s="683" t="str">
        <f>CONCATENATE("MARCA: ",BDEGENER[[#This Row],[MARCA ALTERNADOR ]],"
SERIE: ",BDEGENER[[#This Row],[SERIE DE ALTERNADOR]])</f>
        <v>MARCA: GENERAC
SERIE: 107745330</v>
      </c>
      <c r="AU241" s="683" t="str">
        <f>CONCATENATE("HORAS: ",BDEGENER[[#This Row],[HORAS]],"
KW-HR: ",BDEGENER[[#This Row],[KW-HORA]],"
VOLT.BATERIA: ",BDEGENER[[#This Row],[VOLTAJE DE BATERIA]],"
TEMPERATURA: ",BDEGENER[[#This Row],[TEMPERATURA DE AGUA]],"
PRES. ACEITE: ",BDEGENER[[#This Row],[PRESION DE ACEITE]])</f>
        <v>HORAS: 1770,9
KW-HR: 27922
VOLT.BATERIA: 13.7 V
TEMPERATURA: 196 °F
PRES. ACEITE: 59 PSI</v>
      </c>
      <c r="AV241" s="761">
        <f>COUNTIFS(Q241:Q2241,"MANTENIMIENTO CORRECTIVO",Y241:Y2241,BDEGENER[[#This Row],[SERIE]])</f>
        <v>6</v>
      </c>
      <c r="AW241" s="761">
        <f>COUNTIFS(Q241:Q2241,"MANTENIMIENTO PREVENTIVO",Y241:Y2241,BDEGENER[[#This Row],[SERIE]])</f>
        <v>6</v>
      </c>
      <c r="AX24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41" s="683">
        <f>COUNTIFS(BDEGENER[SERIE],BDEGENER[[#This Row],[SERIE]],BDEGENER[TIPO DE SERVICIO],"MANTENIMIENTO PREVENTIVO")</f>
        <v>7</v>
      </c>
      <c r="AZ241" s="683" t="str">
        <f>CONCATENATE("MANTENIMIENTO PREVENTIVO N°",BDEGENER[[#This Row],[GA1]])</f>
        <v>MANTENIMIENTO PREVENTIVO N°7</v>
      </c>
      <c r="BA241" s="683" t="str">
        <f>IF(BDEGENER[[#This Row],[SERVICIO]]=BDEGENER[[#This Row],[GA2]],BDEGENER[[#This Row],[HORAS]],"0")</f>
        <v>0</v>
      </c>
      <c r="BB241" s="683">
        <f>SUMIF(BDEGENER[SERIE],BDEGENER[[#This Row],[SERIE]],BDEGENER[GA3])</f>
        <v>2074.3000000000002</v>
      </c>
      <c r="BC241" s="761" t="str">
        <f>CONCATENATE("MANT",COUNTIF($Y$7:Y241,Y241))</f>
        <v>MANT3</v>
      </c>
      <c r="BD241" s="683" t="str">
        <f>CONCATENATE(BDEGENER[[#This Row],[SERIE]],BDEGENER[[#This Row],[GA5]])</f>
        <v>3004418791MANT3</v>
      </c>
      <c r="BE241" s="683" t="str">
        <f>CONCATENATE(BDEGENER[[#This Row],[CODIGO PATRIMONIAL]],BDEGENER[[#This Row],[GA5]])</f>
        <v>MANT3</v>
      </c>
      <c r="BF241" s="683">
        <f>COUNTIF(BDEGENER[SERIE],BDEGENER[[#This Row],[SERIE]])</f>
        <v>16</v>
      </c>
      <c r="BG241" s="761" t="str">
        <f>CONCATENATE("F",COUNTIF($K$7:K241,K241))</f>
        <v>F6</v>
      </c>
      <c r="BH241" s="683" t="str">
        <f>CONCATENATE(BDEGENER[[#This Row],[FECHA DE SERVICIO]],BDEGENER[[#This Row],[N° DE REGISTROS DEL DIA]])</f>
        <v>44075F6</v>
      </c>
      <c r="BI241" s="684">
        <v>27922</v>
      </c>
      <c r="BJ241" s="683" t="s">
        <v>1544</v>
      </c>
      <c r="BK241" s="762"/>
    </row>
    <row r="242" spans="2:63" ht="69" hidden="1" x14ac:dyDescent="0.3">
      <c r="B242" s="2"/>
      <c r="C242" s="2"/>
      <c r="D242" s="2"/>
      <c r="E242" s="2"/>
      <c r="F242" s="2"/>
      <c r="G242" s="2"/>
      <c r="H242" s="2"/>
      <c r="I242" s="2"/>
      <c r="J242" s="685"/>
      <c r="K242" s="682">
        <v>44075</v>
      </c>
      <c r="L242" s="683" t="s">
        <v>181</v>
      </c>
      <c r="M242" s="683" t="s">
        <v>190</v>
      </c>
      <c r="N242" s="683" t="s">
        <v>183</v>
      </c>
      <c r="O242" s="683">
        <v>4500925048</v>
      </c>
      <c r="P242" s="688" t="s">
        <v>3132</v>
      </c>
      <c r="Q242" s="683" t="s">
        <v>37</v>
      </c>
      <c r="R242" s="683" t="s">
        <v>1782</v>
      </c>
      <c r="S242" s="686" t="s">
        <v>3131</v>
      </c>
      <c r="T242" s="683" t="s">
        <v>3133</v>
      </c>
      <c r="U242" s="683" t="s">
        <v>3134</v>
      </c>
      <c r="V242" s="683" t="s">
        <v>146</v>
      </c>
      <c r="W242" s="683" t="s">
        <v>914</v>
      </c>
      <c r="X242" s="691" t="s">
        <v>918</v>
      </c>
      <c r="Y242" s="687">
        <v>3004381438</v>
      </c>
      <c r="Z242" s="692"/>
      <c r="AA242" s="683" t="s">
        <v>33</v>
      </c>
      <c r="AB242" s="683" t="s">
        <v>34</v>
      </c>
      <c r="AC242" s="683" t="s">
        <v>230</v>
      </c>
      <c r="AD242" s="683" t="s">
        <v>1110</v>
      </c>
      <c r="AE242" s="683">
        <v>60</v>
      </c>
      <c r="AF242" s="684">
        <v>2521.3000000000002</v>
      </c>
      <c r="AG242" s="683" t="s">
        <v>243</v>
      </c>
      <c r="AH242" s="683" t="s">
        <v>220</v>
      </c>
      <c r="AI242" s="683" t="s">
        <v>33</v>
      </c>
      <c r="AJ242" s="683">
        <v>3004333873</v>
      </c>
      <c r="AK242" s="683" t="s">
        <v>33</v>
      </c>
      <c r="AL242" s="683">
        <v>106309650</v>
      </c>
      <c r="AM242" s="683" t="s">
        <v>245</v>
      </c>
      <c r="AN242" s="683" t="s">
        <v>1505</v>
      </c>
      <c r="AO242" s="683" t="s">
        <v>1318</v>
      </c>
      <c r="AP242" s="683" t="s">
        <v>240</v>
      </c>
      <c r="AQ242" s="688" t="str">
        <f>CONCATENATE("REG-",BDEGENER[[#This Row],[FECHA DE SERVICIO]],"-",BDEGENER[[#This Row],[SERIE]],"-",BDEGENER[[#This Row],[HORAS]])</f>
        <v>REG-44075-3004381438-2521,3</v>
      </c>
      <c r="AR242" s="683" t="str">
        <f>CONCATENATE("MARCA: ",BDEGENER[[#This Row],[MARCA]],"
 MODELO: ",BDEGENER[[#This Row],[MODELO]])</f>
        <v>MARCA: GENERAC
 MODELO: PG090</v>
      </c>
      <c r="AS242" s="683" t="str">
        <f>CONCATENATE("MARCA: ",BDEGENER[[#This Row],[MARCA DE MOTOR]],"
SERIE: ",BDEGENER[[#This Row],[SERIE DE MOTOR]])</f>
        <v>MARCA: GENERAC
SERIE: 3004333873</v>
      </c>
      <c r="AT242" s="683" t="str">
        <f>CONCATENATE("MARCA: ",BDEGENER[[#This Row],[MARCA ALTERNADOR ]],"
SERIE: ",BDEGENER[[#This Row],[SERIE DE ALTERNADOR]])</f>
        <v>MARCA: GENERAC
SERIE: 106309650</v>
      </c>
      <c r="AU242" s="683" t="str">
        <f>CONCATENATE("HORAS: ",BDEGENER[[#This Row],[HORAS]],"
KW-HR: ",BDEGENER[[#This Row],[KW-HORA]],"
VOLT.BATERIA: ",BDEGENER[[#This Row],[VOLTAJE DE BATERIA]],"
TEMPERATURA: ",BDEGENER[[#This Row],[TEMPERATURA DE AGUA]],"
PRES. ACEITE: ",BDEGENER[[#This Row],[PRESION DE ACEITE]])</f>
        <v>HORAS: 2521,3
KW-HR: 55589,6
VOLT.BATERIA: 13.6 V
TEMPERATURA: 194 °F
PRES. ACEITE: 58 PSI</v>
      </c>
      <c r="AV242" s="683">
        <f>COUNTIFS(Q242:Q2242,"MANTENIMIENTO CORRECTIVO",Y242:Y2242,BDEGENER[[#This Row],[SERIE]])</f>
        <v>1</v>
      </c>
      <c r="AW242" s="683">
        <f>COUNTIFS(Q242:Q2242,"MANTENIMIENTO PREVENTIVO",Y242:Y2242,BDEGENER[[#This Row],[SERIE]])</f>
        <v>8</v>
      </c>
      <c r="AX24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242" s="683">
        <f>COUNTIFS(BDEGENER[SERIE],BDEGENER[[#This Row],[SERIE]],BDEGENER[TIPO DE SERVICIO],"MANTENIMIENTO PREVENTIVO")</f>
        <v>10</v>
      </c>
      <c r="AZ242" s="683" t="str">
        <f>CONCATENATE("MANTENIMIENTO PREVENTIVO N°",BDEGENER[[#This Row],[GA1]])</f>
        <v>MANTENIMIENTO PREVENTIVO N°10</v>
      </c>
      <c r="BA242" s="683" t="str">
        <f>IF(BDEGENER[[#This Row],[SERVICIO]]=BDEGENER[[#This Row],[GA2]],BDEGENER[[#This Row],[HORAS]],"0")</f>
        <v>0</v>
      </c>
      <c r="BB242" s="683">
        <f>SUMIF(BDEGENER[SERIE],BDEGENER[[#This Row],[SERIE]],BDEGENER[GA3])</f>
        <v>3227.9</v>
      </c>
      <c r="BC242" s="683" t="str">
        <f>CONCATENATE("MANT",COUNTIF($Y$7:Y242,Y242))</f>
        <v>MANT4</v>
      </c>
      <c r="BD242" s="683" t="str">
        <f>CONCATENATE(BDEGENER[[#This Row],[SERIE]],BDEGENER[[#This Row],[GA5]])</f>
        <v>3004381438MANT4</v>
      </c>
      <c r="BE242" s="683" t="str">
        <f>CONCATENATE(BDEGENER[[#This Row],[CODIGO PATRIMONIAL]],BDEGENER[[#This Row],[GA5]])</f>
        <v>MANT4</v>
      </c>
      <c r="BF242" s="683">
        <f>COUNTIF(BDEGENER[SERIE],BDEGENER[[#This Row],[SERIE]])</f>
        <v>13</v>
      </c>
      <c r="BG242" s="683" t="str">
        <f>CONCATENATE("F",COUNTIF($K$7:K242,K242))</f>
        <v>F7</v>
      </c>
      <c r="BH242" s="683" t="str">
        <f>CONCATENATE(BDEGENER[[#This Row],[FECHA DE SERVICIO]],BDEGENER[[#This Row],[N° DE REGISTROS DEL DIA]])</f>
        <v>44075F7</v>
      </c>
      <c r="BI242" s="684">
        <v>55589.599999999999</v>
      </c>
      <c r="BJ242" s="683" t="s">
        <v>1544</v>
      </c>
      <c r="BK242" s="762"/>
    </row>
    <row r="243" spans="2:63" ht="69" hidden="1" x14ac:dyDescent="0.3">
      <c r="B243" s="2"/>
      <c r="C243" s="2"/>
      <c r="D243" s="2"/>
      <c r="E243" s="2"/>
      <c r="F243" s="2"/>
      <c r="G243" s="2"/>
      <c r="H243" s="2"/>
      <c r="I243" s="2"/>
      <c r="J243" s="685"/>
      <c r="K243" s="682">
        <v>44074</v>
      </c>
      <c r="L243" s="683" t="s">
        <v>561</v>
      </c>
      <c r="M243" s="683" t="s">
        <v>3299</v>
      </c>
      <c r="N243" s="683" t="s">
        <v>159</v>
      </c>
      <c r="O243" s="683"/>
      <c r="P243" s="683"/>
      <c r="Q243" s="683" t="s">
        <v>107</v>
      </c>
      <c r="R243" s="683" t="s">
        <v>1782</v>
      </c>
      <c r="S243" s="686" t="s">
        <v>3300</v>
      </c>
      <c r="T243" s="683" t="s">
        <v>2546</v>
      </c>
      <c r="U243" s="683" t="s">
        <v>3301</v>
      </c>
      <c r="V243" s="683" t="s">
        <v>677</v>
      </c>
      <c r="W243" s="683" t="s">
        <v>913</v>
      </c>
      <c r="X243" s="691" t="s">
        <v>918</v>
      </c>
      <c r="Y243" s="687">
        <v>3004555914</v>
      </c>
      <c r="Z243" s="692" t="s">
        <v>2611</v>
      </c>
      <c r="AA243" s="683" t="s">
        <v>33</v>
      </c>
      <c r="AB243" s="683" t="s">
        <v>217</v>
      </c>
      <c r="AC243" s="683" t="s">
        <v>749</v>
      </c>
      <c r="AD243" s="683"/>
      <c r="AE243" s="683"/>
      <c r="AF243" s="684">
        <v>2621.1</v>
      </c>
      <c r="AG243" s="683" t="s">
        <v>243</v>
      </c>
      <c r="AH243" s="683" t="s">
        <v>1803</v>
      </c>
      <c r="AI243" s="683" t="s">
        <v>2553</v>
      </c>
      <c r="AJ243" s="683" t="s">
        <v>3092</v>
      </c>
      <c r="AK243" s="683" t="s">
        <v>33</v>
      </c>
      <c r="AL243" s="683">
        <v>20190506</v>
      </c>
      <c r="AM243" s="683"/>
      <c r="AN243" s="683"/>
      <c r="AO243" s="683"/>
      <c r="AP243" s="683" t="s">
        <v>240</v>
      </c>
      <c r="AQ243" s="688" t="str">
        <f>CONCATENATE("REG-",BDEGENER[[#This Row],[FECHA DE SERVICIO]],"-",BDEGENER[[#This Row],[SERIE]],"-",BDEGENER[[#This Row],[HORAS]])</f>
        <v>REG-44074-3004555914-2621,1</v>
      </c>
      <c r="AR243" s="683" t="str">
        <f>CONCATENATE("MARCA: ",BDEGENER[[#This Row],[MARCA]],"
 MODELO: ",BDEGENER[[#This Row],[MODELO]])</f>
        <v>MARCA: GENERAC
 MODELO: RG022</v>
      </c>
      <c r="AS243" s="683" t="str">
        <f>CONCATENATE("MARCA: ",BDEGENER[[#This Row],[MARCA DE MOTOR]],"
SERIE: ",BDEGENER[[#This Row],[SERIE DE MOTOR]])</f>
        <v>MARCA: MITSUBISHI
SERIE: 4G6454M/SXP7947</v>
      </c>
      <c r="AT243" s="683" t="str">
        <f>CONCATENATE("MARCA: ",BDEGENER[[#This Row],[MARCA ALTERNADOR ]],"
SERIE: ",BDEGENER[[#This Row],[SERIE DE ALTERNADOR]])</f>
        <v>MARCA: GENERAC
SERIE: 20190506</v>
      </c>
      <c r="AU243" s="683" t="str">
        <f>CONCATENATE("HORAS: ",BDEGENER[[#This Row],[HORAS]],"
KW-HR: ",BDEGENER[[#This Row],[KW-HORA]],"
VOLT.BATERIA: ",BDEGENER[[#This Row],[VOLTAJE DE BATERIA]],"
TEMPERATURA: ",BDEGENER[[#This Row],[TEMPERATURA DE AGUA]],"
PRES. ACEITE: ",BDEGENER[[#This Row],[PRESION DE ACEITE]])</f>
        <v xml:space="preserve">HORAS: 2621,1
KW-HR: 
VOLT.BATERIA: 
TEMPERATURA: 
PRES. ACEITE: </v>
      </c>
      <c r="AV243" s="683">
        <f>COUNTIFS(Q243:Q2243,"MANTENIMIENTO CORRECTIVO",Y243:Y2243,BDEGENER[[#This Row],[SERIE]])</f>
        <v>2</v>
      </c>
      <c r="AW243" s="683">
        <f>COUNTIFS(Q243:Q2243,"MANTENIMIENTO PREVENTIVO",Y243:Y2243,BDEGENER[[#This Row],[SERIE]])</f>
        <v>3</v>
      </c>
      <c r="AX24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243" s="683">
        <f>COUNTIFS(BDEGENER[SERIE],BDEGENER[[#This Row],[SERIE]],BDEGENER[TIPO DE SERVICIO],"MANTENIMIENTO PREVENTIVO")</f>
        <v>5</v>
      </c>
      <c r="AZ243" s="683" t="str">
        <f>CONCATENATE("MANTENIMIENTO PREVENTIVO N°",BDEGENER[[#This Row],[GA1]])</f>
        <v>MANTENIMIENTO PREVENTIVO N°5</v>
      </c>
      <c r="BA243" s="683" t="str">
        <f>IF(BDEGENER[[#This Row],[SERVICIO]]=BDEGENER[[#This Row],[GA2]],BDEGENER[[#This Row],[HORAS]],"0")</f>
        <v>0</v>
      </c>
      <c r="BB243" s="683">
        <f>SUMIF(BDEGENER[SERIE],BDEGENER[[#This Row],[SERIE]],BDEGENER[GA3])</f>
        <v>2894.4</v>
      </c>
      <c r="BC243" s="683" t="str">
        <f>CONCATENATE("MANT",COUNTIF($Y$7:Y243,Y243))</f>
        <v>MANT3</v>
      </c>
      <c r="BD243" s="683" t="str">
        <f>CONCATENATE(BDEGENER[[#This Row],[SERIE]],BDEGENER[[#This Row],[GA5]])</f>
        <v>3004555914MANT3</v>
      </c>
      <c r="BE243" s="683" t="str">
        <f>CONCATENATE(BDEGENER[[#This Row],[CODIGO PATRIMONIAL]],BDEGENER[[#This Row],[GA5]])</f>
        <v>SUR-GEG-0023MANT3</v>
      </c>
      <c r="BF243" s="683">
        <f>COUNTIF(BDEGENER[SERIE],BDEGENER[[#This Row],[SERIE]])</f>
        <v>11</v>
      </c>
      <c r="BG243" s="683" t="str">
        <f>CONCATENATE("F",COUNTIF($K$7:K243,K243))</f>
        <v>F1</v>
      </c>
      <c r="BH243" s="683" t="str">
        <f>CONCATENATE(BDEGENER[[#This Row],[FECHA DE SERVICIO]],BDEGENER[[#This Row],[N° DE REGISTROS DEL DIA]])</f>
        <v>44074F1</v>
      </c>
      <c r="BI243" s="684"/>
      <c r="BJ243" s="683" t="s">
        <v>1544</v>
      </c>
      <c r="BK243" s="762"/>
    </row>
    <row r="244" spans="2:63" ht="69" hidden="1" x14ac:dyDescent="0.3">
      <c r="B244" s="2"/>
      <c r="C244" s="2"/>
      <c r="D244" s="2"/>
      <c r="E244" s="2"/>
      <c r="F244" s="2"/>
      <c r="G244" s="2"/>
      <c r="H244" s="2"/>
      <c r="I244" s="2"/>
      <c r="J244" s="685"/>
      <c r="K244" s="682">
        <v>44074</v>
      </c>
      <c r="L244" s="683" t="s">
        <v>764</v>
      </c>
      <c r="M244" s="683" t="s">
        <v>2392</v>
      </c>
      <c r="N244" s="683" t="s">
        <v>2393</v>
      </c>
      <c r="O244" s="683"/>
      <c r="P244" s="683"/>
      <c r="Q244" s="683" t="s">
        <v>108</v>
      </c>
      <c r="R244" s="683" t="s">
        <v>3221</v>
      </c>
      <c r="S244" s="686" t="s">
        <v>3222</v>
      </c>
      <c r="T244" s="683" t="s">
        <v>3223</v>
      </c>
      <c r="U244" s="683" t="s">
        <v>3224</v>
      </c>
      <c r="V244" s="683" t="s">
        <v>148</v>
      </c>
      <c r="W244" s="683" t="s">
        <v>914</v>
      </c>
      <c r="X244" s="691" t="s">
        <v>917</v>
      </c>
      <c r="Y244" s="687" t="s">
        <v>783</v>
      </c>
      <c r="Z244" s="692"/>
      <c r="AA244" s="683" t="s">
        <v>1966</v>
      </c>
      <c r="AB244" s="683" t="s">
        <v>2386</v>
      </c>
      <c r="AC244" s="683" t="s">
        <v>789</v>
      </c>
      <c r="AD244" s="683"/>
      <c r="AE244" s="683"/>
      <c r="AF244" s="684">
        <v>2096.1</v>
      </c>
      <c r="AG244" s="683"/>
      <c r="AH244" s="683"/>
      <c r="AI244" s="683" t="s">
        <v>1966</v>
      </c>
      <c r="AJ244" s="683">
        <v>37131122</v>
      </c>
      <c r="AK244" s="683" t="s">
        <v>2401</v>
      </c>
      <c r="AL244" s="683" t="s">
        <v>2398</v>
      </c>
      <c r="AM244" s="683"/>
      <c r="AN244" s="683"/>
      <c r="AO244" s="683"/>
      <c r="AP244" s="683" t="s">
        <v>557</v>
      </c>
      <c r="AQ244" s="688" t="str">
        <f>CONCATENATE("REG-",BDEGENER[[#This Row],[FECHA DE SERVICIO]],"-",BDEGENER[[#This Row],[SERIE]],"-",BDEGENER[[#This Row],[HORAS]])</f>
        <v>REG-44074-G-4012-2096,1</v>
      </c>
      <c r="AR244" s="683" t="str">
        <f>CONCATENATE("MARCA: ",BDEGENER[[#This Row],[MARCA]],"
 MODELO: ",BDEGENER[[#This Row],[MODELO]])</f>
        <v>MARCA: CUMMINS
 MODELO: 0B400K-DW63</v>
      </c>
      <c r="AS244" s="683" t="str">
        <f>CONCATENATE("MARCA: ",BDEGENER[[#This Row],[MARCA DE MOTOR]],"
SERIE: ",BDEGENER[[#This Row],[SERIE DE MOTOR]])</f>
        <v>MARCA: CUMMINS
SERIE: 37131122</v>
      </c>
      <c r="AT244" s="683" t="str">
        <f>CONCATENATE("MARCA: ",BDEGENER[[#This Row],[MARCA ALTERNADOR ]],"
SERIE: ",BDEGENER[[#This Row],[SERIE DE ALTERNADOR]])</f>
        <v>MARCA: STAMFORD
SERIE: WB3668482</v>
      </c>
      <c r="AU244" s="683" t="str">
        <f>CONCATENATE("HORAS: ",BDEGENER[[#This Row],[HORAS]],"
KW-HR: ",BDEGENER[[#This Row],[KW-HORA]],"
VOLT.BATERIA: ",BDEGENER[[#This Row],[VOLTAJE DE BATERIA]],"
TEMPERATURA: ",BDEGENER[[#This Row],[TEMPERATURA DE AGUA]],"
PRES. ACEITE: ",BDEGENER[[#This Row],[PRESION DE ACEITE]])</f>
        <v xml:space="preserve">HORAS: 2096,1
KW-HR: 
VOLT.BATERIA: 
TEMPERATURA: 
PRES. ACEITE: </v>
      </c>
      <c r="AV244" s="761">
        <f>COUNTIFS(Q244:Q2244,"MANTENIMIENTO CORRECTIVO",Y244:Y2244,BDEGENER[[#This Row],[SERIE]])</f>
        <v>0</v>
      </c>
      <c r="AW244" s="761">
        <f>COUNTIFS(Q244:Q2244,"MANTENIMIENTO PREVENTIVO",Y244:Y2244,BDEGENER[[#This Row],[SERIE]])</f>
        <v>2</v>
      </c>
      <c r="AX24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244" s="683">
        <f>COUNTIFS(BDEGENER[SERIE],BDEGENER[[#This Row],[SERIE]],BDEGENER[TIPO DE SERVICIO],"MANTENIMIENTO PREVENTIVO")</f>
        <v>2</v>
      </c>
      <c r="AZ244" s="683" t="str">
        <f>CONCATENATE("MANTENIMIENTO PREVENTIVO N°",BDEGENER[[#This Row],[GA1]])</f>
        <v>MANTENIMIENTO PREVENTIVO N°2</v>
      </c>
      <c r="BA244" s="683" t="str">
        <f>IF(BDEGENER[[#This Row],[SERVICIO]]=BDEGENER[[#This Row],[GA2]],BDEGENER[[#This Row],[HORAS]],"0")</f>
        <v>0</v>
      </c>
      <c r="BB244" s="683">
        <f>SUMIF(BDEGENER[SERIE],BDEGENER[[#This Row],[SERIE]],BDEGENER[GA3])</f>
        <v>2095</v>
      </c>
      <c r="BC244" s="761" t="str">
        <f>CONCATENATE("MANT",COUNTIF($Y$7:Y244,Y244))</f>
        <v>MANT2</v>
      </c>
      <c r="BD244" s="683" t="str">
        <f>CONCATENATE(BDEGENER[[#This Row],[SERIE]],BDEGENER[[#This Row],[GA5]])</f>
        <v>G-4012MANT2</v>
      </c>
      <c r="BE244" s="683" t="str">
        <f>CONCATENATE(BDEGENER[[#This Row],[CODIGO PATRIMONIAL]],BDEGENER[[#This Row],[GA5]])</f>
        <v>MANT2</v>
      </c>
      <c r="BF244" s="683">
        <f>COUNTIF(BDEGENER[SERIE],BDEGENER[[#This Row],[SERIE]])</f>
        <v>4</v>
      </c>
      <c r="BG244" s="761" t="str">
        <f>CONCATENATE("F",COUNTIF($K$7:K244,K244))</f>
        <v>F2</v>
      </c>
      <c r="BH244" s="683" t="str">
        <f>CONCATENATE(BDEGENER[[#This Row],[FECHA DE SERVICIO]],BDEGENER[[#This Row],[N° DE REGISTROS DEL DIA]])</f>
        <v>44074F2</v>
      </c>
      <c r="BI244" s="684"/>
      <c r="BJ244" s="683" t="s">
        <v>1544</v>
      </c>
      <c r="BK244" s="762"/>
    </row>
    <row r="245" spans="2:63" ht="69" hidden="1" x14ac:dyDescent="0.3">
      <c r="B245" s="2"/>
      <c r="C245" s="2"/>
      <c r="D245" s="2"/>
      <c r="E245" s="2"/>
      <c r="F245" s="2"/>
      <c r="G245" s="2"/>
      <c r="H245" s="2"/>
      <c r="I245" s="2"/>
      <c r="J245" s="685"/>
      <c r="K245" s="682">
        <v>44072</v>
      </c>
      <c r="L245" s="683" t="s">
        <v>561</v>
      </c>
      <c r="M245" s="683" t="s">
        <v>1245</v>
      </c>
      <c r="N245" s="683" t="s">
        <v>570</v>
      </c>
      <c r="O245" s="683"/>
      <c r="P245" s="688" t="s">
        <v>3103</v>
      </c>
      <c r="Q245" s="683" t="s">
        <v>37</v>
      </c>
      <c r="R245" s="683" t="s">
        <v>1782</v>
      </c>
      <c r="S245" s="686" t="s">
        <v>3104</v>
      </c>
      <c r="T245" s="683" t="s">
        <v>2870</v>
      </c>
      <c r="U245" s="683" t="s">
        <v>3105</v>
      </c>
      <c r="V245" s="683" t="s">
        <v>677</v>
      </c>
      <c r="W245" s="683" t="s">
        <v>913</v>
      </c>
      <c r="X245" s="691" t="s">
        <v>918</v>
      </c>
      <c r="Y245" s="687">
        <v>3004597775</v>
      </c>
      <c r="Z245" s="692" t="s">
        <v>2608</v>
      </c>
      <c r="AA245" s="683" t="s">
        <v>33</v>
      </c>
      <c r="AB245" s="683" t="s">
        <v>217</v>
      </c>
      <c r="AC245" s="683" t="s">
        <v>749</v>
      </c>
      <c r="AD245" s="683" t="s">
        <v>1123</v>
      </c>
      <c r="AE245" s="683">
        <v>60</v>
      </c>
      <c r="AF245" s="684">
        <v>2101.8000000000002</v>
      </c>
      <c r="AG245" s="683" t="s">
        <v>243</v>
      </c>
      <c r="AH245" s="683" t="s">
        <v>1803</v>
      </c>
      <c r="AI245" s="683" t="s">
        <v>2553</v>
      </c>
      <c r="AJ245" s="683"/>
      <c r="AK245" s="683" t="s">
        <v>33</v>
      </c>
      <c r="AL245" s="683"/>
      <c r="AM245" s="683" t="s">
        <v>1145</v>
      </c>
      <c r="AN245" s="683"/>
      <c r="AO245" s="683"/>
      <c r="AP245" s="683" t="s">
        <v>240</v>
      </c>
      <c r="AQ245" s="688" t="str">
        <f>CONCATENATE("REG-",BDEGENER[[#This Row],[FECHA DE SERVICIO]],"-",BDEGENER[[#This Row],[SERIE]],"-",BDEGENER[[#This Row],[HORAS]])</f>
        <v>REG-44072-3004597775-2101,8</v>
      </c>
      <c r="AR245" s="683" t="str">
        <f>CONCATENATE("MARCA: ",BDEGENER[[#This Row],[MARCA]],"
 MODELO: ",BDEGENER[[#This Row],[MODELO]])</f>
        <v>MARCA: GENERAC
 MODELO: RG022</v>
      </c>
      <c r="AS245" s="683" t="str">
        <f>CONCATENATE("MARCA: ",BDEGENER[[#This Row],[MARCA DE MOTOR]],"
SERIE: ",BDEGENER[[#This Row],[SERIE DE MOTOR]])</f>
        <v xml:space="preserve">MARCA: MITSUBISHI
SERIE: </v>
      </c>
      <c r="AT245" s="683" t="str">
        <f>CONCATENATE("MARCA: ",BDEGENER[[#This Row],[MARCA ALTERNADOR ]],"
SERIE: ",BDEGENER[[#This Row],[SERIE DE ALTERNADOR]])</f>
        <v xml:space="preserve">MARCA: GENERAC
SERIE: </v>
      </c>
      <c r="AU245" s="683" t="str">
        <f>CONCATENATE("HORAS: ",BDEGENER[[#This Row],[HORAS]],"
KW-HR: ",BDEGENER[[#This Row],[KW-HORA]],"
VOLT.BATERIA: ",BDEGENER[[#This Row],[VOLTAJE DE BATERIA]],"
TEMPERATURA: ",BDEGENER[[#This Row],[TEMPERATURA DE AGUA]],"
PRES. ACEITE: ",BDEGENER[[#This Row],[PRESION DE ACEITE]])</f>
        <v xml:space="preserve">HORAS: 2101,8
KW-HR: 
VOLT.BATERIA: 13.4 V
TEMPERATURA: 
PRES. ACEITE: </v>
      </c>
      <c r="AV245" s="683">
        <f>COUNTIFS(Q245:Q2245,"MANTENIMIENTO CORRECTIVO",Y245:Y2245,BDEGENER[[#This Row],[SERIE]])</f>
        <v>0</v>
      </c>
      <c r="AW245" s="683">
        <f>COUNTIFS(Q245:Q2245,"MANTENIMIENTO PREVENTIVO",Y245:Y2245,BDEGENER[[#This Row],[SERIE]])</f>
        <v>5</v>
      </c>
      <c r="AX24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245" s="683">
        <f>COUNTIFS(BDEGENER[SERIE],BDEGENER[[#This Row],[SERIE]],BDEGENER[TIPO DE SERVICIO],"MANTENIMIENTO PREVENTIVO")</f>
        <v>7</v>
      </c>
      <c r="AZ245" s="683" t="str">
        <f>CONCATENATE("MANTENIMIENTO PREVENTIVO N°",BDEGENER[[#This Row],[GA1]])</f>
        <v>MANTENIMIENTO PREVENTIVO N°7</v>
      </c>
      <c r="BA245" s="683" t="str">
        <f>IF(BDEGENER[[#This Row],[SERVICIO]]=BDEGENER[[#This Row],[GA2]],BDEGENER[[#This Row],[HORAS]],"0")</f>
        <v>0</v>
      </c>
      <c r="BB245" s="683">
        <f>SUMIF(BDEGENER[SERIE],BDEGENER[[#This Row],[SERIE]],BDEGENER[GA3])</f>
        <v>2487</v>
      </c>
      <c r="BC245" s="683" t="str">
        <f>CONCATENATE("MANT",COUNTIF($Y$7:Y245,Y245))</f>
        <v>MANT3</v>
      </c>
      <c r="BD245" s="683" t="str">
        <f>CONCATENATE(BDEGENER[[#This Row],[SERIE]],BDEGENER[[#This Row],[GA5]])</f>
        <v>3004597775MANT3</v>
      </c>
      <c r="BE245" s="683" t="str">
        <f>CONCATENATE(BDEGENER[[#This Row],[CODIGO PATRIMONIAL]],BDEGENER[[#This Row],[GA5]])</f>
        <v>SUR-GEG-0012MANT3</v>
      </c>
      <c r="BF245" s="683">
        <f>COUNTIF(BDEGENER[SERIE],BDEGENER[[#This Row],[SERIE]])</f>
        <v>8</v>
      </c>
      <c r="BG245" s="683" t="str">
        <f>CONCATENATE("F",COUNTIF($K$7:K245,K245))</f>
        <v>F1</v>
      </c>
      <c r="BH245" s="683" t="str">
        <f>CONCATENATE(BDEGENER[[#This Row],[FECHA DE SERVICIO]],BDEGENER[[#This Row],[N° DE REGISTROS DEL DIA]])</f>
        <v>44072F1</v>
      </c>
      <c r="BI245" s="684"/>
      <c r="BJ245" s="683" t="s">
        <v>1544</v>
      </c>
      <c r="BK245" s="762"/>
    </row>
    <row r="246" spans="2:63" ht="69" hidden="1" x14ac:dyDescent="0.3">
      <c r="B246" s="2"/>
      <c r="C246" s="2"/>
      <c r="D246" s="2"/>
      <c r="E246" s="2"/>
      <c r="F246" s="2"/>
      <c r="G246" s="2"/>
      <c r="H246" s="2"/>
      <c r="I246" s="2"/>
      <c r="J246" s="685"/>
      <c r="K246" s="682">
        <v>44071</v>
      </c>
      <c r="L246" s="683" t="s">
        <v>248</v>
      </c>
      <c r="M246" s="683" t="s">
        <v>3106</v>
      </c>
      <c r="N246" s="683" t="s">
        <v>275</v>
      </c>
      <c r="O246" s="683"/>
      <c r="P246" s="683"/>
      <c r="Q246" s="683" t="s">
        <v>109</v>
      </c>
      <c r="R246" s="683" t="s">
        <v>1782</v>
      </c>
      <c r="S246" s="686" t="s">
        <v>3116</v>
      </c>
      <c r="T246" s="683" t="s">
        <v>3117</v>
      </c>
      <c r="U246" s="683"/>
      <c r="V246" s="683" t="s">
        <v>488</v>
      </c>
      <c r="W246" s="683" t="s">
        <v>914</v>
      </c>
      <c r="X246" s="691" t="s">
        <v>917</v>
      </c>
      <c r="Y246" s="687">
        <v>3005786155</v>
      </c>
      <c r="Z246" s="692" t="s">
        <v>159</v>
      </c>
      <c r="AA246" s="683" t="s">
        <v>33</v>
      </c>
      <c r="AB246" s="683" t="s">
        <v>3118</v>
      </c>
      <c r="AC246" s="683" t="s">
        <v>3119</v>
      </c>
      <c r="AD246" s="683" t="s">
        <v>3120</v>
      </c>
      <c r="AE246" s="683">
        <v>60</v>
      </c>
      <c r="AF246" s="684">
        <v>0.4</v>
      </c>
      <c r="AG246" s="683" t="s">
        <v>243</v>
      </c>
      <c r="AH246" s="683" t="s">
        <v>3111</v>
      </c>
      <c r="AI246" s="683" t="s">
        <v>844</v>
      </c>
      <c r="AJ246" s="683" t="s">
        <v>3121</v>
      </c>
      <c r="AK246" s="683" t="s">
        <v>1448</v>
      </c>
      <c r="AL246" s="683">
        <v>36949500005</v>
      </c>
      <c r="AM246" s="683" t="s">
        <v>3114</v>
      </c>
      <c r="AN246" s="683" t="s">
        <v>1503</v>
      </c>
      <c r="AO246" s="683" t="s">
        <v>1144</v>
      </c>
      <c r="AP246" s="683" t="s">
        <v>240</v>
      </c>
      <c r="AQ246" s="688" t="str">
        <f>CONCATENATE("REG-",BDEGENER[[#This Row],[FECHA DE SERVICIO]],"-",BDEGENER[[#This Row],[SERIE]],"-",BDEGENER[[#This Row],[HORAS]])</f>
        <v>REG-44071-3005786155-0,4</v>
      </c>
      <c r="AR246" s="683" t="str">
        <f>CONCATENATE("MARCA: ",BDEGENER[[#This Row],[MARCA]],"
 MODELO: ",BDEGENER[[#This Row],[MODELO]])</f>
        <v>MARCA: GENERAC
 MODELO: PLY250</v>
      </c>
      <c r="AS246" s="683" t="str">
        <f>CONCATENATE("MARCA: ",BDEGENER[[#This Row],[MARCA DE MOTOR]],"
SERIE: ",BDEGENER[[#This Row],[SERIE DE MOTOR]])</f>
        <v>MARCA: PERKINS
SERIE: LGDI1028N13734E</v>
      </c>
      <c r="AT246" s="683" t="str">
        <f>CONCATENATE("MARCA: ",BDEGENER[[#This Row],[MARCA ALTERNADOR ]],"
SERIE: ",BDEGENER[[#This Row],[SERIE DE ALTERNADOR]])</f>
        <v>MARCA: LEROY SOMER
SERIE: 36949500005</v>
      </c>
      <c r="AU246" s="683" t="str">
        <f>CONCATENATE("HORAS: ",BDEGENER[[#This Row],[HORAS]],"
KW-HR: ",BDEGENER[[#This Row],[KW-HORA]],"
VOLT.BATERIA: ",BDEGENER[[#This Row],[VOLTAJE DE BATERIA]],"
TEMPERATURA: ",BDEGENER[[#This Row],[TEMPERATURA DE AGUA]],"
PRES. ACEITE: ",BDEGENER[[#This Row],[PRESION DE ACEITE]])</f>
        <v>HORAS: 0,4
KW-HR: 
VOLT.BATERIA: 27.3 V
TEMPERATURA: 82 °C
PRES. ACEITE: 59 PSI</v>
      </c>
      <c r="AV246" s="683">
        <f>COUNTIFS(Q246:Q2246,"MANTENIMIENTO CORRECTIVO",Y246:Y2246,BDEGENER[[#This Row],[SERIE]])</f>
        <v>0</v>
      </c>
      <c r="AW246" s="683">
        <f>COUNTIFS(Q246:Q2246,"MANTENIMIENTO PREVENTIVO",Y246:Y2246,BDEGENER[[#This Row],[SERIE]])</f>
        <v>0</v>
      </c>
      <c r="AX24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246" s="683">
        <f>COUNTIFS(BDEGENER[SERIE],BDEGENER[[#This Row],[SERIE]],BDEGENER[TIPO DE SERVICIO],"MANTENIMIENTO PREVENTIVO")</f>
        <v>1</v>
      </c>
      <c r="AZ246" s="683" t="str">
        <f>CONCATENATE("MANTENIMIENTO PREVENTIVO N°",BDEGENER[[#This Row],[GA1]])</f>
        <v>MANTENIMIENTO PREVENTIVO N°1</v>
      </c>
      <c r="BA246" s="683" t="str">
        <f>IF(BDEGENER[[#This Row],[SERVICIO]]=BDEGENER[[#This Row],[GA2]],BDEGENER[[#This Row],[HORAS]],"0")</f>
        <v>0</v>
      </c>
      <c r="BB246" s="683">
        <f>SUMIF(BDEGENER[SERIE],BDEGENER[[#This Row],[SERIE]],BDEGENER[GA3])</f>
        <v>48.4</v>
      </c>
      <c r="BC246" s="683" t="str">
        <f>CONCATENATE("MANT",COUNTIF($Y$7:Y246,Y246))</f>
        <v>MANT2</v>
      </c>
      <c r="BD246" s="683" t="str">
        <f>CONCATENATE(BDEGENER[[#This Row],[SERIE]],BDEGENER[[#This Row],[GA5]])</f>
        <v>3005786155MANT2</v>
      </c>
      <c r="BE246" s="683" t="str">
        <f>CONCATENATE(BDEGENER[[#This Row],[CODIGO PATRIMONIAL]],BDEGENER[[#This Row],[GA5]])</f>
        <v>MANT2</v>
      </c>
      <c r="BF246" s="683">
        <f>COUNTIF(BDEGENER[SERIE],BDEGENER[[#This Row],[SERIE]])</f>
        <v>2</v>
      </c>
      <c r="BG246" s="683" t="str">
        <f>CONCATENATE("F",COUNTIF($K$7:K246,K246))</f>
        <v>F1</v>
      </c>
      <c r="BH246" s="683" t="str">
        <f>CONCATENATE(BDEGENER[[#This Row],[FECHA DE SERVICIO]],BDEGENER[[#This Row],[N° DE REGISTROS DEL DIA]])</f>
        <v>44071F1</v>
      </c>
      <c r="BI246" s="684"/>
      <c r="BJ246" s="683" t="s">
        <v>1544</v>
      </c>
      <c r="BK246" s="762" t="s">
        <v>3122</v>
      </c>
    </row>
    <row r="247" spans="2:63" ht="69" hidden="1" x14ac:dyDescent="0.3">
      <c r="B247" s="2"/>
      <c r="C247" s="2"/>
      <c r="D247" s="2"/>
      <c r="E247" s="2"/>
      <c r="F247" s="2"/>
      <c r="G247" s="2"/>
      <c r="H247" s="2"/>
      <c r="I247" s="2"/>
      <c r="J247" s="685"/>
      <c r="K247" s="682">
        <v>44071</v>
      </c>
      <c r="L247" s="683" t="s">
        <v>248</v>
      </c>
      <c r="M247" s="683" t="s">
        <v>3106</v>
      </c>
      <c r="N247" s="683" t="s">
        <v>275</v>
      </c>
      <c r="O247" s="683"/>
      <c r="P247" s="683"/>
      <c r="Q247" s="683" t="s">
        <v>109</v>
      </c>
      <c r="R247" s="683" t="s">
        <v>3107</v>
      </c>
      <c r="S247" s="686" t="s">
        <v>3115</v>
      </c>
      <c r="T247" s="683" t="s">
        <v>3108</v>
      </c>
      <c r="U247" s="683"/>
      <c r="V247" s="683" t="s">
        <v>488</v>
      </c>
      <c r="W247" s="683" t="s">
        <v>914</v>
      </c>
      <c r="X247" s="691" t="s">
        <v>917</v>
      </c>
      <c r="Y247" s="687">
        <v>3005786151</v>
      </c>
      <c r="Z247" s="692" t="s">
        <v>159</v>
      </c>
      <c r="AA247" s="683" t="s">
        <v>33</v>
      </c>
      <c r="AB247" s="683" t="s">
        <v>3109</v>
      </c>
      <c r="AC247" s="683" t="s">
        <v>3110</v>
      </c>
      <c r="AD247" s="683" t="s">
        <v>1087</v>
      </c>
      <c r="AE247" s="683">
        <v>60</v>
      </c>
      <c r="AF247" s="684">
        <v>0.15</v>
      </c>
      <c r="AG247" s="683" t="s">
        <v>243</v>
      </c>
      <c r="AH247" s="683" t="s">
        <v>3111</v>
      </c>
      <c r="AI247" s="683" t="s">
        <v>844</v>
      </c>
      <c r="AJ247" s="683" t="s">
        <v>3112</v>
      </c>
      <c r="AK247" s="683" t="s">
        <v>3113</v>
      </c>
      <c r="AL247" s="683">
        <v>36888300001</v>
      </c>
      <c r="AM247" s="683" t="s">
        <v>3114</v>
      </c>
      <c r="AN247" s="683" t="s">
        <v>2434</v>
      </c>
      <c r="AO247" s="683" t="s">
        <v>1443</v>
      </c>
      <c r="AP247" s="683" t="s">
        <v>240</v>
      </c>
      <c r="AQ247" s="688" t="str">
        <f>CONCATENATE("REG-",BDEGENER[[#This Row],[FECHA DE SERVICIO]],"-",BDEGENER[[#This Row],[SERIE]],"-",BDEGENER[[#This Row],[HORAS]])</f>
        <v>REG-44071-3005786151-0,15</v>
      </c>
      <c r="AR247" s="683" t="str">
        <f>CONCATENATE("MARCA: ",BDEGENER[[#This Row],[MARCA]],"
 MODELO: ",BDEGENER[[#This Row],[MODELO]])</f>
        <v>MARCA: GENERAC
 MODELO: PLY200</v>
      </c>
      <c r="AS247" s="683" t="str">
        <f>CONCATENATE("MARCA: ",BDEGENER[[#This Row],[MARCA DE MOTOR]],"
SERIE: ",BDEGENER[[#This Row],[SERIE DE MOTOR]])</f>
        <v>MARCA: PERKINS
SERIE: PWR024528E</v>
      </c>
      <c r="AT247" s="683" t="str">
        <f>CONCATENATE("MARCA: ",BDEGENER[[#This Row],[MARCA ALTERNADOR ]],"
SERIE: ",BDEGENER[[#This Row],[SERIE DE ALTERNADOR]])</f>
        <v>MARCA: LEROY SOMMER
SERIE: 36888300001</v>
      </c>
      <c r="AU247" s="683" t="str">
        <f>CONCATENATE("HORAS: ",BDEGENER[[#This Row],[HORAS]],"
KW-HR: ",BDEGENER[[#This Row],[KW-HORA]],"
VOLT.BATERIA: ",BDEGENER[[#This Row],[VOLTAJE DE BATERIA]],"
TEMPERATURA: ",BDEGENER[[#This Row],[TEMPERATURA DE AGUA]],"
PRES. ACEITE: ",BDEGENER[[#This Row],[PRESION DE ACEITE]])</f>
        <v>HORAS: 0,15
KW-HR: 
VOLT.BATERIA: 27.3 V
TEMPERATURA: 60 °C
PRES. ACEITE: 80 PSI</v>
      </c>
      <c r="AV247" s="761">
        <f>COUNTIFS(Q247:Q2247,"MANTENIMIENTO CORRECTIVO",Y247:Y2247,BDEGENER[[#This Row],[SERIE]])</f>
        <v>0</v>
      </c>
      <c r="AW247" s="761">
        <f>COUNTIFS(Q247:Q2247,"MANTENIMIENTO PREVENTIVO",Y247:Y2247,BDEGENER[[#This Row],[SERIE]])</f>
        <v>0</v>
      </c>
      <c r="AX24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247" s="683">
        <f>COUNTIFS(BDEGENER[SERIE],BDEGENER[[#This Row],[SERIE]],BDEGENER[TIPO DE SERVICIO],"MANTENIMIENTO PREVENTIVO")</f>
        <v>3</v>
      </c>
      <c r="AZ247" s="683" t="str">
        <f>CONCATENATE("MANTENIMIENTO PREVENTIVO N°",BDEGENER[[#This Row],[GA1]])</f>
        <v>MANTENIMIENTO PREVENTIVO N°3</v>
      </c>
      <c r="BA247" s="683" t="str">
        <f>IF(BDEGENER[[#This Row],[SERVICIO]]=BDEGENER[[#This Row],[GA2]],BDEGENER[[#This Row],[HORAS]],"0")</f>
        <v>0</v>
      </c>
      <c r="BB247" s="683">
        <f>SUMIF(BDEGENER[SERIE],BDEGENER[[#This Row],[SERIE]],BDEGENER[GA3])</f>
        <v>646</v>
      </c>
      <c r="BC247" s="761" t="str">
        <f>CONCATENATE("MANT",COUNTIF($Y$7:Y247,Y247))</f>
        <v>MANT4</v>
      </c>
      <c r="BD247" s="683" t="str">
        <f>CONCATENATE(BDEGENER[[#This Row],[SERIE]],BDEGENER[[#This Row],[GA5]])</f>
        <v>3005786151MANT4</v>
      </c>
      <c r="BE247" s="683" t="str">
        <f>CONCATENATE(BDEGENER[[#This Row],[CODIGO PATRIMONIAL]],BDEGENER[[#This Row],[GA5]])</f>
        <v>MANT4</v>
      </c>
      <c r="BF247" s="683">
        <f>COUNTIF(BDEGENER[SERIE],BDEGENER[[#This Row],[SERIE]])</f>
        <v>4</v>
      </c>
      <c r="BG247" s="761" t="str">
        <f>CONCATENATE("F",COUNTIF($K$7:K247,K247))</f>
        <v>F2</v>
      </c>
      <c r="BH247" s="683" t="str">
        <f>CONCATENATE(BDEGENER[[#This Row],[FECHA DE SERVICIO]],BDEGENER[[#This Row],[N° DE REGISTROS DEL DIA]])</f>
        <v>44071F2</v>
      </c>
      <c r="BI247" s="684"/>
      <c r="BJ247" s="683" t="s">
        <v>1544</v>
      </c>
      <c r="BK247" s="762"/>
    </row>
    <row r="248" spans="2:63" ht="69" hidden="1" x14ac:dyDescent="0.3">
      <c r="B248" s="2"/>
      <c r="C248" s="2"/>
      <c r="D248" s="2"/>
      <c r="E248" s="2"/>
      <c r="F248" s="2"/>
      <c r="G248" s="2"/>
      <c r="H248" s="2"/>
      <c r="I248" s="2"/>
      <c r="J248" s="685"/>
      <c r="K248" s="682">
        <v>44071</v>
      </c>
      <c r="L248" s="683" t="s">
        <v>248</v>
      </c>
      <c r="M248" s="683" t="s">
        <v>2078</v>
      </c>
      <c r="N248" s="683" t="s">
        <v>1319</v>
      </c>
      <c r="O248" s="683"/>
      <c r="P248" s="683"/>
      <c r="Q248" s="683" t="s">
        <v>108</v>
      </c>
      <c r="R248" s="683" t="s">
        <v>1782</v>
      </c>
      <c r="S248" s="686" t="s">
        <v>3098</v>
      </c>
      <c r="T248" s="683" t="s">
        <v>3097</v>
      </c>
      <c r="U248" s="683" t="s">
        <v>3099</v>
      </c>
      <c r="V248" s="761" t="s">
        <v>488</v>
      </c>
      <c r="W248" s="683" t="s">
        <v>914</v>
      </c>
      <c r="X248" s="691" t="s">
        <v>918</v>
      </c>
      <c r="Y248" s="687">
        <v>3005005010</v>
      </c>
      <c r="Z248" s="692">
        <v>24547</v>
      </c>
      <c r="AA248" s="683" t="s">
        <v>33</v>
      </c>
      <c r="AB248" s="683" t="s">
        <v>34</v>
      </c>
      <c r="AC248" s="683" t="s">
        <v>230</v>
      </c>
      <c r="AD248" s="683"/>
      <c r="AE248" s="683"/>
      <c r="AF248" s="684">
        <v>2238.9</v>
      </c>
      <c r="AG248" s="683" t="s">
        <v>243</v>
      </c>
      <c r="AH248" s="683" t="s">
        <v>220</v>
      </c>
      <c r="AI248" s="683" t="s">
        <v>33</v>
      </c>
      <c r="AJ248" s="683">
        <v>3005065416</v>
      </c>
      <c r="AK248" s="683" t="s">
        <v>33</v>
      </c>
      <c r="AL248" s="683">
        <v>139546230</v>
      </c>
      <c r="AM248" s="683"/>
      <c r="AN248" s="683"/>
      <c r="AO248" s="683"/>
      <c r="AP248" s="683" t="s">
        <v>240</v>
      </c>
      <c r="AQ248" s="688" t="str">
        <f>CONCATENATE("REG-",BDEGENER[[#This Row],[FECHA DE SERVICIO]],"-",BDEGENER[[#This Row],[SERIE]],"-",BDEGENER[[#This Row],[HORAS]])</f>
        <v>REG-44071-3005005010-2238,9</v>
      </c>
      <c r="AR248" s="683" t="str">
        <f>CONCATENATE("MARCA: ",BDEGENER[[#This Row],[MARCA]],"
 MODELO: ",BDEGENER[[#This Row],[MODELO]])</f>
        <v>MARCA: GENERAC
 MODELO: PG090</v>
      </c>
      <c r="AS248" s="683" t="str">
        <f>CONCATENATE("MARCA: ",BDEGENER[[#This Row],[MARCA DE MOTOR]],"
SERIE: ",BDEGENER[[#This Row],[SERIE DE MOTOR]])</f>
        <v>MARCA: GENERAC
SERIE: 3005065416</v>
      </c>
      <c r="AT248" s="683" t="str">
        <f>CONCATENATE("MARCA: ",BDEGENER[[#This Row],[MARCA ALTERNADOR ]],"
SERIE: ",BDEGENER[[#This Row],[SERIE DE ALTERNADOR]])</f>
        <v>MARCA: GENERAC
SERIE: 139546230</v>
      </c>
      <c r="AU248" s="683" t="str">
        <f>CONCATENATE("HORAS: ",BDEGENER[[#This Row],[HORAS]],"
KW-HR: ",BDEGENER[[#This Row],[KW-HORA]],"
VOLT.BATERIA: ",BDEGENER[[#This Row],[VOLTAJE DE BATERIA]],"
TEMPERATURA: ",BDEGENER[[#This Row],[TEMPERATURA DE AGUA]],"
PRES. ACEITE: ",BDEGENER[[#This Row],[PRESION DE ACEITE]])</f>
        <v xml:space="preserve">HORAS: 2238,9
KW-HR: 
VOLT.BATERIA: 
TEMPERATURA: 
PRES. ACEITE: </v>
      </c>
      <c r="AV248" s="683">
        <f>COUNTIFS(Q248:Q2248,"MANTENIMIENTO CORRECTIVO",Y248:Y2248,BDEGENER[[#This Row],[SERIE]])</f>
        <v>0</v>
      </c>
      <c r="AW248" s="683">
        <f>COUNTIFS(Q248:Q2248,"MANTENIMIENTO PREVENTIVO",Y248:Y2248,BDEGENER[[#This Row],[SERIE]])</f>
        <v>7</v>
      </c>
      <c r="AX24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248" s="683">
        <f>COUNTIFS(BDEGENER[SERIE],BDEGENER[[#This Row],[SERIE]],BDEGENER[TIPO DE SERVICIO],"MANTENIMIENTO PREVENTIVO")</f>
        <v>9</v>
      </c>
      <c r="AZ248" s="683" t="str">
        <f>CONCATENATE("MANTENIMIENTO PREVENTIVO N°",BDEGENER[[#This Row],[GA1]])</f>
        <v>MANTENIMIENTO PREVENTIVO N°9</v>
      </c>
      <c r="BA248" s="683" t="str">
        <f>IF(BDEGENER[[#This Row],[SERVICIO]]=BDEGENER[[#This Row],[GA2]],BDEGENER[[#This Row],[HORAS]],"0")</f>
        <v>0</v>
      </c>
      <c r="BB248" s="683">
        <f>SUMIF(BDEGENER[SERIE],BDEGENER[[#This Row],[SERIE]],BDEGENER[GA3])</f>
        <v>2557.3000000000002</v>
      </c>
      <c r="BC248" s="683" t="str">
        <f>CONCATENATE("MANT",COUNTIF($Y$7:Y248,Y248))</f>
        <v>MANT5</v>
      </c>
      <c r="BD248" s="683" t="str">
        <f>CONCATENATE(BDEGENER[[#This Row],[SERIE]],BDEGENER[[#This Row],[GA5]])</f>
        <v>3005005010MANT5</v>
      </c>
      <c r="BE248" s="683" t="str">
        <f>CONCATENATE(BDEGENER[[#This Row],[CODIGO PATRIMONIAL]],BDEGENER[[#This Row],[GA5]])</f>
        <v>24547MANT5</v>
      </c>
      <c r="BF248" s="683">
        <f>COUNTIF(BDEGENER[SERIE],BDEGENER[[#This Row],[SERIE]])</f>
        <v>14</v>
      </c>
      <c r="BG248" s="683" t="str">
        <f>CONCATENATE("F",COUNTIF($K$7:K248,K248))</f>
        <v>F3</v>
      </c>
      <c r="BH248" s="683" t="str">
        <f>CONCATENATE(BDEGENER[[#This Row],[FECHA DE SERVICIO]],BDEGENER[[#This Row],[N° DE REGISTROS DEL DIA]])</f>
        <v>44071F3</v>
      </c>
      <c r="BI248" s="684"/>
      <c r="BJ248" s="683" t="s">
        <v>1544</v>
      </c>
      <c r="BK248" s="762"/>
    </row>
    <row r="249" spans="2:63" ht="69" hidden="1" x14ac:dyDescent="0.3">
      <c r="B249" s="2"/>
      <c r="C249" s="2"/>
      <c r="D249" s="2"/>
      <c r="E249" s="2"/>
      <c r="F249" s="2"/>
      <c r="G249" s="2"/>
      <c r="H249" s="2"/>
      <c r="I249" s="2"/>
      <c r="J249" s="685"/>
      <c r="K249" s="682">
        <v>44070</v>
      </c>
      <c r="L249" s="683" t="s">
        <v>561</v>
      </c>
      <c r="M249" s="683" t="s">
        <v>583</v>
      </c>
      <c r="N249" s="683" t="s">
        <v>578</v>
      </c>
      <c r="O249" s="683"/>
      <c r="P249" s="683"/>
      <c r="Q249" s="683" t="s">
        <v>107</v>
      </c>
      <c r="R249" s="683" t="s">
        <v>3027</v>
      </c>
      <c r="S249" s="686" t="s">
        <v>3028</v>
      </c>
      <c r="T249" s="683" t="s">
        <v>3029</v>
      </c>
      <c r="U249" s="683" t="s">
        <v>3030</v>
      </c>
      <c r="V249" s="683" t="s">
        <v>677</v>
      </c>
      <c r="W249" s="683" t="s">
        <v>913</v>
      </c>
      <c r="X249" s="691" t="s">
        <v>918</v>
      </c>
      <c r="Y249" s="687">
        <v>3003415539</v>
      </c>
      <c r="Z249" s="692" t="s">
        <v>2600</v>
      </c>
      <c r="AA249" s="683" t="s">
        <v>33</v>
      </c>
      <c r="AB249" s="683" t="s">
        <v>217</v>
      </c>
      <c r="AC249" s="683" t="s">
        <v>749</v>
      </c>
      <c r="AD249" s="683"/>
      <c r="AE249" s="683"/>
      <c r="AF249" s="684">
        <v>5368.7</v>
      </c>
      <c r="AG249" s="683" t="s">
        <v>243</v>
      </c>
      <c r="AH249" s="683" t="s">
        <v>1803</v>
      </c>
      <c r="AI249" s="683" t="s">
        <v>2553</v>
      </c>
      <c r="AJ249" s="683"/>
      <c r="AK249" s="683" t="s">
        <v>33</v>
      </c>
      <c r="AL249" s="683"/>
      <c r="AM249" s="683"/>
      <c r="AN249" s="683"/>
      <c r="AO249" s="683"/>
      <c r="AP249" s="683" t="s">
        <v>240</v>
      </c>
      <c r="AQ249" s="688" t="str">
        <f>CONCATENATE("REG-",BDEGENER[[#This Row],[FECHA DE SERVICIO]],"-",BDEGENER[[#This Row],[SERIE]],"-",BDEGENER[[#This Row],[HORAS]])</f>
        <v>REG-44070-3003415539-5368,7</v>
      </c>
      <c r="AR249" s="683" t="str">
        <f>CONCATENATE("MARCA: ",BDEGENER[[#This Row],[MARCA]],"
 MODELO: ",BDEGENER[[#This Row],[MODELO]])</f>
        <v>MARCA: GENERAC
 MODELO: RG022</v>
      </c>
      <c r="AS249" s="683" t="str">
        <f>CONCATENATE("MARCA: ",BDEGENER[[#This Row],[MARCA DE MOTOR]],"
SERIE: ",BDEGENER[[#This Row],[SERIE DE MOTOR]])</f>
        <v xml:space="preserve">MARCA: MITSUBISHI
SERIE: </v>
      </c>
      <c r="AT249" s="683" t="str">
        <f>CONCATENATE("MARCA: ",BDEGENER[[#This Row],[MARCA ALTERNADOR ]],"
SERIE: ",BDEGENER[[#This Row],[SERIE DE ALTERNADOR]])</f>
        <v xml:space="preserve">MARCA: GENERAC
SERIE: </v>
      </c>
      <c r="AU249" s="683" t="str">
        <f>CONCATENATE("HORAS: ",BDEGENER[[#This Row],[HORAS]],"
KW-HR: ",BDEGENER[[#This Row],[KW-HORA]],"
VOLT.BATERIA: ",BDEGENER[[#This Row],[VOLTAJE DE BATERIA]],"
TEMPERATURA: ",BDEGENER[[#This Row],[TEMPERATURA DE AGUA]],"
PRES. ACEITE: ",BDEGENER[[#This Row],[PRESION DE ACEITE]])</f>
        <v xml:space="preserve">HORAS: 5368,7
KW-HR: 
VOLT.BATERIA: 
TEMPERATURA: 
PRES. ACEITE: </v>
      </c>
      <c r="AV249" s="683">
        <f>COUNTIFS(Q249:Q2249,"MANTENIMIENTO CORRECTIVO",Y249:Y2249,BDEGENER[[#This Row],[SERIE]])</f>
        <v>4</v>
      </c>
      <c r="AW249" s="683">
        <f>COUNTIFS(Q249:Q2249,"MANTENIMIENTO PREVENTIVO",Y249:Y2249,BDEGENER[[#This Row],[SERIE]])</f>
        <v>8</v>
      </c>
      <c r="AX24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249" s="683">
        <f>COUNTIFS(BDEGENER[SERIE],BDEGENER[[#This Row],[SERIE]],BDEGENER[TIPO DE SERVICIO],"MANTENIMIENTO PREVENTIVO")</f>
        <v>11</v>
      </c>
      <c r="AZ249" s="683" t="str">
        <f>CONCATENATE("MANTENIMIENTO PREVENTIVO N°",BDEGENER[[#This Row],[GA1]])</f>
        <v>MANTENIMIENTO PREVENTIVO N°11</v>
      </c>
      <c r="BA249" s="683" t="str">
        <f>IF(BDEGENER[[#This Row],[SERVICIO]]=BDEGENER[[#This Row],[GA2]],BDEGENER[[#This Row],[HORAS]],"0")</f>
        <v>0</v>
      </c>
      <c r="BB249" s="683">
        <f>SUMIF(BDEGENER[SERIE],BDEGENER[[#This Row],[SERIE]],BDEGENER[GA3])</f>
        <v>5881.6</v>
      </c>
      <c r="BC249" s="683" t="str">
        <f>CONCATENATE("MANT",COUNTIF($Y$7:Y249,Y249))</f>
        <v>MANT4</v>
      </c>
      <c r="BD249" s="683" t="str">
        <f>CONCATENATE(BDEGENER[[#This Row],[SERIE]],BDEGENER[[#This Row],[GA5]])</f>
        <v>3003415539MANT4</v>
      </c>
      <c r="BE249" s="683" t="str">
        <f>CONCATENATE(BDEGENER[[#This Row],[CODIGO PATRIMONIAL]],BDEGENER[[#This Row],[GA5]])</f>
        <v>SUR-GEG-0004MANT4</v>
      </c>
      <c r="BF249" s="683">
        <f>COUNTIF(BDEGENER[SERIE],BDEGENER[[#This Row],[SERIE]])</f>
        <v>16</v>
      </c>
      <c r="BG249" s="683" t="str">
        <f>CONCATENATE("F",COUNTIF($K$7:K249,K249))</f>
        <v>F1</v>
      </c>
      <c r="BH249" s="683" t="str">
        <f>CONCATENATE(BDEGENER[[#This Row],[FECHA DE SERVICIO]],BDEGENER[[#This Row],[N° DE REGISTROS DEL DIA]])</f>
        <v>44070F1</v>
      </c>
      <c r="BI249" s="684"/>
      <c r="BJ249" s="683" t="s">
        <v>1544</v>
      </c>
      <c r="BK249" s="762"/>
    </row>
    <row r="250" spans="2:63" ht="69" hidden="1" x14ac:dyDescent="0.3">
      <c r="B250" s="2"/>
      <c r="C250" s="2"/>
      <c r="D250" s="2"/>
      <c r="E250" s="2"/>
      <c r="F250" s="2"/>
      <c r="G250" s="2"/>
      <c r="H250" s="2"/>
      <c r="I250" s="2"/>
      <c r="J250" s="685"/>
      <c r="K250" s="682">
        <v>44070</v>
      </c>
      <c r="L250" s="683" t="s">
        <v>561</v>
      </c>
      <c r="M250" s="683" t="s">
        <v>567</v>
      </c>
      <c r="N250" s="683" t="s">
        <v>568</v>
      </c>
      <c r="O250" s="683"/>
      <c r="P250" s="688" t="s">
        <v>3025</v>
      </c>
      <c r="Q250" s="683" t="s">
        <v>37</v>
      </c>
      <c r="R250" s="683" t="s">
        <v>1782</v>
      </c>
      <c r="S250" s="686" t="s">
        <v>3026</v>
      </c>
      <c r="T250" s="683" t="s">
        <v>2870</v>
      </c>
      <c r="U250" s="683" t="s">
        <v>2404</v>
      </c>
      <c r="V250" s="683" t="s">
        <v>677</v>
      </c>
      <c r="W250" s="683" t="s">
        <v>914</v>
      </c>
      <c r="X250" s="691" t="s">
        <v>918</v>
      </c>
      <c r="Y250" s="687">
        <v>3003962766</v>
      </c>
      <c r="Z250" s="692" t="s">
        <v>2602</v>
      </c>
      <c r="AA250" s="683" t="s">
        <v>33</v>
      </c>
      <c r="AB250" s="683" t="s">
        <v>34</v>
      </c>
      <c r="AC250" s="683" t="s">
        <v>230</v>
      </c>
      <c r="AD250" s="683" t="s">
        <v>1416</v>
      </c>
      <c r="AE250" s="683">
        <v>60</v>
      </c>
      <c r="AF250" s="684">
        <v>3480.2</v>
      </c>
      <c r="AG250" s="683" t="s">
        <v>243</v>
      </c>
      <c r="AH250" s="683" t="s">
        <v>220</v>
      </c>
      <c r="AI250" s="683" t="s">
        <v>33</v>
      </c>
      <c r="AJ250" s="683">
        <v>3003966248</v>
      </c>
      <c r="AK250" s="683" t="s">
        <v>33</v>
      </c>
      <c r="AL250" s="683"/>
      <c r="AM250" s="683" t="s">
        <v>2319</v>
      </c>
      <c r="AN250" s="683" t="s">
        <v>1424</v>
      </c>
      <c r="AO250" s="683" t="s">
        <v>1383</v>
      </c>
      <c r="AP250" s="683" t="s">
        <v>240</v>
      </c>
      <c r="AQ250" s="688" t="str">
        <f>CONCATENATE("REG-",BDEGENER[[#This Row],[FECHA DE SERVICIO]],"-",BDEGENER[[#This Row],[SERIE]],"-",BDEGENER[[#This Row],[HORAS]])</f>
        <v>REG-44070-3003962766-3480,2</v>
      </c>
      <c r="AR250" s="683" t="str">
        <f>CONCATENATE("MARCA: ",BDEGENER[[#This Row],[MARCA]],"
 MODELO: ",BDEGENER[[#This Row],[MODELO]])</f>
        <v>MARCA: GENERAC
 MODELO: PG090</v>
      </c>
      <c r="AS250" s="683" t="str">
        <f>CONCATENATE("MARCA: ",BDEGENER[[#This Row],[MARCA DE MOTOR]],"
SERIE: ",BDEGENER[[#This Row],[SERIE DE MOTOR]])</f>
        <v>MARCA: GENERAC
SERIE: 3003966248</v>
      </c>
      <c r="AT250" s="683" t="str">
        <f>CONCATENATE("MARCA: ",BDEGENER[[#This Row],[MARCA ALTERNADOR ]],"
SERIE: ",BDEGENER[[#This Row],[SERIE DE ALTERNADOR]])</f>
        <v xml:space="preserve">MARCA: GENERAC
SERIE: </v>
      </c>
      <c r="AU250" s="683" t="str">
        <f>CONCATENATE("HORAS: ",BDEGENER[[#This Row],[HORAS]],"
KW-HR: ",BDEGENER[[#This Row],[KW-HORA]],"
VOLT.BATERIA: ",BDEGENER[[#This Row],[VOLTAJE DE BATERIA]],"
TEMPERATURA: ",BDEGENER[[#This Row],[TEMPERATURA DE AGUA]],"
PRES. ACEITE: ",BDEGENER[[#This Row],[PRESION DE ACEITE]])</f>
        <v>HORAS: 3480,2
KW-HR: 
VOLT.BATERIA: 14.3 V
TEMPERATURA: 185 °F
PRES. ACEITE: 68 PSI</v>
      </c>
      <c r="AV250" s="761">
        <f>COUNTIFS(Q250:Q2250,"MANTENIMIENTO CORRECTIVO",Y250:Y2250,BDEGENER[[#This Row],[SERIE]])</f>
        <v>2</v>
      </c>
      <c r="AW250" s="761">
        <f>COUNTIFS(Q250:Q2250,"MANTENIMIENTO PREVENTIVO",Y250:Y2250,BDEGENER[[#This Row],[SERIE]])</f>
        <v>6</v>
      </c>
      <c r="AX25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50" s="683">
        <f>COUNTIFS(BDEGENER[SERIE],BDEGENER[[#This Row],[SERIE]],BDEGENER[TIPO DE SERVICIO],"MANTENIMIENTO PREVENTIVO")</f>
        <v>9</v>
      </c>
      <c r="AZ250" s="683" t="str">
        <f>CONCATENATE("MANTENIMIENTO PREVENTIVO N°",BDEGENER[[#This Row],[GA1]])</f>
        <v>MANTENIMIENTO PREVENTIVO N°9</v>
      </c>
      <c r="BA250" s="683" t="str">
        <f>IF(BDEGENER[[#This Row],[SERVICIO]]=BDEGENER[[#This Row],[GA2]],BDEGENER[[#This Row],[HORAS]],"0")</f>
        <v>0</v>
      </c>
      <c r="BB250" s="683">
        <f>SUMIF(BDEGENER[SERIE],BDEGENER[[#This Row],[SERIE]],BDEGENER[GA3])</f>
        <v>4662.2</v>
      </c>
      <c r="BC250" s="761" t="str">
        <f>CONCATENATE("MANT",COUNTIF($Y$7:Y250,Y250))</f>
        <v>MANT7</v>
      </c>
      <c r="BD250" s="683" t="str">
        <f>CONCATENATE(BDEGENER[[#This Row],[SERIE]],BDEGENER[[#This Row],[GA5]])</f>
        <v>3003962766MANT7</v>
      </c>
      <c r="BE250" s="683" t="str">
        <f>CONCATENATE(BDEGENER[[#This Row],[CODIGO PATRIMONIAL]],BDEGENER[[#This Row],[GA5]])</f>
        <v>SUR-GEG-0006MANT7</v>
      </c>
      <c r="BF250" s="683">
        <f>COUNTIF(BDEGENER[SERIE],BDEGENER[[#This Row],[SERIE]])</f>
        <v>16</v>
      </c>
      <c r="BG250" s="761" t="str">
        <f>CONCATENATE("F",COUNTIF($K$7:K250,K250))</f>
        <v>F2</v>
      </c>
      <c r="BH250" s="683" t="str">
        <f>CONCATENATE(BDEGENER[[#This Row],[FECHA DE SERVICIO]],BDEGENER[[#This Row],[N° DE REGISTROS DEL DIA]])</f>
        <v>44070F2</v>
      </c>
      <c r="BI250" s="684"/>
      <c r="BJ250" s="683" t="s">
        <v>1544</v>
      </c>
      <c r="BK250" s="762"/>
    </row>
    <row r="251" spans="2:63" ht="69" hidden="1" x14ac:dyDescent="0.3">
      <c r="B251" s="2"/>
      <c r="C251" s="2"/>
      <c r="D251" s="2"/>
      <c r="E251" s="2"/>
      <c r="F251" s="2"/>
      <c r="G251" s="2"/>
      <c r="H251" s="2"/>
      <c r="I251" s="2"/>
      <c r="J251" s="685"/>
      <c r="K251" s="682">
        <v>44070</v>
      </c>
      <c r="L251" s="683" t="s">
        <v>181</v>
      </c>
      <c r="M251" s="683" t="s">
        <v>182</v>
      </c>
      <c r="N251" s="683" t="s">
        <v>183</v>
      </c>
      <c r="O251" s="683">
        <v>4500873022</v>
      </c>
      <c r="P251" s="683" t="s">
        <v>3024</v>
      </c>
      <c r="Q251" s="683" t="s">
        <v>37</v>
      </c>
      <c r="R251" s="683" t="s">
        <v>1782</v>
      </c>
      <c r="S251" s="686" t="s">
        <v>2976</v>
      </c>
      <c r="T251" s="683" t="s">
        <v>2870</v>
      </c>
      <c r="U251" s="683" t="s">
        <v>2488</v>
      </c>
      <c r="V251" s="683" t="s">
        <v>146</v>
      </c>
      <c r="W251" s="683" t="s">
        <v>914</v>
      </c>
      <c r="X251" s="691" t="s">
        <v>918</v>
      </c>
      <c r="Y251" s="687">
        <v>3004381435</v>
      </c>
      <c r="Z251" s="692"/>
      <c r="AA251" s="683" t="s">
        <v>33</v>
      </c>
      <c r="AB251" s="683" t="s">
        <v>34</v>
      </c>
      <c r="AC251" s="683" t="s">
        <v>230</v>
      </c>
      <c r="AD251" s="683" t="s">
        <v>1110</v>
      </c>
      <c r="AE251" s="683">
        <v>60</v>
      </c>
      <c r="AF251" s="684">
        <v>1542.6</v>
      </c>
      <c r="AG251" s="683" t="s">
        <v>243</v>
      </c>
      <c r="AH251" s="683" t="s">
        <v>220</v>
      </c>
      <c r="AI251" s="683" t="s">
        <v>33</v>
      </c>
      <c r="AJ251" s="683">
        <v>3004346796</v>
      </c>
      <c r="AK251" s="683" t="s">
        <v>33</v>
      </c>
      <c r="AL251" s="683">
        <v>10630960</v>
      </c>
      <c r="AM251" s="683" t="s">
        <v>1121</v>
      </c>
      <c r="AN251" s="683" t="s">
        <v>1122</v>
      </c>
      <c r="AO251" s="683" t="s">
        <v>247</v>
      </c>
      <c r="AP251" s="683" t="s">
        <v>240</v>
      </c>
      <c r="AQ251" s="688" t="str">
        <f>CONCATENATE("REG-",BDEGENER[[#This Row],[FECHA DE SERVICIO]],"-",BDEGENER[[#This Row],[SERIE]],"-",BDEGENER[[#This Row],[HORAS]])</f>
        <v>REG-44070-3004381435-1542,6</v>
      </c>
      <c r="AR251" s="683" t="str">
        <f>CONCATENATE("MARCA: ",BDEGENER[[#This Row],[MARCA]],"
 MODELO: ",BDEGENER[[#This Row],[MODELO]])</f>
        <v>MARCA: GENERAC
 MODELO: PG090</v>
      </c>
      <c r="AS251" s="683" t="str">
        <f>CONCATENATE("MARCA: ",BDEGENER[[#This Row],[MARCA DE MOTOR]],"
SERIE: ",BDEGENER[[#This Row],[SERIE DE MOTOR]])</f>
        <v>MARCA: GENERAC
SERIE: 3004346796</v>
      </c>
      <c r="AT251" s="683" t="str">
        <f>CONCATENATE("MARCA: ",BDEGENER[[#This Row],[MARCA ALTERNADOR ]],"
SERIE: ",BDEGENER[[#This Row],[SERIE DE ALTERNADOR]])</f>
        <v>MARCA: GENERAC
SERIE: 10630960</v>
      </c>
      <c r="AU251" s="683" t="str">
        <f>CONCATENATE("HORAS: ",BDEGENER[[#This Row],[HORAS]],"
KW-HR: ",BDEGENER[[#This Row],[KW-HORA]],"
VOLT.BATERIA: ",BDEGENER[[#This Row],[VOLTAJE DE BATERIA]],"
TEMPERATURA: ",BDEGENER[[#This Row],[TEMPERATURA DE AGUA]],"
PRES. ACEITE: ",BDEGENER[[#This Row],[PRESION DE ACEITE]])</f>
        <v>HORAS: 1542,6
KW-HR: 28883,2
VOLT.BATERIA: 13.7 V
TEMPERATURA: 195 °F
PRES. ACEITE: 55 PSI</v>
      </c>
      <c r="AV251" s="683">
        <f>COUNTIFS(Q251:Q2251,"MANTENIMIENTO CORRECTIVO",Y251:Y2251,BDEGENER[[#This Row],[SERIE]])</f>
        <v>2</v>
      </c>
      <c r="AW251" s="683">
        <f>COUNTIFS(Q251:Q2251,"MANTENIMIENTO PREVENTIVO",Y251:Y2251,BDEGENER[[#This Row],[SERIE]])</f>
        <v>6</v>
      </c>
      <c r="AX25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51" s="683">
        <f>COUNTIFS(BDEGENER[SERIE],BDEGENER[[#This Row],[SERIE]],BDEGENER[TIPO DE SERVICIO],"MANTENIMIENTO PREVENTIVO")</f>
        <v>8</v>
      </c>
      <c r="AZ251" s="683" t="str">
        <f>CONCATENATE("MANTENIMIENTO PREVENTIVO N°",BDEGENER[[#This Row],[GA1]])</f>
        <v>MANTENIMIENTO PREVENTIVO N°8</v>
      </c>
      <c r="BA251" s="683" t="str">
        <f>IF(BDEGENER[[#This Row],[SERVICIO]]=BDEGENER[[#This Row],[GA2]],BDEGENER[[#This Row],[HORAS]],"0")</f>
        <v>0</v>
      </c>
      <c r="BB251" s="683">
        <f>SUMIF(BDEGENER[SERIE],BDEGENER[[#This Row],[SERIE]],BDEGENER[GA3])</f>
        <v>2141.3000000000002</v>
      </c>
      <c r="BC251" s="683" t="str">
        <f>CONCATENATE("MANT",COUNTIF($Y$7:Y251,Y251))</f>
        <v>MANT5</v>
      </c>
      <c r="BD251" s="683" t="str">
        <f>CONCATENATE(BDEGENER[[#This Row],[SERIE]],BDEGENER[[#This Row],[GA5]])</f>
        <v>3004381435MANT5</v>
      </c>
      <c r="BE251" s="683" t="str">
        <f>CONCATENATE(BDEGENER[[#This Row],[CODIGO PATRIMONIAL]],BDEGENER[[#This Row],[GA5]])</f>
        <v>MANT5</v>
      </c>
      <c r="BF251" s="683">
        <f>COUNTIF(BDEGENER[SERIE],BDEGENER[[#This Row],[SERIE]])</f>
        <v>13</v>
      </c>
      <c r="BG251" s="683" t="str">
        <f>CONCATENATE("F",COUNTIF($K$7:K251,K251))</f>
        <v>F3</v>
      </c>
      <c r="BH251" s="683" t="str">
        <f>CONCATENATE(BDEGENER[[#This Row],[FECHA DE SERVICIO]],BDEGENER[[#This Row],[N° DE REGISTROS DEL DIA]])</f>
        <v>44070F3</v>
      </c>
      <c r="BI251" s="684">
        <v>28883.200000000001</v>
      </c>
      <c r="BJ251" s="683" t="s">
        <v>1544</v>
      </c>
      <c r="BK251" s="762"/>
    </row>
    <row r="252" spans="2:63" ht="69" hidden="1" x14ac:dyDescent="0.3">
      <c r="B252" s="2"/>
      <c r="C252" s="2"/>
      <c r="D252" s="2"/>
      <c r="E252" s="2"/>
      <c r="F252" s="2"/>
      <c r="G252" s="2"/>
      <c r="H252" s="2"/>
      <c r="I252" s="2"/>
      <c r="J252" s="685"/>
      <c r="K252" s="682">
        <v>44070</v>
      </c>
      <c r="L252" s="683" t="s">
        <v>181</v>
      </c>
      <c r="M252" s="683" t="s">
        <v>187</v>
      </c>
      <c r="N252" s="683" t="s">
        <v>183</v>
      </c>
      <c r="O252" s="683">
        <v>4500873022</v>
      </c>
      <c r="P252" s="683" t="s">
        <v>3023</v>
      </c>
      <c r="Q252" s="683" t="s">
        <v>37</v>
      </c>
      <c r="R252" s="683" t="s">
        <v>1782</v>
      </c>
      <c r="S252" s="686" t="s">
        <v>2976</v>
      </c>
      <c r="T252" s="683" t="s">
        <v>2948</v>
      </c>
      <c r="U252" s="683" t="s">
        <v>2488</v>
      </c>
      <c r="V252" s="683" t="s">
        <v>146</v>
      </c>
      <c r="W252" s="683" t="s">
        <v>914</v>
      </c>
      <c r="X252" s="691" t="s">
        <v>918</v>
      </c>
      <c r="Y252" s="687">
        <v>3004218547</v>
      </c>
      <c r="Z252" s="692"/>
      <c r="AA252" s="683" t="s">
        <v>33</v>
      </c>
      <c r="AB252" s="683" t="s">
        <v>34</v>
      </c>
      <c r="AC252" s="683" t="s">
        <v>230</v>
      </c>
      <c r="AD252" s="683" t="s">
        <v>1110</v>
      </c>
      <c r="AE252" s="683">
        <v>60</v>
      </c>
      <c r="AF252" s="684">
        <v>1660.5</v>
      </c>
      <c r="AG252" s="683" t="s">
        <v>243</v>
      </c>
      <c r="AH252" s="683" t="s">
        <v>220</v>
      </c>
      <c r="AI252" s="683" t="s">
        <v>33</v>
      </c>
      <c r="AJ252" s="683">
        <v>3003966252</v>
      </c>
      <c r="AK252" s="683" t="s">
        <v>33</v>
      </c>
      <c r="AL252" s="683">
        <v>10630140</v>
      </c>
      <c r="AM252" s="683" t="s">
        <v>1121</v>
      </c>
      <c r="AN252" s="683" t="s">
        <v>1352</v>
      </c>
      <c r="AO252" s="683" t="s">
        <v>1318</v>
      </c>
      <c r="AP252" s="683" t="s">
        <v>240</v>
      </c>
      <c r="AQ252" s="688" t="str">
        <f>CONCATENATE("REG-",BDEGENER[[#This Row],[FECHA DE SERVICIO]],"-",BDEGENER[[#This Row],[SERIE]],"-",BDEGENER[[#This Row],[HORAS]])</f>
        <v>REG-44070-3004218547-1660,5</v>
      </c>
      <c r="AR252" s="683" t="str">
        <f>CONCATENATE("MARCA: ",BDEGENER[[#This Row],[MARCA]],"
 MODELO: ",BDEGENER[[#This Row],[MODELO]])</f>
        <v>MARCA: GENERAC
 MODELO: PG090</v>
      </c>
      <c r="AS252" s="683" t="str">
        <f>CONCATENATE("MARCA: ",BDEGENER[[#This Row],[MARCA DE MOTOR]],"
SERIE: ",BDEGENER[[#This Row],[SERIE DE MOTOR]])</f>
        <v>MARCA: GENERAC
SERIE: 3003966252</v>
      </c>
      <c r="AT252" s="683" t="str">
        <f>CONCATENATE("MARCA: ",BDEGENER[[#This Row],[MARCA ALTERNADOR ]],"
SERIE: ",BDEGENER[[#This Row],[SERIE DE ALTERNADOR]])</f>
        <v>MARCA: GENERAC
SERIE: 10630140</v>
      </c>
      <c r="AU252" s="683" t="str">
        <f>CONCATENATE("HORAS: ",BDEGENER[[#This Row],[HORAS]],"
KW-HR: ",BDEGENER[[#This Row],[KW-HORA]],"
VOLT.BATERIA: ",BDEGENER[[#This Row],[VOLTAJE DE BATERIA]],"
TEMPERATURA: ",BDEGENER[[#This Row],[TEMPERATURA DE AGUA]],"
PRES. ACEITE: ",BDEGENER[[#This Row],[PRESION DE ACEITE]])</f>
        <v>HORAS: 1660,5
KW-HR: 47854,1
VOLT.BATERIA: 13.7 V
TEMPERATURA: 196 °F
PRES. ACEITE: 58 PSI</v>
      </c>
      <c r="AV252" s="683">
        <f>COUNTIFS(Q252:Q2252,"MANTENIMIENTO CORRECTIVO",Y252:Y2252,BDEGENER[[#This Row],[SERIE]])</f>
        <v>1</v>
      </c>
      <c r="AW252" s="683">
        <f>COUNTIFS(Q252:Q2252,"MANTENIMIENTO PREVENTIVO",Y252:Y2252,BDEGENER[[#This Row],[SERIE]])</f>
        <v>6</v>
      </c>
      <c r="AX25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52" s="683">
        <f>COUNTIFS(BDEGENER[SERIE],BDEGENER[[#This Row],[SERIE]],BDEGENER[TIPO DE SERVICIO],"MANTENIMIENTO PREVENTIVO")</f>
        <v>7</v>
      </c>
      <c r="AZ252" s="683" t="str">
        <f>CONCATENATE("MANTENIMIENTO PREVENTIVO N°",BDEGENER[[#This Row],[GA1]])</f>
        <v>MANTENIMIENTO PREVENTIVO N°7</v>
      </c>
      <c r="BA252" s="683" t="str">
        <f>IF(BDEGENER[[#This Row],[SERVICIO]]=BDEGENER[[#This Row],[GA2]],BDEGENER[[#This Row],[HORAS]],"0")</f>
        <v>0</v>
      </c>
      <c r="BB252" s="683">
        <f>SUMIF(BDEGENER[SERIE],BDEGENER[[#This Row],[SERIE]],BDEGENER[GA3])</f>
        <v>2015.6</v>
      </c>
      <c r="BC252" s="683" t="str">
        <f>CONCATENATE("MANT",COUNTIF($Y$7:Y252,Y252))</f>
        <v>MANT3</v>
      </c>
      <c r="BD252" s="683" t="str">
        <f>CONCATENATE(BDEGENER[[#This Row],[SERIE]],BDEGENER[[#This Row],[GA5]])</f>
        <v>3004218547MANT3</v>
      </c>
      <c r="BE252" s="683" t="str">
        <f>CONCATENATE(BDEGENER[[#This Row],[CODIGO PATRIMONIAL]],BDEGENER[[#This Row],[GA5]])</f>
        <v>MANT3</v>
      </c>
      <c r="BF252" s="683">
        <f>COUNTIF(BDEGENER[SERIE],BDEGENER[[#This Row],[SERIE]])</f>
        <v>12</v>
      </c>
      <c r="BG252" s="683" t="str">
        <f>CONCATENATE("F",COUNTIF($K$7:K252,K252))</f>
        <v>F4</v>
      </c>
      <c r="BH252" s="683" t="str">
        <f>CONCATENATE(BDEGENER[[#This Row],[FECHA DE SERVICIO]],BDEGENER[[#This Row],[N° DE REGISTROS DEL DIA]])</f>
        <v>44070F4</v>
      </c>
      <c r="BI252" s="684">
        <v>47854.1</v>
      </c>
      <c r="BJ252" s="683" t="s">
        <v>1544</v>
      </c>
      <c r="BK252" s="762" t="s">
        <v>2536</v>
      </c>
    </row>
    <row r="253" spans="2:63" ht="69" hidden="1" x14ac:dyDescent="0.3">
      <c r="B253" s="2"/>
      <c r="C253" s="2"/>
      <c r="D253" s="2"/>
      <c r="E253" s="2"/>
      <c r="F253" s="2"/>
      <c r="G253" s="2"/>
      <c r="H253" s="2"/>
      <c r="I253" s="2"/>
      <c r="J253" s="685"/>
      <c r="K253" s="682">
        <v>44069</v>
      </c>
      <c r="L253" s="683" t="s">
        <v>561</v>
      </c>
      <c r="M253" s="683" t="s">
        <v>1245</v>
      </c>
      <c r="N253" s="683" t="s">
        <v>570</v>
      </c>
      <c r="O253" s="683"/>
      <c r="P253" s="688" t="s">
        <v>3102</v>
      </c>
      <c r="Q253" s="683" t="s">
        <v>37</v>
      </c>
      <c r="R253" s="683" t="s">
        <v>1782</v>
      </c>
      <c r="S253" s="686" t="s">
        <v>3101</v>
      </c>
      <c r="T253" s="683" t="s">
        <v>3100</v>
      </c>
      <c r="U253" s="683" t="s">
        <v>3033</v>
      </c>
      <c r="V253" s="683" t="s">
        <v>677</v>
      </c>
      <c r="W253" s="683" t="s">
        <v>913</v>
      </c>
      <c r="X253" s="691" t="s">
        <v>918</v>
      </c>
      <c r="Y253" s="687">
        <v>3004597775</v>
      </c>
      <c r="Z253" s="692" t="s">
        <v>2608</v>
      </c>
      <c r="AA253" s="683" t="s">
        <v>33</v>
      </c>
      <c r="AB253" s="683" t="s">
        <v>217</v>
      </c>
      <c r="AC253" s="683" t="s">
        <v>749</v>
      </c>
      <c r="AD253" s="683" t="s">
        <v>1123</v>
      </c>
      <c r="AE253" s="683">
        <v>60</v>
      </c>
      <c r="AF253" s="684">
        <v>2093.1999999999998</v>
      </c>
      <c r="AG253" s="683" t="s">
        <v>243</v>
      </c>
      <c r="AH253" s="683" t="s">
        <v>1803</v>
      </c>
      <c r="AI253" s="683" t="s">
        <v>2553</v>
      </c>
      <c r="AJ253" s="683"/>
      <c r="AK253" s="683" t="s">
        <v>33</v>
      </c>
      <c r="AL253" s="683"/>
      <c r="AM253" s="683"/>
      <c r="AN253" s="683"/>
      <c r="AO253" s="683"/>
      <c r="AP253" s="683" t="s">
        <v>240</v>
      </c>
      <c r="AQ253" s="688" t="str">
        <f>CONCATENATE("REG-",BDEGENER[[#This Row],[FECHA DE SERVICIO]],"-",BDEGENER[[#This Row],[SERIE]],"-",BDEGENER[[#This Row],[HORAS]])</f>
        <v>REG-44069-3004597775-2093,2</v>
      </c>
      <c r="AR253" s="683" t="str">
        <f>CONCATENATE("MARCA: ",BDEGENER[[#This Row],[MARCA]],"
 MODELO: ",BDEGENER[[#This Row],[MODELO]])</f>
        <v>MARCA: GENERAC
 MODELO: RG022</v>
      </c>
      <c r="AS253" s="683" t="str">
        <f>CONCATENATE("MARCA: ",BDEGENER[[#This Row],[MARCA DE MOTOR]],"
SERIE: ",BDEGENER[[#This Row],[SERIE DE MOTOR]])</f>
        <v xml:space="preserve">MARCA: MITSUBISHI
SERIE: </v>
      </c>
      <c r="AT253" s="683" t="str">
        <f>CONCATENATE("MARCA: ",BDEGENER[[#This Row],[MARCA ALTERNADOR ]],"
SERIE: ",BDEGENER[[#This Row],[SERIE DE ALTERNADOR]])</f>
        <v xml:space="preserve">MARCA: GENERAC
SERIE: </v>
      </c>
      <c r="AU253" s="683" t="str">
        <f>CONCATENATE("HORAS: ",BDEGENER[[#This Row],[HORAS]],"
KW-HR: ",BDEGENER[[#This Row],[KW-HORA]],"
VOLT.BATERIA: ",BDEGENER[[#This Row],[VOLTAJE DE BATERIA]],"
TEMPERATURA: ",BDEGENER[[#This Row],[TEMPERATURA DE AGUA]],"
PRES. ACEITE: ",BDEGENER[[#This Row],[PRESION DE ACEITE]])</f>
        <v xml:space="preserve">HORAS: 2093,2
KW-HR: 
VOLT.BATERIA: 
TEMPERATURA: 
PRES. ACEITE: </v>
      </c>
      <c r="AV253" s="761">
        <f>COUNTIFS(Q253:Q2253,"MANTENIMIENTO CORRECTIVO",Y253:Y2253,BDEGENER[[#This Row],[SERIE]])</f>
        <v>0</v>
      </c>
      <c r="AW253" s="761">
        <f>COUNTIFS(Q253:Q2253,"MANTENIMIENTO PREVENTIVO",Y253:Y2253,BDEGENER[[#This Row],[SERIE]])</f>
        <v>4</v>
      </c>
      <c r="AX25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253" s="683">
        <f>COUNTIFS(BDEGENER[SERIE],BDEGENER[[#This Row],[SERIE]],BDEGENER[TIPO DE SERVICIO],"MANTENIMIENTO PREVENTIVO")</f>
        <v>7</v>
      </c>
      <c r="AZ253" s="683" t="str">
        <f>CONCATENATE("MANTENIMIENTO PREVENTIVO N°",BDEGENER[[#This Row],[GA1]])</f>
        <v>MANTENIMIENTO PREVENTIVO N°7</v>
      </c>
      <c r="BA253" s="683" t="str">
        <f>IF(BDEGENER[[#This Row],[SERVICIO]]=BDEGENER[[#This Row],[GA2]],BDEGENER[[#This Row],[HORAS]],"0")</f>
        <v>0</v>
      </c>
      <c r="BB253" s="683">
        <f>SUMIF(BDEGENER[SERIE],BDEGENER[[#This Row],[SERIE]],BDEGENER[GA3])</f>
        <v>2487</v>
      </c>
      <c r="BC253" s="761" t="str">
        <f>CONCATENATE("MANT",COUNTIF($Y$7:Y253,Y253))</f>
        <v>MANT4</v>
      </c>
      <c r="BD253" s="683" t="str">
        <f>CONCATENATE(BDEGENER[[#This Row],[SERIE]],BDEGENER[[#This Row],[GA5]])</f>
        <v>3004597775MANT4</v>
      </c>
      <c r="BE253" s="683" t="str">
        <f>CONCATENATE(BDEGENER[[#This Row],[CODIGO PATRIMONIAL]],BDEGENER[[#This Row],[GA5]])</f>
        <v>SUR-GEG-0012MANT4</v>
      </c>
      <c r="BF253" s="683">
        <f>COUNTIF(BDEGENER[SERIE],BDEGENER[[#This Row],[SERIE]])</f>
        <v>8</v>
      </c>
      <c r="BG253" s="761" t="str">
        <f>CONCATENATE("F",COUNTIF($K$7:K253,K253))</f>
        <v>F1</v>
      </c>
      <c r="BH253" s="683" t="str">
        <f>CONCATENATE(BDEGENER[[#This Row],[FECHA DE SERVICIO]],BDEGENER[[#This Row],[N° DE REGISTROS DEL DIA]])</f>
        <v>44069F1</v>
      </c>
      <c r="BI253" s="684"/>
      <c r="BJ253" s="683" t="s">
        <v>1544</v>
      </c>
      <c r="BK253" s="762"/>
    </row>
    <row r="254" spans="2:63" ht="69" hidden="1" x14ac:dyDescent="0.3">
      <c r="B254" s="2"/>
      <c r="C254" s="2"/>
      <c r="D254" s="2"/>
      <c r="E254" s="2"/>
      <c r="F254" s="2"/>
      <c r="G254" s="2"/>
      <c r="H254" s="2"/>
      <c r="I254" s="2"/>
      <c r="J254" s="685"/>
      <c r="K254" s="682">
        <v>44069</v>
      </c>
      <c r="L254" s="683" t="s">
        <v>561</v>
      </c>
      <c r="M254" s="683" t="s">
        <v>2445</v>
      </c>
      <c r="N254" s="683" t="s">
        <v>2549</v>
      </c>
      <c r="O254" s="683"/>
      <c r="P254" s="688" t="s">
        <v>3043</v>
      </c>
      <c r="Q254" s="683" t="s">
        <v>37</v>
      </c>
      <c r="R254" s="683" t="s">
        <v>1782</v>
      </c>
      <c r="S254" s="686" t="s">
        <v>3044</v>
      </c>
      <c r="T254" s="683" t="s">
        <v>3045</v>
      </c>
      <c r="U254" s="683" t="s">
        <v>2887</v>
      </c>
      <c r="V254" s="683" t="s">
        <v>677</v>
      </c>
      <c r="W254" s="683" t="s">
        <v>913</v>
      </c>
      <c r="X254" s="691" t="s">
        <v>918</v>
      </c>
      <c r="Y254" s="687">
        <v>3004597773</v>
      </c>
      <c r="Z254" s="692" t="s">
        <v>2609</v>
      </c>
      <c r="AA254" s="683" t="s">
        <v>33</v>
      </c>
      <c r="AB254" s="683" t="s">
        <v>217</v>
      </c>
      <c r="AC254" s="683" t="s">
        <v>750</v>
      </c>
      <c r="AD254" s="683" t="s">
        <v>2443</v>
      </c>
      <c r="AE254" s="683">
        <v>60</v>
      </c>
      <c r="AF254" s="684">
        <v>2613.9</v>
      </c>
      <c r="AG254" s="683" t="s">
        <v>243</v>
      </c>
      <c r="AH254" s="683" t="s">
        <v>1803</v>
      </c>
      <c r="AI254" s="683" t="s">
        <v>2553</v>
      </c>
      <c r="AJ254" s="683"/>
      <c r="AK254" s="683" t="s">
        <v>33</v>
      </c>
      <c r="AL254" s="683"/>
      <c r="AM254" s="683" t="s">
        <v>1094</v>
      </c>
      <c r="AN254" s="683"/>
      <c r="AO254" s="683"/>
      <c r="AP254" s="683" t="s">
        <v>240</v>
      </c>
      <c r="AQ254" s="688" t="str">
        <f>CONCATENATE("REG-",BDEGENER[[#This Row],[FECHA DE SERVICIO]],"-",BDEGENER[[#This Row],[SERIE]],"-",BDEGENER[[#This Row],[HORAS]])</f>
        <v>REG-44069-3004597773-2613,9</v>
      </c>
      <c r="AR254" s="683" t="str">
        <f>CONCATENATE("MARCA: ",BDEGENER[[#This Row],[MARCA]],"
 MODELO: ",BDEGENER[[#This Row],[MODELO]])</f>
        <v>MARCA: GENERAC
 MODELO: RG022</v>
      </c>
      <c r="AS254" s="683" t="str">
        <f>CONCATENATE("MARCA: ",BDEGENER[[#This Row],[MARCA DE MOTOR]],"
SERIE: ",BDEGENER[[#This Row],[SERIE DE MOTOR]])</f>
        <v xml:space="preserve">MARCA: MITSUBISHI
SERIE: </v>
      </c>
      <c r="AT254" s="683" t="str">
        <f>CONCATENATE("MARCA: ",BDEGENER[[#This Row],[MARCA ALTERNADOR ]],"
SERIE: ",BDEGENER[[#This Row],[SERIE DE ALTERNADOR]])</f>
        <v xml:space="preserve">MARCA: GENERAC
SERIE: </v>
      </c>
      <c r="AU254" s="683" t="str">
        <f>CONCATENATE("HORAS: ",BDEGENER[[#This Row],[HORAS]],"
KW-HR: ",BDEGENER[[#This Row],[KW-HORA]],"
VOLT.BATERIA: ",BDEGENER[[#This Row],[VOLTAJE DE BATERIA]],"
TEMPERATURA: ",BDEGENER[[#This Row],[TEMPERATURA DE AGUA]],"
PRES. ACEITE: ",BDEGENER[[#This Row],[PRESION DE ACEITE]])</f>
        <v xml:space="preserve">HORAS: 2613,9
KW-HR: 
VOLT.BATERIA: 13.5 V
TEMPERATURA: 
PRES. ACEITE: </v>
      </c>
      <c r="AV254" s="683">
        <f>COUNTIFS(Q254:Q2254,"MANTENIMIENTO CORRECTIVO",Y254:Y2254,BDEGENER[[#This Row],[SERIE]])</f>
        <v>0</v>
      </c>
      <c r="AW254" s="683">
        <f>COUNTIFS(Q254:Q2254,"MANTENIMIENTO PREVENTIVO",Y254:Y2254,BDEGENER[[#This Row],[SERIE]])</f>
        <v>8</v>
      </c>
      <c r="AX25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254" s="683">
        <f>COUNTIFS(BDEGENER[SERIE],BDEGENER[[#This Row],[SERIE]],BDEGENER[TIPO DE SERVICIO],"MANTENIMIENTO PREVENTIVO")</f>
        <v>9</v>
      </c>
      <c r="AZ254" s="683" t="str">
        <f>CONCATENATE("MANTENIMIENTO PREVENTIVO N°",BDEGENER[[#This Row],[GA1]])</f>
        <v>MANTENIMIENTO PREVENTIVO N°9</v>
      </c>
      <c r="BA254" s="683" t="str">
        <f>IF(BDEGENER[[#This Row],[SERVICIO]]=BDEGENER[[#This Row],[GA2]],BDEGENER[[#This Row],[HORAS]],"0")</f>
        <v>0</v>
      </c>
      <c r="BB254" s="683">
        <f>SUMIF(BDEGENER[SERIE],BDEGENER[[#This Row],[SERIE]],BDEGENER[GA3])</f>
        <v>3087.7</v>
      </c>
      <c r="BC254" s="683" t="str">
        <f>CONCATENATE("MANT",COUNTIF($Y$7:Y254,Y254))</f>
        <v>MANT2</v>
      </c>
      <c r="BD254" s="683" t="str">
        <f>CONCATENATE(BDEGENER[[#This Row],[SERIE]],BDEGENER[[#This Row],[GA5]])</f>
        <v>3004597773MANT2</v>
      </c>
      <c r="BE254" s="683" t="str">
        <f>CONCATENATE(BDEGENER[[#This Row],[CODIGO PATRIMONIAL]],BDEGENER[[#This Row],[GA5]])</f>
        <v>SUR-GEG-0013MANT2</v>
      </c>
      <c r="BF254" s="683">
        <f>COUNTIF(BDEGENER[SERIE],BDEGENER[[#This Row],[SERIE]])</f>
        <v>11</v>
      </c>
      <c r="BG254" s="683" t="str">
        <f>CONCATENATE("F",COUNTIF($K$7:K254,K254))</f>
        <v>F2</v>
      </c>
      <c r="BH254" s="683" t="str">
        <f>CONCATENATE(BDEGENER[[#This Row],[FECHA DE SERVICIO]],BDEGENER[[#This Row],[N° DE REGISTROS DEL DIA]])</f>
        <v>44069F2</v>
      </c>
      <c r="BI254" s="684"/>
      <c r="BJ254" s="683" t="s">
        <v>1544</v>
      </c>
      <c r="BK254" s="762"/>
    </row>
    <row r="255" spans="2:63" ht="69" hidden="1" x14ac:dyDescent="0.3">
      <c r="B255" s="2"/>
      <c r="C255" s="2"/>
      <c r="D255" s="2"/>
      <c r="E255" s="2"/>
      <c r="F255" s="2"/>
      <c r="G255" s="2"/>
      <c r="H255" s="2"/>
      <c r="I255" s="2"/>
      <c r="J255" s="685"/>
      <c r="K255" s="682">
        <v>44069</v>
      </c>
      <c r="L255" s="683" t="s">
        <v>561</v>
      </c>
      <c r="M255" s="683" t="s">
        <v>2480</v>
      </c>
      <c r="N255" s="683" t="s">
        <v>2481</v>
      </c>
      <c r="O255" s="683"/>
      <c r="P255" s="688" t="s">
        <v>3031</v>
      </c>
      <c r="Q255" s="683" t="s">
        <v>37</v>
      </c>
      <c r="R255" s="683" t="s">
        <v>1782</v>
      </c>
      <c r="S255" s="686" t="s">
        <v>3032</v>
      </c>
      <c r="T255" s="683" t="s">
        <v>2870</v>
      </c>
      <c r="U255" s="683" t="s">
        <v>3033</v>
      </c>
      <c r="V255" s="683" t="s">
        <v>677</v>
      </c>
      <c r="W255" s="683" t="s">
        <v>913</v>
      </c>
      <c r="X255" s="691" t="s">
        <v>918</v>
      </c>
      <c r="Y255" s="687">
        <v>3004370195</v>
      </c>
      <c r="Z255" s="692" t="s">
        <v>2597</v>
      </c>
      <c r="AA255" s="683" t="s">
        <v>33</v>
      </c>
      <c r="AB255" s="683" t="s">
        <v>217</v>
      </c>
      <c r="AC255" s="683" t="s">
        <v>749</v>
      </c>
      <c r="AD255" s="683" t="s">
        <v>1123</v>
      </c>
      <c r="AE255" s="683">
        <v>60</v>
      </c>
      <c r="AF255" s="684">
        <v>3098.3</v>
      </c>
      <c r="AG255" s="683" t="s">
        <v>243</v>
      </c>
      <c r="AH255" s="683" t="s">
        <v>1803</v>
      </c>
      <c r="AI255" s="683" t="s">
        <v>2553</v>
      </c>
      <c r="AJ255" s="683"/>
      <c r="AK255" s="683" t="s">
        <v>33</v>
      </c>
      <c r="AL255" s="683"/>
      <c r="AM255" s="683" t="s">
        <v>1094</v>
      </c>
      <c r="AN255" s="683"/>
      <c r="AO255" s="683"/>
      <c r="AP255" s="683" t="s">
        <v>240</v>
      </c>
      <c r="AQ255" s="688" t="str">
        <f>CONCATENATE("REG-",BDEGENER[[#This Row],[FECHA DE SERVICIO]],"-",BDEGENER[[#This Row],[SERIE]],"-",BDEGENER[[#This Row],[HORAS]])</f>
        <v>REG-44069-3004370195-3098,3</v>
      </c>
      <c r="AR255" s="683" t="str">
        <f>CONCATENATE("MARCA: ",BDEGENER[[#This Row],[MARCA]],"
 MODELO: ",BDEGENER[[#This Row],[MODELO]])</f>
        <v>MARCA: GENERAC
 MODELO: RG022</v>
      </c>
      <c r="AS255" s="683" t="str">
        <f>CONCATENATE("MARCA: ",BDEGENER[[#This Row],[MARCA DE MOTOR]],"
SERIE: ",BDEGENER[[#This Row],[SERIE DE MOTOR]])</f>
        <v xml:space="preserve">MARCA: MITSUBISHI
SERIE: </v>
      </c>
      <c r="AT255" s="683" t="str">
        <f>CONCATENATE("MARCA: ",BDEGENER[[#This Row],[MARCA ALTERNADOR ]],"
SERIE: ",BDEGENER[[#This Row],[SERIE DE ALTERNADOR]])</f>
        <v xml:space="preserve">MARCA: GENERAC
SERIE: </v>
      </c>
      <c r="AU255" s="683" t="str">
        <f>CONCATENATE("HORAS: ",BDEGENER[[#This Row],[HORAS]],"
KW-HR: ",BDEGENER[[#This Row],[KW-HORA]],"
VOLT.BATERIA: ",BDEGENER[[#This Row],[VOLTAJE DE BATERIA]],"
TEMPERATURA: ",BDEGENER[[#This Row],[TEMPERATURA DE AGUA]],"
PRES. ACEITE: ",BDEGENER[[#This Row],[PRESION DE ACEITE]])</f>
        <v xml:space="preserve">HORAS: 3098,3
KW-HR: 
VOLT.BATERIA: 13.5 V
TEMPERATURA: 
PRES. ACEITE: </v>
      </c>
      <c r="AV255" s="683">
        <f>COUNTIFS(Q255:Q2255,"MANTENIMIENTO CORRECTIVO",Y255:Y2255,BDEGENER[[#This Row],[SERIE]])</f>
        <v>1</v>
      </c>
      <c r="AW255" s="683">
        <f>COUNTIFS(Q255:Q2255,"MANTENIMIENTO PREVENTIVO",Y255:Y2255,BDEGENER[[#This Row],[SERIE]])</f>
        <v>6</v>
      </c>
      <c r="AX25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55" s="683">
        <f>COUNTIFS(BDEGENER[SERIE],BDEGENER[[#This Row],[SERIE]],BDEGENER[TIPO DE SERVICIO],"MANTENIMIENTO PREVENTIVO")</f>
        <v>7</v>
      </c>
      <c r="AZ255" s="683" t="str">
        <f>CONCATENATE("MANTENIMIENTO PREVENTIVO N°",BDEGENER[[#This Row],[GA1]])</f>
        <v>MANTENIMIENTO PREVENTIVO N°7</v>
      </c>
      <c r="BA255" s="683" t="str">
        <f>IF(BDEGENER[[#This Row],[SERVICIO]]=BDEGENER[[#This Row],[GA2]],BDEGENER[[#This Row],[HORAS]],"0")</f>
        <v>0</v>
      </c>
      <c r="BB255" s="683">
        <f>SUMIF(BDEGENER[SERIE],BDEGENER[[#This Row],[SERIE]],BDEGENER[GA3])</f>
        <v>3519.7</v>
      </c>
      <c r="BC255" s="683" t="str">
        <f>CONCATENATE("MANT",COUNTIF($Y$7:Y255,Y255))</f>
        <v>MANT3</v>
      </c>
      <c r="BD255" s="683" t="str">
        <f>CONCATENATE(BDEGENER[[#This Row],[SERIE]],BDEGENER[[#This Row],[GA5]])</f>
        <v>3004370195MANT3</v>
      </c>
      <c r="BE255" s="683" t="str">
        <f>CONCATENATE(BDEGENER[[#This Row],[CODIGO PATRIMONIAL]],BDEGENER[[#This Row],[GA5]])</f>
        <v>SUR-GEG-0001MANT3</v>
      </c>
      <c r="BF255" s="683">
        <f>COUNTIF(BDEGENER[SERIE],BDEGENER[[#This Row],[SERIE]])</f>
        <v>12</v>
      </c>
      <c r="BG255" s="683" t="str">
        <f>CONCATENATE("F",COUNTIF($K$7:K255,K255))</f>
        <v>F3</v>
      </c>
      <c r="BH255" s="683" t="str">
        <f>CONCATENATE(BDEGENER[[#This Row],[FECHA DE SERVICIO]],BDEGENER[[#This Row],[N° DE REGISTROS DEL DIA]])</f>
        <v>44069F3</v>
      </c>
      <c r="BI255" s="684"/>
      <c r="BJ255" s="683" t="s">
        <v>1544</v>
      </c>
      <c r="BK255" s="762"/>
    </row>
    <row r="256" spans="2:63" ht="69" hidden="1" x14ac:dyDescent="0.3">
      <c r="B256" s="2"/>
      <c r="C256" s="2"/>
      <c r="D256" s="2"/>
      <c r="E256" s="2"/>
      <c r="F256" s="2"/>
      <c r="G256" s="2"/>
      <c r="H256" s="2"/>
      <c r="I256" s="2"/>
      <c r="J256" s="685"/>
      <c r="K256" s="682">
        <v>44069</v>
      </c>
      <c r="L256" s="683" t="s">
        <v>561</v>
      </c>
      <c r="M256" s="683" t="s">
        <v>2659</v>
      </c>
      <c r="N256" s="683" t="s">
        <v>2660</v>
      </c>
      <c r="O256" s="683"/>
      <c r="P256" s="688" t="s">
        <v>3020</v>
      </c>
      <c r="Q256" s="683" t="s">
        <v>37</v>
      </c>
      <c r="R256" s="683" t="s">
        <v>1782</v>
      </c>
      <c r="S256" s="686" t="s">
        <v>2976</v>
      </c>
      <c r="T256" s="683" t="s">
        <v>3021</v>
      </c>
      <c r="U256" s="683" t="s">
        <v>2488</v>
      </c>
      <c r="V256" s="683" t="s">
        <v>677</v>
      </c>
      <c r="W256" s="683" t="s">
        <v>913</v>
      </c>
      <c r="X256" s="691" t="s">
        <v>918</v>
      </c>
      <c r="Y256" s="687">
        <v>3004555912</v>
      </c>
      <c r="Z256" s="692" t="s">
        <v>2607</v>
      </c>
      <c r="AA256" s="683" t="s">
        <v>33</v>
      </c>
      <c r="AB256" s="683" t="s">
        <v>217</v>
      </c>
      <c r="AC256" s="683" t="s">
        <v>749</v>
      </c>
      <c r="AD256" s="683" t="s">
        <v>1123</v>
      </c>
      <c r="AE256" s="683">
        <v>60</v>
      </c>
      <c r="AF256" s="684">
        <v>2375.1</v>
      </c>
      <c r="AG256" s="683" t="s">
        <v>243</v>
      </c>
      <c r="AH256" s="683" t="s">
        <v>1803</v>
      </c>
      <c r="AI256" s="683" t="s">
        <v>2553</v>
      </c>
      <c r="AJ256" s="683"/>
      <c r="AK256" s="683" t="s">
        <v>33</v>
      </c>
      <c r="AL256" s="683"/>
      <c r="AM256" s="683" t="s">
        <v>1145</v>
      </c>
      <c r="AN256" s="683"/>
      <c r="AO256" s="683"/>
      <c r="AP256" s="683" t="s">
        <v>240</v>
      </c>
      <c r="AQ256" s="688" t="str">
        <f>CONCATENATE("REG-",BDEGENER[[#This Row],[FECHA DE SERVICIO]],"-",BDEGENER[[#This Row],[SERIE]],"-",BDEGENER[[#This Row],[HORAS]])</f>
        <v>REG-44069-3004555912-2375,1</v>
      </c>
      <c r="AR256" s="683" t="str">
        <f>CONCATENATE("MARCA: ",BDEGENER[[#This Row],[MARCA]],"
 MODELO: ",BDEGENER[[#This Row],[MODELO]])</f>
        <v>MARCA: GENERAC
 MODELO: RG022</v>
      </c>
      <c r="AS256" s="683" t="str">
        <f>CONCATENATE("MARCA: ",BDEGENER[[#This Row],[MARCA DE MOTOR]],"
SERIE: ",BDEGENER[[#This Row],[SERIE DE MOTOR]])</f>
        <v xml:space="preserve">MARCA: MITSUBISHI
SERIE: </v>
      </c>
      <c r="AT256" s="683" t="str">
        <f>CONCATENATE("MARCA: ",BDEGENER[[#This Row],[MARCA ALTERNADOR ]],"
SERIE: ",BDEGENER[[#This Row],[SERIE DE ALTERNADOR]])</f>
        <v xml:space="preserve">MARCA: GENERAC
SERIE: </v>
      </c>
      <c r="AU256" s="683" t="str">
        <f>CONCATENATE("HORAS: ",BDEGENER[[#This Row],[HORAS]],"
KW-HR: ",BDEGENER[[#This Row],[KW-HORA]],"
VOLT.BATERIA: ",BDEGENER[[#This Row],[VOLTAJE DE BATERIA]],"
TEMPERATURA: ",BDEGENER[[#This Row],[TEMPERATURA DE AGUA]],"
PRES. ACEITE: ",BDEGENER[[#This Row],[PRESION DE ACEITE]])</f>
        <v xml:space="preserve">HORAS: 2375,1
KW-HR: 
VOLT.BATERIA: 13.4 V
TEMPERATURA: 
PRES. ACEITE: </v>
      </c>
      <c r="AV256" s="761">
        <f>COUNTIFS(Q256:Q2256,"MANTENIMIENTO CORRECTIVO",Y256:Y2256,BDEGENER[[#This Row],[SERIE]])</f>
        <v>1</v>
      </c>
      <c r="AW256" s="761">
        <f>COUNTIFS(Q256:Q2256,"MANTENIMIENTO PREVENTIVO",Y256:Y2256,BDEGENER[[#This Row],[SERIE]])</f>
        <v>4</v>
      </c>
      <c r="AX25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256" s="683">
        <f>COUNTIFS(BDEGENER[SERIE],BDEGENER[[#This Row],[SERIE]],BDEGENER[TIPO DE SERVICIO],"MANTENIMIENTO PREVENTIVO")</f>
        <v>6</v>
      </c>
      <c r="AZ256" s="683" t="str">
        <f>CONCATENATE("MANTENIMIENTO PREVENTIVO N°",BDEGENER[[#This Row],[GA1]])</f>
        <v>MANTENIMIENTO PREVENTIVO N°6</v>
      </c>
      <c r="BA256" s="683" t="str">
        <f>IF(BDEGENER[[#This Row],[SERVICIO]]=BDEGENER[[#This Row],[GA2]],BDEGENER[[#This Row],[HORAS]],"0")</f>
        <v>0</v>
      </c>
      <c r="BB256" s="683">
        <f>SUMIF(BDEGENER[SERIE],BDEGENER[[#This Row],[SERIE]],BDEGENER[GA3])</f>
        <v>2869.9</v>
      </c>
      <c r="BC256" s="761" t="str">
        <f>CONCATENATE("MANT",COUNTIF($Y$7:Y256,Y256))</f>
        <v>MANT4</v>
      </c>
      <c r="BD256" s="683" t="str">
        <f>CONCATENATE(BDEGENER[[#This Row],[SERIE]],BDEGENER[[#This Row],[GA5]])</f>
        <v>3004555912MANT4</v>
      </c>
      <c r="BE256" s="683" t="str">
        <f>CONCATENATE(BDEGENER[[#This Row],[CODIGO PATRIMONIAL]],BDEGENER[[#This Row],[GA5]])</f>
        <v>SUR-GEG-0011MANT4</v>
      </c>
      <c r="BF256" s="683">
        <f>COUNTIF(BDEGENER[SERIE],BDEGENER[[#This Row],[SERIE]])</f>
        <v>11</v>
      </c>
      <c r="BG256" s="761" t="str">
        <f>CONCATENATE("F",COUNTIF($K$7:K256,K256))</f>
        <v>F4</v>
      </c>
      <c r="BH256" s="683" t="str">
        <f>CONCATENATE(BDEGENER[[#This Row],[FECHA DE SERVICIO]],BDEGENER[[#This Row],[N° DE REGISTROS DEL DIA]])</f>
        <v>44069F4</v>
      </c>
      <c r="BI256" s="684"/>
      <c r="BJ256" s="683" t="s">
        <v>1544</v>
      </c>
      <c r="BK256" s="762"/>
    </row>
    <row r="257" spans="2:63" ht="69" hidden="1" x14ac:dyDescent="0.3">
      <c r="B257" s="2"/>
      <c r="C257" s="2"/>
      <c r="D257" s="2"/>
      <c r="E257" s="2"/>
      <c r="F257" s="2"/>
      <c r="G257" s="2"/>
      <c r="H257" s="2"/>
      <c r="I257" s="2"/>
      <c r="J257" s="685"/>
      <c r="K257" s="682">
        <v>44068</v>
      </c>
      <c r="L257" s="683" t="s">
        <v>181</v>
      </c>
      <c r="M257" s="683" t="s">
        <v>190</v>
      </c>
      <c r="N257" s="683" t="s">
        <v>183</v>
      </c>
      <c r="O257" s="683"/>
      <c r="P257" s="683"/>
      <c r="Q257" s="683" t="s">
        <v>2021</v>
      </c>
      <c r="R257" s="683" t="s">
        <v>3003</v>
      </c>
      <c r="S257" s="686" t="s">
        <v>3004</v>
      </c>
      <c r="T257" s="683" t="s">
        <v>3005</v>
      </c>
      <c r="U257" s="683" t="s">
        <v>3006</v>
      </c>
      <c r="V257" s="683" t="s">
        <v>146</v>
      </c>
      <c r="W257" s="683" t="s">
        <v>914</v>
      </c>
      <c r="X257" s="691" t="s">
        <v>918</v>
      </c>
      <c r="Y257" s="687">
        <v>3004416581</v>
      </c>
      <c r="Z257" s="692"/>
      <c r="AA257" s="683" t="s">
        <v>33</v>
      </c>
      <c r="AB257" s="683" t="s">
        <v>34</v>
      </c>
      <c r="AC257" s="683" t="s">
        <v>230</v>
      </c>
      <c r="AD257" s="683"/>
      <c r="AE257" s="683"/>
      <c r="AF257" s="684">
        <v>976.5</v>
      </c>
      <c r="AG257" s="683" t="s">
        <v>243</v>
      </c>
      <c r="AH257" s="683" t="s">
        <v>220</v>
      </c>
      <c r="AI257" s="683" t="s">
        <v>33</v>
      </c>
      <c r="AJ257" s="683">
        <v>3004309056</v>
      </c>
      <c r="AK257" s="683" t="s">
        <v>33</v>
      </c>
      <c r="AL257" s="683">
        <v>107748810</v>
      </c>
      <c r="AM257" s="683"/>
      <c r="AN257" s="683"/>
      <c r="AO257" s="683"/>
      <c r="AP257" s="683" t="s">
        <v>240</v>
      </c>
      <c r="AQ257" s="683" t="str">
        <f>CONCATENATE("REG-",BDEGENER[[#This Row],[FECHA DE SERVICIO]],"-",BDEGENER[[#This Row],[SERIE]],"-",BDEGENER[[#This Row],[HORAS]])</f>
        <v>REG-44068-3004416581-976,5</v>
      </c>
      <c r="AR257" s="683" t="str">
        <f>CONCATENATE("MARCA: ",BDEGENER[[#This Row],[MARCA]],"
 MODELO: ",BDEGENER[[#This Row],[MODELO]])</f>
        <v>MARCA: GENERAC
 MODELO: PG090</v>
      </c>
      <c r="AS257" s="683" t="str">
        <f>CONCATENATE("MARCA: ",BDEGENER[[#This Row],[MARCA DE MOTOR]],"
SERIE: ",BDEGENER[[#This Row],[SERIE DE MOTOR]])</f>
        <v>MARCA: GENERAC
SERIE: 3004309056</v>
      </c>
      <c r="AT257" s="683" t="str">
        <f>CONCATENATE("MARCA: ",BDEGENER[[#This Row],[MARCA ALTERNADOR ]],"
SERIE: ",BDEGENER[[#This Row],[SERIE DE ALTERNADOR]])</f>
        <v>MARCA: GENERAC
SERIE: 107748810</v>
      </c>
      <c r="AU257" s="683" t="str">
        <f>CONCATENATE("HORAS: ",BDEGENER[[#This Row],[HORAS]],"
KW-HR: ",BDEGENER[[#This Row],[KW-HORA]],"
VOLT.BATERIA: ",BDEGENER[[#This Row],[VOLTAJE DE BATERIA]],"
TEMPERATURA: ",BDEGENER[[#This Row],[TEMPERATURA DE AGUA]],"
PRES. ACEITE: ",BDEGENER[[#This Row],[PRESION DE ACEITE]])</f>
        <v xml:space="preserve">HORAS: 976,5
KW-HR: 12185,7
VOLT.BATERIA: 
TEMPERATURA: 
PRES. ACEITE: </v>
      </c>
      <c r="AV257" s="683">
        <f>COUNTIFS(Q257:Q2257,"MANTENIMIENTO CORRECTIVO",Y257:Y2257,BDEGENER[[#This Row],[SERIE]])</f>
        <v>2</v>
      </c>
      <c r="AW257" s="683">
        <f>COUNTIFS(Q257:Q2257,"MANTENIMIENTO PREVENTIVO",Y257:Y2257,BDEGENER[[#This Row],[SERIE]])</f>
        <v>3</v>
      </c>
      <c r="AX25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257" s="683">
        <f>COUNTIFS(BDEGENER[SERIE],BDEGENER[[#This Row],[SERIE]],BDEGENER[TIPO DE SERVICIO],"MANTENIMIENTO PREVENTIVO")</f>
        <v>6</v>
      </c>
      <c r="AZ257" s="683" t="str">
        <f>CONCATENATE("MANTENIMIENTO PREVENTIVO N°",BDEGENER[[#This Row],[GA1]])</f>
        <v>MANTENIMIENTO PREVENTIVO N°6</v>
      </c>
      <c r="BA257" s="683" t="str">
        <f>IF(BDEGENER[[#This Row],[SERVICIO]]=BDEGENER[[#This Row],[GA2]],BDEGENER[[#This Row],[HORAS]],"0")</f>
        <v>0</v>
      </c>
      <c r="BB257" s="683">
        <f>SUMIF(BDEGENER[SERIE],BDEGENER[[#This Row],[SERIE]],BDEGENER[GA3])</f>
        <v>1659.1</v>
      </c>
      <c r="BC257" s="683" t="str">
        <f>CONCATENATE("MANT",COUNTIF($Y$7:Y257,Y257))</f>
        <v>MANT4</v>
      </c>
      <c r="BD257" s="683" t="str">
        <f>CONCATENATE(BDEGENER[[#This Row],[SERIE]],BDEGENER[[#This Row],[GA5]])</f>
        <v>3004416581MANT4</v>
      </c>
      <c r="BE257" s="683" t="str">
        <f>CONCATENATE(BDEGENER[[#This Row],[CODIGO PATRIMONIAL]],BDEGENER[[#This Row],[GA5]])</f>
        <v>MANT4</v>
      </c>
      <c r="BF257" s="683">
        <f>COUNTIF(BDEGENER[SERIE],BDEGENER[[#This Row],[SERIE]])</f>
        <v>11</v>
      </c>
      <c r="BG257" s="683" t="str">
        <f>CONCATENATE("F",COUNTIF($K$7:K257,K257))</f>
        <v>F1</v>
      </c>
      <c r="BH257" s="683" t="str">
        <f>CONCATENATE(BDEGENER[[#This Row],[FECHA DE SERVICIO]],BDEGENER[[#This Row],[N° DE REGISTROS DEL DIA]])</f>
        <v>44068F1</v>
      </c>
      <c r="BI257" s="684">
        <v>12185.7</v>
      </c>
      <c r="BJ257" s="683" t="s">
        <v>1544</v>
      </c>
      <c r="BK257" s="762"/>
    </row>
    <row r="258" spans="2:63" ht="69" hidden="1" x14ac:dyDescent="0.3">
      <c r="B258" s="2"/>
      <c r="C258" s="2"/>
      <c r="D258" s="2"/>
      <c r="E258" s="2"/>
      <c r="F258" s="2"/>
      <c r="G258" s="2"/>
      <c r="H258" s="2"/>
      <c r="I258" s="2"/>
      <c r="J258" s="685"/>
      <c r="K258" s="682">
        <v>44068</v>
      </c>
      <c r="L258" s="683" t="s">
        <v>764</v>
      </c>
      <c r="M258" s="683" t="s">
        <v>2645</v>
      </c>
      <c r="N258" s="683" t="s">
        <v>2641</v>
      </c>
      <c r="O258" s="683"/>
      <c r="P258" s="683"/>
      <c r="Q258" s="683" t="s">
        <v>107</v>
      </c>
      <c r="R258" s="683" t="s">
        <v>3260</v>
      </c>
      <c r="S258" s="686" t="s">
        <v>3261</v>
      </c>
      <c r="T258" s="683" t="s">
        <v>2867</v>
      </c>
      <c r="U258" s="683" t="s">
        <v>3262</v>
      </c>
      <c r="V258" s="683" t="s">
        <v>677</v>
      </c>
      <c r="W258" s="683" t="s">
        <v>914</v>
      </c>
      <c r="X258" s="691" t="s">
        <v>917</v>
      </c>
      <c r="Y258" s="687" t="s">
        <v>2644</v>
      </c>
      <c r="Z258" s="692" t="s">
        <v>159</v>
      </c>
      <c r="AA258" s="683" t="s">
        <v>840</v>
      </c>
      <c r="AB258" s="683" t="s">
        <v>1921</v>
      </c>
      <c r="AC258" s="683" t="s">
        <v>1922</v>
      </c>
      <c r="AD258" s="683"/>
      <c r="AE258" s="683"/>
      <c r="AF258" s="684">
        <v>187</v>
      </c>
      <c r="AG258" s="683" t="s">
        <v>1412</v>
      </c>
      <c r="AH258" s="683" t="s">
        <v>1578</v>
      </c>
      <c r="AI258" s="683" t="s">
        <v>844</v>
      </c>
      <c r="AJ258" s="683" t="s">
        <v>2651</v>
      </c>
      <c r="AK258" s="683" t="s">
        <v>1923</v>
      </c>
      <c r="AL258" s="683" t="s">
        <v>159</v>
      </c>
      <c r="AM258" s="683"/>
      <c r="AN258" s="683"/>
      <c r="AO258" s="683"/>
      <c r="AP258" s="683" t="s">
        <v>240</v>
      </c>
      <c r="AQ258" s="688" t="str">
        <f>CONCATENATE("REG-",BDEGENER[[#This Row],[FECHA DE SERVICIO]],"-",BDEGENER[[#This Row],[SERIE]],"-",BDEGENER[[#This Row],[HORAS]])</f>
        <v>REG-44068-B5524F-001-187</v>
      </c>
      <c r="AR258" s="683" t="str">
        <f>CONCATENATE("MARCA: ",BDEGENER[[#This Row],[MARCA]],"
 MODELO: ",BDEGENER[[#This Row],[MODELO]])</f>
        <v>MARCA: FG - WILSON
 MODELO: P110E</v>
      </c>
      <c r="AS258" s="683" t="str">
        <f>CONCATENATE("MARCA: ",BDEGENER[[#This Row],[MARCA DE MOTOR]],"
SERIE: ",BDEGENER[[#This Row],[SERIE DE MOTOR]])</f>
        <v>MARCA: PERKINS
SERIE: 1797/1500</v>
      </c>
      <c r="AT258" s="683" t="str">
        <f>CONCATENATE("MARCA: ",BDEGENER[[#This Row],[MARCA ALTERNADOR ]],"
SERIE: ",BDEGENER[[#This Row],[SERIE DE ALTERNADOR]])</f>
        <v xml:space="preserve">MARCA: FG WILSON
SERIE: </v>
      </c>
      <c r="AU258" s="683" t="str">
        <f>CONCATENATE("HORAS: ",BDEGENER[[#This Row],[HORAS]],"
KW-HR: ",BDEGENER[[#This Row],[KW-HORA]],"
VOLT.BATERIA: ",BDEGENER[[#This Row],[VOLTAJE DE BATERIA]],"
TEMPERATURA: ",BDEGENER[[#This Row],[TEMPERATURA DE AGUA]],"
PRES. ACEITE: ",BDEGENER[[#This Row],[PRESION DE ACEITE]])</f>
        <v xml:space="preserve">HORAS: 187
KW-HR: 
VOLT.BATERIA: 
TEMPERATURA: 
PRES. ACEITE: </v>
      </c>
      <c r="AV258" s="683">
        <f>COUNTIFS(Q258:Q2258,"MANTENIMIENTO CORRECTIVO",Y258:Y2258,BDEGENER[[#This Row],[SERIE]])</f>
        <v>2</v>
      </c>
      <c r="AW258" s="683">
        <f>COUNTIFS(Q258:Q2258,"MANTENIMIENTO PREVENTIVO",Y258:Y2258,BDEGENER[[#This Row],[SERIE]])</f>
        <v>2</v>
      </c>
      <c r="AX25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258" s="683">
        <f>COUNTIFS(BDEGENER[SERIE],BDEGENER[[#This Row],[SERIE]],BDEGENER[TIPO DE SERVICIO],"MANTENIMIENTO PREVENTIVO")</f>
        <v>2</v>
      </c>
      <c r="AZ258" s="683" t="str">
        <f>CONCATENATE("MANTENIMIENTO PREVENTIVO N°",BDEGENER[[#This Row],[GA1]])</f>
        <v>MANTENIMIENTO PREVENTIVO N°2</v>
      </c>
      <c r="BA258" s="683" t="str">
        <f>IF(BDEGENER[[#This Row],[SERVICIO]]=BDEGENER[[#This Row],[GA2]],BDEGENER[[#This Row],[HORAS]],"0")</f>
        <v>0</v>
      </c>
      <c r="BB258" s="683">
        <f>SUMIF(BDEGENER[SERIE],BDEGENER[[#This Row],[SERIE]],BDEGENER[GA3])</f>
        <v>185.7</v>
      </c>
      <c r="BC258" s="683" t="str">
        <f>CONCATENATE("MANT",COUNTIF($Y$7:Y258,Y258))</f>
        <v>MANT3</v>
      </c>
      <c r="BD258" s="683" t="str">
        <f>CONCATENATE(BDEGENER[[#This Row],[SERIE]],BDEGENER[[#This Row],[GA5]])</f>
        <v>B5524F-001MANT3</v>
      </c>
      <c r="BE258" s="683" t="str">
        <f>CONCATENATE(BDEGENER[[#This Row],[CODIGO PATRIMONIAL]],BDEGENER[[#This Row],[GA5]])</f>
        <v>MANT3</v>
      </c>
      <c r="BF258" s="683">
        <f>COUNTIF(BDEGENER[SERIE],BDEGENER[[#This Row],[SERIE]])</f>
        <v>7</v>
      </c>
      <c r="BG258" s="683" t="str">
        <f>CONCATENATE("F",COUNTIF($K$7:K258,K258))</f>
        <v>F2</v>
      </c>
      <c r="BH258" s="683" t="str">
        <f>CONCATENATE(BDEGENER[[#This Row],[FECHA DE SERVICIO]],BDEGENER[[#This Row],[N° DE REGISTROS DEL DIA]])</f>
        <v>44068F2</v>
      </c>
      <c r="BI258" s="684"/>
      <c r="BJ258" s="683" t="s">
        <v>1544</v>
      </c>
      <c r="BK258" s="762"/>
    </row>
    <row r="259" spans="2:63" ht="69" hidden="1" x14ac:dyDescent="0.3">
      <c r="B259" s="2"/>
      <c r="C259" s="2"/>
      <c r="D259" s="2"/>
      <c r="E259" s="2"/>
      <c r="F259" s="2"/>
      <c r="G259" s="2"/>
      <c r="H259" s="2"/>
      <c r="I259" s="2"/>
      <c r="J259" s="685"/>
      <c r="K259" s="682">
        <v>44068</v>
      </c>
      <c r="L259" s="683" t="s">
        <v>181</v>
      </c>
      <c r="M259" s="683" t="s">
        <v>185</v>
      </c>
      <c r="N259" s="683" t="s">
        <v>183</v>
      </c>
      <c r="O259" s="683"/>
      <c r="P259" s="683"/>
      <c r="Q259" s="683" t="s">
        <v>108</v>
      </c>
      <c r="R259" s="683" t="s">
        <v>1782</v>
      </c>
      <c r="S259" s="686" t="s">
        <v>3001</v>
      </c>
      <c r="T259" s="683" t="s">
        <v>3445</v>
      </c>
      <c r="U259" s="683" t="s">
        <v>3002</v>
      </c>
      <c r="V259" s="683" t="s">
        <v>146</v>
      </c>
      <c r="W259" s="683" t="s">
        <v>914</v>
      </c>
      <c r="X259" s="691" t="s">
        <v>918</v>
      </c>
      <c r="Y259" s="687">
        <v>3004290368</v>
      </c>
      <c r="Z259" s="692"/>
      <c r="AA259" s="683" t="s">
        <v>33</v>
      </c>
      <c r="AB259" s="683" t="s">
        <v>34</v>
      </c>
      <c r="AC259" s="683" t="s">
        <v>230</v>
      </c>
      <c r="AD259" s="683"/>
      <c r="AE259" s="683"/>
      <c r="AF259" s="684">
        <v>2539.8000000000002</v>
      </c>
      <c r="AG259" s="683" t="s">
        <v>243</v>
      </c>
      <c r="AH259" s="683" t="s">
        <v>220</v>
      </c>
      <c r="AI259" s="683" t="s">
        <v>33</v>
      </c>
      <c r="AJ259" s="683">
        <v>3004034816</v>
      </c>
      <c r="AK259" s="683" t="s">
        <v>33</v>
      </c>
      <c r="AL259" s="683">
        <v>106312930</v>
      </c>
      <c r="AM259" s="683"/>
      <c r="AN259" s="683"/>
      <c r="AO259" s="683"/>
      <c r="AP259" s="683" t="s">
        <v>557</v>
      </c>
      <c r="AQ259" s="688" t="str">
        <f>CONCATENATE("REG-",BDEGENER[[#This Row],[FECHA DE SERVICIO]],"-",BDEGENER[[#This Row],[SERIE]],"-",BDEGENER[[#This Row],[HORAS]])</f>
        <v>REG-44068-3004290368-2539,8</v>
      </c>
      <c r="AR259" s="683" t="str">
        <f>CONCATENATE("MARCA: ",BDEGENER[[#This Row],[MARCA]],"
 MODELO: ",BDEGENER[[#This Row],[MODELO]])</f>
        <v>MARCA: GENERAC
 MODELO: PG090</v>
      </c>
      <c r="AS259" s="683" t="str">
        <f>CONCATENATE("MARCA: ",BDEGENER[[#This Row],[MARCA DE MOTOR]],"
SERIE: ",BDEGENER[[#This Row],[SERIE DE MOTOR]])</f>
        <v>MARCA: GENERAC
SERIE: 3004034816</v>
      </c>
      <c r="AT259" s="683" t="str">
        <f>CONCATENATE("MARCA: ",BDEGENER[[#This Row],[MARCA ALTERNADOR ]],"
SERIE: ",BDEGENER[[#This Row],[SERIE DE ALTERNADOR]])</f>
        <v>MARCA: GENERAC
SERIE: 106312930</v>
      </c>
      <c r="AU259" s="683" t="str">
        <f>CONCATENATE("HORAS: ",BDEGENER[[#This Row],[HORAS]],"
KW-HR: ",BDEGENER[[#This Row],[KW-HORA]],"
VOLT.BATERIA: ",BDEGENER[[#This Row],[VOLTAJE DE BATERIA]],"
TEMPERATURA: ",BDEGENER[[#This Row],[TEMPERATURA DE AGUA]],"
PRES. ACEITE: ",BDEGENER[[#This Row],[PRESION DE ACEITE]])</f>
        <v xml:space="preserve">HORAS: 2539,8
KW-HR: 28323,1
VOLT.BATERIA: 
TEMPERATURA: 
PRES. ACEITE: </v>
      </c>
      <c r="AV259" s="761">
        <f>COUNTIFS(Q259:Q2259,"MANTENIMIENTO CORRECTIVO",Y259:Y2259,BDEGENER[[#This Row],[SERIE]])</f>
        <v>3</v>
      </c>
      <c r="AW259" s="761">
        <f>COUNTIFS(Q259:Q2259,"MANTENIMIENTO PREVENTIVO",Y259:Y2259,BDEGENER[[#This Row],[SERIE]])</f>
        <v>6</v>
      </c>
      <c r="AX25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259" s="683">
        <f>COUNTIFS(BDEGENER[SERIE],BDEGENER[[#This Row],[SERIE]],BDEGENER[TIPO DE SERVICIO],"MANTENIMIENTO PREVENTIVO")</f>
        <v>6</v>
      </c>
      <c r="AZ259" s="683" t="str">
        <f>CONCATENATE("MANTENIMIENTO PREVENTIVO N°",BDEGENER[[#This Row],[GA1]])</f>
        <v>MANTENIMIENTO PREVENTIVO N°6</v>
      </c>
      <c r="BA259" s="683" t="str">
        <f>IF(BDEGENER[[#This Row],[SERVICIO]]=BDEGENER[[#This Row],[GA2]],BDEGENER[[#This Row],[HORAS]],"0")</f>
        <v>0</v>
      </c>
      <c r="BB259" s="683">
        <f>SUMIF(BDEGENER[SERIE],BDEGENER[[#This Row],[SERIE]],BDEGENER[GA3])</f>
        <v>2259.3000000000002</v>
      </c>
      <c r="BC259" s="761" t="str">
        <f>CONCATENATE("MANT",COUNTIF($Y$7:Y259,Y259))</f>
        <v>MANT4</v>
      </c>
      <c r="BD259" s="683" t="str">
        <f>CONCATENATE(BDEGENER[[#This Row],[SERIE]],BDEGENER[[#This Row],[GA5]])</f>
        <v>3004290368MANT4</v>
      </c>
      <c r="BE259" s="683" t="str">
        <f>CONCATENATE(BDEGENER[[#This Row],[CODIGO PATRIMONIAL]],BDEGENER[[#This Row],[GA5]])</f>
        <v>MANT4</v>
      </c>
      <c r="BF259" s="683">
        <f>COUNTIF(BDEGENER[SERIE],BDEGENER[[#This Row],[SERIE]])</f>
        <v>15</v>
      </c>
      <c r="BG259" s="761" t="str">
        <f>CONCATENATE("F",COUNTIF($K$7:K259,K259))</f>
        <v>F3</v>
      </c>
      <c r="BH259" s="683" t="str">
        <f>CONCATENATE(BDEGENER[[#This Row],[FECHA DE SERVICIO]],BDEGENER[[#This Row],[N° DE REGISTROS DEL DIA]])</f>
        <v>44068F3</v>
      </c>
      <c r="BI259" s="684">
        <v>28323.1</v>
      </c>
      <c r="BJ259" s="683" t="s">
        <v>1544</v>
      </c>
      <c r="BK259" s="762"/>
    </row>
    <row r="260" spans="2:63" ht="69" hidden="1" x14ac:dyDescent="0.3">
      <c r="B260" s="2"/>
      <c r="C260" s="2"/>
      <c r="D260" s="2"/>
      <c r="E260" s="2"/>
      <c r="F260" s="2"/>
      <c r="G260" s="2"/>
      <c r="H260" s="2"/>
      <c r="I260" s="2"/>
      <c r="J260" s="685"/>
      <c r="K260" s="682">
        <v>44068</v>
      </c>
      <c r="L260" s="683" t="s">
        <v>181</v>
      </c>
      <c r="M260" s="683" t="s">
        <v>188</v>
      </c>
      <c r="N260" s="683" t="s">
        <v>183</v>
      </c>
      <c r="O260" s="683">
        <v>4500873022</v>
      </c>
      <c r="P260" s="688" t="s">
        <v>2987</v>
      </c>
      <c r="Q260" s="683" t="s">
        <v>37</v>
      </c>
      <c r="R260" s="683" t="s">
        <v>1782</v>
      </c>
      <c r="S260" s="686" t="s">
        <v>2988</v>
      </c>
      <c r="T260" s="683" t="s">
        <v>2989</v>
      </c>
      <c r="U260" s="683" t="s">
        <v>2488</v>
      </c>
      <c r="V260" s="683" t="s">
        <v>146</v>
      </c>
      <c r="W260" s="683" t="s">
        <v>914</v>
      </c>
      <c r="X260" s="691" t="s">
        <v>918</v>
      </c>
      <c r="Y260" s="687">
        <v>3004290369</v>
      </c>
      <c r="Z260" s="692" t="s">
        <v>192</v>
      </c>
      <c r="AA260" s="683" t="s">
        <v>33</v>
      </c>
      <c r="AB260" s="683" t="s">
        <v>34</v>
      </c>
      <c r="AC260" s="683" t="s">
        <v>230</v>
      </c>
      <c r="AD260" s="683" t="s">
        <v>1110</v>
      </c>
      <c r="AE260" s="683">
        <v>60</v>
      </c>
      <c r="AF260" s="684">
        <v>1498.7</v>
      </c>
      <c r="AG260" s="683" t="s">
        <v>243</v>
      </c>
      <c r="AH260" s="683" t="s">
        <v>220</v>
      </c>
      <c r="AI260" s="683" t="s">
        <v>33</v>
      </c>
      <c r="AJ260" s="683">
        <v>3004308219</v>
      </c>
      <c r="AK260" s="683" t="s">
        <v>33</v>
      </c>
      <c r="AL260" s="683">
        <v>1063018</v>
      </c>
      <c r="AM260" s="683" t="s">
        <v>1121</v>
      </c>
      <c r="AN260" s="683" t="s">
        <v>246</v>
      </c>
      <c r="AO260" s="683" t="s">
        <v>1318</v>
      </c>
      <c r="AP260" s="683" t="s">
        <v>240</v>
      </c>
      <c r="AQ260" s="688" t="str">
        <f>CONCATENATE("REG-",BDEGENER[[#This Row],[FECHA DE SERVICIO]],"-",BDEGENER[[#This Row],[SERIE]],"-",BDEGENER[[#This Row],[HORAS]])</f>
        <v>REG-44068-3004290369-1498,7</v>
      </c>
      <c r="AR260" s="683" t="str">
        <f>CONCATENATE("MARCA: ",BDEGENER[[#This Row],[MARCA]],"
 MODELO: ",BDEGENER[[#This Row],[MODELO]])</f>
        <v>MARCA: GENERAC
 MODELO: PG090</v>
      </c>
      <c r="AS260" s="683" t="str">
        <f>CONCATENATE("MARCA: ",BDEGENER[[#This Row],[MARCA DE MOTOR]],"
SERIE: ",BDEGENER[[#This Row],[SERIE DE MOTOR]])</f>
        <v>MARCA: GENERAC
SERIE: 3004308219</v>
      </c>
      <c r="AT260" s="683" t="str">
        <f>CONCATENATE("MARCA: ",BDEGENER[[#This Row],[MARCA ALTERNADOR ]],"
SERIE: ",BDEGENER[[#This Row],[SERIE DE ALTERNADOR]])</f>
        <v>MARCA: GENERAC
SERIE: 1063018</v>
      </c>
      <c r="AU260" s="683" t="str">
        <f>CONCATENATE("HORAS: ",BDEGENER[[#This Row],[HORAS]],"
KW-HR: ",BDEGENER[[#This Row],[KW-HORA]],"
VOLT.BATERIA: ",BDEGENER[[#This Row],[VOLTAJE DE BATERIA]],"
TEMPERATURA: ",BDEGENER[[#This Row],[TEMPERATURA DE AGUA]],"
PRES. ACEITE: ",BDEGENER[[#This Row],[PRESION DE ACEITE]])</f>
        <v>HORAS: 1498,7
KW-HR: 32857,9
VOLT.BATERIA: 13.7 V
TEMPERATURA: 198 °F
PRES. ACEITE: 58 PSI</v>
      </c>
      <c r="AV260" s="683">
        <f>COUNTIFS(Q260:Q2260,"MANTENIMIENTO CORRECTIVO",Y260:Y2260,BDEGENER[[#This Row],[SERIE]])</f>
        <v>2</v>
      </c>
      <c r="AW260" s="683">
        <f>COUNTIFS(Q260:Q2260,"MANTENIMIENTO PREVENTIVO",Y260:Y2260,BDEGENER[[#This Row],[SERIE]])</f>
        <v>5</v>
      </c>
      <c r="AX26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260" s="683">
        <f>COUNTIFS(BDEGENER[SERIE],BDEGENER[[#This Row],[SERIE]],BDEGENER[TIPO DE SERVICIO],"MANTENIMIENTO PREVENTIVO")</f>
        <v>7</v>
      </c>
      <c r="AZ260" s="683" t="str">
        <f>CONCATENATE("MANTENIMIENTO PREVENTIVO N°",BDEGENER[[#This Row],[GA1]])</f>
        <v>MANTENIMIENTO PREVENTIVO N°7</v>
      </c>
      <c r="BA260" s="683" t="str">
        <f>IF(BDEGENER[[#This Row],[SERVICIO]]=BDEGENER[[#This Row],[GA2]],BDEGENER[[#This Row],[HORAS]],"0")</f>
        <v>0</v>
      </c>
      <c r="BB260" s="683">
        <f>SUMIF(BDEGENER[SERIE],BDEGENER[[#This Row],[SERIE]],BDEGENER[GA3])</f>
        <v>2294</v>
      </c>
      <c r="BC260" s="683" t="str">
        <f>CONCATENATE("MANT",COUNTIF($Y$7:Y260,Y260))</f>
        <v>MANT4</v>
      </c>
      <c r="BD260" s="683" t="str">
        <f>CONCATENATE(BDEGENER[[#This Row],[SERIE]],BDEGENER[[#This Row],[GA5]])</f>
        <v>3004290369MANT4</v>
      </c>
      <c r="BE260" s="683" t="str">
        <f>CONCATENATE(BDEGENER[[#This Row],[CODIGO PATRIMONIAL]],BDEGENER[[#This Row],[GA5]])</f>
        <v xml:space="preserve"> MANT4</v>
      </c>
      <c r="BF260" s="683">
        <f>COUNTIF(BDEGENER[SERIE],BDEGENER[[#This Row],[SERIE]])</f>
        <v>11</v>
      </c>
      <c r="BG260" s="683" t="str">
        <f>CONCATENATE("F",COUNTIF($K$7:K260,K260))</f>
        <v>F4</v>
      </c>
      <c r="BH260" s="683" t="str">
        <f>CONCATENATE(BDEGENER[[#This Row],[FECHA DE SERVICIO]],BDEGENER[[#This Row],[N° DE REGISTROS DEL DIA]])</f>
        <v>44068F4</v>
      </c>
      <c r="BI260" s="684">
        <v>32857.9</v>
      </c>
      <c r="BJ260" s="683" t="s">
        <v>1544</v>
      </c>
      <c r="BK260" s="762" t="s">
        <v>2166</v>
      </c>
    </row>
    <row r="261" spans="2:63" ht="69" hidden="1" x14ac:dyDescent="0.3">
      <c r="B261" s="2"/>
      <c r="C261" s="2"/>
      <c r="D261" s="2"/>
      <c r="E261" s="2"/>
      <c r="F261" s="2"/>
      <c r="G261" s="2"/>
      <c r="H261" s="2"/>
      <c r="I261" s="2"/>
      <c r="J261" s="685"/>
      <c r="K261" s="682">
        <v>44064</v>
      </c>
      <c r="L261" s="683" t="s">
        <v>248</v>
      </c>
      <c r="M261" s="683" t="s">
        <v>2186</v>
      </c>
      <c r="N261" s="683" t="s">
        <v>2187</v>
      </c>
      <c r="O261" s="683"/>
      <c r="P261" s="688" t="s">
        <v>3081</v>
      </c>
      <c r="Q261" s="683" t="s">
        <v>37</v>
      </c>
      <c r="R261" s="683" t="s">
        <v>1782</v>
      </c>
      <c r="S261" s="686" t="s">
        <v>3082</v>
      </c>
      <c r="T261" s="683" t="s">
        <v>3083</v>
      </c>
      <c r="U261" s="683" t="s">
        <v>2882</v>
      </c>
      <c r="V261" s="683" t="s">
        <v>147</v>
      </c>
      <c r="W261" s="683" t="s">
        <v>914</v>
      </c>
      <c r="X261" s="691" t="s">
        <v>918</v>
      </c>
      <c r="Y261" s="687">
        <v>3005005007</v>
      </c>
      <c r="Z261" s="692">
        <v>24546</v>
      </c>
      <c r="AA261" s="683" t="s">
        <v>33</v>
      </c>
      <c r="AB261" s="683" t="s">
        <v>34</v>
      </c>
      <c r="AC261" s="683" t="s">
        <v>230</v>
      </c>
      <c r="AD261" s="683" t="s">
        <v>1123</v>
      </c>
      <c r="AE261" s="683">
        <v>60.1</v>
      </c>
      <c r="AF261" s="684">
        <v>1991.1</v>
      </c>
      <c r="AG261" s="683" t="s">
        <v>243</v>
      </c>
      <c r="AH261" s="683" t="s">
        <v>220</v>
      </c>
      <c r="AI261" s="683" t="s">
        <v>33</v>
      </c>
      <c r="AJ261" s="683">
        <v>3005065920</v>
      </c>
      <c r="AK261" s="683" t="s">
        <v>33</v>
      </c>
      <c r="AL261" s="683">
        <v>139546230</v>
      </c>
      <c r="AM261" s="683" t="s">
        <v>1094</v>
      </c>
      <c r="AN261" s="683" t="s">
        <v>2073</v>
      </c>
      <c r="AO261" s="683" t="s">
        <v>247</v>
      </c>
      <c r="AP261" s="683" t="s">
        <v>240</v>
      </c>
      <c r="AQ261" s="688" t="str">
        <f>CONCATENATE("REG-",BDEGENER[[#This Row],[FECHA DE SERVICIO]],"-",BDEGENER[[#This Row],[SERIE]],"-",BDEGENER[[#This Row],[HORAS]])</f>
        <v>REG-44064-3005005007-1991,1</v>
      </c>
      <c r="AR261" s="683" t="str">
        <f>CONCATENATE("MARCA: ",BDEGENER[[#This Row],[MARCA]],"
 MODELO: ",BDEGENER[[#This Row],[MODELO]])</f>
        <v>MARCA: GENERAC
 MODELO: PG090</v>
      </c>
      <c r="AS261" s="683" t="str">
        <f>CONCATENATE("MARCA: ",BDEGENER[[#This Row],[MARCA DE MOTOR]],"
SERIE: ",BDEGENER[[#This Row],[SERIE DE MOTOR]])</f>
        <v>MARCA: GENERAC
SERIE: 3005065920</v>
      </c>
      <c r="AT261" s="683" t="str">
        <f>CONCATENATE("MARCA: ",BDEGENER[[#This Row],[MARCA ALTERNADOR ]],"
SERIE: ",BDEGENER[[#This Row],[SERIE DE ALTERNADOR]])</f>
        <v>MARCA: GENERAC
SERIE: 139546230</v>
      </c>
      <c r="AU261" s="683" t="str">
        <f>CONCATENATE("HORAS: ",BDEGENER[[#This Row],[HORAS]],"
KW-HR: ",BDEGENER[[#This Row],[KW-HORA]],"
VOLT.BATERIA: ",BDEGENER[[#This Row],[VOLTAJE DE BATERIA]],"
TEMPERATURA: ",BDEGENER[[#This Row],[TEMPERATURA DE AGUA]],"
PRES. ACEITE: ",BDEGENER[[#This Row],[PRESION DE ACEITE]])</f>
        <v>HORAS: 1991,1
KW-HR: 67468,6
VOLT.BATERIA: 13.5 V
TEMPERATURA: 187 °F
PRES. ACEITE: 55 PSI</v>
      </c>
      <c r="AV261" s="683">
        <f>COUNTIFS(Q261:Q2261,"MANTENIMIENTO CORRECTIVO",Y261:Y2261,BDEGENER[[#This Row],[SERIE]])</f>
        <v>1</v>
      </c>
      <c r="AW261" s="683">
        <f>COUNTIFS(Q261:Q2261,"MANTENIMIENTO PREVENTIVO",Y261:Y2261,BDEGENER[[#This Row],[SERIE]])</f>
        <v>6</v>
      </c>
      <c r="AX26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61" s="683">
        <f>COUNTIFS(BDEGENER[SERIE],BDEGENER[[#This Row],[SERIE]],BDEGENER[TIPO DE SERVICIO],"MANTENIMIENTO PREVENTIVO")</f>
        <v>7</v>
      </c>
      <c r="AZ261" s="683" t="str">
        <f>CONCATENATE("MANTENIMIENTO PREVENTIVO N°",BDEGENER[[#This Row],[GA1]])</f>
        <v>MANTENIMIENTO PREVENTIVO N°7</v>
      </c>
      <c r="BA261" s="683" t="str">
        <f>IF(BDEGENER[[#This Row],[SERVICIO]]=BDEGENER[[#This Row],[GA2]],BDEGENER[[#This Row],[HORAS]],"0")</f>
        <v>0</v>
      </c>
      <c r="BB261" s="683">
        <f>SUMIF(BDEGENER[SERIE],BDEGENER[[#This Row],[SERIE]],BDEGENER[GA3])</f>
        <v>2333.3000000000002</v>
      </c>
      <c r="BC261" s="683" t="str">
        <f>CONCATENATE("MANT",COUNTIF($Y$7:Y261,Y261))</f>
        <v>MANT2</v>
      </c>
      <c r="BD261" s="683" t="str">
        <f>CONCATENATE(BDEGENER[[#This Row],[SERIE]],BDEGENER[[#This Row],[GA5]])</f>
        <v>3005005007MANT2</v>
      </c>
      <c r="BE261" s="683" t="str">
        <f>CONCATENATE(BDEGENER[[#This Row],[CODIGO PATRIMONIAL]],BDEGENER[[#This Row],[GA5]])</f>
        <v>24546MANT2</v>
      </c>
      <c r="BF261" s="683">
        <f>COUNTIF(BDEGENER[SERIE],BDEGENER[[#This Row],[SERIE]])</f>
        <v>11</v>
      </c>
      <c r="BG261" s="683" t="str">
        <f>CONCATENATE("F",COUNTIF($K$7:K261,K261))</f>
        <v>F1</v>
      </c>
      <c r="BH261" s="683" t="str">
        <f>CONCATENATE(BDEGENER[[#This Row],[FECHA DE SERVICIO]],BDEGENER[[#This Row],[N° DE REGISTROS DEL DIA]])</f>
        <v>44064F1</v>
      </c>
      <c r="BI261" s="684">
        <v>67468.600000000006</v>
      </c>
      <c r="BJ261" s="683" t="s">
        <v>1544</v>
      </c>
      <c r="BK261" s="762" t="s">
        <v>232</v>
      </c>
    </row>
    <row r="262" spans="2:63" ht="69" hidden="1" x14ac:dyDescent="0.3">
      <c r="B262" s="2"/>
      <c r="C262" s="2"/>
      <c r="D262" s="2"/>
      <c r="E262" s="2"/>
      <c r="F262" s="2"/>
      <c r="G262" s="2"/>
      <c r="H262" s="2"/>
      <c r="I262" s="2"/>
      <c r="J262" s="685"/>
      <c r="K262" s="682">
        <v>44064</v>
      </c>
      <c r="L262" s="683" t="s">
        <v>248</v>
      </c>
      <c r="M262" s="683" t="s">
        <v>1224</v>
      </c>
      <c r="N262" s="683" t="s">
        <v>1319</v>
      </c>
      <c r="O262" s="683"/>
      <c r="P262" s="688" t="s">
        <v>3077</v>
      </c>
      <c r="Q262" s="683" t="s">
        <v>37</v>
      </c>
      <c r="R262" s="683" t="s">
        <v>1782</v>
      </c>
      <c r="S262" s="686" t="s">
        <v>3079</v>
      </c>
      <c r="T262" s="683" t="s">
        <v>3080</v>
      </c>
      <c r="U262" s="683" t="s">
        <v>3078</v>
      </c>
      <c r="V262" s="683" t="s">
        <v>147</v>
      </c>
      <c r="W262" s="683" t="s">
        <v>914</v>
      </c>
      <c r="X262" s="691" t="s">
        <v>918</v>
      </c>
      <c r="Y262" s="687">
        <v>3004999911</v>
      </c>
      <c r="Z262" s="692">
        <v>24543</v>
      </c>
      <c r="AA262" s="683" t="s">
        <v>33</v>
      </c>
      <c r="AB262" s="683" t="s">
        <v>1728</v>
      </c>
      <c r="AC262" s="683" t="s">
        <v>528</v>
      </c>
      <c r="AD262" s="683" t="s">
        <v>1123</v>
      </c>
      <c r="AE262" s="683">
        <v>60.1</v>
      </c>
      <c r="AF262" s="684">
        <v>2262.4</v>
      </c>
      <c r="AG262" s="683" t="s">
        <v>243</v>
      </c>
      <c r="AH262" s="683" t="s">
        <v>220</v>
      </c>
      <c r="AI262" s="683" t="s">
        <v>1495</v>
      </c>
      <c r="AJ262" s="683" t="s">
        <v>1496</v>
      </c>
      <c r="AK262" s="683" t="s">
        <v>33</v>
      </c>
      <c r="AL262" s="683">
        <v>139546230</v>
      </c>
      <c r="AM262" s="683" t="s">
        <v>1121</v>
      </c>
      <c r="AN262" s="683" t="s">
        <v>1122</v>
      </c>
      <c r="AO262" s="683" t="s">
        <v>1149</v>
      </c>
      <c r="AP262" s="683" t="s">
        <v>240</v>
      </c>
      <c r="AQ262" s="688" t="str">
        <f>CONCATENATE("REG-",BDEGENER[[#This Row],[FECHA DE SERVICIO]],"-",BDEGENER[[#This Row],[SERIE]],"-",BDEGENER[[#This Row],[HORAS]])</f>
        <v>REG-44064-3004999911-2262,4</v>
      </c>
      <c r="AR262" s="683" t="str">
        <f>CONCATENATE("MARCA: ",BDEGENER[[#This Row],[MARCA]],"
 MODELO: ",BDEGENER[[#This Row],[MODELO]])</f>
        <v>MARCA: GENERAC
 MODELO: PG054</v>
      </c>
      <c r="AS262" s="683" t="str">
        <f>CONCATENATE("MARCA: ",BDEGENER[[#This Row],[MARCA DE MOTOR]],"
SERIE: ",BDEGENER[[#This Row],[SERIE DE MOTOR]])</f>
        <v>MARCA: FORD
SERIE: GP680AA</v>
      </c>
      <c r="AT262" s="683" t="str">
        <f>CONCATENATE("MARCA: ",BDEGENER[[#This Row],[MARCA ALTERNADOR ]],"
SERIE: ",BDEGENER[[#This Row],[SERIE DE ALTERNADOR]])</f>
        <v>MARCA: GENERAC
SERIE: 139546230</v>
      </c>
      <c r="AU262" s="683" t="str">
        <f>CONCATENATE("HORAS: ",BDEGENER[[#This Row],[HORAS]],"
KW-HR: ",BDEGENER[[#This Row],[KW-HORA]],"
VOLT.BATERIA: ",BDEGENER[[#This Row],[VOLTAJE DE BATERIA]],"
TEMPERATURA: ",BDEGENER[[#This Row],[TEMPERATURA DE AGUA]],"
PRES. ACEITE: ",BDEGENER[[#This Row],[PRESION DE ACEITE]])</f>
        <v>HORAS: 2262,4
KW-HR: 54523,5
VOLT.BATERIA: 13.7 V
TEMPERATURA: 195 °F
PRES. ACEITE: 61 PSI</v>
      </c>
      <c r="AV262" s="761">
        <f>COUNTIFS(Q262:Q2262,"MANTENIMIENTO CORRECTIVO",Y262:Y2262,BDEGENER[[#This Row],[SERIE]])</f>
        <v>0</v>
      </c>
      <c r="AW262" s="761">
        <f>COUNTIFS(Q262:Q2262,"MANTENIMIENTO PREVENTIVO",Y262:Y2262,BDEGENER[[#This Row],[SERIE]])</f>
        <v>7</v>
      </c>
      <c r="AX26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62" s="683">
        <f>COUNTIFS(BDEGENER[SERIE],BDEGENER[[#This Row],[SERIE]],BDEGENER[TIPO DE SERVICIO],"MANTENIMIENTO PREVENTIVO")</f>
        <v>12</v>
      </c>
      <c r="AZ262" s="683" t="str">
        <f>CONCATENATE("MANTENIMIENTO PREVENTIVO N°",BDEGENER[[#This Row],[GA1]])</f>
        <v>MANTENIMIENTO PREVENTIVO N°12</v>
      </c>
      <c r="BA262" s="683" t="str">
        <f>IF(BDEGENER[[#This Row],[SERVICIO]]=BDEGENER[[#This Row],[GA2]],BDEGENER[[#This Row],[HORAS]],"0")</f>
        <v>0</v>
      </c>
      <c r="BB262" s="683">
        <f>SUMIF(BDEGENER[SERIE],BDEGENER[[#This Row],[SERIE]],BDEGENER[GA3])</f>
        <v>3510.8</v>
      </c>
      <c r="BC262" s="761" t="str">
        <f>CONCATENATE("MANT",COUNTIF($Y$7:Y262,Y262))</f>
        <v>MANT6</v>
      </c>
      <c r="BD262" s="683" t="str">
        <f>CONCATENATE(BDEGENER[[#This Row],[SERIE]],BDEGENER[[#This Row],[GA5]])</f>
        <v>3004999911MANT6</v>
      </c>
      <c r="BE262" s="683" t="str">
        <f>CONCATENATE(BDEGENER[[#This Row],[CODIGO PATRIMONIAL]],BDEGENER[[#This Row],[GA5]])</f>
        <v>24543MANT6</v>
      </c>
      <c r="BF262" s="683">
        <f>COUNTIF(BDEGENER[SERIE],BDEGENER[[#This Row],[SERIE]])</f>
        <v>14</v>
      </c>
      <c r="BG262" s="761" t="str">
        <f>CONCATENATE("F",COUNTIF($K$7:K262,K262))</f>
        <v>F2</v>
      </c>
      <c r="BH262" s="683" t="str">
        <f>CONCATENATE(BDEGENER[[#This Row],[FECHA DE SERVICIO]],BDEGENER[[#This Row],[N° DE REGISTROS DEL DIA]])</f>
        <v>44064F2</v>
      </c>
      <c r="BI262" s="684">
        <v>54523.5</v>
      </c>
      <c r="BJ262" s="683" t="s">
        <v>1544</v>
      </c>
      <c r="BK262" s="762" t="s">
        <v>1968</v>
      </c>
    </row>
    <row r="263" spans="2:63" ht="69" hidden="1" x14ac:dyDescent="0.3">
      <c r="B263" s="2"/>
      <c r="C263" s="2"/>
      <c r="D263" s="2"/>
      <c r="E263" s="2"/>
      <c r="F263" s="2"/>
      <c r="G263" s="2"/>
      <c r="H263" s="2"/>
      <c r="I263" s="2"/>
      <c r="J263" s="685"/>
      <c r="K263" s="682">
        <v>44063</v>
      </c>
      <c r="L263" s="683" t="s">
        <v>181</v>
      </c>
      <c r="M263" s="683" t="s">
        <v>189</v>
      </c>
      <c r="N263" s="683" t="s">
        <v>1982</v>
      </c>
      <c r="O263" s="683">
        <v>4500853877</v>
      </c>
      <c r="P263" s="688" t="s">
        <v>2990</v>
      </c>
      <c r="Q263" s="683" t="s">
        <v>37</v>
      </c>
      <c r="R263" s="683" t="s">
        <v>1782</v>
      </c>
      <c r="S263" s="686" t="s">
        <v>2991</v>
      </c>
      <c r="T263" s="683" t="s">
        <v>2992</v>
      </c>
      <c r="U263" s="683" t="s">
        <v>2404</v>
      </c>
      <c r="V263" s="683" t="s">
        <v>677</v>
      </c>
      <c r="W263" s="683" t="s">
        <v>914</v>
      </c>
      <c r="X263" s="691" t="s">
        <v>918</v>
      </c>
      <c r="Y263" s="687">
        <v>3004331705</v>
      </c>
      <c r="Z263" s="692"/>
      <c r="AA263" s="683" t="s">
        <v>33</v>
      </c>
      <c r="AB263" s="683" t="s">
        <v>34</v>
      </c>
      <c r="AC263" s="683" t="s">
        <v>230</v>
      </c>
      <c r="AD263" s="683" t="s">
        <v>1110</v>
      </c>
      <c r="AE263" s="683">
        <v>60</v>
      </c>
      <c r="AF263" s="684">
        <v>2096.3000000000002</v>
      </c>
      <c r="AG263" s="683" t="s">
        <v>243</v>
      </c>
      <c r="AH263" s="683" t="s">
        <v>220</v>
      </c>
      <c r="AI263" s="683" t="s">
        <v>33</v>
      </c>
      <c r="AJ263" s="683">
        <v>3004346813</v>
      </c>
      <c r="AK263" s="683" t="s">
        <v>33</v>
      </c>
      <c r="AL263" s="683"/>
      <c r="AM263" s="683" t="s">
        <v>245</v>
      </c>
      <c r="AN263" s="683" t="s">
        <v>1122</v>
      </c>
      <c r="AO263" s="683" t="s">
        <v>2019</v>
      </c>
      <c r="AP263" s="683" t="s">
        <v>240</v>
      </c>
      <c r="AQ263" s="688" t="str">
        <f>CONCATENATE("REG-",BDEGENER[[#This Row],[FECHA DE SERVICIO]],"-",BDEGENER[[#This Row],[SERIE]],"-",BDEGENER[[#This Row],[HORAS]])</f>
        <v>REG-44063-3004331705-2096,3</v>
      </c>
      <c r="AR263" s="683" t="str">
        <f>CONCATENATE("MARCA: ",BDEGENER[[#This Row],[MARCA]],"
 MODELO: ",BDEGENER[[#This Row],[MODELO]])</f>
        <v>MARCA: GENERAC
 MODELO: PG090</v>
      </c>
      <c r="AS263" s="683" t="str">
        <f>CONCATENATE("MARCA: ",BDEGENER[[#This Row],[MARCA DE MOTOR]],"
SERIE: ",BDEGENER[[#This Row],[SERIE DE MOTOR]])</f>
        <v>MARCA: GENERAC
SERIE: 3004346813</v>
      </c>
      <c r="AT263" s="683" t="str">
        <f>CONCATENATE("MARCA: ",BDEGENER[[#This Row],[MARCA ALTERNADOR ]],"
SERIE: ",BDEGENER[[#This Row],[SERIE DE ALTERNADOR]])</f>
        <v xml:space="preserve">MARCA: GENERAC
SERIE: </v>
      </c>
      <c r="AU263" s="683" t="str">
        <f>CONCATENATE("HORAS: ",BDEGENER[[#This Row],[HORAS]],"
KW-HR: ",BDEGENER[[#This Row],[KW-HORA]],"
VOLT.BATERIA: ",BDEGENER[[#This Row],[VOLTAJE DE BATERIA]],"
TEMPERATURA: ",BDEGENER[[#This Row],[TEMPERATURA DE AGUA]],"
PRES. ACEITE: ",BDEGENER[[#This Row],[PRESION DE ACEITE]])</f>
        <v>HORAS: 2096,3
KW-HR: 54901,4
VOLT.BATERIA: 13.6 V
TEMPERATURA: 195 °F
PRES. ACEITE: 64 PSI</v>
      </c>
      <c r="AV263" s="683">
        <f>COUNTIFS(Q263:Q2263,"MANTENIMIENTO CORRECTIVO",Y263:Y2263,BDEGENER[[#This Row],[SERIE]])</f>
        <v>1</v>
      </c>
      <c r="AW263" s="683">
        <f>COUNTIFS(Q263:Q2263,"MANTENIMIENTO PREVENTIVO",Y263:Y2263,BDEGENER[[#This Row],[SERIE]])</f>
        <v>7</v>
      </c>
      <c r="AX26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63" s="683">
        <f>COUNTIFS(BDEGENER[SERIE],BDEGENER[[#This Row],[SERIE]],BDEGENER[TIPO DE SERVICIO],"MANTENIMIENTO PREVENTIVO")</f>
        <v>8</v>
      </c>
      <c r="AZ263" s="683" t="str">
        <f>CONCATENATE("MANTENIMIENTO PREVENTIVO N°",BDEGENER[[#This Row],[GA1]])</f>
        <v>MANTENIMIENTO PREVENTIVO N°8</v>
      </c>
      <c r="BA263" s="683" t="str">
        <f>IF(BDEGENER[[#This Row],[SERVICIO]]=BDEGENER[[#This Row],[GA2]],BDEGENER[[#This Row],[HORAS]],"0")</f>
        <v>0</v>
      </c>
      <c r="BB263" s="683">
        <f>SUMIF(BDEGENER[SERIE],BDEGENER[[#This Row],[SERIE]],BDEGENER[GA3])</f>
        <v>2381.3000000000002</v>
      </c>
      <c r="BC263" s="683" t="str">
        <f>CONCATENATE("MANT",COUNTIF($Y$7:Y263,Y263))</f>
        <v>MANT2</v>
      </c>
      <c r="BD263" s="683" t="str">
        <f>CONCATENATE(BDEGENER[[#This Row],[SERIE]],BDEGENER[[#This Row],[GA5]])</f>
        <v>3004331705MANT2</v>
      </c>
      <c r="BE263" s="683" t="str">
        <f>CONCATENATE(BDEGENER[[#This Row],[CODIGO PATRIMONIAL]],BDEGENER[[#This Row],[GA5]])</f>
        <v>MANT2</v>
      </c>
      <c r="BF263" s="683">
        <f>COUNTIF(BDEGENER[SERIE],BDEGENER[[#This Row],[SERIE]])</f>
        <v>10</v>
      </c>
      <c r="BG263" s="683" t="str">
        <f>CONCATENATE("F",COUNTIF($K$7:K263,K263))</f>
        <v>F1</v>
      </c>
      <c r="BH263" s="683" t="str">
        <f>CONCATENATE(BDEGENER[[#This Row],[FECHA DE SERVICIO]],BDEGENER[[#This Row],[N° DE REGISTROS DEL DIA]])</f>
        <v>44063F1</v>
      </c>
      <c r="BI263" s="684">
        <v>54901.4</v>
      </c>
      <c r="BJ263" s="683" t="s">
        <v>1544</v>
      </c>
      <c r="BK263" s="762"/>
    </row>
    <row r="264" spans="2:63" ht="69" hidden="1" x14ac:dyDescent="0.3">
      <c r="B264" s="2"/>
      <c r="C264" s="2"/>
      <c r="D264" s="2"/>
      <c r="E264" s="2"/>
      <c r="F264" s="2"/>
      <c r="G264" s="2"/>
      <c r="H264" s="2"/>
      <c r="I264" s="2"/>
      <c r="J264" s="685"/>
      <c r="K264" s="682">
        <v>44063</v>
      </c>
      <c r="L264" s="683" t="s">
        <v>181</v>
      </c>
      <c r="M264" s="683" t="s">
        <v>2169</v>
      </c>
      <c r="N264" s="683" t="s">
        <v>2170</v>
      </c>
      <c r="O264" s="683">
        <v>4500926217</v>
      </c>
      <c r="P264" s="688" t="s">
        <v>2978</v>
      </c>
      <c r="Q264" s="683" t="s">
        <v>37</v>
      </c>
      <c r="R264" s="683" t="s">
        <v>1782</v>
      </c>
      <c r="S264" s="686" t="s">
        <v>2976</v>
      </c>
      <c r="T264" s="683" t="s">
        <v>2546</v>
      </c>
      <c r="U264" s="683" t="s">
        <v>2488</v>
      </c>
      <c r="V264" s="683" t="s">
        <v>147</v>
      </c>
      <c r="W264" s="683" t="s">
        <v>914</v>
      </c>
      <c r="X264" s="691" t="s">
        <v>918</v>
      </c>
      <c r="Y264" s="687">
        <v>3005167422</v>
      </c>
      <c r="Z264" s="692" t="s">
        <v>159</v>
      </c>
      <c r="AA264" s="683" t="s">
        <v>33</v>
      </c>
      <c r="AB264" s="683" t="s">
        <v>2174</v>
      </c>
      <c r="AC264" s="683" t="s">
        <v>2175</v>
      </c>
      <c r="AD264" s="683" t="s">
        <v>1110</v>
      </c>
      <c r="AE264" s="683">
        <v>60</v>
      </c>
      <c r="AF264" s="684">
        <v>1091.7</v>
      </c>
      <c r="AG264" s="683" t="s">
        <v>243</v>
      </c>
      <c r="AH264" s="683" t="s">
        <v>220</v>
      </c>
      <c r="AI264" s="683" t="s">
        <v>33</v>
      </c>
      <c r="AJ264" s="683" t="s">
        <v>2176</v>
      </c>
      <c r="AK264" s="683" t="s">
        <v>33</v>
      </c>
      <c r="AL264" s="683">
        <v>147951510</v>
      </c>
      <c r="AM264" s="683" t="s">
        <v>1121</v>
      </c>
      <c r="AN264" s="683" t="s">
        <v>246</v>
      </c>
      <c r="AO264" s="683" t="s">
        <v>1383</v>
      </c>
      <c r="AP264" s="683" t="s">
        <v>240</v>
      </c>
      <c r="AQ264" s="688" t="str">
        <f>CONCATENATE("REG-",BDEGENER[[#This Row],[FECHA DE SERVICIO]],"-",BDEGENER[[#This Row],[SERIE]],"-",BDEGENER[[#This Row],[HORAS]])</f>
        <v>REG-44063-3005167422-1091,7</v>
      </c>
      <c r="AR264" s="683" t="str">
        <f>CONCATENATE("MARCA: ",BDEGENER[[#This Row],[MARCA]],"
 MODELO: ",BDEGENER[[#This Row],[MODELO]])</f>
        <v>MARCA: GENERAC
 MODELO: SG070</v>
      </c>
      <c r="AS264" s="683" t="str">
        <f>CONCATENATE("MARCA: ",BDEGENER[[#This Row],[MARCA DE MOTOR]],"
SERIE: ",BDEGENER[[#This Row],[SERIE DE MOTOR]])</f>
        <v>MARCA: GENERAC
SERIE: GP680AA-EH2A 250619</v>
      </c>
      <c r="AT264" s="683" t="str">
        <f>CONCATENATE("MARCA: ",BDEGENER[[#This Row],[MARCA ALTERNADOR ]],"
SERIE: ",BDEGENER[[#This Row],[SERIE DE ALTERNADOR]])</f>
        <v>MARCA: GENERAC
SERIE: 147951510</v>
      </c>
      <c r="AU264" s="683" t="str">
        <f>CONCATENATE("HORAS: ",BDEGENER[[#This Row],[HORAS]],"
KW-HR: ",BDEGENER[[#This Row],[KW-HORA]],"
VOLT.BATERIA: ",BDEGENER[[#This Row],[VOLTAJE DE BATERIA]],"
TEMPERATURA: ",BDEGENER[[#This Row],[TEMPERATURA DE AGUA]],"
PRES. ACEITE: ",BDEGENER[[#This Row],[PRESION DE ACEITE]])</f>
        <v>HORAS: 1091,7
KW-HR: 11892,5
VOLT.BATERIA: 13.7 V
TEMPERATURA: 198 °F
PRES. ACEITE: 68 PSI</v>
      </c>
      <c r="AV264" s="683">
        <f>COUNTIFS(Q264:Q2264,"MANTENIMIENTO CORRECTIVO",Y264:Y2264,BDEGENER[[#This Row],[SERIE]])</f>
        <v>0</v>
      </c>
      <c r="AW264" s="683">
        <f>COUNTIFS(Q264:Q2264,"MANTENIMIENTO PREVENTIVO",Y264:Y2264,BDEGENER[[#This Row],[SERIE]])</f>
        <v>4</v>
      </c>
      <c r="AX26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264" s="683">
        <f>COUNTIFS(BDEGENER[SERIE],BDEGENER[[#This Row],[SERIE]],BDEGENER[TIPO DE SERVICIO],"MANTENIMIENTO PREVENTIVO")</f>
        <v>6</v>
      </c>
      <c r="AZ264" s="683" t="str">
        <f>CONCATENATE("MANTENIMIENTO PREVENTIVO N°",BDEGENER[[#This Row],[GA1]])</f>
        <v>MANTENIMIENTO PREVENTIVO N°6</v>
      </c>
      <c r="BA264" s="683" t="str">
        <f>IF(BDEGENER[[#This Row],[SERVICIO]]=BDEGENER[[#This Row],[GA2]],BDEGENER[[#This Row],[HORAS]],"0")</f>
        <v>0</v>
      </c>
      <c r="BB264" s="683">
        <f>SUMIF(BDEGENER[SERIE],BDEGENER[[#This Row],[SERIE]],BDEGENER[GA3])</f>
        <v>1906.8</v>
      </c>
      <c r="BC264" s="683" t="str">
        <f>CONCATENATE("MANT",COUNTIF($Y$7:Y264,Y264))</f>
        <v>MANT3</v>
      </c>
      <c r="BD264" s="683" t="str">
        <f>CONCATENATE(BDEGENER[[#This Row],[SERIE]],BDEGENER[[#This Row],[GA5]])</f>
        <v>3005167422MANT3</v>
      </c>
      <c r="BE264" s="683" t="str">
        <f>CONCATENATE(BDEGENER[[#This Row],[CODIGO PATRIMONIAL]],BDEGENER[[#This Row],[GA5]])</f>
        <v>MANT3</v>
      </c>
      <c r="BF264" s="683">
        <f>COUNTIF(BDEGENER[SERIE],BDEGENER[[#This Row],[SERIE]])</f>
        <v>7</v>
      </c>
      <c r="BG264" s="683" t="str">
        <f>CONCATENATE("F",COUNTIF($K$7:K264,K264))</f>
        <v>F2</v>
      </c>
      <c r="BH264" s="683" t="str">
        <f>CONCATENATE(BDEGENER[[#This Row],[FECHA DE SERVICIO]],BDEGENER[[#This Row],[N° DE REGISTROS DEL DIA]])</f>
        <v>44063F2</v>
      </c>
      <c r="BI264" s="684">
        <v>11892.5</v>
      </c>
      <c r="BJ264" s="683" t="s">
        <v>1544</v>
      </c>
      <c r="BK264" s="762"/>
    </row>
    <row r="265" spans="2:63" ht="69" hidden="1" x14ac:dyDescent="0.3">
      <c r="B265" s="2"/>
      <c r="C265" s="2"/>
      <c r="D265" s="2"/>
      <c r="E265" s="2"/>
      <c r="F265" s="2"/>
      <c r="G265" s="2"/>
      <c r="H265" s="2"/>
      <c r="I265" s="2"/>
      <c r="J265" s="685"/>
      <c r="K265" s="682">
        <v>44063</v>
      </c>
      <c r="L265" s="683" t="s">
        <v>181</v>
      </c>
      <c r="M265" s="683" t="s">
        <v>2179</v>
      </c>
      <c r="N265" s="683" t="s">
        <v>2170</v>
      </c>
      <c r="O265" s="683">
        <v>4500926217</v>
      </c>
      <c r="P265" s="688" t="s">
        <v>2977</v>
      </c>
      <c r="Q265" s="683" t="s">
        <v>37</v>
      </c>
      <c r="R265" s="683" t="s">
        <v>1782</v>
      </c>
      <c r="S265" s="686" t="s">
        <v>2976</v>
      </c>
      <c r="T265" s="683" t="s">
        <v>2546</v>
      </c>
      <c r="U265" s="683" t="s">
        <v>2488</v>
      </c>
      <c r="V265" s="683" t="s">
        <v>147</v>
      </c>
      <c r="W265" s="683" t="s">
        <v>914</v>
      </c>
      <c r="X265" s="691" t="s">
        <v>918</v>
      </c>
      <c r="Y265" s="687">
        <v>3005167425</v>
      </c>
      <c r="Z265" s="692" t="s">
        <v>159</v>
      </c>
      <c r="AA265" s="683" t="s">
        <v>33</v>
      </c>
      <c r="AB265" s="683" t="s">
        <v>2174</v>
      </c>
      <c r="AC265" s="683" t="s">
        <v>2175</v>
      </c>
      <c r="AD265" s="683" t="s">
        <v>1110</v>
      </c>
      <c r="AE265" s="683">
        <v>60.1</v>
      </c>
      <c r="AF265" s="684">
        <v>1136.5999999999999</v>
      </c>
      <c r="AG265" s="683" t="s">
        <v>243</v>
      </c>
      <c r="AH265" s="683" t="s">
        <v>220</v>
      </c>
      <c r="AI265" s="683" t="s">
        <v>33</v>
      </c>
      <c r="AJ265" s="683" t="s">
        <v>2222</v>
      </c>
      <c r="AK265" s="683" t="s">
        <v>33</v>
      </c>
      <c r="AL265" s="683">
        <v>147951510</v>
      </c>
      <c r="AM265" s="683" t="s">
        <v>1094</v>
      </c>
      <c r="AN265" s="683" t="s">
        <v>1143</v>
      </c>
      <c r="AO265" s="683" t="s">
        <v>1365</v>
      </c>
      <c r="AP265" s="683" t="s">
        <v>240</v>
      </c>
      <c r="AQ265" s="744" t="str">
        <f>CONCATENATE("REG-",BDEGENER[[#This Row],[FECHA DE SERVICIO]],"-",BDEGENER[[#This Row],[SERIE]],"-",BDEGENER[[#This Row],[HORAS]])</f>
        <v>REG-44063-3005167425-1136,6</v>
      </c>
      <c r="AR265" s="683" t="str">
        <f>CONCATENATE("MARCA: ",BDEGENER[[#This Row],[MARCA]],"
 MODELO: ",BDEGENER[[#This Row],[MODELO]])</f>
        <v>MARCA: GENERAC
 MODELO: SG070</v>
      </c>
      <c r="AS265" s="683" t="str">
        <f>CONCATENATE("MARCA: ",BDEGENER[[#This Row],[MARCA DE MOTOR]],"
SERIE: ",BDEGENER[[#This Row],[SERIE DE MOTOR]])</f>
        <v>MARCA: GENERAC
SERIE: GP680AA-EH2A 250618</v>
      </c>
      <c r="AT265" s="683" t="str">
        <f>CONCATENATE("MARCA: ",BDEGENER[[#This Row],[MARCA ALTERNADOR ]],"
SERIE: ",BDEGENER[[#This Row],[SERIE DE ALTERNADOR]])</f>
        <v>MARCA: GENERAC
SERIE: 147951510</v>
      </c>
      <c r="AU265" s="683" t="str">
        <f>CONCATENATE("HORAS: ",BDEGENER[[#This Row],[HORAS]],"
KW-HR: ",BDEGENER[[#This Row],[KW-HORA]],"
VOLT.BATERIA: ",BDEGENER[[#This Row],[VOLTAJE DE BATERIA]],"
TEMPERATURA: ",BDEGENER[[#This Row],[TEMPERATURA DE AGUA]],"
PRES. ACEITE: ",BDEGENER[[#This Row],[PRESION DE ACEITE]])</f>
        <v>HORAS: 1136,6
KW-HR: 11734,3
VOLT.BATERIA: 13.5 V
TEMPERATURA: 197 °F
PRES. ACEITE: 70 PSI</v>
      </c>
      <c r="AV265" s="761">
        <f>COUNTIFS(Q265:Q2265,"MANTENIMIENTO CORRECTIVO",Y265:Y2265,BDEGENER[[#This Row],[SERIE]])</f>
        <v>0</v>
      </c>
      <c r="AW265" s="761">
        <f>COUNTIFS(Q265:Q2265,"MANTENIMIENTO PREVENTIVO",Y265:Y2265,BDEGENER[[#This Row],[SERIE]])</f>
        <v>4</v>
      </c>
      <c r="AX26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265" s="683">
        <f>COUNTIFS(BDEGENER[SERIE],BDEGENER[[#This Row],[SERIE]],BDEGENER[TIPO DE SERVICIO],"MANTENIMIENTO PREVENTIVO")</f>
        <v>6</v>
      </c>
      <c r="AZ265" s="683" t="str">
        <f>CONCATENATE("MANTENIMIENTO PREVENTIVO N°",BDEGENER[[#This Row],[GA1]])</f>
        <v>MANTENIMIENTO PREVENTIVO N°6</v>
      </c>
      <c r="BA265" s="683" t="str">
        <f>IF(BDEGENER[[#This Row],[SERVICIO]]=BDEGENER[[#This Row],[GA2]],BDEGENER[[#This Row],[HORAS]],"0")</f>
        <v>0</v>
      </c>
      <c r="BB265" s="683">
        <f>SUMIF(BDEGENER[SERIE],BDEGENER[[#This Row],[SERIE]],BDEGENER[GA3])</f>
        <v>1939.8</v>
      </c>
      <c r="BC265" s="761" t="str">
        <f>CONCATENATE("MANT",COUNTIF($Y$7:Y265,Y265))</f>
        <v>MANT3</v>
      </c>
      <c r="BD265" s="683" t="str">
        <f>CONCATENATE(BDEGENER[[#This Row],[SERIE]],BDEGENER[[#This Row],[GA5]])</f>
        <v>3005167425MANT3</v>
      </c>
      <c r="BE265" s="683" t="str">
        <f>CONCATENATE(BDEGENER[[#This Row],[CODIGO PATRIMONIAL]],BDEGENER[[#This Row],[GA5]])</f>
        <v>MANT3</v>
      </c>
      <c r="BF265" s="683">
        <f>COUNTIF(BDEGENER[SERIE],BDEGENER[[#This Row],[SERIE]])</f>
        <v>7</v>
      </c>
      <c r="BG265" s="761" t="str">
        <f>CONCATENATE("F",COUNTIF($K$7:K265,K265))</f>
        <v>F3</v>
      </c>
      <c r="BH265" s="683" t="str">
        <f>CONCATENATE(BDEGENER[[#This Row],[FECHA DE SERVICIO]],BDEGENER[[#This Row],[N° DE REGISTROS DEL DIA]])</f>
        <v>44063F3</v>
      </c>
      <c r="BI265" s="684">
        <v>11734.3</v>
      </c>
      <c r="BJ265" s="683" t="s">
        <v>1544</v>
      </c>
      <c r="BK265" s="762"/>
    </row>
    <row r="266" spans="2:63" ht="69" hidden="1" x14ac:dyDescent="0.3">
      <c r="B266" s="2"/>
      <c r="C266" s="2"/>
      <c r="D266" s="2"/>
      <c r="E266" s="2"/>
      <c r="F266" s="2"/>
      <c r="G266" s="2"/>
      <c r="H266" s="2"/>
      <c r="I266" s="2"/>
      <c r="J266" s="685"/>
      <c r="K266" s="682">
        <v>44063</v>
      </c>
      <c r="L266" s="683" t="s">
        <v>181</v>
      </c>
      <c r="M266" s="683" t="s">
        <v>188</v>
      </c>
      <c r="N266" s="683" t="s">
        <v>183</v>
      </c>
      <c r="O266" s="683">
        <v>4500873022</v>
      </c>
      <c r="P266" s="688" t="s">
        <v>2969</v>
      </c>
      <c r="Q266" s="683" t="s">
        <v>37</v>
      </c>
      <c r="R266" s="683" t="s">
        <v>1782</v>
      </c>
      <c r="S266" s="686" t="s">
        <v>2970</v>
      </c>
      <c r="T266" s="683" t="s">
        <v>2922</v>
      </c>
      <c r="U266" s="683" t="s">
        <v>2882</v>
      </c>
      <c r="V266" s="683" t="s">
        <v>146</v>
      </c>
      <c r="W266" s="683" t="s">
        <v>914</v>
      </c>
      <c r="X266" s="691" t="s">
        <v>918</v>
      </c>
      <c r="Y266" s="687">
        <v>3004381437</v>
      </c>
      <c r="Z266" s="692"/>
      <c r="AA266" s="683" t="s">
        <v>33</v>
      </c>
      <c r="AB266" s="683" t="s">
        <v>34</v>
      </c>
      <c r="AC266" s="683" t="s">
        <v>230</v>
      </c>
      <c r="AD266" s="683" t="s">
        <v>1110</v>
      </c>
      <c r="AE266" s="683">
        <v>60</v>
      </c>
      <c r="AF266" s="684">
        <v>1956.5</v>
      </c>
      <c r="AG266" s="683" t="s">
        <v>243</v>
      </c>
      <c r="AH266" s="683" t="s">
        <v>220</v>
      </c>
      <c r="AI266" s="683" t="s">
        <v>33</v>
      </c>
      <c r="AJ266" s="683">
        <v>3004346804</v>
      </c>
      <c r="AK266" s="683" t="s">
        <v>33</v>
      </c>
      <c r="AL266" s="683">
        <v>10630963</v>
      </c>
      <c r="AM266" s="683" t="s">
        <v>1377</v>
      </c>
      <c r="AN266" s="683" t="s">
        <v>1143</v>
      </c>
      <c r="AO266" s="683" t="s">
        <v>1144</v>
      </c>
      <c r="AP266" s="683" t="s">
        <v>240</v>
      </c>
      <c r="AQ266" s="688" t="str">
        <f>CONCATENATE("REG-",BDEGENER[[#This Row],[FECHA DE SERVICIO]],"-",BDEGENER[[#This Row],[SERIE]],"-",BDEGENER[[#This Row],[HORAS]])</f>
        <v>REG-44063-3004381437-1956,5</v>
      </c>
      <c r="AR266" s="683" t="str">
        <f>CONCATENATE("MARCA: ",BDEGENER[[#This Row],[MARCA]],"
 MODELO: ",BDEGENER[[#This Row],[MODELO]])</f>
        <v>MARCA: GENERAC
 MODELO: PG090</v>
      </c>
      <c r="AS266" s="683" t="str">
        <f>CONCATENATE("MARCA: ",BDEGENER[[#This Row],[MARCA DE MOTOR]],"
SERIE: ",BDEGENER[[#This Row],[SERIE DE MOTOR]])</f>
        <v>MARCA: GENERAC
SERIE: 3004346804</v>
      </c>
      <c r="AT266" s="683" t="str">
        <f>CONCATENATE("MARCA: ",BDEGENER[[#This Row],[MARCA ALTERNADOR ]],"
SERIE: ",BDEGENER[[#This Row],[SERIE DE ALTERNADOR]])</f>
        <v>MARCA: GENERAC
SERIE: 10630963</v>
      </c>
      <c r="AU266" s="683" t="str">
        <f>CONCATENATE("HORAS: ",BDEGENER[[#This Row],[HORAS]],"
KW-HR: ",BDEGENER[[#This Row],[KW-HORA]],"
VOLT.BATERIA: ",BDEGENER[[#This Row],[VOLTAJE DE BATERIA]],"
TEMPERATURA: ",BDEGENER[[#This Row],[TEMPERATURA DE AGUA]],"
PRES. ACEITE: ",BDEGENER[[#This Row],[PRESION DE ACEITE]])</f>
        <v>HORAS: 1956,5
KW-HR: 36995,7
VOLT.BATERIA: 13.8 V
TEMPERATURA: 197 °F
PRES. ACEITE: 59 PSI</v>
      </c>
      <c r="AV266" s="683">
        <f>COUNTIFS(Q266:Q2266,"MANTENIMIENTO CORRECTIVO",Y266:Y2266,BDEGENER[[#This Row],[SERIE]])</f>
        <v>2</v>
      </c>
      <c r="AW266" s="683">
        <f>COUNTIFS(Q266:Q2266,"MANTENIMIENTO PREVENTIVO",Y266:Y2266,BDEGENER[[#This Row],[SERIE]])</f>
        <v>7</v>
      </c>
      <c r="AX26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66" s="683">
        <f>COUNTIFS(BDEGENER[SERIE],BDEGENER[[#This Row],[SERIE]],BDEGENER[TIPO DE SERVICIO],"MANTENIMIENTO PREVENTIVO")</f>
        <v>8</v>
      </c>
      <c r="AZ266" s="683" t="str">
        <f>CONCATENATE("MANTENIMIENTO PREVENTIVO N°",BDEGENER[[#This Row],[GA1]])</f>
        <v>MANTENIMIENTO PREVENTIVO N°8</v>
      </c>
      <c r="BA266" s="683" t="str">
        <f>IF(BDEGENER[[#This Row],[SERVICIO]]=BDEGENER[[#This Row],[GA2]],BDEGENER[[#This Row],[HORAS]],"0")</f>
        <v>0</v>
      </c>
      <c r="BB266" s="683">
        <f>SUMIF(BDEGENER[SERIE],BDEGENER[[#This Row],[SERIE]],BDEGENER[GA3])</f>
        <v>2359.6</v>
      </c>
      <c r="BC266" s="683" t="str">
        <f>CONCATENATE("MANT",COUNTIF($Y$7:Y266,Y266))</f>
        <v>MANT3</v>
      </c>
      <c r="BD266" s="683" t="str">
        <f>CONCATENATE(BDEGENER[[#This Row],[SERIE]],BDEGENER[[#This Row],[GA5]])</f>
        <v>3004381437MANT3</v>
      </c>
      <c r="BE266" s="683" t="str">
        <f>CONCATENATE(BDEGENER[[#This Row],[CODIGO PATRIMONIAL]],BDEGENER[[#This Row],[GA5]])</f>
        <v>MANT3</v>
      </c>
      <c r="BF266" s="683">
        <f>COUNTIF(BDEGENER[SERIE],BDEGENER[[#This Row],[SERIE]])</f>
        <v>12</v>
      </c>
      <c r="BG266" s="683" t="str">
        <f>CONCATENATE("F",COUNTIF($K$7:K266,K266))</f>
        <v>F4</v>
      </c>
      <c r="BH266" s="683" t="str">
        <f>CONCATENATE(BDEGENER[[#This Row],[FECHA DE SERVICIO]],BDEGENER[[#This Row],[N° DE REGISTROS DEL DIA]])</f>
        <v>44063F4</v>
      </c>
      <c r="BI266" s="684">
        <v>36995.699999999997</v>
      </c>
      <c r="BJ266" s="683" t="s">
        <v>1544</v>
      </c>
      <c r="BK266" s="762" t="s">
        <v>853</v>
      </c>
    </row>
    <row r="267" spans="2:63" ht="69" hidden="1" x14ac:dyDescent="0.3">
      <c r="B267" s="2"/>
      <c r="C267" s="2"/>
      <c r="D267" s="2"/>
      <c r="E267" s="2"/>
      <c r="F267" s="2"/>
      <c r="G267" s="2"/>
      <c r="H267" s="2"/>
      <c r="I267" s="2"/>
      <c r="J267" s="685"/>
      <c r="K267" s="682">
        <v>44062</v>
      </c>
      <c r="L267" s="683" t="s">
        <v>181</v>
      </c>
      <c r="M267" s="683" t="s">
        <v>187</v>
      </c>
      <c r="N267" s="683" t="s">
        <v>183</v>
      </c>
      <c r="O267" s="683"/>
      <c r="P267" s="683"/>
      <c r="Q267" s="683" t="s">
        <v>107</v>
      </c>
      <c r="R267" s="683" t="s">
        <v>2971</v>
      </c>
      <c r="S267" s="686" t="s">
        <v>2972</v>
      </c>
      <c r="T267" s="683" t="s">
        <v>2973</v>
      </c>
      <c r="U267" s="683" t="s">
        <v>2868</v>
      </c>
      <c r="V267" s="683" t="s">
        <v>146</v>
      </c>
      <c r="W267" s="683" t="s">
        <v>914</v>
      </c>
      <c r="X267" s="691" t="s">
        <v>918</v>
      </c>
      <c r="Y267" s="687">
        <v>3004214491</v>
      </c>
      <c r="Z267" s="692"/>
      <c r="AA267" s="683" t="s">
        <v>33</v>
      </c>
      <c r="AB267" s="683" t="s">
        <v>34</v>
      </c>
      <c r="AC267" s="683" t="s">
        <v>230</v>
      </c>
      <c r="AD267" s="683" t="s">
        <v>1110</v>
      </c>
      <c r="AE267" s="683">
        <v>60</v>
      </c>
      <c r="AF267" s="684">
        <v>2042.3</v>
      </c>
      <c r="AG267" s="683" t="s">
        <v>243</v>
      </c>
      <c r="AH267" s="683" t="s">
        <v>244</v>
      </c>
      <c r="AI267" s="683" t="s">
        <v>33</v>
      </c>
      <c r="AJ267" s="683">
        <v>3004133600</v>
      </c>
      <c r="AK267" s="683" t="s">
        <v>33</v>
      </c>
      <c r="AL267" s="683">
        <v>1063014</v>
      </c>
      <c r="AM267" s="683"/>
      <c r="AN267" s="683"/>
      <c r="AO267" s="683"/>
      <c r="AP267" s="683" t="s">
        <v>240</v>
      </c>
      <c r="AQ267" s="688" t="str">
        <f>CONCATENATE("REG-",BDEGENER[[#This Row],[FECHA DE SERVICIO]],"-",BDEGENER[[#This Row],[SERIE]],"-",BDEGENER[[#This Row],[HORAS]])</f>
        <v>REG-44062-3004214491-2042,3</v>
      </c>
      <c r="AR267" s="683" t="str">
        <f>CONCATENATE("MARCA: ",BDEGENER[[#This Row],[MARCA]],"
 MODELO: ",BDEGENER[[#This Row],[MODELO]])</f>
        <v>MARCA: GENERAC
 MODELO: PG090</v>
      </c>
      <c r="AS267" s="683" t="str">
        <f>CONCATENATE("MARCA: ",BDEGENER[[#This Row],[MARCA DE MOTOR]],"
SERIE: ",BDEGENER[[#This Row],[SERIE DE MOTOR]])</f>
        <v>MARCA: GENERAC
SERIE: 3004133600</v>
      </c>
      <c r="AT267" s="683" t="str">
        <f>CONCATENATE("MARCA: ",BDEGENER[[#This Row],[MARCA ALTERNADOR ]],"
SERIE: ",BDEGENER[[#This Row],[SERIE DE ALTERNADOR]])</f>
        <v>MARCA: GENERAC
SERIE: 1063014</v>
      </c>
      <c r="AU267" s="683" t="str">
        <f>CONCATENATE("HORAS: ",BDEGENER[[#This Row],[HORAS]],"
KW-HR: ",BDEGENER[[#This Row],[KW-HORA]],"
VOLT.BATERIA: ",BDEGENER[[#This Row],[VOLTAJE DE BATERIA]],"
TEMPERATURA: ",BDEGENER[[#This Row],[TEMPERATURA DE AGUA]],"
PRES. ACEITE: ",BDEGENER[[#This Row],[PRESION DE ACEITE]])</f>
        <v xml:space="preserve">HORAS: 2042,3
KW-HR: 29296,4
VOLT.BATERIA: 
TEMPERATURA: 
PRES. ACEITE: </v>
      </c>
      <c r="AV267" s="683">
        <f>COUNTIFS(Q267:Q2267,"MANTENIMIENTO CORRECTIVO",Y267:Y2267,BDEGENER[[#This Row],[SERIE]])</f>
        <v>5</v>
      </c>
      <c r="AW267" s="683">
        <f>COUNTIFS(Q267:Q2267,"MANTENIMIENTO PREVENTIVO",Y267:Y2267,BDEGENER[[#This Row],[SERIE]])</f>
        <v>7</v>
      </c>
      <c r="AX26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N°5</v>
      </c>
      <c r="AY267" s="683">
        <f>COUNTIFS(BDEGENER[SERIE],BDEGENER[[#This Row],[SERIE]],BDEGENER[TIPO DE SERVICIO],"MANTENIMIENTO PREVENTIVO")</f>
        <v>9</v>
      </c>
      <c r="AZ267" s="683" t="str">
        <f>CONCATENATE("MANTENIMIENTO PREVENTIVO N°",BDEGENER[[#This Row],[GA1]])</f>
        <v>MANTENIMIENTO PREVENTIVO N°9</v>
      </c>
      <c r="BA267" s="683" t="str">
        <f>IF(BDEGENER[[#This Row],[SERVICIO]]=BDEGENER[[#This Row],[GA2]],BDEGENER[[#This Row],[HORAS]],"0")</f>
        <v>0</v>
      </c>
      <c r="BB267" s="683">
        <f>SUMIF(BDEGENER[SERIE],BDEGENER[[#This Row],[SERIE]],BDEGENER[GA3])</f>
        <v>2751</v>
      </c>
      <c r="BC267" s="683" t="str">
        <f>CONCATENATE("MANT",COUNTIF($Y$7:Y267,Y267))</f>
        <v>MANT4</v>
      </c>
      <c r="BD267" s="683" t="str">
        <f>CONCATENATE(BDEGENER[[#This Row],[SERIE]],BDEGENER[[#This Row],[GA5]])</f>
        <v>3004214491MANT4</v>
      </c>
      <c r="BE267" s="683" t="str">
        <f>CONCATENATE(BDEGENER[[#This Row],[CODIGO PATRIMONIAL]],BDEGENER[[#This Row],[GA5]])</f>
        <v>MANT4</v>
      </c>
      <c r="BF267" s="683">
        <f>COUNTIF(BDEGENER[SERIE],BDEGENER[[#This Row],[SERIE]])</f>
        <v>18</v>
      </c>
      <c r="BG267" s="683" t="str">
        <f>CONCATENATE("F",COUNTIF($K$7:K267,K267))</f>
        <v>F1</v>
      </c>
      <c r="BH267" s="683" t="str">
        <f>CONCATENATE(BDEGENER[[#This Row],[FECHA DE SERVICIO]],BDEGENER[[#This Row],[N° DE REGISTROS DEL DIA]])</f>
        <v>44062F1</v>
      </c>
      <c r="BI267" s="684">
        <v>29296.400000000001</v>
      </c>
      <c r="BJ267" s="683" t="s">
        <v>1544</v>
      </c>
      <c r="BK267" s="762"/>
    </row>
    <row r="268" spans="2:63" ht="69" hidden="1" x14ac:dyDescent="0.3">
      <c r="B268" s="2"/>
      <c r="C268" s="2"/>
      <c r="D268" s="2"/>
      <c r="E268" s="2"/>
      <c r="F268" s="2"/>
      <c r="G268" s="2"/>
      <c r="H268" s="2"/>
      <c r="I268" s="2"/>
      <c r="J268" s="685"/>
      <c r="K268" s="682">
        <v>44062</v>
      </c>
      <c r="L268" s="683" t="s">
        <v>181</v>
      </c>
      <c r="M268" s="683" t="s">
        <v>187</v>
      </c>
      <c r="N268" s="683" t="s">
        <v>183</v>
      </c>
      <c r="O268" s="683"/>
      <c r="P268" s="683"/>
      <c r="Q268" s="683" t="s">
        <v>108</v>
      </c>
      <c r="R268" s="683" t="s">
        <v>1782</v>
      </c>
      <c r="S268" s="686" t="s">
        <v>3452</v>
      </c>
      <c r="T268" s="683" t="s">
        <v>3453</v>
      </c>
      <c r="U268" s="683"/>
      <c r="V268" s="683" t="s">
        <v>146</v>
      </c>
      <c r="W268" s="683" t="s">
        <v>914</v>
      </c>
      <c r="X268" s="691" t="s">
        <v>918</v>
      </c>
      <c r="Y268" s="687">
        <v>3004327725</v>
      </c>
      <c r="Z268" s="692"/>
      <c r="AA268" s="683" t="s">
        <v>33</v>
      </c>
      <c r="AB268" s="683" t="s">
        <v>34</v>
      </c>
      <c r="AC268" s="683" t="s">
        <v>230</v>
      </c>
      <c r="AD268" s="683"/>
      <c r="AE268" s="683"/>
      <c r="AF268" s="684">
        <v>1607.4</v>
      </c>
      <c r="AG268" s="683" t="s">
        <v>243</v>
      </c>
      <c r="AH268" s="683" t="s">
        <v>220</v>
      </c>
      <c r="AI268" s="683" t="s">
        <v>33</v>
      </c>
      <c r="AJ268" s="683">
        <v>3004333865</v>
      </c>
      <c r="AK268" s="683" t="s">
        <v>33</v>
      </c>
      <c r="AL268" s="683">
        <v>1065020</v>
      </c>
      <c r="AM268" s="683"/>
      <c r="AN268" s="683"/>
      <c r="AO268" s="683"/>
      <c r="AP268" s="683" t="s">
        <v>557</v>
      </c>
      <c r="AQ268" s="688" t="str">
        <f>CONCATENATE("REG-",BDEGENER[[#This Row],[FECHA DE SERVICIO]],"-",BDEGENER[[#This Row],[SERIE]],"-",BDEGENER[[#This Row],[HORAS]])</f>
        <v>REG-44062-3004327725-1607,4</v>
      </c>
      <c r="AR268" s="683" t="str">
        <f>CONCATENATE("MARCA: ",BDEGENER[[#This Row],[MARCA]],"
 MODELO: ",BDEGENER[[#This Row],[MODELO]])</f>
        <v>MARCA: GENERAC
 MODELO: PG090</v>
      </c>
      <c r="AS268" s="683" t="str">
        <f>CONCATENATE("MARCA: ",BDEGENER[[#This Row],[MARCA DE MOTOR]],"
SERIE: ",BDEGENER[[#This Row],[SERIE DE MOTOR]])</f>
        <v>MARCA: GENERAC
SERIE: 3004333865</v>
      </c>
      <c r="AT268" s="683" t="str">
        <f>CONCATENATE("MARCA: ",BDEGENER[[#This Row],[MARCA ALTERNADOR ]],"
SERIE: ",BDEGENER[[#This Row],[SERIE DE ALTERNADOR]])</f>
        <v>MARCA: GENERAC
SERIE: 1065020</v>
      </c>
      <c r="AU268" s="683" t="str">
        <f>CONCATENATE("HORAS: ",BDEGENER[[#This Row],[HORAS]],"
KW-HR: ",BDEGENER[[#This Row],[KW-HORA]],"
VOLT.BATERIA: ",BDEGENER[[#This Row],[VOLTAJE DE BATERIA]],"
TEMPERATURA: ",BDEGENER[[#This Row],[TEMPERATURA DE AGUA]],"
PRES. ACEITE: ",BDEGENER[[#This Row],[PRESION DE ACEITE]])</f>
        <v xml:space="preserve">HORAS: 1607,4
KW-HR: 
VOLT.BATERIA: 
TEMPERATURA: 
PRES. ACEITE: </v>
      </c>
      <c r="AV268" s="761">
        <f>COUNTIFS(Q268:Q2268,"MANTENIMIENTO CORRECTIVO",Y268:Y2268,BDEGENER[[#This Row],[SERIE]])</f>
        <v>1</v>
      </c>
      <c r="AW268" s="761">
        <f>COUNTIFS(Q268:Q2268,"MANTENIMIENTO PREVENTIVO",Y268:Y2268,BDEGENER[[#This Row],[SERIE]])</f>
        <v>6</v>
      </c>
      <c r="AX26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268" s="683">
        <f>COUNTIFS(BDEGENER[SERIE],BDEGENER[[#This Row],[SERIE]],BDEGENER[TIPO DE SERVICIO],"MANTENIMIENTO PREVENTIVO")</f>
        <v>6</v>
      </c>
      <c r="AZ268" s="683" t="str">
        <f>CONCATENATE("MANTENIMIENTO PREVENTIVO N°",BDEGENER[[#This Row],[GA1]])</f>
        <v>MANTENIMIENTO PREVENTIVO N°6</v>
      </c>
      <c r="BA268" s="683" t="str">
        <f>IF(BDEGENER[[#This Row],[SERVICIO]]=BDEGENER[[#This Row],[GA2]],BDEGENER[[#This Row],[HORAS]],"0")</f>
        <v>0</v>
      </c>
      <c r="BB268" s="683">
        <f>SUMIF(BDEGENER[SERIE],BDEGENER[[#This Row],[SERIE]],BDEGENER[GA3])</f>
        <v>1599.8</v>
      </c>
      <c r="BC268" s="761" t="str">
        <f>CONCATENATE("MANT",COUNTIF($Y$7:Y268,Y268))</f>
        <v>MANT3</v>
      </c>
      <c r="BD268" s="683" t="str">
        <f>CONCATENATE(BDEGENER[[#This Row],[SERIE]],BDEGENER[[#This Row],[GA5]])</f>
        <v>3004327725MANT3</v>
      </c>
      <c r="BE268" s="683" t="str">
        <f>CONCATENATE(BDEGENER[[#This Row],[CODIGO PATRIMONIAL]],BDEGENER[[#This Row],[GA5]])</f>
        <v>MANT3</v>
      </c>
      <c r="BF268" s="683">
        <f>COUNTIF(BDEGENER[SERIE],BDEGENER[[#This Row],[SERIE]])</f>
        <v>13</v>
      </c>
      <c r="BG268" s="761" t="str">
        <f>CONCATENATE("F",COUNTIF($K$7:K268,K268))</f>
        <v>F2</v>
      </c>
      <c r="BH268" s="683" t="str">
        <f>CONCATENATE(BDEGENER[[#This Row],[FECHA DE SERVICIO]],BDEGENER[[#This Row],[N° DE REGISTROS DEL DIA]])</f>
        <v>44062F2</v>
      </c>
      <c r="BI268" s="684"/>
      <c r="BJ268" s="683" t="s">
        <v>1544</v>
      </c>
      <c r="BK268" s="762"/>
    </row>
    <row r="269" spans="2:63" ht="69" hidden="1" x14ac:dyDescent="0.3">
      <c r="B269" s="2"/>
      <c r="C269" s="2"/>
      <c r="D269" s="2"/>
      <c r="E269" s="2"/>
      <c r="F269" s="2"/>
      <c r="G269" s="2"/>
      <c r="H269" s="2"/>
      <c r="I269" s="2"/>
      <c r="J269" s="685"/>
      <c r="K269" s="682">
        <v>44062</v>
      </c>
      <c r="L269" s="683" t="s">
        <v>181</v>
      </c>
      <c r="M269" s="683" t="s">
        <v>186</v>
      </c>
      <c r="N269" s="683" t="s">
        <v>1982</v>
      </c>
      <c r="O269" s="683">
        <v>4500853877</v>
      </c>
      <c r="P269" s="688" t="s">
        <v>3013</v>
      </c>
      <c r="Q269" s="683" t="s">
        <v>37</v>
      </c>
      <c r="R269" s="683" t="s">
        <v>1782</v>
      </c>
      <c r="S269" s="686" t="s">
        <v>2976</v>
      </c>
      <c r="T269" s="683" t="s">
        <v>3225</v>
      </c>
      <c r="U269" s="683" t="s">
        <v>2278</v>
      </c>
      <c r="V269" s="683" t="s">
        <v>147</v>
      </c>
      <c r="W269" s="683" t="s">
        <v>914</v>
      </c>
      <c r="X269" s="691" t="s">
        <v>918</v>
      </c>
      <c r="Y269" s="687">
        <v>3004327724</v>
      </c>
      <c r="Z269" s="692"/>
      <c r="AA269" s="683" t="s">
        <v>33</v>
      </c>
      <c r="AB269" s="683" t="s">
        <v>34</v>
      </c>
      <c r="AC269" s="683" t="s">
        <v>230</v>
      </c>
      <c r="AD269" s="683" t="s">
        <v>1110</v>
      </c>
      <c r="AE269" s="683">
        <v>60.1</v>
      </c>
      <c r="AF269" s="684">
        <v>1742.7</v>
      </c>
      <c r="AG269" s="683" t="s">
        <v>243</v>
      </c>
      <c r="AH269" s="683" t="s">
        <v>220</v>
      </c>
      <c r="AI269" s="683" t="s">
        <v>33</v>
      </c>
      <c r="AJ269" s="683">
        <v>3004333872</v>
      </c>
      <c r="AK269" s="683" t="s">
        <v>33</v>
      </c>
      <c r="AL269" s="683"/>
      <c r="AM269" s="683" t="s">
        <v>3018</v>
      </c>
      <c r="AN269" s="683" t="s">
        <v>2695</v>
      </c>
      <c r="AO269" s="683" t="s">
        <v>1166</v>
      </c>
      <c r="AP269" s="683" t="s">
        <v>240</v>
      </c>
      <c r="AQ269" s="688" t="str">
        <f>CONCATENATE("REG-",BDEGENER[[#This Row],[FECHA DE SERVICIO]],"-",BDEGENER[[#This Row],[SERIE]],"-",BDEGENER[[#This Row],[HORAS]])</f>
        <v>REG-44062-3004327724-1742,7</v>
      </c>
      <c r="AR269" s="683" t="str">
        <f>CONCATENATE("MARCA: ",BDEGENER[[#This Row],[MARCA]],"
 MODELO: ",BDEGENER[[#This Row],[MODELO]])</f>
        <v>MARCA: GENERAC
 MODELO: PG090</v>
      </c>
      <c r="AS269" s="683" t="str">
        <f>CONCATENATE("MARCA: ",BDEGENER[[#This Row],[MARCA DE MOTOR]],"
SERIE: ",BDEGENER[[#This Row],[SERIE DE MOTOR]])</f>
        <v>MARCA: GENERAC
SERIE: 3004333872</v>
      </c>
      <c r="AT269" s="683" t="str">
        <f>CONCATENATE("MARCA: ",BDEGENER[[#This Row],[MARCA ALTERNADOR ]],"
SERIE: ",BDEGENER[[#This Row],[SERIE DE ALTERNADOR]])</f>
        <v xml:space="preserve">MARCA: GENERAC
SERIE: </v>
      </c>
      <c r="AU269" s="683" t="str">
        <f>CONCATENATE("HORAS: ",BDEGENER[[#This Row],[HORAS]],"
KW-HR: ",BDEGENER[[#This Row],[KW-HORA]],"
VOLT.BATERIA: ",BDEGENER[[#This Row],[VOLTAJE DE BATERIA]],"
TEMPERATURA: ",BDEGENER[[#This Row],[TEMPERATURA DE AGUA]],"
PRES. ACEITE: ",BDEGENER[[#This Row],[PRESION DE ACEITE]])</f>
        <v>HORAS: 1742,7
KW-HR: 42841,4
VOLT.BATERIA: 14.5 V
TEMPERATURA: 184 °F
PRES. ACEITE: 57 PSI</v>
      </c>
      <c r="AV269" s="683">
        <f>COUNTIFS(Q269:Q2269,"MANTENIMIENTO CORRECTIVO",Y269:Y2269,BDEGENER[[#This Row],[SERIE]])</f>
        <v>6</v>
      </c>
      <c r="AW269" s="683">
        <f>COUNTIFS(Q269:Q2269,"MANTENIMIENTO PREVENTIVO",Y269:Y2269,BDEGENER[[#This Row],[SERIE]])</f>
        <v>6</v>
      </c>
      <c r="AX26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69" s="683">
        <f>COUNTIFS(BDEGENER[SERIE],BDEGENER[[#This Row],[SERIE]],BDEGENER[TIPO DE SERVICIO],"MANTENIMIENTO PREVENTIVO")</f>
        <v>8</v>
      </c>
      <c r="AZ269" s="683" t="str">
        <f>CONCATENATE("MANTENIMIENTO PREVENTIVO N°",BDEGENER[[#This Row],[GA1]])</f>
        <v>MANTENIMIENTO PREVENTIVO N°8</v>
      </c>
      <c r="BA269" s="683" t="str">
        <f>IF(BDEGENER[[#This Row],[SERVICIO]]=BDEGENER[[#This Row],[GA2]],BDEGENER[[#This Row],[HORAS]],"0")</f>
        <v>0</v>
      </c>
      <c r="BB269" s="683">
        <f>SUMIF(BDEGENER[SERIE],BDEGENER[[#This Row],[SERIE]],BDEGENER[GA3])</f>
        <v>2271.8000000000002</v>
      </c>
      <c r="BC269" s="683" t="str">
        <f>CONCATENATE("MANT",COUNTIF($Y$7:Y269,Y269))</f>
        <v>MANT5</v>
      </c>
      <c r="BD269" s="683" t="str">
        <f>CONCATENATE(BDEGENER[[#This Row],[SERIE]],BDEGENER[[#This Row],[GA5]])</f>
        <v>3004327724MANT5</v>
      </c>
      <c r="BE269" s="683" t="str">
        <f>CONCATENATE(BDEGENER[[#This Row],[CODIGO PATRIMONIAL]],BDEGENER[[#This Row],[GA5]])</f>
        <v>MANT5</v>
      </c>
      <c r="BF269" s="683">
        <f>COUNTIF(BDEGENER[SERIE],BDEGENER[[#This Row],[SERIE]])</f>
        <v>17</v>
      </c>
      <c r="BG269" s="683" t="str">
        <f>CONCATENATE("F",COUNTIF($K$7:K269,K269))</f>
        <v>F3</v>
      </c>
      <c r="BH269" s="683" t="str">
        <f>CONCATENATE(BDEGENER[[#This Row],[FECHA DE SERVICIO]],BDEGENER[[#This Row],[N° DE REGISTROS DEL DIA]])</f>
        <v>44062F3</v>
      </c>
      <c r="BI269" s="684">
        <v>42841.4</v>
      </c>
      <c r="BJ269" s="683" t="s">
        <v>1544</v>
      </c>
      <c r="BK269" s="762" t="s">
        <v>530</v>
      </c>
    </row>
    <row r="270" spans="2:63" ht="69" hidden="1" x14ac:dyDescent="0.3">
      <c r="B270" s="2"/>
      <c r="C270" s="2"/>
      <c r="D270" s="2"/>
      <c r="E270" s="2"/>
      <c r="F270" s="2"/>
      <c r="G270" s="2"/>
      <c r="H270" s="2"/>
      <c r="I270" s="2"/>
      <c r="J270" s="685"/>
      <c r="K270" s="682">
        <v>44062</v>
      </c>
      <c r="L270" s="683" t="s">
        <v>181</v>
      </c>
      <c r="M270" s="683" t="s">
        <v>186</v>
      </c>
      <c r="N270" s="683" t="s">
        <v>1982</v>
      </c>
      <c r="O270" s="683"/>
      <c r="P270" s="688" t="s">
        <v>3019</v>
      </c>
      <c r="Q270" s="683" t="s">
        <v>107</v>
      </c>
      <c r="R270" s="683" t="s">
        <v>3014</v>
      </c>
      <c r="S270" s="686" t="s">
        <v>3015</v>
      </c>
      <c r="T270" s="683" t="s">
        <v>3016</v>
      </c>
      <c r="U270" s="683" t="s">
        <v>3017</v>
      </c>
      <c r="V270" s="683" t="s">
        <v>147</v>
      </c>
      <c r="W270" s="683" t="s">
        <v>914</v>
      </c>
      <c r="X270" s="691" t="s">
        <v>918</v>
      </c>
      <c r="Y270" s="687">
        <v>3004327724</v>
      </c>
      <c r="Z270" s="692"/>
      <c r="AA270" s="683" t="s">
        <v>33</v>
      </c>
      <c r="AB270" s="683" t="s">
        <v>34</v>
      </c>
      <c r="AC270" s="683" t="s">
        <v>230</v>
      </c>
      <c r="AD270" s="683" t="s">
        <v>1110</v>
      </c>
      <c r="AE270" s="683">
        <v>60.1</v>
      </c>
      <c r="AF270" s="684">
        <v>1742.1</v>
      </c>
      <c r="AG270" s="683" t="s">
        <v>243</v>
      </c>
      <c r="AH270" s="683" t="s">
        <v>220</v>
      </c>
      <c r="AI270" s="683" t="s">
        <v>33</v>
      </c>
      <c r="AJ270" s="683">
        <v>3004333872</v>
      </c>
      <c r="AK270" s="683" t="s">
        <v>33</v>
      </c>
      <c r="AL270" s="683"/>
      <c r="AM270" s="683" t="s">
        <v>3018</v>
      </c>
      <c r="AN270" s="683" t="s">
        <v>2695</v>
      </c>
      <c r="AO270" s="683" t="s">
        <v>1166</v>
      </c>
      <c r="AP270" s="683" t="s">
        <v>240</v>
      </c>
      <c r="AQ270" s="688" t="str">
        <f>CONCATENATE("REG-",BDEGENER[[#This Row],[FECHA DE SERVICIO]],"-",BDEGENER[[#This Row],[SERIE]],"-",BDEGENER[[#This Row],[HORAS]])</f>
        <v>REG-44062-3004327724-1742,1</v>
      </c>
      <c r="AR270" s="683" t="str">
        <f>CONCATENATE("MARCA: ",BDEGENER[[#This Row],[MARCA]],"
 MODELO: ",BDEGENER[[#This Row],[MODELO]])</f>
        <v>MARCA: GENERAC
 MODELO: PG090</v>
      </c>
      <c r="AS270" s="683" t="str">
        <f>CONCATENATE("MARCA: ",BDEGENER[[#This Row],[MARCA DE MOTOR]],"
SERIE: ",BDEGENER[[#This Row],[SERIE DE MOTOR]])</f>
        <v>MARCA: GENERAC
SERIE: 3004333872</v>
      </c>
      <c r="AT270" s="683" t="str">
        <f>CONCATENATE("MARCA: ",BDEGENER[[#This Row],[MARCA ALTERNADOR ]],"
SERIE: ",BDEGENER[[#This Row],[SERIE DE ALTERNADOR]])</f>
        <v xml:space="preserve">MARCA: GENERAC
SERIE: </v>
      </c>
      <c r="AU270" s="683" t="str">
        <f>CONCATENATE("HORAS: ",BDEGENER[[#This Row],[HORAS]],"
KW-HR: ",BDEGENER[[#This Row],[KW-HORA]],"
VOLT.BATERIA: ",BDEGENER[[#This Row],[VOLTAJE DE BATERIA]],"
TEMPERATURA: ",BDEGENER[[#This Row],[TEMPERATURA DE AGUA]],"
PRES. ACEITE: ",BDEGENER[[#This Row],[PRESION DE ACEITE]])</f>
        <v>HORAS: 1742,1
KW-HR: 
VOLT.BATERIA: 14.5 V
TEMPERATURA: 184 °F
PRES. ACEITE: 57 PSI</v>
      </c>
      <c r="AV270" s="683">
        <f>COUNTIFS(Q270:Q2270,"MANTENIMIENTO CORRECTIVO",Y270:Y2270,BDEGENER[[#This Row],[SERIE]])</f>
        <v>6</v>
      </c>
      <c r="AW270" s="683">
        <f>COUNTIFS(Q270:Q2270,"MANTENIMIENTO PREVENTIVO",Y270:Y2270,BDEGENER[[#This Row],[SERIE]])</f>
        <v>5</v>
      </c>
      <c r="AX27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N°6</v>
      </c>
      <c r="AY270" s="683">
        <f>COUNTIFS(BDEGENER[SERIE],BDEGENER[[#This Row],[SERIE]],BDEGENER[TIPO DE SERVICIO],"MANTENIMIENTO PREVENTIVO")</f>
        <v>8</v>
      </c>
      <c r="AZ270" s="683" t="str">
        <f>CONCATENATE("MANTENIMIENTO PREVENTIVO N°",BDEGENER[[#This Row],[GA1]])</f>
        <v>MANTENIMIENTO PREVENTIVO N°8</v>
      </c>
      <c r="BA270" s="683" t="str">
        <f>IF(BDEGENER[[#This Row],[SERVICIO]]=BDEGENER[[#This Row],[GA2]],BDEGENER[[#This Row],[HORAS]],"0")</f>
        <v>0</v>
      </c>
      <c r="BB270" s="683">
        <f>SUMIF(BDEGENER[SERIE],BDEGENER[[#This Row],[SERIE]],BDEGENER[GA3])</f>
        <v>2271.8000000000002</v>
      </c>
      <c r="BC270" s="683" t="str">
        <f>CONCATENATE("MANT",COUNTIF($Y$7:Y270,Y270))</f>
        <v>MANT6</v>
      </c>
      <c r="BD270" s="683" t="str">
        <f>CONCATENATE(BDEGENER[[#This Row],[SERIE]],BDEGENER[[#This Row],[GA5]])</f>
        <v>3004327724MANT6</v>
      </c>
      <c r="BE270" s="683" t="str">
        <f>CONCATENATE(BDEGENER[[#This Row],[CODIGO PATRIMONIAL]],BDEGENER[[#This Row],[GA5]])</f>
        <v>MANT6</v>
      </c>
      <c r="BF270" s="683">
        <f>COUNTIF(BDEGENER[SERIE],BDEGENER[[#This Row],[SERIE]])</f>
        <v>17</v>
      </c>
      <c r="BG270" s="683" t="str">
        <f>CONCATENATE("F",COUNTIF($K$7:K270,K270))</f>
        <v>F4</v>
      </c>
      <c r="BH270" s="683" t="str">
        <f>CONCATENATE(BDEGENER[[#This Row],[FECHA DE SERVICIO]],BDEGENER[[#This Row],[N° DE REGISTROS DEL DIA]])</f>
        <v>44062F4</v>
      </c>
      <c r="BI270" s="684"/>
      <c r="BJ270" s="683" t="s">
        <v>1544</v>
      </c>
      <c r="BK270" s="762" t="s">
        <v>530</v>
      </c>
    </row>
    <row r="271" spans="2:63" ht="69" x14ac:dyDescent="0.3">
      <c r="B271" s="2"/>
      <c r="C271" s="2"/>
      <c r="D271" s="2"/>
      <c r="E271" s="2"/>
      <c r="F271" s="2"/>
      <c r="G271" s="2"/>
      <c r="H271" s="2"/>
      <c r="I271" s="2"/>
      <c r="J271" s="685"/>
      <c r="K271" s="682">
        <v>44062</v>
      </c>
      <c r="L271" s="683" t="s">
        <v>181</v>
      </c>
      <c r="M271" s="683" t="s">
        <v>186</v>
      </c>
      <c r="N271" s="683" t="s">
        <v>1982</v>
      </c>
      <c r="O271" s="683"/>
      <c r="P271" s="688" t="s">
        <v>2996</v>
      </c>
      <c r="Q271" s="683" t="s">
        <v>107</v>
      </c>
      <c r="R271" s="683" t="s">
        <v>1782</v>
      </c>
      <c r="S271" s="686" t="s">
        <v>2997</v>
      </c>
      <c r="T271" s="683" t="s">
        <v>2998</v>
      </c>
      <c r="U271" s="683" t="s">
        <v>2999</v>
      </c>
      <c r="V271" s="683" t="s">
        <v>147</v>
      </c>
      <c r="W271" s="683" t="s">
        <v>914</v>
      </c>
      <c r="X271" s="691" t="s">
        <v>918</v>
      </c>
      <c r="Y271" s="687">
        <v>3004336198</v>
      </c>
      <c r="Z271" s="692"/>
      <c r="AA271" s="683" t="s">
        <v>33</v>
      </c>
      <c r="AB271" s="683" t="s">
        <v>34</v>
      </c>
      <c r="AC271" s="683" t="s">
        <v>230</v>
      </c>
      <c r="AD271" s="683" t="s">
        <v>2065</v>
      </c>
      <c r="AE271" s="683">
        <v>60.2</v>
      </c>
      <c r="AF271" s="684">
        <v>2000.2</v>
      </c>
      <c r="AG271" s="683" t="s">
        <v>243</v>
      </c>
      <c r="AH271" s="683" t="s">
        <v>220</v>
      </c>
      <c r="AI271" s="683" t="s">
        <v>33</v>
      </c>
      <c r="AJ271" s="683">
        <v>3004345803</v>
      </c>
      <c r="AK271" s="683" t="s">
        <v>33</v>
      </c>
      <c r="AL271" s="683"/>
      <c r="AM271" s="683" t="s">
        <v>1094</v>
      </c>
      <c r="AN271" s="683" t="s">
        <v>2791</v>
      </c>
      <c r="AO271" s="683" t="s">
        <v>3000</v>
      </c>
      <c r="AP271" s="683" t="s">
        <v>240</v>
      </c>
      <c r="AQ271" s="688" t="str">
        <f>CONCATENATE("REG-",BDEGENER[[#This Row],[FECHA DE SERVICIO]],"-",BDEGENER[[#This Row],[SERIE]],"-",BDEGENER[[#This Row],[HORAS]])</f>
        <v>REG-44062-3004336198-2000,2</v>
      </c>
      <c r="AR271" s="683" t="str">
        <f>CONCATENATE("MARCA: ",BDEGENER[[#This Row],[MARCA]],"
 MODELO: ",BDEGENER[[#This Row],[MODELO]])</f>
        <v>MARCA: GENERAC
 MODELO: PG090</v>
      </c>
      <c r="AS271" s="683" t="str">
        <f>CONCATENATE("MARCA: ",BDEGENER[[#This Row],[MARCA DE MOTOR]],"
SERIE: ",BDEGENER[[#This Row],[SERIE DE MOTOR]])</f>
        <v>MARCA: GENERAC
SERIE: 3004345803</v>
      </c>
      <c r="AT271" s="683" t="str">
        <f>CONCATENATE("MARCA: ",BDEGENER[[#This Row],[MARCA ALTERNADOR ]],"
SERIE: ",BDEGENER[[#This Row],[SERIE DE ALTERNADOR]])</f>
        <v xml:space="preserve">MARCA: GENERAC
SERIE: </v>
      </c>
      <c r="AU271" s="683" t="str">
        <f>CONCATENATE("HORAS: ",BDEGENER[[#This Row],[HORAS]],"
KW-HR: ",BDEGENER[[#This Row],[KW-HORA]],"
VOLT.BATERIA: ",BDEGENER[[#This Row],[VOLTAJE DE BATERIA]],"
TEMPERATURA: ",BDEGENER[[#This Row],[TEMPERATURA DE AGUA]],"
PRES. ACEITE: ",BDEGENER[[#This Row],[PRESION DE ACEITE]])</f>
        <v>HORAS: 2000,2
KW-HR: 
VOLT.BATERIA: 13.5 V
TEMPERATURA: 165 °F
PRES. ACEITE: 27 PSI</v>
      </c>
      <c r="AV271" s="761">
        <f>COUNTIFS(Q271:Q2271,"MANTENIMIENTO CORRECTIVO",Y271:Y2271,BDEGENER[[#This Row],[SERIE]])</f>
        <v>2</v>
      </c>
      <c r="AW271" s="761">
        <f>COUNTIFS(Q271:Q2271,"MANTENIMIENTO PREVENTIVO",Y271:Y2271,BDEGENER[[#This Row],[SERIE]])</f>
        <v>6</v>
      </c>
      <c r="AX27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271" s="683">
        <f>COUNTIFS(BDEGENER[SERIE],BDEGENER[[#This Row],[SERIE]],BDEGENER[TIPO DE SERVICIO],"MANTENIMIENTO PREVENTIVO")</f>
        <v>7</v>
      </c>
      <c r="AZ271" s="683" t="str">
        <f>CONCATENATE("MANTENIMIENTO PREVENTIVO N°",BDEGENER[[#This Row],[GA1]])</f>
        <v>MANTENIMIENTO PREVENTIVO N°7</v>
      </c>
      <c r="BA271" s="683" t="str">
        <f>IF(BDEGENER[[#This Row],[SERVICIO]]=BDEGENER[[#This Row],[GA2]],BDEGENER[[#This Row],[HORAS]],"0")</f>
        <v>0</v>
      </c>
      <c r="BB271" s="683">
        <f>SUMIF(BDEGENER[SERIE],BDEGENER[[#This Row],[SERIE]],BDEGENER[GA3])</f>
        <v>2049.3000000000002</v>
      </c>
      <c r="BC271" s="761" t="str">
        <f>CONCATENATE("MANT",COUNTIF($Y$7:Y271,Y271))</f>
        <v>MANT3</v>
      </c>
      <c r="BD271" s="683" t="str">
        <f>CONCATENATE(BDEGENER[[#This Row],[SERIE]],BDEGENER[[#This Row],[GA5]])</f>
        <v>3004336198MANT3</v>
      </c>
      <c r="BE271" s="683" t="str">
        <f>CONCATENATE(BDEGENER[[#This Row],[CODIGO PATRIMONIAL]],BDEGENER[[#This Row],[GA5]])</f>
        <v>MANT3</v>
      </c>
      <c r="BF271" s="683">
        <f>COUNTIF(BDEGENER[SERIE],BDEGENER[[#This Row],[SERIE]])</f>
        <v>12</v>
      </c>
      <c r="BG271" s="761" t="str">
        <f>CONCATENATE("F",COUNTIF($K$7:K271,K271))</f>
        <v>F5</v>
      </c>
      <c r="BH271" s="683" t="str">
        <f>CONCATENATE(BDEGENER[[#This Row],[FECHA DE SERVICIO]],BDEGENER[[#This Row],[N° DE REGISTROS DEL DIA]])</f>
        <v>44062F5</v>
      </c>
      <c r="BI271" s="684"/>
      <c r="BJ271" s="683" t="s">
        <v>1544</v>
      </c>
      <c r="BK271" s="762"/>
    </row>
    <row r="272" spans="2:63" ht="69" hidden="1" x14ac:dyDescent="0.3">
      <c r="B272" s="2"/>
      <c r="C272" s="2"/>
      <c r="D272" s="2"/>
      <c r="E272" s="2"/>
      <c r="F272" s="2"/>
      <c r="G272" s="2"/>
      <c r="H272" s="2"/>
      <c r="I272" s="2"/>
      <c r="J272" s="685"/>
      <c r="K272" s="682">
        <v>44062</v>
      </c>
      <c r="L272" s="683" t="s">
        <v>181</v>
      </c>
      <c r="M272" s="683" t="s">
        <v>186</v>
      </c>
      <c r="N272" s="683" t="s">
        <v>1982</v>
      </c>
      <c r="O272" s="683">
        <v>4500853877</v>
      </c>
      <c r="P272" s="688" t="s">
        <v>2993</v>
      </c>
      <c r="Q272" s="683" t="s">
        <v>37</v>
      </c>
      <c r="R272" s="683" t="s">
        <v>1782</v>
      </c>
      <c r="S272" s="686" t="s">
        <v>2947</v>
      </c>
      <c r="T272" s="683" t="s">
        <v>2995</v>
      </c>
      <c r="U272" s="683" t="s">
        <v>2281</v>
      </c>
      <c r="V272" s="683" t="s">
        <v>147</v>
      </c>
      <c r="W272" s="683" t="s">
        <v>914</v>
      </c>
      <c r="X272" s="691" t="s">
        <v>918</v>
      </c>
      <c r="Y272" s="687">
        <v>3004327722</v>
      </c>
      <c r="Z272" s="692" t="s">
        <v>2994</v>
      </c>
      <c r="AA272" s="683" t="s">
        <v>33</v>
      </c>
      <c r="AB272" s="683" t="s">
        <v>34</v>
      </c>
      <c r="AC272" s="683" t="s">
        <v>230</v>
      </c>
      <c r="AD272" s="683" t="s">
        <v>1110</v>
      </c>
      <c r="AE272" s="683">
        <v>60.2</v>
      </c>
      <c r="AF272" s="684">
        <v>1546.9</v>
      </c>
      <c r="AG272" s="683" t="s">
        <v>243</v>
      </c>
      <c r="AH272" s="683" t="s">
        <v>220</v>
      </c>
      <c r="AI272" s="683" t="s">
        <v>33</v>
      </c>
      <c r="AJ272" s="683">
        <v>3004346816</v>
      </c>
      <c r="AK272" s="683" t="s">
        <v>33</v>
      </c>
      <c r="AL272" s="683"/>
      <c r="AM272" s="683" t="s">
        <v>1094</v>
      </c>
      <c r="AN272" s="683" t="s">
        <v>1505</v>
      </c>
      <c r="AO272" s="683" t="s">
        <v>2019</v>
      </c>
      <c r="AP272" s="683" t="s">
        <v>240</v>
      </c>
      <c r="AQ272" s="688" t="str">
        <f>CONCATENATE("REG-",BDEGENER[[#This Row],[FECHA DE SERVICIO]],"-",BDEGENER[[#This Row],[SERIE]],"-",BDEGENER[[#This Row],[HORAS]])</f>
        <v>REG-44062-3004327722-1546,9</v>
      </c>
      <c r="AR272" s="683" t="str">
        <f>CONCATENATE("MARCA: ",BDEGENER[[#This Row],[MARCA]],"
 MODELO: ",BDEGENER[[#This Row],[MODELO]])</f>
        <v>MARCA: GENERAC
 MODELO: PG090</v>
      </c>
      <c r="AS272" s="683" t="str">
        <f>CONCATENATE("MARCA: ",BDEGENER[[#This Row],[MARCA DE MOTOR]],"
SERIE: ",BDEGENER[[#This Row],[SERIE DE MOTOR]])</f>
        <v>MARCA: GENERAC
SERIE: 3004346816</v>
      </c>
      <c r="AT272" s="683" t="str">
        <f>CONCATENATE("MARCA: ",BDEGENER[[#This Row],[MARCA ALTERNADOR ]],"
SERIE: ",BDEGENER[[#This Row],[SERIE DE ALTERNADOR]])</f>
        <v xml:space="preserve">MARCA: GENERAC
SERIE: </v>
      </c>
      <c r="AU272" s="683" t="str">
        <f>CONCATENATE("HORAS: ",BDEGENER[[#This Row],[HORAS]],"
KW-HR: ",BDEGENER[[#This Row],[KW-HORA]],"
VOLT.BATERIA: ",BDEGENER[[#This Row],[VOLTAJE DE BATERIA]],"
TEMPERATURA: ",BDEGENER[[#This Row],[TEMPERATURA DE AGUA]],"
PRES. ACEITE: ",BDEGENER[[#This Row],[PRESION DE ACEITE]])</f>
        <v>HORAS: 1546,9
KW-HR: 39729,5
VOLT.BATERIA: 13.5 V
TEMPERATURA: 194 °F
PRES. ACEITE: 64 PSI</v>
      </c>
      <c r="AV272" s="683">
        <f>COUNTIFS(Q272:Q2272,"MANTENIMIENTO CORRECTIVO",Y272:Y2272,BDEGENER[[#This Row],[SERIE]])</f>
        <v>1</v>
      </c>
      <c r="AW272" s="683">
        <f>COUNTIFS(Q272:Q2272,"MANTENIMIENTO PREVENTIVO",Y272:Y2272,BDEGENER[[#This Row],[SERIE]])</f>
        <v>6</v>
      </c>
      <c r="AX27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72" s="683">
        <f>COUNTIFS(BDEGENER[SERIE],BDEGENER[[#This Row],[SERIE]],BDEGENER[TIPO DE SERVICIO],"MANTENIMIENTO PREVENTIVO")</f>
        <v>8</v>
      </c>
      <c r="AZ272" s="683" t="str">
        <f>CONCATENATE("MANTENIMIENTO PREVENTIVO N°",BDEGENER[[#This Row],[GA1]])</f>
        <v>MANTENIMIENTO PREVENTIVO N°8</v>
      </c>
      <c r="BA272" s="683" t="str">
        <f>IF(BDEGENER[[#This Row],[SERVICIO]]=BDEGENER[[#This Row],[GA2]],BDEGENER[[#This Row],[HORAS]],"0")</f>
        <v>0</v>
      </c>
      <c r="BB272" s="683">
        <f>SUMIF(BDEGENER[SERIE],BDEGENER[[#This Row],[SERIE]],BDEGENER[GA3])</f>
        <v>2102.5</v>
      </c>
      <c r="BC272" s="683" t="str">
        <f>CONCATENATE("MANT",COUNTIF($Y$7:Y272,Y272))</f>
        <v>MANT3</v>
      </c>
      <c r="BD272" s="683" t="str">
        <f>CONCATENATE(BDEGENER[[#This Row],[SERIE]],BDEGENER[[#This Row],[GA5]])</f>
        <v>3004327722MANT3</v>
      </c>
      <c r="BE272" s="683" t="str">
        <f>CONCATENATE(BDEGENER[[#This Row],[CODIGO PATRIMONIAL]],BDEGENER[[#This Row],[GA5]])</f>
        <v>SFM000114321MANT3</v>
      </c>
      <c r="BF272" s="683">
        <f>COUNTIF(BDEGENER[SERIE],BDEGENER[[#This Row],[SERIE]])</f>
        <v>10</v>
      </c>
      <c r="BG272" s="683" t="str">
        <f>CONCATENATE("F",COUNTIF($K$7:K272,K272))</f>
        <v>F6</v>
      </c>
      <c r="BH272" s="683" t="str">
        <f>CONCATENATE(BDEGENER[[#This Row],[FECHA DE SERVICIO]],BDEGENER[[#This Row],[N° DE REGISTROS DEL DIA]])</f>
        <v>44062F6</v>
      </c>
      <c r="BI272" s="684">
        <v>39729.5</v>
      </c>
      <c r="BJ272" s="683" t="s">
        <v>1544</v>
      </c>
      <c r="BK272" s="762"/>
    </row>
    <row r="273" spans="2:63" ht="69" hidden="1" x14ac:dyDescent="0.3">
      <c r="B273" s="2"/>
      <c r="C273" s="2"/>
      <c r="D273" s="2"/>
      <c r="E273" s="2"/>
      <c r="F273" s="2"/>
      <c r="G273" s="2"/>
      <c r="H273" s="2"/>
      <c r="I273" s="2"/>
      <c r="J273" s="685"/>
      <c r="K273" s="682">
        <v>44060</v>
      </c>
      <c r="L273" s="683" t="s">
        <v>181</v>
      </c>
      <c r="M273" s="683" t="s">
        <v>190</v>
      </c>
      <c r="N273" s="683" t="s">
        <v>183</v>
      </c>
      <c r="O273" s="683">
        <v>4500873022</v>
      </c>
      <c r="P273" s="683" t="s">
        <v>2954</v>
      </c>
      <c r="Q273" s="683" t="s">
        <v>37</v>
      </c>
      <c r="R273" s="683" t="s">
        <v>1782</v>
      </c>
      <c r="S273" s="686" t="s">
        <v>2955</v>
      </c>
      <c r="T273" s="683" t="s">
        <v>2948</v>
      </c>
      <c r="U273" s="683" t="s">
        <v>2956</v>
      </c>
      <c r="V273" s="683" t="s">
        <v>146</v>
      </c>
      <c r="W273" s="683" t="s">
        <v>914</v>
      </c>
      <c r="X273" s="691" t="s">
        <v>918</v>
      </c>
      <c r="Y273" s="687">
        <v>3004336196</v>
      </c>
      <c r="Z273" s="692"/>
      <c r="AA273" s="683" t="s">
        <v>33</v>
      </c>
      <c r="AB273" s="683" t="s">
        <v>34</v>
      </c>
      <c r="AC273" s="683" t="s">
        <v>230</v>
      </c>
      <c r="AD273" s="683" t="s">
        <v>1110</v>
      </c>
      <c r="AE273" s="683">
        <v>60</v>
      </c>
      <c r="AF273" s="684">
        <v>2378.1</v>
      </c>
      <c r="AG273" s="683" t="s">
        <v>243</v>
      </c>
      <c r="AH273" s="683" t="s">
        <v>220</v>
      </c>
      <c r="AI273" s="683" t="s">
        <v>33</v>
      </c>
      <c r="AJ273" s="683">
        <v>3004346824</v>
      </c>
      <c r="AK273" s="683" t="s">
        <v>33</v>
      </c>
      <c r="AL273" s="683">
        <v>10630720</v>
      </c>
      <c r="AM273" s="683" t="s">
        <v>1121</v>
      </c>
      <c r="AN273" s="683" t="s">
        <v>246</v>
      </c>
      <c r="AO273" s="683" t="s">
        <v>1166</v>
      </c>
      <c r="AP273" s="683" t="s">
        <v>240</v>
      </c>
      <c r="AQ273" s="688" t="str">
        <f>CONCATENATE("REG-",BDEGENER[[#This Row],[FECHA DE SERVICIO]],"-",BDEGENER[[#This Row],[SERIE]],"-",BDEGENER[[#This Row],[HORAS]])</f>
        <v>REG-44060-3004336196-2378,1</v>
      </c>
      <c r="AR273" s="683" t="str">
        <f>CONCATENATE("MARCA: ",BDEGENER[[#This Row],[MARCA]],"
 MODELO: ",BDEGENER[[#This Row],[MODELO]])</f>
        <v>MARCA: GENERAC
 MODELO: PG090</v>
      </c>
      <c r="AS273" s="683" t="str">
        <f>CONCATENATE("MARCA: ",BDEGENER[[#This Row],[MARCA DE MOTOR]],"
SERIE: ",BDEGENER[[#This Row],[SERIE DE MOTOR]])</f>
        <v>MARCA: GENERAC
SERIE: 3004346824</v>
      </c>
      <c r="AT273" s="683" t="str">
        <f>CONCATENATE("MARCA: ",BDEGENER[[#This Row],[MARCA ALTERNADOR ]],"
SERIE: ",BDEGENER[[#This Row],[SERIE DE ALTERNADOR]])</f>
        <v>MARCA: GENERAC
SERIE: 10630720</v>
      </c>
      <c r="AU273" s="683" t="str">
        <f>CONCATENATE("HORAS: ",BDEGENER[[#This Row],[HORAS]],"
KW-HR: ",BDEGENER[[#This Row],[KW-HORA]],"
VOLT.BATERIA: ",BDEGENER[[#This Row],[VOLTAJE DE BATERIA]],"
TEMPERATURA: ",BDEGENER[[#This Row],[TEMPERATURA DE AGUA]],"
PRES. ACEITE: ",BDEGENER[[#This Row],[PRESION DE ACEITE]])</f>
        <v>HORAS: 2378,1
KW-HR: 55402
VOLT.BATERIA: 13.7 V
TEMPERATURA: 198 °F
PRES. ACEITE: 57 PSI</v>
      </c>
      <c r="AV273" s="683">
        <f>COUNTIFS(Q273:Q2273,"MANTENIMIENTO CORRECTIVO",Y273:Y2273,BDEGENER[[#This Row],[SERIE]])</f>
        <v>3</v>
      </c>
      <c r="AW273" s="683">
        <f>COUNTIFS(Q273:Q2273,"MANTENIMIENTO PREVENTIVO",Y273:Y2273,BDEGENER[[#This Row],[SERIE]])</f>
        <v>7</v>
      </c>
      <c r="AX27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73" s="683">
        <f>COUNTIFS(BDEGENER[SERIE],BDEGENER[[#This Row],[SERIE]],BDEGENER[TIPO DE SERVICIO],"MANTENIMIENTO PREVENTIVO")</f>
        <v>9</v>
      </c>
      <c r="AZ273" s="683" t="str">
        <f>CONCATENATE("MANTENIMIENTO PREVENTIVO N°",BDEGENER[[#This Row],[GA1]])</f>
        <v>MANTENIMIENTO PREVENTIVO N°9</v>
      </c>
      <c r="BA273" s="683" t="str">
        <f>IF(BDEGENER[[#This Row],[SERVICIO]]=BDEGENER[[#This Row],[GA2]],BDEGENER[[#This Row],[HORAS]],"0")</f>
        <v>0</v>
      </c>
      <c r="BB273" s="683">
        <f>SUMIF(BDEGENER[SERIE],BDEGENER[[#This Row],[SERIE]],BDEGENER[GA3])</f>
        <v>3148.2</v>
      </c>
      <c r="BC273" s="683" t="str">
        <f>CONCATENATE("MANT",COUNTIF($Y$7:Y273,Y273))</f>
        <v>MANT3</v>
      </c>
      <c r="BD273" s="683" t="str">
        <f>CONCATENATE(BDEGENER[[#This Row],[SERIE]],BDEGENER[[#This Row],[GA5]])</f>
        <v>3004336196MANT3</v>
      </c>
      <c r="BE273" s="683" t="str">
        <f>CONCATENATE(BDEGENER[[#This Row],[CODIGO PATRIMONIAL]],BDEGENER[[#This Row],[GA5]])</f>
        <v>MANT3</v>
      </c>
      <c r="BF273" s="683">
        <f>COUNTIF(BDEGENER[SERIE],BDEGENER[[#This Row],[SERIE]])</f>
        <v>13</v>
      </c>
      <c r="BG273" s="683" t="str">
        <f>CONCATENATE("F",COUNTIF($K$7:K273,K273))</f>
        <v>F1</v>
      </c>
      <c r="BH273" s="683" t="str">
        <f>CONCATENATE(BDEGENER[[#This Row],[FECHA DE SERVICIO]],BDEGENER[[#This Row],[N° DE REGISTROS DEL DIA]])</f>
        <v>44060F1</v>
      </c>
      <c r="BI273" s="684">
        <v>55402</v>
      </c>
      <c r="BJ273" s="683" t="s">
        <v>1544</v>
      </c>
      <c r="BK273" s="762" t="s">
        <v>2267</v>
      </c>
    </row>
    <row r="274" spans="2:63" ht="69" hidden="1" x14ac:dyDescent="0.3">
      <c r="B274" s="2"/>
      <c r="C274" s="2"/>
      <c r="D274" s="2"/>
      <c r="E274" s="2"/>
      <c r="F274" s="2"/>
      <c r="G274" s="2"/>
      <c r="H274" s="2"/>
      <c r="I274" s="2"/>
      <c r="J274" s="685"/>
      <c r="K274" s="682">
        <v>44058</v>
      </c>
      <c r="L274" s="683" t="s">
        <v>561</v>
      </c>
      <c r="M274" s="683" t="s">
        <v>2659</v>
      </c>
      <c r="N274" s="683" t="s">
        <v>2660</v>
      </c>
      <c r="O274" s="683"/>
      <c r="P274" s="683"/>
      <c r="Q274" s="683" t="s">
        <v>107</v>
      </c>
      <c r="R274" s="683" t="s">
        <v>2943</v>
      </c>
      <c r="S274" s="686" t="s">
        <v>2944</v>
      </c>
      <c r="T274" s="683" t="s">
        <v>1991</v>
      </c>
      <c r="U274" s="683" t="s">
        <v>2945</v>
      </c>
      <c r="V274" s="683" t="s">
        <v>147</v>
      </c>
      <c r="W274" s="683" t="s">
        <v>913</v>
      </c>
      <c r="X274" s="691" t="s">
        <v>918</v>
      </c>
      <c r="Y274" s="687">
        <v>3004555912</v>
      </c>
      <c r="Z274" s="692" t="s">
        <v>2607</v>
      </c>
      <c r="AA274" s="683" t="s">
        <v>33</v>
      </c>
      <c r="AB274" s="683" t="s">
        <v>217</v>
      </c>
      <c r="AC274" s="683" t="s">
        <v>749</v>
      </c>
      <c r="AD274" s="683"/>
      <c r="AE274" s="683"/>
      <c r="AF274" s="684">
        <v>2271.5</v>
      </c>
      <c r="AG274" s="683" t="s">
        <v>243</v>
      </c>
      <c r="AH274" s="683" t="s">
        <v>1803</v>
      </c>
      <c r="AI274" s="683" t="s">
        <v>2553</v>
      </c>
      <c r="AJ274" s="683"/>
      <c r="AK274" s="683" t="s">
        <v>33</v>
      </c>
      <c r="AL274" s="683"/>
      <c r="AM274" s="683"/>
      <c r="AN274" s="683"/>
      <c r="AO274" s="683"/>
      <c r="AP274" s="683" t="s">
        <v>240</v>
      </c>
      <c r="AQ274" s="688" t="str">
        <f>CONCATENATE("REG-",BDEGENER[[#This Row],[FECHA DE SERVICIO]],"-",BDEGENER[[#This Row],[SERIE]],"-",BDEGENER[[#This Row],[HORAS]])</f>
        <v>REG-44058-3004555912-2271,5</v>
      </c>
      <c r="AR274" s="683" t="str">
        <f>CONCATENATE("MARCA: ",BDEGENER[[#This Row],[MARCA]],"
 MODELO: ",BDEGENER[[#This Row],[MODELO]])</f>
        <v>MARCA: GENERAC
 MODELO: RG022</v>
      </c>
      <c r="AS274" s="683" t="str">
        <f>CONCATENATE("MARCA: ",BDEGENER[[#This Row],[MARCA DE MOTOR]],"
SERIE: ",BDEGENER[[#This Row],[SERIE DE MOTOR]])</f>
        <v xml:space="preserve">MARCA: MITSUBISHI
SERIE: </v>
      </c>
      <c r="AT274" s="683" t="str">
        <f>CONCATENATE("MARCA: ",BDEGENER[[#This Row],[MARCA ALTERNADOR ]],"
SERIE: ",BDEGENER[[#This Row],[SERIE DE ALTERNADOR]])</f>
        <v xml:space="preserve">MARCA: GENERAC
SERIE: </v>
      </c>
      <c r="AU274" s="683" t="str">
        <f>CONCATENATE("HORAS: ",BDEGENER[[#This Row],[HORAS]],"
KW-HR: ",BDEGENER[[#This Row],[KW-HORA]],"
VOLT.BATERIA: ",BDEGENER[[#This Row],[VOLTAJE DE BATERIA]],"
TEMPERATURA: ",BDEGENER[[#This Row],[TEMPERATURA DE AGUA]],"
PRES. ACEITE: ",BDEGENER[[#This Row],[PRESION DE ACEITE]])</f>
        <v xml:space="preserve">HORAS: 2271,5
KW-HR: 
VOLT.BATERIA: 
TEMPERATURA: 
PRES. ACEITE: </v>
      </c>
      <c r="AV274" s="761">
        <f>COUNTIFS(Q274:Q2274,"MANTENIMIENTO CORRECTIVO",Y274:Y2274,BDEGENER[[#This Row],[SERIE]])</f>
        <v>1</v>
      </c>
      <c r="AW274" s="761">
        <f>COUNTIFS(Q274:Q2274,"MANTENIMIENTO PREVENTIVO",Y274:Y2274,BDEGENER[[#This Row],[SERIE]])</f>
        <v>3</v>
      </c>
      <c r="AX27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274" s="683">
        <f>COUNTIFS(BDEGENER[SERIE],BDEGENER[[#This Row],[SERIE]],BDEGENER[TIPO DE SERVICIO],"MANTENIMIENTO PREVENTIVO")</f>
        <v>6</v>
      </c>
      <c r="AZ274" s="683" t="str">
        <f>CONCATENATE("MANTENIMIENTO PREVENTIVO N°",BDEGENER[[#This Row],[GA1]])</f>
        <v>MANTENIMIENTO PREVENTIVO N°6</v>
      </c>
      <c r="BA274" s="683" t="str">
        <f>IF(BDEGENER[[#This Row],[SERVICIO]]=BDEGENER[[#This Row],[GA2]],BDEGENER[[#This Row],[HORAS]],"0")</f>
        <v>0</v>
      </c>
      <c r="BB274" s="683">
        <f>SUMIF(BDEGENER[SERIE],BDEGENER[[#This Row],[SERIE]],BDEGENER[GA3])</f>
        <v>2869.9</v>
      </c>
      <c r="BC274" s="761" t="str">
        <f>CONCATENATE("MANT",COUNTIF($Y$7:Y274,Y274))</f>
        <v>MANT5</v>
      </c>
      <c r="BD274" s="683" t="str">
        <f>CONCATENATE(BDEGENER[[#This Row],[SERIE]],BDEGENER[[#This Row],[GA5]])</f>
        <v>3004555912MANT5</v>
      </c>
      <c r="BE274" s="683" t="str">
        <f>CONCATENATE(BDEGENER[[#This Row],[CODIGO PATRIMONIAL]],BDEGENER[[#This Row],[GA5]])</f>
        <v>SUR-GEG-0011MANT5</v>
      </c>
      <c r="BF274" s="683">
        <f>COUNTIF(BDEGENER[SERIE],BDEGENER[[#This Row],[SERIE]])</f>
        <v>11</v>
      </c>
      <c r="BG274" s="761" t="str">
        <f>CONCATENATE("F",COUNTIF($K$7:K274,K274))</f>
        <v>F1</v>
      </c>
      <c r="BH274" s="683" t="str">
        <f>CONCATENATE(BDEGENER[[#This Row],[FECHA DE SERVICIO]],BDEGENER[[#This Row],[N° DE REGISTROS DEL DIA]])</f>
        <v>44058F1</v>
      </c>
      <c r="BI274" s="684"/>
      <c r="BJ274" s="683" t="s">
        <v>1544</v>
      </c>
      <c r="BK274" s="762"/>
    </row>
    <row r="275" spans="2:63" ht="82.8" hidden="1" x14ac:dyDescent="0.3">
      <c r="B275" s="2"/>
      <c r="C275" s="2"/>
      <c r="D275" s="2"/>
      <c r="E275" s="2"/>
      <c r="F275" s="2"/>
      <c r="G275" s="2"/>
      <c r="H275" s="2"/>
      <c r="I275" s="2"/>
      <c r="J275" s="685"/>
      <c r="K275" s="682">
        <v>44058</v>
      </c>
      <c r="L275" s="683" t="s">
        <v>561</v>
      </c>
      <c r="M275" s="683" t="s">
        <v>573</v>
      </c>
      <c r="N275" s="683" t="s">
        <v>574</v>
      </c>
      <c r="O275" s="683"/>
      <c r="P275" s="688" t="s">
        <v>2940</v>
      </c>
      <c r="Q275" s="683" t="s">
        <v>37</v>
      </c>
      <c r="R275" s="683" t="s">
        <v>1782</v>
      </c>
      <c r="S275" s="686" t="s">
        <v>2941</v>
      </c>
      <c r="T275" s="683" t="s">
        <v>2430</v>
      </c>
      <c r="U275" s="683" t="s">
        <v>2942</v>
      </c>
      <c r="V275" s="683" t="s">
        <v>147</v>
      </c>
      <c r="W275" s="683" t="s">
        <v>913</v>
      </c>
      <c r="X275" s="691" t="s">
        <v>918</v>
      </c>
      <c r="Y275" s="687">
        <v>3004555915</v>
      </c>
      <c r="Z275" s="692" t="s">
        <v>2610</v>
      </c>
      <c r="AA275" s="683" t="s">
        <v>33</v>
      </c>
      <c r="AB275" s="683" t="s">
        <v>217</v>
      </c>
      <c r="AC275" s="683" t="s">
        <v>749</v>
      </c>
      <c r="AD275" s="683" t="s">
        <v>1123</v>
      </c>
      <c r="AE275" s="683">
        <v>60.1</v>
      </c>
      <c r="AF275" s="684">
        <v>2973.9</v>
      </c>
      <c r="AG275" s="683" t="s">
        <v>243</v>
      </c>
      <c r="AH275" s="683" t="s">
        <v>1803</v>
      </c>
      <c r="AI275" s="683" t="s">
        <v>2553</v>
      </c>
      <c r="AJ275" s="683"/>
      <c r="AK275" s="683" t="s">
        <v>33</v>
      </c>
      <c r="AL275" s="683"/>
      <c r="AM275" s="683" t="s">
        <v>1094</v>
      </c>
      <c r="AN275" s="683"/>
      <c r="AO275" s="683"/>
      <c r="AP275" s="683" t="s">
        <v>240</v>
      </c>
      <c r="AQ275" s="688" t="str">
        <f>CONCATENATE("REG-",BDEGENER[[#This Row],[FECHA DE SERVICIO]],"-",BDEGENER[[#This Row],[SERIE]],"-",BDEGENER[[#This Row],[HORAS]])</f>
        <v>REG-44058-3004555915-2973,9</v>
      </c>
      <c r="AR275" s="683" t="str">
        <f>CONCATENATE("MARCA: ",BDEGENER[[#This Row],[MARCA]],"
 MODELO: ",BDEGENER[[#This Row],[MODELO]])</f>
        <v>MARCA: GENERAC
 MODELO: RG022</v>
      </c>
      <c r="AS275" s="683" t="str">
        <f>CONCATENATE("MARCA: ",BDEGENER[[#This Row],[MARCA DE MOTOR]],"
SERIE: ",BDEGENER[[#This Row],[SERIE DE MOTOR]])</f>
        <v xml:space="preserve">MARCA: MITSUBISHI
SERIE: </v>
      </c>
      <c r="AT275" s="683" t="str">
        <f>CONCATENATE("MARCA: ",BDEGENER[[#This Row],[MARCA ALTERNADOR ]],"
SERIE: ",BDEGENER[[#This Row],[SERIE DE ALTERNADOR]])</f>
        <v xml:space="preserve">MARCA: GENERAC
SERIE: </v>
      </c>
      <c r="AU275" s="683" t="str">
        <f>CONCATENATE("HORAS: ",BDEGENER[[#This Row],[HORAS]],"
KW-HR: ",BDEGENER[[#This Row],[KW-HORA]],"
VOLT.BATERIA: ",BDEGENER[[#This Row],[VOLTAJE DE BATERIA]],"
TEMPERATURA: ",BDEGENER[[#This Row],[TEMPERATURA DE AGUA]],"
PRES. ACEITE: ",BDEGENER[[#This Row],[PRESION DE ACEITE]])</f>
        <v xml:space="preserve">HORAS: 2973,9
KW-HR: 
VOLT.BATERIA: 13.5 V
TEMPERATURA: 
PRES. ACEITE: </v>
      </c>
      <c r="AV275" s="683">
        <f>COUNTIFS(Q275:Q2275,"MANTENIMIENTO CORRECTIVO",Y275:Y2275,BDEGENER[[#This Row],[SERIE]])</f>
        <v>0</v>
      </c>
      <c r="AW275" s="683">
        <f>COUNTIFS(Q275:Q2275,"MANTENIMIENTO PREVENTIVO",Y275:Y2275,BDEGENER[[#This Row],[SERIE]])</f>
        <v>5</v>
      </c>
      <c r="AX27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275" s="683">
        <f>COUNTIFS(BDEGENER[SERIE],BDEGENER[[#This Row],[SERIE]],BDEGENER[TIPO DE SERVICIO],"MANTENIMIENTO PREVENTIVO")</f>
        <v>7</v>
      </c>
      <c r="AZ275" s="683" t="str">
        <f>CONCATENATE("MANTENIMIENTO PREVENTIVO N°",BDEGENER[[#This Row],[GA1]])</f>
        <v>MANTENIMIENTO PREVENTIVO N°7</v>
      </c>
      <c r="BA275" s="683" t="str">
        <f>IF(BDEGENER[[#This Row],[SERVICIO]]=BDEGENER[[#This Row],[GA2]],BDEGENER[[#This Row],[HORAS]],"0")</f>
        <v>0</v>
      </c>
      <c r="BB275" s="683">
        <f>SUMIF(BDEGENER[SERIE],BDEGENER[[#This Row],[SERIE]],BDEGENER[GA3])</f>
        <v>3379.4</v>
      </c>
      <c r="BC275" s="683" t="str">
        <f>CONCATENATE("MANT",COUNTIF($Y$7:Y275,Y275))</f>
        <v>MANT4</v>
      </c>
      <c r="BD275" s="683" t="str">
        <f>CONCATENATE(BDEGENER[[#This Row],[SERIE]],BDEGENER[[#This Row],[GA5]])</f>
        <v>3004555915MANT4</v>
      </c>
      <c r="BE275" s="683" t="str">
        <f>CONCATENATE(BDEGENER[[#This Row],[CODIGO PATRIMONIAL]],BDEGENER[[#This Row],[GA5]])</f>
        <v>SUR-GEG-0022MANT4</v>
      </c>
      <c r="BF275" s="683">
        <f>COUNTIF(BDEGENER[SERIE],BDEGENER[[#This Row],[SERIE]])</f>
        <v>9</v>
      </c>
      <c r="BG275" s="683" t="str">
        <f>CONCATENATE("F",COUNTIF($K$7:K275,K275))</f>
        <v>F2</v>
      </c>
      <c r="BH275" s="683" t="str">
        <f>CONCATENATE(BDEGENER[[#This Row],[FECHA DE SERVICIO]],BDEGENER[[#This Row],[N° DE REGISTROS DEL DIA]])</f>
        <v>44058F2</v>
      </c>
      <c r="BI275" s="684"/>
      <c r="BJ275" s="683" t="s">
        <v>1544</v>
      </c>
      <c r="BK275" s="762"/>
    </row>
    <row r="276" spans="2:63" ht="69" hidden="1" x14ac:dyDescent="0.3">
      <c r="B276" s="2"/>
      <c r="C276" s="2"/>
      <c r="D276" s="2"/>
      <c r="E276" s="2"/>
      <c r="F276" s="2"/>
      <c r="G276" s="2"/>
      <c r="H276" s="2"/>
      <c r="I276" s="2"/>
      <c r="J276" s="685"/>
      <c r="K276" s="682">
        <v>44058</v>
      </c>
      <c r="L276" s="683" t="s">
        <v>181</v>
      </c>
      <c r="M276" s="683" t="s">
        <v>184</v>
      </c>
      <c r="N276" s="683" t="s">
        <v>183</v>
      </c>
      <c r="O276" s="683">
        <v>4500873022</v>
      </c>
      <c r="P276" s="683" t="s">
        <v>2920</v>
      </c>
      <c r="Q276" s="683" t="s">
        <v>37</v>
      </c>
      <c r="R276" s="683" t="s">
        <v>1782</v>
      </c>
      <c r="S276" s="686" t="s">
        <v>2921</v>
      </c>
      <c r="T276" s="683" t="s">
        <v>2922</v>
      </c>
      <c r="U276" s="683" t="s">
        <v>2923</v>
      </c>
      <c r="V276" s="683" t="s">
        <v>146</v>
      </c>
      <c r="W276" s="683" t="s">
        <v>914</v>
      </c>
      <c r="X276" s="691" t="s">
        <v>918</v>
      </c>
      <c r="Y276" s="687">
        <v>3004402507</v>
      </c>
      <c r="Z276" s="692"/>
      <c r="AA276" s="683" t="s">
        <v>33</v>
      </c>
      <c r="AB276" s="683" t="s">
        <v>34</v>
      </c>
      <c r="AC276" s="683" t="s">
        <v>230</v>
      </c>
      <c r="AD276" s="683" t="s">
        <v>1110</v>
      </c>
      <c r="AE276" s="683">
        <v>60</v>
      </c>
      <c r="AF276" s="684">
        <v>1813.6</v>
      </c>
      <c r="AG276" s="683" t="s">
        <v>243</v>
      </c>
      <c r="AH276" s="683" t="s">
        <v>220</v>
      </c>
      <c r="AI276" s="683" t="s">
        <v>33</v>
      </c>
      <c r="AJ276" s="683">
        <v>3004425772</v>
      </c>
      <c r="AK276" s="683" t="s">
        <v>33</v>
      </c>
      <c r="AL276" s="683">
        <v>106310030</v>
      </c>
      <c r="AM276" s="683" t="s">
        <v>1121</v>
      </c>
      <c r="AN276" s="683" t="s">
        <v>1505</v>
      </c>
      <c r="AO276" s="683" t="s">
        <v>1166</v>
      </c>
      <c r="AP276" s="683" t="s">
        <v>240</v>
      </c>
      <c r="AQ276" s="688" t="str">
        <f>CONCATENATE("REG-",BDEGENER[[#This Row],[FECHA DE SERVICIO]],"-",BDEGENER[[#This Row],[SERIE]],"-",BDEGENER[[#This Row],[HORAS]])</f>
        <v>REG-44058-3004402507-1813,6</v>
      </c>
      <c r="AR276" s="683" t="str">
        <f>CONCATENATE("MARCA: ",BDEGENER[[#This Row],[MARCA]],"
 MODELO: ",BDEGENER[[#This Row],[MODELO]])</f>
        <v>MARCA: GENERAC
 MODELO: PG090</v>
      </c>
      <c r="AS276" s="683" t="str">
        <f>CONCATENATE("MARCA: ",BDEGENER[[#This Row],[MARCA DE MOTOR]],"
SERIE: ",BDEGENER[[#This Row],[SERIE DE MOTOR]])</f>
        <v>MARCA: GENERAC
SERIE: 3004425772</v>
      </c>
      <c r="AT276" s="683" t="str">
        <f>CONCATENATE("MARCA: ",BDEGENER[[#This Row],[MARCA ALTERNADOR ]],"
SERIE: ",BDEGENER[[#This Row],[SERIE DE ALTERNADOR]])</f>
        <v>MARCA: GENERAC
SERIE: 106310030</v>
      </c>
      <c r="AU276" s="683" t="str">
        <f>CONCATENATE("HORAS: ",BDEGENER[[#This Row],[HORAS]],"
KW-HR: ",BDEGENER[[#This Row],[KW-HORA]],"
VOLT.BATERIA: ",BDEGENER[[#This Row],[VOLTAJE DE BATERIA]],"
TEMPERATURA: ",BDEGENER[[#This Row],[TEMPERATURA DE AGUA]],"
PRES. ACEITE: ",BDEGENER[[#This Row],[PRESION DE ACEITE]])</f>
        <v>HORAS: 1813,6
KW-HR: 38131,3
VOLT.BATERIA: 13.7 V
TEMPERATURA: 194 °F
PRES. ACEITE: 57 PSI</v>
      </c>
      <c r="AV276" s="683">
        <f>COUNTIFS(Q276:Q2276,"MANTENIMIENTO CORRECTIVO",Y276:Y2276,BDEGENER[[#This Row],[SERIE]])</f>
        <v>5</v>
      </c>
      <c r="AW276" s="683">
        <f>COUNTIFS(Q276:Q2276,"MANTENIMIENTO PREVENTIVO",Y276:Y2276,BDEGENER[[#This Row],[SERIE]])</f>
        <v>6</v>
      </c>
      <c r="AX27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76" s="683">
        <f>COUNTIFS(BDEGENER[SERIE],BDEGENER[[#This Row],[SERIE]],BDEGENER[TIPO DE SERVICIO],"MANTENIMIENTO PREVENTIVO")</f>
        <v>7</v>
      </c>
      <c r="AZ276" s="683" t="str">
        <f>CONCATENATE("MANTENIMIENTO PREVENTIVO N°",BDEGENER[[#This Row],[GA1]])</f>
        <v>MANTENIMIENTO PREVENTIVO N°7</v>
      </c>
      <c r="BA276" s="683" t="str">
        <f>IF(BDEGENER[[#This Row],[SERVICIO]]=BDEGENER[[#This Row],[GA2]],BDEGENER[[#This Row],[HORAS]],"0")</f>
        <v>0</v>
      </c>
      <c r="BB276" s="683">
        <f>SUMIF(BDEGENER[SERIE],BDEGENER[[#This Row],[SERIE]],BDEGENER[GA3])</f>
        <v>2134</v>
      </c>
      <c r="BC276" s="683" t="str">
        <f>CONCATENATE("MANT",COUNTIF($Y$7:Y276,Y276))</f>
        <v>MANT2</v>
      </c>
      <c r="BD276" s="683" t="str">
        <f>CONCATENATE(BDEGENER[[#This Row],[SERIE]],BDEGENER[[#This Row],[GA5]])</f>
        <v>3004402507MANT2</v>
      </c>
      <c r="BE276" s="683" t="str">
        <f>CONCATENATE(BDEGENER[[#This Row],[CODIGO PATRIMONIAL]],BDEGENER[[#This Row],[GA5]])</f>
        <v>MANT2</v>
      </c>
      <c r="BF276" s="683">
        <f>COUNTIF(BDEGENER[SERIE],BDEGENER[[#This Row],[SERIE]])</f>
        <v>16</v>
      </c>
      <c r="BG276" s="683" t="str">
        <f>CONCATENATE("F",COUNTIF($K$7:K276,K276))</f>
        <v>F3</v>
      </c>
      <c r="BH276" s="683" t="str">
        <f>CONCATENATE(BDEGENER[[#This Row],[FECHA DE SERVICIO]],BDEGENER[[#This Row],[N° DE REGISTROS DEL DIA]])</f>
        <v>44058F3</v>
      </c>
      <c r="BI276" s="684">
        <v>38131.300000000003</v>
      </c>
      <c r="BJ276" s="683" t="s">
        <v>1544</v>
      </c>
      <c r="BK276" s="762" t="s">
        <v>2860</v>
      </c>
    </row>
    <row r="277" spans="2:63" ht="69" hidden="1" x14ac:dyDescent="0.3">
      <c r="B277" s="2"/>
      <c r="C277" s="2"/>
      <c r="D277" s="2"/>
      <c r="E277" s="2"/>
      <c r="F277" s="2"/>
      <c r="G277" s="2"/>
      <c r="H277" s="2"/>
      <c r="I277" s="2"/>
      <c r="J277" s="685"/>
      <c r="K277" s="682">
        <v>44057</v>
      </c>
      <c r="L277" s="683" t="s">
        <v>561</v>
      </c>
      <c r="M277" s="683" t="s">
        <v>571</v>
      </c>
      <c r="N277" s="683" t="s">
        <v>572</v>
      </c>
      <c r="O277" s="683"/>
      <c r="P277" s="688" t="s">
        <v>2932</v>
      </c>
      <c r="Q277" s="683" t="s">
        <v>107</v>
      </c>
      <c r="R277" s="683" t="s">
        <v>1782</v>
      </c>
      <c r="S277" s="686" t="s">
        <v>2934</v>
      </c>
      <c r="T277" s="683" t="s">
        <v>2933</v>
      </c>
      <c r="U277" s="683" t="s">
        <v>2935</v>
      </c>
      <c r="V277" s="683" t="s">
        <v>147</v>
      </c>
      <c r="W277" s="683" t="s">
        <v>913</v>
      </c>
      <c r="X277" s="691" t="s">
        <v>918</v>
      </c>
      <c r="Y277" s="687">
        <v>3004370203</v>
      </c>
      <c r="Z277" s="692" t="s">
        <v>2598</v>
      </c>
      <c r="AA277" s="683" t="s">
        <v>33</v>
      </c>
      <c r="AB277" s="683" t="s">
        <v>217</v>
      </c>
      <c r="AC277" s="683" t="s">
        <v>749</v>
      </c>
      <c r="AD277" s="683"/>
      <c r="AE277" s="683"/>
      <c r="AF277" s="684">
        <v>1923.4</v>
      </c>
      <c r="AG277" s="683" t="s">
        <v>243</v>
      </c>
      <c r="AH277" s="683" t="s">
        <v>1803</v>
      </c>
      <c r="AI277" s="683" t="s">
        <v>2553</v>
      </c>
      <c r="AJ277" s="683"/>
      <c r="AK277" s="683" t="s">
        <v>33</v>
      </c>
      <c r="AL277" s="683"/>
      <c r="AM277" s="683"/>
      <c r="AN277" s="683"/>
      <c r="AO277" s="683"/>
      <c r="AP277" s="683" t="s">
        <v>557</v>
      </c>
      <c r="AQ277" s="688" t="str">
        <f>CONCATENATE("REG-",BDEGENER[[#This Row],[FECHA DE SERVICIO]],"-",BDEGENER[[#This Row],[SERIE]],"-",BDEGENER[[#This Row],[HORAS]])</f>
        <v>REG-44057-3004370203-1923,4</v>
      </c>
      <c r="AR277" s="683" t="str">
        <f>CONCATENATE("MARCA: ",BDEGENER[[#This Row],[MARCA]],"
 MODELO: ",BDEGENER[[#This Row],[MODELO]])</f>
        <v>MARCA: GENERAC
 MODELO: RG022</v>
      </c>
      <c r="AS277" s="683" t="str">
        <f>CONCATENATE("MARCA: ",BDEGENER[[#This Row],[MARCA DE MOTOR]],"
SERIE: ",BDEGENER[[#This Row],[SERIE DE MOTOR]])</f>
        <v xml:space="preserve">MARCA: MITSUBISHI
SERIE: </v>
      </c>
      <c r="AT277" s="683" t="str">
        <f>CONCATENATE("MARCA: ",BDEGENER[[#This Row],[MARCA ALTERNADOR ]],"
SERIE: ",BDEGENER[[#This Row],[SERIE DE ALTERNADOR]])</f>
        <v xml:space="preserve">MARCA: GENERAC
SERIE: </v>
      </c>
      <c r="AU277" s="683" t="str">
        <f>CONCATENATE("HORAS: ",BDEGENER[[#This Row],[HORAS]],"
KW-HR: ",BDEGENER[[#This Row],[KW-HORA]],"
VOLT.BATERIA: ",BDEGENER[[#This Row],[VOLTAJE DE BATERIA]],"
TEMPERATURA: ",BDEGENER[[#This Row],[TEMPERATURA DE AGUA]],"
PRES. ACEITE: ",BDEGENER[[#This Row],[PRESION DE ACEITE]])</f>
        <v xml:space="preserve">HORAS: 1923,4
KW-HR: 
VOLT.BATERIA: 
TEMPERATURA: 
PRES. ACEITE: </v>
      </c>
      <c r="AV277" s="761">
        <f>COUNTIFS(Q277:Q2277,"MANTENIMIENTO CORRECTIVO",Y277:Y2277,BDEGENER[[#This Row],[SERIE]])</f>
        <v>2</v>
      </c>
      <c r="AW277" s="761">
        <f>COUNTIFS(Q277:Q2277,"MANTENIMIENTO PREVENTIVO",Y277:Y2277,BDEGENER[[#This Row],[SERIE]])</f>
        <v>3</v>
      </c>
      <c r="AX27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277" s="683">
        <f>COUNTIFS(BDEGENER[SERIE],BDEGENER[[#This Row],[SERIE]],BDEGENER[TIPO DE SERVICIO],"MANTENIMIENTO PREVENTIVO")</f>
        <v>6</v>
      </c>
      <c r="AZ277" s="683" t="str">
        <f>CONCATENATE("MANTENIMIENTO PREVENTIVO N°",BDEGENER[[#This Row],[GA1]])</f>
        <v>MANTENIMIENTO PREVENTIVO N°6</v>
      </c>
      <c r="BA277" s="683" t="str">
        <f>IF(BDEGENER[[#This Row],[SERVICIO]]=BDEGENER[[#This Row],[GA2]],BDEGENER[[#This Row],[HORAS]],"0")</f>
        <v>0</v>
      </c>
      <c r="BB277" s="683">
        <f>SUMIF(BDEGENER[SERIE],BDEGENER[[#This Row],[SERIE]],BDEGENER[GA3])</f>
        <v>2885.1</v>
      </c>
      <c r="BC277" s="761" t="str">
        <f>CONCATENATE("MANT",COUNTIF($Y$7:Y277,Y277))</f>
        <v>MANT7</v>
      </c>
      <c r="BD277" s="683" t="str">
        <f>CONCATENATE(BDEGENER[[#This Row],[SERIE]],BDEGENER[[#This Row],[GA5]])</f>
        <v>3004370203MANT7</v>
      </c>
      <c r="BE277" s="683" t="str">
        <f>CONCATENATE(BDEGENER[[#This Row],[CODIGO PATRIMONIAL]],BDEGENER[[#This Row],[GA5]])</f>
        <v>SUR-GEG-0002MANT7</v>
      </c>
      <c r="BF277" s="683">
        <f>COUNTIF(BDEGENER[SERIE],BDEGENER[[#This Row],[SERIE]])</f>
        <v>14</v>
      </c>
      <c r="BG277" s="761" t="str">
        <f>CONCATENATE("F",COUNTIF($K$7:K277,K277))</f>
        <v>F1</v>
      </c>
      <c r="BH277" s="683" t="str">
        <f>CONCATENATE(BDEGENER[[#This Row],[FECHA DE SERVICIO]],BDEGENER[[#This Row],[N° DE REGISTROS DEL DIA]])</f>
        <v>44057F1</v>
      </c>
      <c r="BI277" s="684"/>
      <c r="BJ277" s="683" t="s">
        <v>1544</v>
      </c>
      <c r="BK277" s="762"/>
    </row>
    <row r="278" spans="2:63" ht="69" hidden="1" x14ac:dyDescent="0.3">
      <c r="B278" s="2"/>
      <c r="C278" s="2"/>
      <c r="D278" s="2"/>
      <c r="E278" s="2"/>
      <c r="F278" s="2"/>
      <c r="G278" s="2"/>
      <c r="H278" s="2"/>
      <c r="I278" s="2"/>
      <c r="J278" s="685"/>
      <c r="K278" s="682">
        <v>44056</v>
      </c>
      <c r="L278" s="683" t="s">
        <v>181</v>
      </c>
      <c r="M278" s="683" t="s">
        <v>184</v>
      </c>
      <c r="N278" s="683" t="s">
        <v>183</v>
      </c>
      <c r="O278" s="683">
        <v>4500873022</v>
      </c>
      <c r="P278" s="683" t="s">
        <v>2910</v>
      </c>
      <c r="Q278" s="683" t="s">
        <v>37</v>
      </c>
      <c r="R278" s="683" t="s">
        <v>1782</v>
      </c>
      <c r="S278" s="686" t="s">
        <v>2911</v>
      </c>
      <c r="T278" s="683" t="s">
        <v>2912</v>
      </c>
      <c r="U278" s="683" t="s">
        <v>2913</v>
      </c>
      <c r="V278" s="683" t="s">
        <v>146</v>
      </c>
      <c r="W278" s="683" t="s">
        <v>914</v>
      </c>
      <c r="X278" s="691" t="s">
        <v>918</v>
      </c>
      <c r="Y278" s="687">
        <v>3004227749</v>
      </c>
      <c r="Z278" s="692"/>
      <c r="AA278" s="683" t="s">
        <v>33</v>
      </c>
      <c r="AB278" s="683" t="s">
        <v>34</v>
      </c>
      <c r="AC278" s="683" t="s">
        <v>230</v>
      </c>
      <c r="AD278" s="683" t="s">
        <v>1110</v>
      </c>
      <c r="AE278" s="683">
        <v>60</v>
      </c>
      <c r="AF278" s="684">
        <v>2024.8</v>
      </c>
      <c r="AG278" s="683" t="s">
        <v>243</v>
      </c>
      <c r="AH278" s="683" t="s">
        <v>220</v>
      </c>
      <c r="AI278" s="683" t="s">
        <v>33</v>
      </c>
      <c r="AJ278" s="683">
        <v>3004231901</v>
      </c>
      <c r="AK278" s="683" t="s">
        <v>33</v>
      </c>
      <c r="AL278" s="683">
        <v>10630140</v>
      </c>
      <c r="AM278" s="683" t="s">
        <v>1121</v>
      </c>
      <c r="AN278" s="683" t="s">
        <v>246</v>
      </c>
      <c r="AO278" s="683" t="s">
        <v>1166</v>
      </c>
      <c r="AP278" s="683" t="s">
        <v>240</v>
      </c>
      <c r="AQ278" s="688" t="str">
        <f>CONCATENATE("REG-",BDEGENER[[#This Row],[FECHA DE SERVICIO]],"-",BDEGENER[[#This Row],[SERIE]],"-",BDEGENER[[#This Row],[HORAS]])</f>
        <v>REG-44056-3004227749-2024,8</v>
      </c>
      <c r="AR278" s="683" t="str">
        <f>CONCATENATE("MARCA: ",BDEGENER[[#This Row],[MARCA]],"
 MODELO: ",BDEGENER[[#This Row],[MODELO]])</f>
        <v>MARCA: GENERAC
 MODELO: PG090</v>
      </c>
      <c r="AS278" s="683" t="str">
        <f>CONCATENATE("MARCA: ",BDEGENER[[#This Row],[MARCA DE MOTOR]],"
SERIE: ",BDEGENER[[#This Row],[SERIE DE MOTOR]])</f>
        <v>MARCA: GENERAC
SERIE: 3004231901</v>
      </c>
      <c r="AT278" s="683" t="str">
        <f>CONCATENATE("MARCA: ",BDEGENER[[#This Row],[MARCA ALTERNADOR ]],"
SERIE: ",BDEGENER[[#This Row],[SERIE DE ALTERNADOR]])</f>
        <v>MARCA: GENERAC
SERIE: 10630140</v>
      </c>
      <c r="AU278" s="683" t="str">
        <f>CONCATENATE("HORAS: ",BDEGENER[[#This Row],[HORAS]],"
KW-HR: ",BDEGENER[[#This Row],[KW-HORA]],"
VOLT.BATERIA: ",BDEGENER[[#This Row],[VOLTAJE DE BATERIA]],"
TEMPERATURA: ",BDEGENER[[#This Row],[TEMPERATURA DE AGUA]],"
PRES. ACEITE: ",BDEGENER[[#This Row],[PRESION DE ACEITE]])</f>
        <v>HORAS: 2024,8
KW-HR: 52870,9
VOLT.BATERIA: 13.7 V
TEMPERATURA: 198 °F
PRES. ACEITE: 57 PSI</v>
      </c>
      <c r="AV278" s="683">
        <f>COUNTIFS(Q278:Q2278,"MANTENIMIENTO CORRECTIVO",Y278:Y2278,BDEGENER[[#This Row],[SERIE]])</f>
        <v>3</v>
      </c>
      <c r="AW278" s="683">
        <f>COUNTIFS(Q278:Q2278,"MANTENIMIENTO PREVENTIVO",Y278:Y2278,BDEGENER[[#This Row],[SERIE]])</f>
        <v>7</v>
      </c>
      <c r="AX27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78" s="683">
        <f>COUNTIFS(BDEGENER[SERIE],BDEGENER[[#This Row],[SERIE]],BDEGENER[TIPO DE SERVICIO],"MANTENIMIENTO PREVENTIVO")</f>
        <v>8</v>
      </c>
      <c r="AZ278" s="683" t="str">
        <f>CONCATENATE("MANTENIMIENTO PREVENTIVO N°",BDEGENER[[#This Row],[GA1]])</f>
        <v>MANTENIMIENTO PREVENTIVO N°8</v>
      </c>
      <c r="BA278" s="683" t="str">
        <f>IF(BDEGENER[[#This Row],[SERVICIO]]=BDEGENER[[#This Row],[GA2]],BDEGENER[[#This Row],[HORAS]],"0")</f>
        <v>0</v>
      </c>
      <c r="BB278" s="683">
        <f>SUMIF(BDEGENER[SERIE],BDEGENER[[#This Row],[SERIE]],BDEGENER[GA3])</f>
        <v>2404.1999999999998</v>
      </c>
      <c r="BC278" s="683" t="str">
        <f>CONCATENATE("MANT",COUNTIF($Y$7:Y278,Y278))</f>
        <v>MANT4</v>
      </c>
      <c r="BD278" s="683" t="str">
        <f>CONCATENATE(BDEGENER[[#This Row],[SERIE]],BDEGENER[[#This Row],[GA5]])</f>
        <v>3004227749MANT4</v>
      </c>
      <c r="BE278" s="683" t="str">
        <f>CONCATENATE(BDEGENER[[#This Row],[CODIGO PATRIMONIAL]],BDEGENER[[#This Row],[GA5]])</f>
        <v>MANT4</v>
      </c>
      <c r="BF278" s="683">
        <f>COUNTIF(BDEGENER[SERIE],BDEGENER[[#This Row],[SERIE]])</f>
        <v>16</v>
      </c>
      <c r="BG278" s="683" t="str">
        <f>CONCATENATE("F",COUNTIF($K$7:K278,K278))</f>
        <v>F1</v>
      </c>
      <c r="BH278" s="683" t="str">
        <f>CONCATENATE(BDEGENER[[#This Row],[FECHA DE SERVICIO]],BDEGENER[[#This Row],[N° DE REGISTROS DEL DIA]])</f>
        <v>44056F1</v>
      </c>
      <c r="BI278" s="684">
        <v>52870.9</v>
      </c>
      <c r="BJ278" s="683" t="s">
        <v>1544</v>
      </c>
      <c r="BK278" s="762" t="s">
        <v>2860</v>
      </c>
    </row>
    <row r="279" spans="2:63" ht="69" hidden="1" x14ac:dyDescent="0.3">
      <c r="B279" s="2"/>
      <c r="C279" s="2"/>
      <c r="D279" s="2"/>
      <c r="E279" s="2"/>
      <c r="F279" s="2"/>
      <c r="G279" s="2"/>
      <c r="H279" s="2"/>
      <c r="I279" s="2"/>
      <c r="J279" s="685"/>
      <c r="K279" s="682">
        <v>44055</v>
      </c>
      <c r="L279" s="683" t="s">
        <v>181</v>
      </c>
      <c r="M279" s="683" t="s">
        <v>187</v>
      </c>
      <c r="N279" s="683" t="s">
        <v>183</v>
      </c>
      <c r="O279" s="683"/>
      <c r="P279" s="683"/>
      <c r="Q279" s="683" t="s">
        <v>2037</v>
      </c>
      <c r="R279" s="683" t="s">
        <v>2917</v>
      </c>
      <c r="S279" s="686" t="s">
        <v>2919</v>
      </c>
      <c r="T279" s="683" t="s">
        <v>1782</v>
      </c>
      <c r="U279" s="683" t="s">
        <v>2918</v>
      </c>
      <c r="V279" s="683" t="s">
        <v>146</v>
      </c>
      <c r="W279" s="683" t="s">
        <v>914</v>
      </c>
      <c r="X279" s="691" t="s">
        <v>918</v>
      </c>
      <c r="Y279" s="687">
        <v>3004214491</v>
      </c>
      <c r="Z279" s="692"/>
      <c r="AA279" s="683" t="s">
        <v>33</v>
      </c>
      <c r="AB279" s="683" t="s">
        <v>34</v>
      </c>
      <c r="AC279" s="683" t="s">
        <v>230</v>
      </c>
      <c r="AD279" s="683" t="s">
        <v>1111</v>
      </c>
      <c r="AE279" s="683">
        <v>60</v>
      </c>
      <c r="AF279" s="684">
        <v>2003.7</v>
      </c>
      <c r="AG279" s="683" t="s">
        <v>243</v>
      </c>
      <c r="AH279" s="683" t="s">
        <v>244</v>
      </c>
      <c r="AI279" s="683" t="s">
        <v>33</v>
      </c>
      <c r="AJ279" s="683">
        <v>3004133600</v>
      </c>
      <c r="AK279" s="683" t="s">
        <v>33</v>
      </c>
      <c r="AL279" s="683">
        <v>1063014</v>
      </c>
      <c r="AM279" s="683"/>
      <c r="AN279" s="683"/>
      <c r="AO279" s="683"/>
      <c r="AP279" s="683" t="s">
        <v>240</v>
      </c>
      <c r="AQ279" s="688" t="str">
        <f>CONCATENATE("REG-",BDEGENER[[#This Row],[FECHA DE SERVICIO]],"-",BDEGENER[[#This Row],[SERIE]],"-",BDEGENER[[#This Row],[HORAS]])</f>
        <v>REG-44055-3004214491-2003,7</v>
      </c>
      <c r="AR279" s="683" t="str">
        <f>CONCATENATE("MARCA: ",BDEGENER[[#This Row],[MARCA]],"
 MODELO: ",BDEGENER[[#This Row],[MODELO]])</f>
        <v>MARCA: GENERAC
 MODELO: PG090</v>
      </c>
      <c r="AS279" s="683" t="str">
        <f>CONCATENATE("MARCA: ",BDEGENER[[#This Row],[MARCA DE MOTOR]],"
SERIE: ",BDEGENER[[#This Row],[SERIE DE MOTOR]])</f>
        <v>MARCA: GENERAC
SERIE: 3004133600</v>
      </c>
      <c r="AT279" s="683" t="str">
        <f>CONCATENATE("MARCA: ",BDEGENER[[#This Row],[MARCA ALTERNADOR ]],"
SERIE: ",BDEGENER[[#This Row],[SERIE DE ALTERNADOR]])</f>
        <v>MARCA: GENERAC
SERIE: 1063014</v>
      </c>
      <c r="AU279" s="683" t="str">
        <f>CONCATENATE("HORAS: ",BDEGENER[[#This Row],[HORAS]],"
KW-HR: ",BDEGENER[[#This Row],[KW-HORA]],"
VOLT.BATERIA: ",BDEGENER[[#This Row],[VOLTAJE DE BATERIA]],"
TEMPERATURA: ",BDEGENER[[#This Row],[TEMPERATURA DE AGUA]],"
PRES. ACEITE: ",BDEGENER[[#This Row],[PRESION DE ACEITE]])</f>
        <v xml:space="preserve">HORAS: 2003,7
KW-HR: 27405,8
VOLT.BATERIA: 
TEMPERATURA: 
PRES. ACEITE: </v>
      </c>
      <c r="AV279" s="683">
        <f>COUNTIFS(Q279:Q2279,"MANTENIMIENTO CORRECTIVO",Y279:Y2279,BDEGENER[[#This Row],[SERIE]])</f>
        <v>4</v>
      </c>
      <c r="AW279" s="683">
        <f>COUNTIFS(Q279:Q2279,"MANTENIMIENTO PREVENTIVO",Y279:Y2279,BDEGENER[[#This Row],[SERIE]])</f>
        <v>7</v>
      </c>
      <c r="AX27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279" s="683">
        <f>COUNTIFS(BDEGENER[SERIE],BDEGENER[[#This Row],[SERIE]],BDEGENER[TIPO DE SERVICIO],"MANTENIMIENTO PREVENTIVO")</f>
        <v>9</v>
      </c>
      <c r="AZ279" s="683" t="str">
        <f>CONCATENATE("MANTENIMIENTO PREVENTIVO N°",BDEGENER[[#This Row],[GA1]])</f>
        <v>MANTENIMIENTO PREVENTIVO N°9</v>
      </c>
      <c r="BA279" s="683" t="str">
        <f>IF(BDEGENER[[#This Row],[SERVICIO]]=BDEGENER[[#This Row],[GA2]],BDEGENER[[#This Row],[HORAS]],"0")</f>
        <v>0</v>
      </c>
      <c r="BB279" s="683">
        <f>SUMIF(BDEGENER[SERIE],BDEGENER[[#This Row],[SERIE]],BDEGENER[GA3])</f>
        <v>2751</v>
      </c>
      <c r="BC279" s="683" t="str">
        <f>CONCATENATE("MANT",COUNTIF($Y$7:Y279,Y279))</f>
        <v>MANT5</v>
      </c>
      <c r="BD279" s="683" t="str">
        <f>CONCATENATE(BDEGENER[[#This Row],[SERIE]],BDEGENER[[#This Row],[GA5]])</f>
        <v>3004214491MANT5</v>
      </c>
      <c r="BE279" s="683" t="str">
        <f>CONCATENATE(BDEGENER[[#This Row],[CODIGO PATRIMONIAL]],BDEGENER[[#This Row],[GA5]])</f>
        <v>MANT5</v>
      </c>
      <c r="BF279" s="683">
        <f>COUNTIF(BDEGENER[SERIE],BDEGENER[[#This Row],[SERIE]])</f>
        <v>18</v>
      </c>
      <c r="BG279" s="683" t="str">
        <f>CONCATENATE("F",COUNTIF($K$7:K279,K279))</f>
        <v>F1</v>
      </c>
      <c r="BH279" s="683" t="str">
        <f>CONCATENATE(BDEGENER[[#This Row],[FECHA DE SERVICIO]],BDEGENER[[#This Row],[N° DE REGISTROS DEL DIA]])</f>
        <v>44055F1</v>
      </c>
      <c r="BI279" s="684">
        <v>27405.8</v>
      </c>
      <c r="BJ279" s="683" t="s">
        <v>1544</v>
      </c>
      <c r="BK279" s="762"/>
    </row>
    <row r="280" spans="2:63" ht="69" hidden="1" x14ac:dyDescent="0.3">
      <c r="B280" s="2"/>
      <c r="C280" s="2"/>
      <c r="D280" s="2"/>
      <c r="E280" s="2"/>
      <c r="F280" s="2"/>
      <c r="G280" s="2"/>
      <c r="H280" s="2"/>
      <c r="I280" s="2"/>
      <c r="J280" s="685"/>
      <c r="K280" s="682">
        <v>44055</v>
      </c>
      <c r="L280" s="683" t="s">
        <v>181</v>
      </c>
      <c r="M280" s="683" t="s">
        <v>184</v>
      </c>
      <c r="N280" s="683" t="s">
        <v>183</v>
      </c>
      <c r="O280" s="683"/>
      <c r="P280" s="683"/>
      <c r="Q280" s="683" t="s">
        <v>2037</v>
      </c>
      <c r="R280" s="683" t="s">
        <v>2917</v>
      </c>
      <c r="S280" s="686" t="s">
        <v>2919</v>
      </c>
      <c r="T280" s="683" t="s">
        <v>1782</v>
      </c>
      <c r="U280" s="683" t="s">
        <v>2918</v>
      </c>
      <c r="V280" s="683" t="s">
        <v>146</v>
      </c>
      <c r="W280" s="683" t="s">
        <v>914</v>
      </c>
      <c r="X280" s="691" t="s">
        <v>918</v>
      </c>
      <c r="Y280" s="687">
        <v>3004402508</v>
      </c>
      <c r="Z280" s="692"/>
      <c r="AA280" s="683" t="s">
        <v>33</v>
      </c>
      <c r="AB280" s="683" t="s">
        <v>34</v>
      </c>
      <c r="AC280" s="683" t="s">
        <v>230</v>
      </c>
      <c r="AD280" s="683" t="s">
        <v>1110</v>
      </c>
      <c r="AE280" s="683">
        <v>60</v>
      </c>
      <c r="AF280" s="684">
        <v>1758.8</v>
      </c>
      <c r="AG280" s="683" t="s">
        <v>243</v>
      </c>
      <c r="AH280" s="683" t="s">
        <v>220</v>
      </c>
      <c r="AI280" s="683" t="s">
        <v>33</v>
      </c>
      <c r="AJ280" s="683">
        <v>3004425773</v>
      </c>
      <c r="AK280" s="683" t="s">
        <v>33</v>
      </c>
      <c r="AL280" s="683">
        <v>106310050</v>
      </c>
      <c r="AM280" s="683"/>
      <c r="AN280" s="683"/>
      <c r="AO280" s="683"/>
      <c r="AP280" s="683" t="s">
        <v>240</v>
      </c>
      <c r="AQ280" s="688" t="str">
        <f>CONCATENATE("REG-",BDEGENER[[#This Row],[FECHA DE SERVICIO]],"-",BDEGENER[[#This Row],[SERIE]],"-",BDEGENER[[#This Row],[HORAS]])</f>
        <v>REG-44055-3004402508-1758,8</v>
      </c>
      <c r="AR280" s="683" t="str">
        <f>CONCATENATE("MARCA: ",BDEGENER[[#This Row],[MARCA]],"
 MODELO: ",BDEGENER[[#This Row],[MODELO]])</f>
        <v>MARCA: GENERAC
 MODELO: PG090</v>
      </c>
      <c r="AS280" s="683" t="str">
        <f>CONCATENATE("MARCA: ",BDEGENER[[#This Row],[MARCA DE MOTOR]],"
SERIE: ",BDEGENER[[#This Row],[SERIE DE MOTOR]])</f>
        <v>MARCA: GENERAC
SERIE: 3004425773</v>
      </c>
      <c r="AT280" s="683" t="str">
        <f>CONCATENATE("MARCA: ",BDEGENER[[#This Row],[MARCA ALTERNADOR ]],"
SERIE: ",BDEGENER[[#This Row],[SERIE DE ALTERNADOR]])</f>
        <v>MARCA: GENERAC
SERIE: 106310050</v>
      </c>
      <c r="AU280" s="683" t="str">
        <f>CONCATENATE("HORAS: ",BDEGENER[[#This Row],[HORAS]],"
KW-HR: ",BDEGENER[[#This Row],[KW-HORA]],"
VOLT.BATERIA: ",BDEGENER[[#This Row],[VOLTAJE DE BATERIA]],"
TEMPERATURA: ",BDEGENER[[#This Row],[TEMPERATURA DE AGUA]],"
PRES. ACEITE: ",BDEGENER[[#This Row],[PRESION DE ACEITE]])</f>
        <v xml:space="preserve">HORAS: 1758,8
KW-HR: 24259,1
VOLT.BATERIA: 
TEMPERATURA: 
PRES. ACEITE: </v>
      </c>
      <c r="AV280" s="761">
        <f>COUNTIFS(Q280:Q2280,"MANTENIMIENTO CORRECTIVO",Y280:Y2280,BDEGENER[[#This Row],[SERIE]])</f>
        <v>3</v>
      </c>
      <c r="AW280" s="761">
        <f>COUNTIFS(Q280:Q2280,"MANTENIMIENTO PREVENTIVO",Y280:Y2280,BDEGENER[[#This Row],[SERIE]])</f>
        <v>6</v>
      </c>
      <c r="AX28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280" s="683">
        <f>COUNTIFS(BDEGENER[SERIE],BDEGENER[[#This Row],[SERIE]],BDEGENER[TIPO DE SERVICIO],"MANTENIMIENTO PREVENTIVO")</f>
        <v>8</v>
      </c>
      <c r="AZ280" s="683" t="str">
        <f>CONCATENATE("MANTENIMIENTO PREVENTIVO N°",BDEGENER[[#This Row],[GA1]])</f>
        <v>MANTENIMIENTO PREVENTIVO N°8</v>
      </c>
      <c r="BA280" s="683" t="str">
        <f>IF(BDEGENER[[#This Row],[SERVICIO]]=BDEGENER[[#This Row],[GA2]],BDEGENER[[#This Row],[HORAS]],"0")</f>
        <v>0</v>
      </c>
      <c r="BB280" s="683">
        <f>SUMIF(BDEGENER[SERIE],BDEGENER[[#This Row],[SERIE]],BDEGENER[GA3])</f>
        <v>2186.3000000000002</v>
      </c>
      <c r="BC280" s="761" t="str">
        <f>CONCATENATE("MANT",COUNTIF($Y$7:Y280,Y280))</f>
        <v>MANT4</v>
      </c>
      <c r="BD280" s="683" t="str">
        <f>CONCATENATE(BDEGENER[[#This Row],[SERIE]],BDEGENER[[#This Row],[GA5]])</f>
        <v>3004402508MANT4</v>
      </c>
      <c r="BE280" s="683" t="str">
        <f>CONCATENATE(BDEGENER[[#This Row],[CODIGO PATRIMONIAL]],BDEGENER[[#This Row],[GA5]])</f>
        <v>MANT4</v>
      </c>
      <c r="BF280" s="683">
        <f>COUNTIF(BDEGENER[SERIE],BDEGENER[[#This Row],[SERIE]])</f>
        <v>15</v>
      </c>
      <c r="BG280" s="761" t="str">
        <f>CONCATENATE("F",COUNTIF($K$7:K280,K280))</f>
        <v>F2</v>
      </c>
      <c r="BH280" s="683" t="str">
        <f>CONCATENATE(BDEGENER[[#This Row],[FECHA DE SERVICIO]],BDEGENER[[#This Row],[N° DE REGISTROS DEL DIA]])</f>
        <v>44055F2</v>
      </c>
      <c r="BI280" s="684">
        <v>24259.1</v>
      </c>
      <c r="BJ280" s="683" t="s">
        <v>1544</v>
      </c>
      <c r="BK280" s="762"/>
    </row>
    <row r="281" spans="2:63" ht="69" hidden="1" x14ac:dyDescent="0.3">
      <c r="B281" s="2"/>
      <c r="C281" s="2"/>
      <c r="D281" s="2"/>
      <c r="E281" s="2"/>
      <c r="F281" s="2"/>
      <c r="G281" s="2"/>
      <c r="H281" s="2"/>
      <c r="I281" s="2"/>
      <c r="J281" s="685"/>
      <c r="K281" s="682">
        <v>44055</v>
      </c>
      <c r="L281" s="683" t="s">
        <v>561</v>
      </c>
      <c r="M281" s="683" t="s">
        <v>2554</v>
      </c>
      <c r="N281" s="683" t="s">
        <v>586</v>
      </c>
      <c r="O281" s="683"/>
      <c r="P281" s="688" t="s">
        <v>3046</v>
      </c>
      <c r="Q281" s="683" t="s">
        <v>37</v>
      </c>
      <c r="R281" s="683" t="s">
        <v>1782</v>
      </c>
      <c r="S281" s="686" t="s">
        <v>2947</v>
      </c>
      <c r="T281" s="683" t="s">
        <v>2948</v>
      </c>
      <c r="U281" s="683" t="s">
        <v>2404</v>
      </c>
      <c r="V281" s="683" t="s">
        <v>147</v>
      </c>
      <c r="W281" s="683" t="s">
        <v>914</v>
      </c>
      <c r="X281" s="691" t="s">
        <v>918</v>
      </c>
      <c r="Y281" s="687">
        <v>3003566701</v>
      </c>
      <c r="Z281" s="692" t="s">
        <v>2616</v>
      </c>
      <c r="AA281" s="683" t="s">
        <v>33</v>
      </c>
      <c r="AB281" s="683" t="s">
        <v>34</v>
      </c>
      <c r="AC281" s="683" t="s">
        <v>230</v>
      </c>
      <c r="AD281" s="683" t="s">
        <v>1123</v>
      </c>
      <c r="AE281" s="683">
        <v>60.1</v>
      </c>
      <c r="AF281" s="684">
        <v>5063.7</v>
      </c>
      <c r="AG281" s="683" t="s">
        <v>1413</v>
      </c>
      <c r="AH281" s="683" t="s">
        <v>220</v>
      </c>
      <c r="AI281" s="683" t="s">
        <v>33</v>
      </c>
      <c r="AJ281" s="683">
        <v>3003430313</v>
      </c>
      <c r="AK281" s="683" t="s">
        <v>33</v>
      </c>
      <c r="AL281" s="683"/>
      <c r="AM281" s="683" t="s">
        <v>1142</v>
      </c>
      <c r="AN281" s="683" t="s">
        <v>3047</v>
      </c>
      <c r="AO281" s="683" t="s">
        <v>1166</v>
      </c>
      <c r="AP281" s="683" t="s">
        <v>240</v>
      </c>
      <c r="AQ281" s="688" t="str">
        <f>CONCATENATE("REG-",BDEGENER[[#This Row],[FECHA DE SERVICIO]],"-",BDEGENER[[#This Row],[SERIE]],"-",BDEGENER[[#This Row],[HORAS]])</f>
        <v>REG-44055-3003566701-5063,7</v>
      </c>
      <c r="AR281" s="683" t="str">
        <f>CONCATENATE("MARCA: ",BDEGENER[[#This Row],[MARCA]],"
 MODELO: ",BDEGENER[[#This Row],[MODELO]])</f>
        <v>MARCA: GENERAC
 MODELO: PG090</v>
      </c>
      <c r="AS281" s="683" t="str">
        <f>CONCATENATE("MARCA: ",BDEGENER[[#This Row],[MARCA DE MOTOR]],"
SERIE: ",BDEGENER[[#This Row],[SERIE DE MOTOR]])</f>
        <v>MARCA: GENERAC
SERIE: 3003430313</v>
      </c>
      <c r="AT281" s="683" t="str">
        <f>CONCATENATE("MARCA: ",BDEGENER[[#This Row],[MARCA ALTERNADOR ]],"
SERIE: ",BDEGENER[[#This Row],[SERIE DE ALTERNADOR]])</f>
        <v xml:space="preserve">MARCA: GENERAC
SERIE: </v>
      </c>
      <c r="AU281" s="683" t="str">
        <f>CONCATENATE("HORAS: ",BDEGENER[[#This Row],[HORAS]],"
KW-HR: ",BDEGENER[[#This Row],[KW-HORA]],"
VOLT.BATERIA: ",BDEGENER[[#This Row],[VOLTAJE DE BATERIA]],"
TEMPERATURA: ",BDEGENER[[#This Row],[TEMPERATURA DE AGUA]],"
PRES. ACEITE: ",BDEGENER[[#This Row],[PRESION DE ACEITE]])</f>
        <v>HORAS: 5063,7
KW-HR: 113046,4
VOLT.BATERIA: 14.4 V
TEMPERATURA: 137 °F
PRES. ACEITE: 57 PSI</v>
      </c>
      <c r="AV281" s="683">
        <f>COUNTIFS(Q281:Q2281,"MANTENIMIENTO CORRECTIVO",Y281:Y2281,BDEGENER[[#This Row],[SERIE]])</f>
        <v>0</v>
      </c>
      <c r="AW281" s="683">
        <f>COUNTIFS(Q281:Q2281,"MANTENIMIENTO PREVENTIVO",Y281:Y2281,BDEGENER[[#This Row],[SERIE]])</f>
        <v>8</v>
      </c>
      <c r="AX28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281" s="683">
        <f>COUNTIFS(BDEGENER[SERIE],BDEGENER[[#This Row],[SERIE]],BDEGENER[TIPO DE SERVICIO],"MANTENIMIENTO PREVENTIVO")</f>
        <v>9</v>
      </c>
      <c r="AZ281" s="683" t="str">
        <f>CONCATENATE("MANTENIMIENTO PREVENTIVO N°",BDEGENER[[#This Row],[GA1]])</f>
        <v>MANTENIMIENTO PREVENTIVO N°9</v>
      </c>
      <c r="BA281" s="683" t="str">
        <f>IF(BDEGENER[[#This Row],[SERVICIO]]=BDEGENER[[#This Row],[GA2]],BDEGENER[[#This Row],[HORAS]],"0")</f>
        <v>0</v>
      </c>
      <c r="BB281" s="683">
        <f>SUMIF(BDEGENER[SERIE],BDEGENER[[#This Row],[SERIE]],BDEGENER[GA3])</f>
        <v>5274.9</v>
      </c>
      <c r="BC281" s="683" t="str">
        <f>CONCATENATE("MANT",COUNTIF($Y$7:Y281,Y281))</f>
        <v>MANT3</v>
      </c>
      <c r="BD281" s="683" t="str">
        <f>CONCATENATE(BDEGENER[[#This Row],[SERIE]],BDEGENER[[#This Row],[GA5]])</f>
        <v>3003566701MANT3</v>
      </c>
      <c r="BE281" s="683" t="str">
        <f>CONCATENATE(BDEGENER[[#This Row],[CODIGO PATRIMONIAL]],BDEGENER[[#This Row],[GA5]])</f>
        <v>NOR-GEG-0018MANT3</v>
      </c>
      <c r="BF281" s="683">
        <f>COUNTIF(BDEGENER[SERIE],BDEGENER[[#This Row],[SERIE]])</f>
        <v>10</v>
      </c>
      <c r="BG281" s="683" t="str">
        <f>CONCATENATE("F",COUNTIF($K$7:K281,K281))</f>
        <v>F3</v>
      </c>
      <c r="BH281" s="683" t="str">
        <f>CONCATENATE(BDEGENER[[#This Row],[FECHA DE SERVICIO]],BDEGENER[[#This Row],[N° DE REGISTROS DEL DIA]])</f>
        <v>44055F3</v>
      </c>
      <c r="BI281" s="684">
        <v>113046.39999999999</v>
      </c>
      <c r="BJ281" s="683" t="s">
        <v>1544</v>
      </c>
      <c r="BK281" s="762" t="s">
        <v>2164</v>
      </c>
    </row>
    <row r="282" spans="2:63" ht="69" hidden="1" x14ac:dyDescent="0.3">
      <c r="B282" s="2"/>
      <c r="C282" s="2"/>
      <c r="D282" s="2"/>
      <c r="E282" s="2"/>
      <c r="F282" s="2"/>
      <c r="G282" s="2"/>
      <c r="H282" s="2"/>
      <c r="I282" s="2"/>
      <c r="J282" s="685"/>
      <c r="K282" s="682">
        <v>44055</v>
      </c>
      <c r="L282" s="683" t="s">
        <v>561</v>
      </c>
      <c r="M282" s="683" t="s">
        <v>2558</v>
      </c>
      <c r="N282" s="683" t="s">
        <v>586</v>
      </c>
      <c r="O282" s="683"/>
      <c r="P282" s="688" t="s">
        <v>2974</v>
      </c>
      <c r="Q282" s="683" t="s">
        <v>37</v>
      </c>
      <c r="R282" s="683" t="s">
        <v>1782</v>
      </c>
      <c r="S282" s="686" t="s">
        <v>2975</v>
      </c>
      <c r="T282" s="683" t="s">
        <v>2948</v>
      </c>
      <c r="U282" s="683" t="s">
        <v>2488</v>
      </c>
      <c r="V282" s="683" t="s">
        <v>147</v>
      </c>
      <c r="W282" s="683" t="s">
        <v>914</v>
      </c>
      <c r="X282" s="691" t="s">
        <v>918</v>
      </c>
      <c r="Y282" s="687">
        <v>3003932245</v>
      </c>
      <c r="Z282" s="692" t="s">
        <v>2617</v>
      </c>
      <c r="AA282" s="683" t="s">
        <v>33</v>
      </c>
      <c r="AB282" s="683" t="s">
        <v>34</v>
      </c>
      <c r="AC282" s="683" t="s">
        <v>235</v>
      </c>
      <c r="AD282" s="683" t="s">
        <v>1123</v>
      </c>
      <c r="AE282" s="683">
        <v>60.1</v>
      </c>
      <c r="AF282" s="684">
        <v>5543.7</v>
      </c>
      <c r="AG282" s="683" t="s">
        <v>243</v>
      </c>
      <c r="AH282" s="683" t="s">
        <v>220</v>
      </c>
      <c r="AI282" s="683" t="s">
        <v>33</v>
      </c>
      <c r="AJ282" s="683">
        <v>3003963173</v>
      </c>
      <c r="AK282" s="683" t="s">
        <v>33</v>
      </c>
      <c r="AL282" s="683"/>
      <c r="AM282" s="683" t="s">
        <v>1377</v>
      </c>
      <c r="AN282" s="683" t="s">
        <v>2556</v>
      </c>
      <c r="AO282" s="683" t="s">
        <v>1103</v>
      </c>
      <c r="AP282" s="683" t="s">
        <v>240</v>
      </c>
      <c r="AQ282" s="688" t="str">
        <f>CONCATENATE("REG-",BDEGENER[[#This Row],[FECHA DE SERVICIO]],"-",BDEGENER[[#This Row],[SERIE]],"-",BDEGENER[[#This Row],[HORAS]])</f>
        <v>REG-44055-3003932245-5543,7</v>
      </c>
      <c r="AR282" s="683" t="str">
        <f>CONCATENATE("MARCA: ",BDEGENER[[#This Row],[MARCA]],"
 MODELO: ",BDEGENER[[#This Row],[MODELO]])</f>
        <v>MARCA: GENERAC
 MODELO: PG090</v>
      </c>
      <c r="AS282" s="683" t="str">
        <f>CONCATENATE("MARCA: ",BDEGENER[[#This Row],[MARCA DE MOTOR]],"
SERIE: ",BDEGENER[[#This Row],[SERIE DE MOTOR]])</f>
        <v>MARCA: GENERAC
SERIE: 3003963173</v>
      </c>
      <c r="AT282" s="683" t="str">
        <f>CONCATENATE("MARCA: ",BDEGENER[[#This Row],[MARCA ALTERNADOR ]],"
SERIE: ",BDEGENER[[#This Row],[SERIE DE ALTERNADOR]])</f>
        <v xml:space="preserve">MARCA: GENERAC
SERIE: </v>
      </c>
      <c r="AU282" s="683" t="str">
        <f>CONCATENATE("HORAS: ",BDEGENER[[#This Row],[HORAS]],"
KW-HR: ",BDEGENER[[#This Row],[KW-HORA]],"
VOLT.BATERIA: ",BDEGENER[[#This Row],[VOLTAJE DE BATERIA]],"
TEMPERATURA: ",BDEGENER[[#This Row],[TEMPERATURA DE AGUA]],"
PRES. ACEITE: ",BDEGENER[[#This Row],[PRESION DE ACEITE]])</f>
        <v>HORAS: 5543,7
KW-HR: 168920,5
VOLT.BATERIA: 13.8 V
TEMPERATURA: 159 °F
PRES. ACEITE: 52 PSI</v>
      </c>
      <c r="AV282" s="683">
        <f>COUNTIFS(Q282:Q2282,"MANTENIMIENTO CORRECTIVO",Y282:Y2282,BDEGENER[[#This Row],[SERIE]])</f>
        <v>0</v>
      </c>
      <c r="AW282" s="683">
        <f>COUNTIFS(Q282:Q2282,"MANTENIMIENTO PREVENTIVO",Y282:Y2282,BDEGENER[[#This Row],[SERIE]])</f>
        <v>5</v>
      </c>
      <c r="AX28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282" s="683">
        <f>COUNTIFS(BDEGENER[SERIE],BDEGENER[[#This Row],[SERIE]],BDEGENER[TIPO DE SERVICIO],"MANTENIMIENTO PREVENTIVO")</f>
        <v>9</v>
      </c>
      <c r="AZ282" s="683" t="str">
        <f>CONCATENATE("MANTENIMIENTO PREVENTIVO N°",BDEGENER[[#This Row],[GA1]])</f>
        <v>MANTENIMIENTO PREVENTIVO N°9</v>
      </c>
      <c r="BA282" s="683" t="str">
        <f>IF(BDEGENER[[#This Row],[SERVICIO]]=BDEGENER[[#This Row],[GA2]],BDEGENER[[#This Row],[HORAS]],"0")</f>
        <v>0</v>
      </c>
      <c r="BB282" s="683">
        <f>SUMIF(BDEGENER[SERIE],BDEGENER[[#This Row],[SERIE]],BDEGENER[GA3])</f>
        <v>6582.8</v>
      </c>
      <c r="BC282" s="683" t="str">
        <f>CONCATENATE("MANT",COUNTIF($Y$7:Y282,Y282))</f>
        <v>MANT6</v>
      </c>
      <c r="BD282" s="683" t="str">
        <f>CONCATENATE(BDEGENER[[#This Row],[SERIE]],BDEGENER[[#This Row],[GA5]])</f>
        <v>3003932245MANT6</v>
      </c>
      <c r="BE282" s="683" t="str">
        <f>CONCATENATE(BDEGENER[[#This Row],[CODIGO PATRIMONIAL]],BDEGENER[[#This Row],[GA5]])</f>
        <v>NOR-GEG-0019MANT6</v>
      </c>
      <c r="BF282" s="683">
        <f>COUNTIF(BDEGENER[SERIE],BDEGENER[[#This Row],[SERIE]])</f>
        <v>10</v>
      </c>
      <c r="BG282" s="683" t="str">
        <f>CONCATENATE("F",COUNTIF($K$7:K282,K282))</f>
        <v>F4</v>
      </c>
      <c r="BH282" s="683" t="str">
        <f>CONCATENATE(BDEGENER[[#This Row],[FECHA DE SERVICIO]],BDEGENER[[#This Row],[N° DE REGISTROS DEL DIA]])</f>
        <v>44055F4</v>
      </c>
      <c r="BI282" s="684">
        <v>168920.5</v>
      </c>
      <c r="BJ282" s="683" t="s">
        <v>1544</v>
      </c>
      <c r="BK282" s="762" t="s">
        <v>2261</v>
      </c>
    </row>
    <row r="283" spans="2:63" ht="69" hidden="1" x14ac:dyDescent="0.3">
      <c r="B283" s="2"/>
      <c r="C283" s="2"/>
      <c r="D283" s="2"/>
      <c r="E283" s="2"/>
      <c r="F283" s="2"/>
      <c r="G283" s="2"/>
      <c r="H283" s="2"/>
      <c r="I283" s="2"/>
      <c r="J283" s="685"/>
      <c r="K283" s="763">
        <v>44055</v>
      </c>
      <c r="L283" s="810" t="s">
        <v>248</v>
      </c>
      <c r="M283" s="761" t="s">
        <v>2078</v>
      </c>
      <c r="N283" s="761" t="s">
        <v>1319</v>
      </c>
      <c r="O283" s="761"/>
      <c r="P283" s="769" t="s">
        <v>2966</v>
      </c>
      <c r="Q283" s="761" t="s">
        <v>37</v>
      </c>
      <c r="R283" s="761" t="s">
        <v>1782</v>
      </c>
      <c r="S283" s="765" t="s">
        <v>2947</v>
      </c>
      <c r="T283" s="761" t="s">
        <v>2968</v>
      </c>
      <c r="U283" s="761" t="s">
        <v>2404</v>
      </c>
      <c r="V283" s="761" t="s">
        <v>147</v>
      </c>
      <c r="W283" s="761" t="s">
        <v>914</v>
      </c>
      <c r="X283" s="761" t="s">
        <v>918</v>
      </c>
      <c r="Y283" s="766">
        <v>3005005010</v>
      </c>
      <c r="Z283" s="761">
        <v>24547</v>
      </c>
      <c r="AA283" s="761" t="s">
        <v>33</v>
      </c>
      <c r="AB283" s="761" t="s">
        <v>34</v>
      </c>
      <c r="AC283" s="761" t="s">
        <v>230</v>
      </c>
      <c r="AD283" s="761" t="s">
        <v>1932</v>
      </c>
      <c r="AE283" s="761">
        <v>60.1</v>
      </c>
      <c r="AF283" s="764">
        <v>2085.4</v>
      </c>
      <c r="AG283" s="761" t="s">
        <v>243</v>
      </c>
      <c r="AH283" s="761" t="s">
        <v>220</v>
      </c>
      <c r="AI283" s="761" t="s">
        <v>33</v>
      </c>
      <c r="AJ283" s="761">
        <v>3005065416</v>
      </c>
      <c r="AK283" s="761" t="s">
        <v>33</v>
      </c>
      <c r="AL283" s="761">
        <v>139546230</v>
      </c>
      <c r="AM283" s="761" t="s">
        <v>1196</v>
      </c>
      <c r="AN283" s="761" t="s">
        <v>2967</v>
      </c>
      <c r="AO283" s="761" t="s">
        <v>1349</v>
      </c>
      <c r="AP283" s="761" t="s">
        <v>240</v>
      </c>
      <c r="AQ283" s="769" t="str">
        <f>CONCATENATE("REG-",BDEGENER[[#This Row],[FECHA DE SERVICIO]],"-",BDEGENER[[#This Row],[SERIE]],"-",BDEGENER[[#This Row],[HORAS]])</f>
        <v>REG-44055-3005005010-2085,4</v>
      </c>
      <c r="AR283" s="761" t="str">
        <f>CONCATENATE("MARCA: ",BDEGENER[[#This Row],[MARCA]],"
 MODELO: ",BDEGENER[[#This Row],[MODELO]])</f>
        <v>MARCA: GENERAC
 MODELO: PG090</v>
      </c>
      <c r="AS283" s="761" t="str">
        <f>CONCATENATE("MARCA: ",BDEGENER[[#This Row],[MARCA DE MOTOR]],"
SERIE: ",BDEGENER[[#This Row],[SERIE DE MOTOR]])</f>
        <v>MARCA: GENERAC
SERIE: 3005065416</v>
      </c>
      <c r="AT283" s="761" t="str">
        <f>CONCATENATE("MARCA: ",BDEGENER[[#This Row],[MARCA ALTERNADOR ]],"
SERIE: ",BDEGENER[[#This Row],[SERIE DE ALTERNADOR]])</f>
        <v>MARCA: GENERAC
SERIE: 139546230</v>
      </c>
      <c r="AU283" s="761" t="str">
        <f>CONCATENATE("HORAS: ",BDEGENER[[#This Row],[HORAS]],"
KW-HR: ",BDEGENER[[#This Row],[KW-HORA]],"
VOLT.BATERIA: ",BDEGENER[[#This Row],[VOLTAJE DE BATERIA]],"
TEMPERATURA: ",BDEGENER[[#This Row],[TEMPERATURA DE AGUA]],"
PRES. ACEITE: ",BDEGENER[[#This Row],[PRESION DE ACEITE]])</f>
        <v>HORAS: 2085,4
KW-HR: 
VOLT.BATERIA: 13.2 V
TEMPERATURA: 216 °F
PRES. ACEITE: 56 PSI</v>
      </c>
      <c r="AV283" s="761">
        <f>COUNTIFS(Q283:Q2283,"MANTENIMIENTO CORRECTIVO",Y283:Y2283,BDEGENER[[#This Row],[SERIE]])</f>
        <v>0</v>
      </c>
      <c r="AW283" s="761">
        <f>COUNTIFS(Q283:Q2283,"MANTENIMIENTO PREVENTIVO",Y283:Y2283,BDEGENER[[#This Row],[SERIE]])</f>
        <v>7</v>
      </c>
      <c r="AX283" s="761"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283" s="761">
        <f>COUNTIFS(BDEGENER[SERIE],BDEGENER[[#This Row],[SERIE]],BDEGENER[TIPO DE SERVICIO],"MANTENIMIENTO PREVENTIVO")</f>
        <v>9</v>
      </c>
      <c r="AZ283" s="761" t="str">
        <f>CONCATENATE("MANTENIMIENTO PREVENTIVO N°",BDEGENER[[#This Row],[GA1]])</f>
        <v>MANTENIMIENTO PREVENTIVO N°9</v>
      </c>
      <c r="BA283" s="761" t="str">
        <f>IF(BDEGENER[[#This Row],[SERVICIO]]=BDEGENER[[#This Row],[GA2]],BDEGENER[[#This Row],[HORAS]],"0")</f>
        <v>0</v>
      </c>
      <c r="BB283" s="761">
        <f>SUMIF(BDEGENER[SERIE],BDEGENER[[#This Row],[SERIE]],BDEGENER[GA3])</f>
        <v>2557.3000000000002</v>
      </c>
      <c r="BC283" s="761" t="str">
        <f>CONCATENATE("MANT",COUNTIF($Y$7:Y283,Y283))</f>
        <v>MANT6</v>
      </c>
      <c r="BD283" s="761" t="str">
        <f>CONCATENATE(BDEGENER[[#This Row],[SERIE]],BDEGENER[[#This Row],[GA5]])</f>
        <v>3005005010MANT6</v>
      </c>
      <c r="BE283" s="761" t="str">
        <f>CONCATENATE(BDEGENER[[#This Row],[CODIGO PATRIMONIAL]],BDEGENER[[#This Row],[GA5]])</f>
        <v>24547MANT6</v>
      </c>
      <c r="BF283" s="683">
        <f>COUNTIF(BDEGENER[SERIE],BDEGENER[[#This Row],[SERIE]])</f>
        <v>14</v>
      </c>
      <c r="BG283" s="761" t="str">
        <f>CONCATENATE("F",COUNTIF($K$7:K283,K283))</f>
        <v>F5</v>
      </c>
      <c r="BH283" s="683" t="str">
        <f>CONCATENATE(BDEGENER[[#This Row],[FECHA DE SERVICIO]],BDEGENER[[#This Row],[N° DE REGISTROS DEL DIA]])</f>
        <v>44055F5</v>
      </c>
      <c r="BI283" s="684"/>
      <c r="BJ283" s="683" t="s">
        <v>1544</v>
      </c>
      <c r="BK283" s="770"/>
    </row>
    <row r="284" spans="2:63" ht="69" hidden="1" x14ac:dyDescent="0.3">
      <c r="B284" s="2"/>
      <c r="C284" s="2"/>
      <c r="D284" s="2"/>
      <c r="E284" s="2"/>
      <c r="F284" s="2"/>
      <c r="G284" s="2"/>
      <c r="H284" s="2"/>
      <c r="I284" s="2"/>
      <c r="J284" s="685"/>
      <c r="K284" s="682">
        <v>44055</v>
      </c>
      <c r="L284" s="683" t="s">
        <v>181</v>
      </c>
      <c r="M284" s="683" t="s">
        <v>184</v>
      </c>
      <c r="N284" s="683" t="s">
        <v>183</v>
      </c>
      <c r="O284" s="683"/>
      <c r="P284" s="683"/>
      <c r="Q284" s="683" t="s">
        <v>2037</v>
      </c>
      <c r="R284" s="683" t="s">
        <v>2917</v>
      </c>
      <c r="S284" s="686" t="s">
        <v>2919</v>
      </c>
      <c r="T284" s="683" t="s">
        <v>1782</v>
      </c>
      <c r="U284" s="683" t="s">
        <v>2918</v>
      </c>
      <c r="V284" s="683" t="s">
        <v>146</v>
      </c>
      <c r="W284" s="683" t="s">
        <v>914</v>
      </c>
      <c r="X284" s="691" t="s">
        <v>918</v>
      </c>
      <c r="Y284" s="687">
        <v>3004416580</v>
      </c>
      <c r="Z284" s="692"/>
      <c r="AA284" s="683" t="s">
        <v>33</v>
      </c>
      <c r="AB284" s="683" t="s">
        <v>34</v>
      </c>
      <c r="AC284" s="683" t="s">
        <v>230</v>
      </c>
      <c r="AD284" s="683" t="s">
        <v>1110</v>
      </c>
      <c r="AE284" s="683">
        <v>60</v>
      </c>
      <c r="AF284" s="684">
        <v>2723.5</v>
      </c>
      <c r="AG284" s="683" t="s">
        <v>243</v>
      </c>
      <c r="AH284" s="683" t="s">
        <v>220</v>
      </c>
      <c r="AI284" s="683" t="s">
        <v>33</v>
      </c>
      <c r="AJ284" s="683">
        <v>3004426061</v>
      </c>
      <c r="AK284" s="683" t="s">
        <v>33</v>
      </c>
      <c r="AL284" s="683">
        <v>107746810</v>
      </c>
      <c r="AM284" s="683"/>
      <c r="AN284" s="683"/>
      <c r="AO284" s="683"/>
      <c r="AP284" s="683" t="s">
        <v>240</v>
      </c>
      <c r="AQ284" s="688" t="str">
        <f>CONCATENATE("REG-",BDEGENER[[#This Row],[FECHA DE SERVICIO]],"-",BDEGENER[[#This Row],[SERIE]],"-",BDEGENER[[#This Row],[HORAS]])</f>
        <v>REG-44055-3004416580-2723,5</v>
      </c>
      <c r="AR284" s="683" t="str">
        <f>CONCATENATE("MARCA: ",BDEGENER[[#This Row],[MARCA]],"
 MODELO: ",BDEGENER[[#This Row],[MODELO]])</f>
        <v>MARCA: GENERAC
 MODELO: PG090</v>
      </c>
      <c r="AS284" s="683" t="str">
        <f>CONCATENATE("MARCA: ",BDEGENER[[#This Row],[MARCA DE MOTOR]],"
SERIE: ",BDEGENER[[#This Row],[SERIE DE MOTOR]])</f>
        <v>MARCA: GENERAC
SERIE: 3004426061</v>
      </c>
      <c r="AT284" s="683" t="str">
        <f>CONCATENATE("MARCA: ",BDEGENER[[#This Row],[MARCA ALTERNADOR ]],"
SERIE: ",BDEGENER[[#This Row],[SERIE DE ALTERNADOR]])</f>
        <v>MARCA: GENERAC
SERIE: 107746810</v>
      </c>
      <c r="AU284" s="683" t="str">
        <f>CONCATENATE("HORAS: ",BDEGENER[[#This Row],[HORAS]],"
KW-HR: ",BDEGENER[[#This Row],[KW-HORA]],"
VOLT.BATERIA: ",BDEGENER[[#This Row],[VOLTAJE DE BATERIA]],"
TEMPERATURA: ",BDEGENER[[#This Row],[TEMPERATURA DE AGUA]],"
PRES. ACEITE: ",BDEGENER[[#This Row],[PRESION DE ACEITE]])</f>
        <v xml:space="preserve">HORAS: 2723,5
KW-HR: 30007,5
VOLT.BATERIA: 
TEMPERATURA: 
PRES. ACEITE: </v>
      </c>
      <c r="AV284" s="683">
        <f>COUNTIFS(Q284:Q2284,"MANTENIMIENTO CORRECTIVO",Y284:Y2284,BDEGENER[[#This Row],[SERIE]])</f>
        <v>2</v>
      </c>
      <c r="AW284" s="683">
        <f>COUNTIFS(Q284:Q2284,"MANTENIMIENTO PREVENTIVO",Y284:Y2284,BDEGENER[[#This Row],[SERIE]])</f>
        <v>6</v>
      </c>
      <c r="AX28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284" s="683">
        <f>COUNTIFS(BDEGENER[SERIE],BDEGENER[[#This Row],[SERIE]],BDEGENER[TIPO DE SERVICIO],"MANTENIMIENTO PREVENTIVO")</f>
        <v>8</v>
      </c>
      <c r="AZ284" s="683" t="str">
        <f>CONCATENATE("MANTENIMIENTO PREVENTIVO N°",BDEGENER[[#This Row],[GA1]])</f>
        <v>MANTENIMIENTO PREVENTIVO N°8</v>
      </c>
      <c r="BA284" s="683" t="str">
        <f>IF(BDEGENER[[#This Row],[SERVICIO]]=BDEGENER[[#This Row],[GA2]],BDEGENER[[#This Row],[HORAS]],"0")</f>
        <v>0</v>
      </c>
      <c r="BB284" s="683">
        <f>SUMIF(BDEGENER[SERIE],BDEGENER[[#This Row],[SERIE]],BDEGENER[GA3])</f>
        <v>3113.9</v>
      </c>
      <c r="BC284" s="683" t="str">
        <f>CONCATENATE("MANT",COUNTIF($Y$7:Y284,Y284))</f>
        <v>MANT4</v>
      </c>
      <c r="BD284" s="683" t="str">
        <f>CONCATENATE(BDEGENER[[#This Row],[SERIE]],BDEGENER[[#This Row],[GA5]])</f>
        <v>3004416580MANT4</v>
      </c>
      <c r="BE284" s="683" t="str">
        <f>CONCATENATE(BDEGENER[[#This Row],[CODIGO PATRIMONIAL]],BDEGENER[[#This Row],[GA5]])</f>
        <v>MANT4</v>
      </c>
      <c r="BF284" s="683">
        <f>COUNTIF(BDEGENER[SERIE],BDEGENER[[#This Row],[SERIE]])</f>
        <v>14</v>
      </c>
      <c r="BG284" s="683" t="str">
        <f>CONCATENATE("F",COUNTIF($K$7:K284,K284))</f>
        <v>F6</v>
      </c>
      <c r="BH284" s="683" t="str">
        <f>CONCATENATE(BDEGENER[[#This Row],[FECHA DE SERVICIO]],BDEGENER[[#This Row],[N° DE REGISTROS DEL DIA]])</f>
        <v>44055F6</v>
      </c>
      <c r="BI284" s="684">
        <v>30007.5</v>
      </c>
      <c r="BJ284" s="683" t="s">
        <v>1544</v>
      </c>
      <c r="BK284" s="762"/>
    </row>
    <row r="285" spans="2:63" ht="69" hidden="1" x14ac:dyDescent="0.3">
      <c r="B285" s="2"/>
      <c r="C285" s="2"/>
      <c r="D285" s="2"/>
      <c r="E285" s="2"/>
      <c r="F285" s="2"/>
      <c r="G285" s="2"/>
      <c r="H285" s="2"/>
      <c r="I285" s="2"/>
      <c r="J285" s="685"/>
      <c r="K285" s="682">
        <v>44055</v>
      </c>
      <c r="L285" s="683" t="s">
        <v>181</v>
      </c>
      <c r="M285" s="683" t="s">
        <v>187</v>
      </c>
      <c r="N285" s="683" t="s">
        <v>183</v>
      </c>
      <c r="O285" s="683"/>
      <c r="P285" s="683"/>
      <c r="Q285" s="683" t="s">
        <v>2037</v>
      </c>
      <c r="R285" s="683" t="s">
        <v>2917</v>
      </c>
      <c r="S285" s="686" t="s">
        <v>2919</v>
      </c>
      <c r="T285" s="683"/>
      <c r="U285" s="683" t="s">
        <v>2918</v>
      </c>
      <c r="V285" s="683" t="s">
        <v>146</v>
      </c>
      <c r="W285" s="683" t="s">
        <v>914</v>
      </c>
      <c r="X285" s="691" t="s">
        <v>918</v>
      </c>
      <c r="Y285" s="687">
        <v>3004337428</v>
      </c>
      <c r="Z285" s="692"/>
      <c r="AA285" s="683" t="s">
        <v>33</v>
      </c>
      <c r="AB285" s="683" t="s">
        <v>34</v>
      </c>
      <c r="AC285" s="683" t="s">
        <v>230</v>
      </c>
      <c r="AD285" s="683" t="s">
        <v>1111</v>
      </c>
      <c r="AE285" s="683">
        <v>60</v>
      </c>
      <c r="AF285" s="684">
        <v>1254.4000000000001</v>
      </c>
      <c r="AG285" s="683" t="s">
        <v>243</v>
      </c>
      <c r="AH285" s="683" t="s">
        <v>244</v>
      </c>
      <c r="AI285" s="683" t="s">
        <v>33</v>
      </c>
      <c r="AJ285" s="683">
        <v>3004133600</v>
      </c>
      <c r="AK285" s="683" t="s">
        <v>33</v>
      </c>
      <c r="AL285" s="683">
        <v>1063014</v>
      </c>
      <c r="AM285" s="683"/>
      <c r="AN285" s="683"/>
      <c r="AO285" s="683"/>
      <c r="AP285" s="683" t="s">
        <v>240</v>
      </c>
      <c r="AQ285" s="744" t="str">
        <f>CONCATENATE("REG-",BDEGENER[[#This Row],[FECHA DE SERVICIO]],"-",BDEGENER[[#This Row],[SERIE]],"-",BDEGENER[[#This Row],[HORAS]])</f>
        <v>REG-44055-3004337428-1254,4</v>
      </c>
      <c r="AR285" s="683" t="str">
        <f>CONCATENATE("MARCA: ",BDEGENER[[#This Row],[MARCA]],"
 MODELO: ",BDEGENER[[#This Row],[MODELO]])</f>
        <v>MARCA: GENERAC
 MODELO: PG090</v>
      </c>
      <c r="AS285" s="683" t="str">
        <f>CONCATENATE("MARCA: ",BDEGENER[[#This Row],[MARCA DE MOTOR]],"
SERIE: ",BDEGENER[[#This Row],[SERIE DE MOTOR]])</f>
        <v>MARCA: GENERAC
SERIE: 3004133600</v>
      </c>
      <c r="AT285" s="683" t="str">
        <f>CONCATENATE("MARCA: ",BDEGENER[[#This Row],[MARCA ALTERNADOR ]],"
SERIE: ",BDEGENER[[#This Row],[SERIE DE ALTERNADOR]])</f>
        <v>MARCA: GENERAC
SERIE: 1063014</v>
      </c>
      <c r="AU285" s="683" t="str">
        <f>CONCATENATE("HORAS: ",BDEGENER[[#This Row],[HORAS]],"
KW-HR: ",BDEGENER[[#This Row],[KW-HORA]],"
VOLT.BATERIA: ",BDEGENER[[#This Row],[VOLTAJE DE BATERIA]],"
TEMPERATURA: ",BDEGENER[[#This Row],[TEMPERATURA DE AGUA]],"
PRES. ACEITE: ",BDEGENER[[#This Row],[PRESION DE ACEITE]])</f>
        <v xml:space="preserve">HORAS: 1254,4
KW-HR: 33624,7
VOLT.BATERIA: 
TEMPERATURA: 
PRES. ACEITE: </v>
      </c>
      <c r="AV285" s="683">
        <f>COUNTIFS(Q285:Q2285,"MANTENIMIENTO CORRECTIVO",Y285:Y2285,BDEGENER[[#This Row],[SERIE]])</f>
        <v>1</v>
      </c>
      <c r="AW285" s="683">
        <f>COUNTIFS(Q285:Q2285,"MANTENIMIENTO PREVENTIVO",Y285:Y2285,BDEGENER[[#This Row],[SERIE]])</f>
        <v>5</v>
      </c>
      <c r="AX28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285" s="683">
        <f>COUNTIFS(BDEGENER[SERIE],BDEGENER[[#This Row],[SERIE]],BDEGENER[TIPO DE SERVICIO],"MANTENIMIENTO PREVENTIVO")</f>
        <v>6</v>
      </c>
      <c r="AZ285" s="683" t="str">
        <f>CONCATENATE("MANTENIMIENTO PREVENTIVO N°",BDEGENER[[#This Row],[GA1]])</f>
        <v>MANTENIMIENTO PREVENTIVO N°6</v>
      </c>
      <c r="BA285" s="683" t="str">
        <f>IF(BDEGENER[[#This Row],[SERVICIO]]=BDEGENER[[#This Row],[GA2]],BDEGENER[[#This Row],[HORAS]],"0")</f>
        <v>0</v>
      </c>
      <c r="BB285" s="683">
        <f>SUMIF(BDEGENER[SERIE],BDEGENER[[#This Row],[SERIE]],BDEGENER[GA3])</f>
        <v>1586.2</v>
      </c>
      <c r="BC285" s="683" t="str">
        <f>CONCATENATE("MANT",COUNTIF($Y$7:Y285,Y285))</f>
        <v>MANT2</v>
      </c>
      <c r="BD285" s="683" t="str">
        <f>CONCATENATE(BDEGENER[[#This Row],[SERIE]],BDEGENER[[#This Row],[GA5]])</f>
        <v>3004337428MANT2</v>
      </c>
      <c r="BE285" s="683" t="str">
        <f>CONCATENATE(BDEGENER[[#This Row],[CODIGO PATRIMONIAL]],BDEGENER[[#This Row],[GA5]])</f>
        <v>MANT2</v>
      </c>
      <c r="BF285" s="683">
        <f>COUNTIF(BDEGENER[SERIE],BDEGENER[[#This Row],[SERIE]])</f>
        <v>9</v>
      </c>
      <c r="BG285" s="683" t="str">
        <f>CONCATENATE("F",COUNTIF($K$7:K285,K285))</f>
        <v>F7</v>
      </c>
      <c r="BH285" s="683" t="str">
        <f>CONCATENATE(BDEGENER[[#This Row],[FECHA DE SERVICIO]],BDEGENER[[#This Row],[N° DE REGISTROS DEL DIA]])</f>
        <v>44055F7</v>
      </c>
      <c r="BI285" s="684">
        <v>33624.699999999997</v>
      </c>
      <c r="BJ285" s="683" t="s">
        <v>1544</v>
      </c>
      <c r="BK285" s="762"/>
    </row>
    <row r="286" spans="2:63" ht="69" hidden="1" x14ac:dyDescent="0.3">
      <c r="B286" s="2"/>
      <c r="C286" s="2"/>
      <c r="D286" s="2"/>
      <c r="E286" s="2"/>
      <c r="F286" s="2"/>
      <c r="G286" s="2"/>
      <c r="H286" s="2"/>
      <c r="I286" s="2"/>
      <c r="J286" s="685"/>
      <c r="K286" s="682">
        <v>44055</v>
      </c>
      <c r="L286" s="683" t="s">
        <v>181</v>
      </c>
      <c r="M286" s="683" t="s">
        <v>187</v>
      </c>
      <c r="N286" s="683" t="s">
        <v>183</v>
      </c>
      <c r="O286" s="683"/>
      <c r="P286" s="683"/>
      <c r="Q286" s="683" t="s">
        <v>2037</v>
      </c>
      <c r="R286" s="683" t="s">
        <v>2917</v>
      </c>
      <c r="S286" s="686" t="s">
        <v>2919</v>
      </c>
      <c r="T286" s="683"/>
      <c r="U286" s="683" t="s">
        <v>2918</v>
      </c>
      <c r="V286" s="683" t="s">
        <v>146</v>
      </c>
      <c r="W286" s="683" t="s">
        <v>914</v>
      </c>
      <c r="X286" s="691" t="s">
        <v>918</v>
      </c>
      <c r="Y286" s="687">
        <v>3004218547</v>
      </c>
      <c r="Z286" s="692"/>
      <c r="AA286" s="683" t="s">
        <v>33</v>
      </c>
      <c r="AB286" s="683" t="s">
        <v>34</v>
      </c>
      <c r="AC286" s="683" t="s">
        <v>230</v>
      </c>
      <c r="AD286" s="683" t="s">
        <v>1111</v>
      </c>
      <c r="AE286" s="683">
        <v>60</v>
      </c>
      <c r="AF286" s="684">
        <v>1542.1</v>
      </c>
      <c r="AG286" s="683" t="s">
        <v>243</v>
      </c>
      <c r="AH286" s="683" t="s">
        <v>220</v>
      </c>
      <c r="AI286" s="683" t="s">
        <v>33</v>
      </c>
      <c r="AJ286" s="683">
        <v>3003966252</v>
      </c>
      <c r="AK286" s="683" t="s">
        <v>33</v>
      </c>
      <c r="AL286" s="683">
        <v>10630140</v>
      </c>
      <c r="AM286" s="683"/>
      <c r="AN286" s="683"/>
      <c r="AO286" s="683"/>
      <c r="AP286" s="683" t="s">
        <v>240</v>
      </c>
      <c r="AQ286" s="688" t="str">
        <f>CONCATENATE("REG-",BDEGENER[[#This Row],[FECHA DE SERVICIO]],"-",BDEGENER[[#This Row],[SERIE]],"-",BDEGENER[[#This Row],[HORAS]])</f>
        <v>REG-44055-3004218547-1542,1</v>
      </c>
      <c r="AR286" s="683" t="str">
        <f>CONCATENATE("MARCA: ",BDEGENER[[#This Row],[MARCA]],"
 MODELO: ",BDEGENER[[#This Row],[MODELO]])</f>
        <v>MARCA: GENERAC
 MODELO: PG090</v>
      </c>
      <c r="AS286" s="683" t="str">
        <f>CONCATENATE("MARCA: ",BDEGENER[[#This Row],[MARCA DE MOTOR]],"
SERIE: ",BDEGENER[[#This Row],[SERIE DE MOTOR]])</f>
        <v>MARCA: GENERAC
SERIE: 3003966252</v>
      </c>
      <c r="AT286" s="683" t="str">
        <f>CONCATENATE("MARCA: ",BDEGENER[[#This Row],[MARCA ALTERNADOR ]],"
SERIE: ",BDEGENER[[#This Row],[SERIE DE ALTERNADOR]])</f>
        <v>MARCA: GENERAC
SERIE: 10630140</v>
      </c>
      <c r="AU286" s="683" t="str">
        <f>CONCATENATE("HORAS: ",BDEGENER[[#This Row],[HORAS]],"
KW-HR: ",BDEGENER[[#This Row],[KW-HORA]],"
VOLT.BATERIA: ",BDEGENER[[#This Row],[VOLTAJE DE BATERIA]],"
TEMPERATURA: ",BDEGENER[[#This Row],[TEMPERATURA DE AGUA]],"
PRES. ACEITE: ",BDEGENER[[#This Row],[PRESION DE ACEITE]])</f>
        <v xml:space="preserve">HORAS: 1542,1
KW-HR: 42717,8
VOLT.BATERIA: 
TEMPERATURA: 
PRES. ACEITE: </v>
      </c>
      <c r="AV286" s="761">
        <f>COUNTIFS(Q286:Q2286,"MANTENIMIENTO CORRECTIVO",Y286:Y2286,BDEGENER[[#This Row],[SERIE]])</f>
        <v>1</v>
      </c>
      <c r="AW286" s="761">
        <f>COUNTIFS(Q286:Q2286,"MANTENIMIENTO PREVENTIVO",Y286:Y2286,BDEGENER[[#This Row],[SERIE]])</f>
        <v>5</v>
      </c>
      <c r="AX28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286" s="683">
        <f>COUNTIFS(BDEGENER[SERIE],BDEGENER[[#This Row],[SERIE]],BDEGENER[TIPO DE SERVICIO],"MANTENIMIENTO PREVENTIVO")</f>
        <v>7</v>
      </c>
      <c r="AZ286" s="683" t="str">
        <f>CONCATENATE("MANTENIMIENTO PREVENTIVO N°",BDEGENER[[#This Row],[GA1]])</f>
        <v>MANTENIMIENTO PREVENTIVO N°7</v>
      </c>
      <c r="BA286" s="683" t="str">
        <f>IF(BDEGENER[[#This Row],[SERVICIO]]=BDEGENER[[#This Row],[GA2]],BDEGENER[[#This Row],[HORAS]],"0")</f>
        <v>0</v>
      </c>
      <c r="BB286" s="683">
        <f>SUMIF(BDEGENER[SERIE],BDEGENER[[#This Row],[SERIE]],BDEGENER[GA3])</f>
        <v>2015.6</v>
      </c>
      <c r="BC286" s="761" t="str">
        <f>CONCATENATE("MANT",COUNTIF($Y$7:Y286,Y286))</f>
        <v>MANT4</v>
      </c>
      <c r="BD286" s="683" t="str">
        <f>CONCATENATE(BDEGENER[[#This Row],[SERIE]],BDEGENER[[#This Row],[GA5]])</f>
        <v>3004218547MANT4</v>
      </c>
      <c r="BE286" s="683" t="str">
        <f>CONCATENATE(BDEGENER[[#This Row],[CODIGO PATRIMONIAL]],BDEGENER[[#This Row],[GA5]])</f>
        <v>MANT4</v>
      </c>
      <c r="BF286" s="683">
        <f>COUNTIF(BDEGENER[SERIE],BDEGENER[[#This Row],[SERIE]])</f>
        <v>12</v>
      </c>
      <c r="BG286" s="761" t="str">
        <f>CONCATENATE("F",COUNTIF($K$7:K286,K286))</f>
        <v>F8</v>
      </c>
      <c r="BH286" s="683" t="str">
        <f>CONCATENATE(BDEGENER[[#This Row],[FECHA DE SERVICIO]],BDEGENER[[#This Row],[N° DE REGISTROS DEL DIA]])</f>
        <v>44055F8</v>
      </c>
      <c r="BI286" s="684">
        <v>42717.8</v>
      </c>
      <c r="BJ286" s="683" t="s">
        <v>1544</v>
      </c>
      <c r="BK286" s="762"/>
    </row>
    <row r="287" spans="2:63" ht="69" hidden="1" x14ac:dyDescent="0.3">
      <c r="B287" s="2"/>
      <c r="C287" s="2"/>
      <c r="D287" s="2"/>
      <c r="E287" s="2"/>
      <c r="F287" s="2"/>
      <c r="G287" s="2"/>
      <c r="H287" s="2"/>
      <c r="I287" s="2"/>
      <c r="J287" s="685"/>
      <c r="K287" s="682">
        <v>44055</v>
      </c>
      <c r="L287" s="683" t="s">
        <v>2894</v>
      </c>
      <c r="M287" s="683" t="s">
        <v>1395</v>
      </c>
      <c r="N287" s="683" t="s">
        <v>1547</v>
      </c>
      <c r="O287" s="683"/>
      <c r="P287" s="683" t="s">
        <v>2897</v>
      </c>
      <c r="Q287" s="683" t="s">
        <v>2021</v>
      </c>
      <c r="R287" s="683" t="s">
        <v>2895</v>
      </c>
      <c r="S287" s="686" t="s">
        <v>2914</v>
      </c>
      <c r="T287" s="683" t="s">
        <v>2896</v>
      </c>
      <c r="U287" s="683" t="s">
        <v>1782</v>
      </c>
      <c r="V287" s="683" t="s">
        <v>479</v>
      </c>
      <c r="W287" s="683" t="s">
        <v>914</v>
      </c>
      <c r="X287" s="691" t="s">
        <v>917</v>
      </c>
      <c r="Y287" s="687" t="s">
        <v>1965</v>
      </c>
      <c r="Z287" s="692" t="s">
        <v>159</v>
      </c>
      <c r="AA287" s="683" t="s">
        <v>1966</v>
      </c>
      <c r="AB287" s="683" t="s">
        <v>1967</v>
      </c>
      <c r="AC287" s="683" t="s">
        <v>1968</v>
      </c>
      <c r="AD287" s="683"/>
      <c r="AE287" s="683"/>
      <c r="AF287" s="684">
        <v>1648.59</v>
      </c>
      <c r="AG287" s="683" t="s">
        <v>1412</v>
      </c>
      <c r="AH287" s="683" t="s">
        <v>1969</v>
      </c>
      <c r="AI287" s="683" t="s">
        <v>1966</v>
      </c>
      <c r="AJ287" s="683">
        <v>87363974</v>
      </c>
      <c r="AK287" s="683" t="s">
        <v>1448</v>
      </c>
      <c r="AL287" s="683">
        <v>44699001</v>
      </c>
      <c r="AM287" s="683"/>
      <c r="AN287" s="683"/>
      <c r="AO287" s="683"/>
      <c r="AP287" s="683" t="s">
        <v>240</v>
      </c>
      <c r="AQ287" s="688" t="str">
        <f>CONCATENATE("REG-",BDEGENER[[#This Row],[FECHA DE SERVICIO]],"-",BDEGENER[[#This Row],[SERIE]],"-",BDEGENER[[#This Row],[HORAS]])</f>
        <v>REG-44055-C3020121001-S-1648,59</v>
      </c>
      <c r="AR287" s="683" t="str">
        <f>CONCATENATE("MARCA: ",BDEGENER[[#This Row],[MARCA]],"
 MODELO: ",BDEGENER[[#This Row],[MODELO]])</f>
        <v>MARCA: CUMMINS
 MODELO: EDC-3051</v>
      </c>
      <c r="AS287" s="683" t="str">
        <f>CONCATENATE("MARCA: ",BDEGENER[[#This Row],[MARCA DE MOTOR]],"
SERIE: ",BDEGENER[[#This Row],[SERIE DE MOTOR]])</f>
        <v>MARCA: CUMMINS
SERIE: 87363974</v>
      </c>
      <c r="AT287" s="683" t="str">
        <f>CONCATENATE("MARCA: ",BDEGENER[[#This Row],[MARCA ALTERNADOR ]],"
SERIE: ",BDEGENER[[#This Row],[SERIE DE ALTERNADOR]])</f>
        <v>MARCA: LEROY SOMER
SERIE: 44699001</v>
      </c>
      <c r="AU287" s="683" t="str">
        <f>CONCATENATE("HORAS: ",BDEGENER[[#This Row],[HORAS]],"
KW-HR: ",BDEGENER[[#This Row],[KW-HORA]],"
VOLT.BATERIA: ",BDEGENER[[#This Row],[VOLTAJE DE BATERIA]],"
TEMPERATURA: ",BDEGENER[[#This Row],[TEMPERATURA DE AGUA]],"
PRES. ACEITE: ",BDEGENER[[#This Row],[PRESION DE ACEITE]])</f>
        <v xml:space="preserve">HORAS: 1648,59
KW-HR: 
VOLT.BATERIA: 
TEMPERATURA: 
PRES. ACEITE: </v>
      </c>
      <c r="AV287" s="683">
        <f>COUNTIFS(Q287:Q2287,"MANTENIMIENTO CORRECTIVO",Y287:Y2287,BDEGENER[[#This Row],[SERIE]])</f>
        <v>0</v>
      </c>
      <c r="AW287" s="683">
        <f>COUNTIFS(Q287:Q2287,"MANTENIMIENTO PREVENTIVO",Y287:Y2287,BDEGENER[[#This Row],[SERIE]])</f>
        <v>1</v>
      </c>
      <c r="AX28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287" s="683">
        <f>COUNTIFS(BDEGENER[SERIE],BDEGENER[[#This Row],[SERIE]],BDEGENER[TIPO DE SERVICIO],"MANTENIMIENTO PREVENTIVO")</f>
        <v>1</v>
      </c>
      <c r="AZ287" s="683" t="str">
        <f>CONCATENATE("MANTENIMIENTO PREVENTIVO N°",BDEGENER[[#This Row],[GA1]])</f>
        <v>MANTENIMIENTO PREVENTIVO N°1</v>
      </c>
      <c r="BA287" s="683" t="str">
        <f>IF(BDEGENER[[#This Row],[SERVICIO]]=BDEGENER[[#This Row],[GA2]],BDEGENER[[#This Row],[HORAS]],"0")</f>
        <v>0</v>
      </c>
      <c r="BB287" s="683">
        <f>SUMIF(BDEGENER[SERIE],BDEGENER[[#This Row],[SERIE]],BDEGENER[GA3])</f>
        <v>1525.14</v>
      </c>
      <c r="BC287" s="683" t="str">
        <f>CONCATENATE("MANT",COUNTIF($Y$7:Y287,Y287))</f>
        <v>MANT1</v>
      </c>
      <c r="BD287" s="683" t="str">
        <f>CONCATENATE(BDEGENER[[#This Row],[SERIE]],BDEGENER[[#This Row],[GA5]])</f>
        <v>C3020121001-SMANT1</v>
      </c>
      <c r="BE287" s="683" t="str">
        <f>CONCATENATE(BDEGENER[[#This Row],[CODIGO PATRIMONIAL]],BDEGENER[[#This Row],[GA5]])</f>
        <v>MANT1</v>
      </c>
      <c r="BF287" s="683">
        <f>COUNTIF(BDEGENER[SERIE],BDEGENER[[#This Row],[SERIE]])</f>
        <v>2</v>
      </c>
      <c r="BG287" s="683" t="str">
        <f>CONCATENATE("F",COUNTIF($K$7:K287,K287))</f>
        <v>F9</v>
      </c>
      <c r="BH287" s="683" t="str">
        <f>CONCATENATE(BDEGENER[[#This Row],[FECHA DE SERVICIO]],BDEGENER[[#This Row],[N° DE REGISTROS DEL DIA]])</f>
        <v>44055F9</v>
      </c>
      <c r="BI287" s="684"/>
      <c r="BJ287" s="683" t="s">
        <v>1545</v>
      </c>
      <c r="BK287" s="762"/>
    </row>
    <row r="288" spans="2:63" ht="69" hidden="1" x14ac:dyDescent="0.3">
      <c r="B288" s="2"/>
      <c r="C288" s="2"/>
      <c r="D288" s="2"/>
      <c r="E288" s="2"/>
      <c r="F288" s="2"/>
      <c r="G288" s="2"/>
      <c r="H288" s="2"/>
      <c r="I288" s="2"/>
      <c r="J288" s="685"/>
      <c r="K288" s="682">
        <v>44054</v>
      </c>
      <c r="L288" s="683" t="s">
        <v>561</v>
      </c>
      <c r="M288" s="683" t="s">
        <v>562</v>
      </c>
      <c r="N288" s="683" t="s">
        <v>566</v>
      </c>
      <c r="O288" s="683"/>
      <c r="P288" s="688" t="s">
        <v>2885</v>
      </c>
      <c r="Q288" s="683" t="s">
        <v>37</v>
      </c>
      <c r="R288" s="683" t="s">
        <v>1782</v>
      </c>
      <c r="S288" s="686" t="s">
        <v>2886</v>
      </c>
      <c r="T288" s="683" t="s">
        <v>2870</v>
      </c>
      <c r="U288" s="683" t="s">
        <v>2887</v>
      </c>
      <c r="V288" s="683" t="s">
        <v>147</v>
      </c>
      <c r="W288" s="683" t="s">
        <v>913</v>
      </c>
      <c r="X288" s="691" t="s">
        <v>918</v>
      </c>
      <c r="Y288" s="687">
        <v>3004370193</v>
      </c>
      <c r="Z288" s="692" t="s">
        <v>2599</v>
      </c>
      <c r="AA288" s="683" t="s">
        <v>33</v>
      </c>
      <c r="AB288" s="683" t="s">
        <v>217</v>
      </c>
      <c r="AC288" s="683" t="s">
        <v>749</v>
      </c>
      <c r="AD288" s="683" t="s">
        <v>1123</v>
      </c>
      <c r="AE288" s="683">
        <v>60</v>
      </c>
      <c r="AF288" s="684">
        <v>3236.3</v>
      </c>
      <c r="AG288" s="683" t="s">
        <v>243</v>
      </c>
      <c r="AH288" s="683" t="s">
        <v>1803</v>
      </c>
      <c r="AI288" s="683" t="s">
        <v>2553</v>
      </c>
      <c r="AJ288" s="683"/>
      <c r="AK288" s="683" t="s">
        <v>33</v>
      </c>
      <c r="AL288" s="683"/>
      <c r="AM288" s="683" t="s">
        <v>1094</v>
      </c>
      <c r="AN288" s="683"/>
      <c r="AO288" s="683"/>
      <c r="AP288" s="683" t="s">
        <v>240</v>
      </c>
      <c r="AQ288" s="688" t="str">
        <f>CONCATENATE("REG-",BDEGENER[[#This Row],[FECHA DE SERVICIO]],"-",BDEGENER[[#This Row],[SERIE]],"-",BDEGENER[[#This Row],[HORAS]])</f>
        <v>REG-44054-3004370193-3236,3</v>
      </c>
      <c r="AR288" s="683" t="str">
        <f>CONCATENATE("MARCA: ",BDEGENER[[#This Row],[MARCA]],"
 MODELO: ",BDEGENER[[#This Row],[MODELO]])</f>
        <v>MARCA: GENERAC
 MODELO: RG022</v>
      </c>
      <c r="AS288" s="683" t="str">
        <f>CONCATENATE("MARCA: ",BDEGENER[[#This Row],[MARCA DE MOTOR]],"
SERIE: ",BDEGENER[[#This Row],[SERIE DE MOTOR]])</f>
        <v xml:space="preserve">MARCA: MITSUBISHI
SERIE: </v>
      </c>
      <c r="AT288" s="683" t="str">
        <f>CONCATENATE("MARCA: ",BDEGENER[[#This Row],[MARCA ALTERNADOR ]],"
SERIE: ",BDEGENER[[#This Row],[SERIE DE ALTERNADOR]])</f>
        <v xml:space="preserve">MARCA: GENERAC
SERIE: </v>
      </c>
      <c r="AU288" s="683" t="str">
        <f>CONCATENATE("HORAS: ",BDEGENER[[#This Row],[HORAS]],"
KW-HR: ",BDEGENER[[#This Row],[KW-HORA]],"
VOLT.BATERIA: ",BDEGENER[[#This Row],[VOLTAJE DE BATERIA]],"
TEMPERATURA: ",BDEGENER[[#This Row],[TEMPERATURA DE AGUA]],"
PRES. ACEITE: ",BDEGENER[[#This Row],[PRESION DE ACEITE]])</f>
        <v xml:space="preserve">HORAS: 3236,3
KW-HR: 
VOLT.BATERIA: 13.5 V
TEMPERATURA: 
PRES. ACEITE: </v>
      </c>
      <c r="AV288" s="683">
        <f>COUNTIFS(Q288:Q2288,"MANTENIMIENTO CORRECTIVO",Y288:Y2288,BDEGENER[[#This Row],[SERIE]])</f>
        <v>2</v>
      </c>
      <c r="AW288" s="683">
        <f>COUNTIFS(Q288:Q2288,"MANTENIMIENTO PREVENTIVO",Y288:Y2288,BDEGENER[[#This Row],[SERIE]])</f>
        <v>8</v>
      </c>
      <c r="AX28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288" s="683">
        <f>COUNTIFS(BDEGENER[SERIE],BDEGENER[[#This Row],[SERIE]],BDEGENER[TIPO DE SERVICIO],"MANTENIMIENTO PREVENTIVO")</f>
        <v>9</v>
      </c>
      <c r="AZ288" s="683" t="str">
        <f>CONCATENATE("MANTENIMIENTO PREVENTIVO N°",BDEGENER[[#This Row],[GA1]])</f>
        <v>MANTENIMIENTO PREVENTIVO N°9</v>
      </c>
      <c r="BA288" s="683" t="str">
        <f>IF(BDEGENER[[#This Row],[SERVICIO]]=BDEGENER[[#This Row],[GA2]],BDEGENER[[#This Row],[HORAS]],"0")</f>
        <v>0</v>
      </c>
      <c r="BB288" s="683">
        <f>SUMIF(BDEGENER[SERIE],BDEGENER[[#This Row],[SERIE]],BDEGENER[GA3])</f>
        <v>3580.3</v>
      </c>
      <c r="BC288" s="683" t="str">
        <f>CONCATENATE("MANT",COUNTIF($Y$7:Y288,Y288))</f>
        <v>MANT5</v>
      </c>
      <c r="BD288" s="683" t="str">
        <f>CONCATENATE(BDEGENER[[#This Row],[SERIE]],BDEGENER[[#This Row],[GA5]])</f>
        <v>3004370193MANT5</v>
      </c>
      <c r="BE288" s="683" t="str">
        <f>CONCATENATE(BDEGENER[[#This Row],[CODIGO PATRIMONIAL]],BDEGENER[[#This Row],[GA5]])</f>
        <v>SUR-GEG-0003MANT5</v>
      </c>
      <c r="BF288" s="683">
        <f>COUNTIF(BDEGENER[SERIE],BDEGENER[[#This Row],[SERIE]])</f>
        <v>16</v>
      </c>
      <c r="BG288" s="683" t="str">
        <f>CONCATENATE("F",COUNTIF($K$7:K288,K288))</f>
        <v>F1</v>
      </c>
      <c r="BH288" s="683" t="str">
        <f>CONCATENATE(BDEGENER[[#This Row],[FECHA DE SERVICIO]],BDEGENER[[#This Row],[N° DE REGISTROS DEL DIA]])</f>
        <v>44054F1</v>
      </c>
      <c r="BI288" s="684"/>
      <c r="BJ288" s="683" t="s">
        <v>1544</v>
      </c>
      <c r="BK288" s="762"/>
    </row>
    <row r="289" spans="2:63" ht="69" hidden="1" x14ac:dyDescent="0.3">
      <c r="B289" s="2"/>
      <c r="C289" s="2"/>
      <c r="D289" s="2"/>
      <c r="E289" s="2"/>
      <c r="F289" s="2"/>
      <c r="G289" s="2"/>
      <c r="H289" s="2"/>
      <c r="I289" s="2"/>
      <c r="J289" s="685"/>
      <c r="K289" s="682">
        <v>44054</v>
      </c>
      <c r="L289" s="683" t="s">
        <v>561</v>
      </c>
      <c r="M289" s="683" t="s">
        <v>2890</v>
      </c>
      <c r="N289" s="683" t="s">
        <v>3093</v>
      </c>
      <c r="O289" s="683"/>
      <c r="P289" s="688" t="s">
        <v>2891</v>
      </c>
      <c r="Q289" s="683" t="s">
        <v>37</v>
      </c>
      <c r="R289" s="683" t="s">
        <v>1782</v>
      </c>
      <c r="S289" s="686" t="s">
        <v>2892</v>
      </c>
      <c r="T289" s="683" t="s">
        <v>2893</v>
      </c>
      <c r="U289" s="683" t="s">
        <v>2484</v>
      </c>
      <c r="V289" s="683" t="s">
        <v>147</v>
      </c>
      <c r="W289" s="683" t="s">
        <v>913</v>
      </c>
      <c r="X289" s="691" t="s">
        <v>918</v>
      </c>
      <c r="Y289" s="687">
        <v>3003415532</v>
      </c>
      <c r="Z289" s="692" t="s">
        <v>2606</v>
      </c>
      <c r="AA289" s="683" t="s">
        <v>33</v>
      </c>
      <c r="AB289" s="683" t="s">
        <v>217</v>
      </c>
      <c r="AC289" s="683" t="s">
        <v>749</v>
      </c>
      <c r="AD289" s="683" t="s">
        <v>1123</v>
      </c>
      <c r="AE289" s="683">
        <v>60</v>
      </c>
      <c r="AF289" s="684">
        <v>4522.8999999999996</v>
      </c>
      <c r="AG289" s="683" t="s">
        <v>243</v>
      </c>
      <c r="AH289" s="683" t="s">
        <v>1803</v>
      </c>
      <c r="AI289" s="683" t="s">
        <v>2553</v>
      </c>
      <c r="AJ289" s="683"/>
      <c r="AK289" s="683" t="s">
        <v>33</v>
      </c>
      <c r="AL289" s="683"/>
      <c r="AM289" s="683" t="s">
        <v>1094</v>
      </c>
      <c r="AN289" s="683"/>
      <c r="AO289" s="683"/>
      <c r="AP289" s="683" t="s">
        <v>240</v>
      </c>
      <c r="AQ289" s="688" t="str">
        <f>CONCATENATE("REG-",BDEGENER[[#This Row],[FECHA DE SERVICIO]],"-",BDEGENER[[#This Row],[SERIE]],"-",BDEGENER[[#This Row],[HORAS]])</f>
        <v>REG-44054-3003415532-4522,9</v>
      </c>
      <c r="AR289" s="683" t="str">
        <f>CONCATENATE("MARCA: ",BDEGENER[[#This Row],[MARCA]],"
 MODELO: ",BDEGENER[[#This Row],[MODELO]])</f>
        <v>MARCA: GENERAC
 MODELO: RG022</v>
      </c>
      <c r="AS289" s="683" t="str">
        <f>CONCATENATE("MARCA: ",BDEGENER[[#This Row],[MARCA DE MOTOR]],"
SERIE: ",BDEGENER[[#This Row],[SERIE DE MOTOR]])</f>
        <v xml:space="preserve">MARCA: MITSUBISHI
SERIE: </v>
      </c>
      <c r="AT289" s="683" t="str">
        <f>CONCATENATE("MARCA: ",BDEGENER[[#This Row],[MARCA ALTERNADOR ]],"
SERIE: ",BDEGENER[[#This Row],[SERIE DE ALTERNADOR]])</f>
        <v xml:space="preserve">MARCA: GENERAC
SERIE: </v>
      </c>
      <c r="AU289" s="683" t="str">
        <f>CONCATENATE("HORAS: ",BDEGENER[[#This Row],[HORAS]],"
KW-HR: ",BDEGENER[[#This Row],[KW-HORA]],"
VOLT.BATERIA: ",BDEGENER[[#This Row],[VOLTAJE DE BATERIA]],"
TEMPERATURA: ",BDEGENER[[#This Row],[TEMPERATURA DE AGUA]],"
PRES. ACEITE: ",BDEGENER[[#This Row],[PRESION DE ACEITE]])</f>
        <v xml:space="preserve">HORAS: 4522,9
KW-HR: 
VOLT.BATERIA: 13.5 V
TEMPERATURA: 
PRES. ACEITE: </v>
      </c>
      <c r="AV289" s="761">
        <f>COUNTIFS(Q289:Q2289,"MANTENIMIENTO CORRECTIVO",Y289:Y2289,BDEGENER[[#This Row],[SERIE]])</f>
        <v>0</v>
      </c>
      <c r="AW289" s="761">
        <f>COUNTIFS(Q289:Q2289,"MANTENIMIENTO PREVENTIVO",Y289:Y2289,BDEGENER[[#This Row],[SERIE]])</f>
        <v>9</v>
      </c>
      <c r="AX28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N°9</v>
      </c>
      <c r="AY289" s="683">
        <f>COUNTIFS(BDEGENER[SERIE],BDEGENER[[#This Row],[SERIE]],BDEGENER[TIPO DE SERVICIO],"MANTENIMIENTO PREVENTIVO")</f>
        <v>14</v>
      </c>
      <c r="AZ289" s="683" t="str">
        <f>CONCATENATE("MANTENIMIENTO PREVENTIVO N°",BDEGENER[[#This Row],[GA1]])</f>
        <v>MANTENIMIENTO PREVENTIVO N°14</v>
      </c>
      <c r="BA289" s="683" t="str">
        <f>IF(BDEGENER[[#This Row],[SERVICIO]]=BDEGENER[[#This Row],[GA2]],BDEGENER[[#This Row],[HORAS]],"0")</f>
        <v>0</v>
      </c>
      <c r="BB289" s="683">
        <f>SUMIF(BDEGENER[SERIE],BDEGENER[[#This Row],[SERIE]],BDEGENER[GA3])</f>
        <v>5730.6</v>
      </c>
      <c r="BC289" s="761" t="str">
        <f>CONCATENATE("MANT",COUNTIF($Y$7:Y289,Y289))</f>
        <v>MANT6</v>
      </c>
      <c r="BD289" s="683" t="str">
        <f>CONCATENATE(BDEGENER[[#This Row],[SERIE]],BDEGENER[[#This Row],[GA5]])</f>
        <v>3003415532MANT6</v>
      </c>
      <c r="BE289" s="683" t="str">
        <f>CONCATENATE(BDEGENER[[#This Row],[CODIGO PATRIMONIAL]],BDEGENER[[#This Row],[GA5]])</f>
        <v>SUR-GEG-0010MANT6</v>
      </c>
      <c r="BF289" s="683">
        <f>COUNTIF(BDEGENER[SERIE],BDEGENER[[#This Row],[SERIE]])</f>
        <v>14</v>
      </c>
      <c r="BG289" s="761" t="str">
        <f>CONCATENATE("F",COUNTIF($K$7:K289,K289))</f>
        <v>F2</v>
      </c>
      <c r="BH289" s="683" t="str">
        <f>CONCATENATE(BDEGENER[[#This Row],[FECHA DE SERVICIO]],BDEGENER[[#This Row],[N° DE REGISTROS DEL DIA]])</f>
        <v>44054F2</v>
      </c>
      <c r="BI289" s="684"/>
      <c r="BJ289" s="683" t="s">
        <v>1544</v>
      </c>
      <c r="BK289" s="762"/>
    </row>
    <row r="290" spans="2:63" ht="69" hidden="1" x14ac:dyDescent="0.3">
      <c r="B290" s="2"/>
      <c r="C290" s="2"/>
      <c r="D290" s="2"/>
      <c r="E290" s="2"/>
      <c r="F290" s="2"/>
      <c r="G290" s="2"/>
      <c r="H290" s="2"/>
      <c r="I290" s="2"/>
      <c r="J290" s="685"/>
      <c r="K290" s="682">
        <v>44054</v>
      </c>
      <c r="L290" s="683" t="s">
        <v>561</v>
      </c>
      <c r="M290" s="683" t="s">
        <v>565</v>
      </c>
      <c r="N290" s="683" t="s">
        <v>566</v>
      </c>
      <c r="O290" s="683"/>
      <c r="P290" s="688" t="s">
        <v>2888</v>
      </c>
      <c r="Q290" s="683" t="s">
        <v>37</v>
      </c>
      <c r="R290" s="683" t="s">
        <v>1782</v>
      </c>
      <c r="S290" s="686" t="s">
        <v>2889</v>
      </c>
      <c r="T290" s="683" t="s">
        <v>2870</v>
      </c>
      <c r="U290" s="683" t="s">
        <v>2484</v>
      </c>
      <c r="V290" s="683" t="s">
        <v>147</v>
      </c>
      <c r="W290" s="683" t="s">
        <v>913</v>
      </c>
      <c r="X290" s="691" t="s">
        <v>918</v>
      </c>
      <c r="Y290" s="687">
        <v>3003415540</v>
      </c>
      <c r="Z290" s="692" t="s">
        <v>2605</v>
      </c>
      <c r="AA290" s="683" t="s">
        <v>33</v>
      </c>
      <c r="AB290" s="683" t="s">
        <v>217</v>
      </c>
      <c r="AC290" s="683" t="s">
        <v>749</v>
      </c>
      <c r="AD290" s="683" t="s">
        <v>1123</v>
      </c>
      <c r="AE290" s="683">
        <v>60.1</v>
      </c>
      <c r="AF290" s="684">
        <v>4522.8999999999996</v>
      </c>
      <c r="AG290" s="683" t="s">
        <v>243</v>
      </c>
      <c r="AH290" s="683" t="s">
        <v>1803</v>
      </c>
      <c r="AI290" s="683" t="s">
        <v>2553</v>
      </c>
      <c r="AJ290" s="683"/>
      <c r="AK290" s="683" t="s">
        <v>33</v>
      </c>
      <c r="AL290" s="683"/>
      <c r="AM290" s="683" t="s">
        <v>1121</v>
      </c>
      <c r="AN290" s="683"/>
      <c r="AO290" s="683"/>
      <c r="AP290" s="683" t="s">
        <v>240</v>
      </c>
      <c r="AQ290" s="688" t="str">
        <f>CONCATENATE("REG-",BDEGENER[[#This Row],[FECHA DE SERVICIO]],"-",BDEGENER[[#This Row],[SERIE]],"-",BDEGENER[[#This Row],[HORAS]])</f>
        <v>REG-44054-3003415540-4522,9</v>
      </c>
      <c r="AR290" s="683" t="str">
        <f>CONCATENATE("MARCA: ",BDEGENER[[#This Row],[MARCA]],"
 MODELO: ",BDEGENER[[#This Row],[MODELO]])</f>
        <v>MARCA: GENERAC
 MODELO: RG022</v>
      </c>
      <c r="AS290" s="683" t="str">
        <f>CONCATENATE("MARCA: ",BDEGENER[[#This Row],[MARCA DE MOTOR]],"
SERIE: ",BDEGENER[[#This Row],[SERIE DE MOTOR]])</f>
        <v xml:space="preserve">MARCA: MITSUBISHI
SERIE: </v>
      </c>
      <c r="AT290" s="683" t="str">
        <f>CONCATENATE("MARCA: ",BDEGENER[[#This Row],[MARCA ALTERNADOR ]],"
SERIE: ",BDEGENER[[#This Row],[SERIE DE ALTERNADOR]])</f>
        <v xml:space="preserve">MARCA: GENERAC
SERIE: </v>
      </c>
      <c r="AU290" s="683" t="str">
        <f>CONCATENATE("HORAS: ",BDEGENER[[#This Row],[HORAS]],"
KW-HR: ",BDEGENER[[#This Row],[KW-HORA]],"
VOLT.BATERIA: ",BDEGENER[[#This Row],[VOLTAJE DE BATERIA]],"
TEMPERATURA: ",BDEGENER[[#This Row],[TEMPERATURA DE AGUA]],"
PRES. ACEITE: ",BDEGENER[[#This Row],[PRESION DE ACEITE]])</f>
        <v xml:space="preserve">HORAS: 4522,9
KW-HR: 
VOLT.BATERIA: 13.7 V
TEMPERATURA: 
PRES. ACEITE: </v>
      </c>
      <c r="AV290" s="683">
        <f>COUNTIFS(Q290:Q2290,"MANTENIMIENTO CORRECTIVO",Y290:Y2290,BDEGENER[[#This Row],[SERIE]])</f>
        <v>0</v>
      </c>
      <c r="AW290" s="683">
        <f>COUNTIFS(Q290:Q2290,"MANTENIMIENTO PREVENTIVO",Y290:Y2290,BDEGENER[[#This Row],[SERIE]])</f>
        <v>6</v>
      </c>
      <c r="AX29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90" s="683">
        <f>COUNTIFS(BDEGENER[SERIE],BDEGENER[[#This Row],[SERIE]],BDEGENER[TIPO DE SERVICIO],"MANTENIMIENTO PREVENTIVO")</f>
        <v>6</v>
      </c>
      <c r="AZ290" s="683" t="str">
        <f>CONCATENATE("MANTENIMIENTO PREVENTIVO N°",BDEGENER[[#This Row],[GA1]])</f>
        <v>MANTENIMIENTO PREVENTIVO N°6</v>
      </c>
      <c r="BA290" s="683">
        <f>IF(BDEGENER[[#This Row],[SERVICIO]]=BDEGENER[[#This Row],[GA2]],BDEGENER[[#This Row],[HORAS]],"0")</f>
        <v>4522.8999999999996</v>
      </c>
      <c r="BB290" s="683">
        <f>SUMIF(BDEGENER[SERIE],BDEGENER[[#This Row],[SERIE]],BDEGENER[GA3])</f>
        <v>4522.8999999999996</v>
      </c>
      <c r="BC290" s="683" t="str">
        <f>CONCATENATE("MANT",COUNTIF($Y$7:Y290,Y290))</f>
        <v>MANT1</v>
      </c>
      <c r="BD290" s="683" t="str">
        <f>CONCATENATE(BDEGENER[[#This Row],[SERIE]],BDEGENER[[#This Row],[GA5]])</f>
        <v>3003415540MANT1</v>
      </c>
      <c r="BE290" s="683" t="str">
        <f>CONCATENATE(BDEGENER[[#This Row],[CODIGO PATRIMONIAL]],BDEGENER[[#This Row],[GA5]])</f>
        <v>SUR-GEG-0009MANT1</v>
      </c>
      <c r="BF290" s="683">
        <f>COUNTIF(BDEGENER[SERIE],BDEGENER[[#This Row],[SERIE]])</f>
        <v>6</v>
      </c>
      <c r="BG290" s="683" t="str">
        <f>CONCATENATE("F",COUNTIF($K$7:K290,K290))</f>
        <v>F3</v>
      </c>
      <c r="BH290" s="683" t="str">
        <f>CONCATENATE(BDEGENER[[#This Row],[FECHA DE SERVICIO]],BDEGENER[[#This Row],[N° DE REGISTROS DEL DIA]])</f>
        <v>44054F3</v>
      </c>
      <c r="BI290" s="684"/>
      <c r="BJ290" s="683" t="s">
        <v>1544</v>
      </c>
      <c r="BK290" s="762"/>
    </row>
    <row r="291" spans="2:63" ht="69" x14ac:dyDescent="0.3">
      <c r="B291" s="2"/>
      <c r="C291" s="2"/>
      <c r="D291" s="2"/>
      <c r="E291" s="2"/>
      <c r="F291" s="2"/>
      <c r="G291" s="2"/>
      <c r="H291" s="2"/>
      <c r="I291" s="2"/>
      <c r="J291" s="685"/>
      <c r="K291" s="682">
        <v>44053</v>
      </c>
      <c r="L291" s="683" t="s">
        <v>181</v>
      </c>
      <c r="M291" s="683" t="s">
        <v>186</v>
      </c>
      <c r="N291" s="683" t="s">
        <v>1982</v>
      </c>
      <c r="O291" s="683"/>
      <c r="P291" s="683"/>
      <c r="Q291" s="683" t="s">
        <v>108</v>
      </c>
      <c r="R291" s="683"/>
      <c r="S291" s="686" t="s">
        <v>3924</v>
      </c>
      <c r="T291" s="683" t="s">
        <v>3925</v>
      </c>
      <c r="U291" s="683"/>
      <c r="V291" s="683" t="s">
        <v>149</v>
      </c>
      <c r="W291" s="683" t="s">
        <v>914</v>
      </c>
      <c r="X291" s="691" t="s">
        <v>918</v>
      </c>
      <c r="Y291" s="687">
        <v>3004336198</v>
      </c>
      <c r="Z291" s="692"/>
      <c r="AA291" s="683" t="s">
        <v>33</v>
      </c>
      <c r="AB291" s="683" t="s">
        <v>34</v>
      </c>
      <c r="AC291" s="683" t="s">
        <v>230</v>
      </c>
      <c r="AD291" s="683" t="s">
        <v>1110</v>
      </c>
      <c r="AE291" s="683">
        <v>60</v>
      </c>
      <c r="AF291" s="684">
        <v>1922</v>
      </c>
      <c r="AG291" s="683" t="s">
        <v>243</v>
      </c>
      <c r="AH291" s="683" t="s">
        <v>220</v>
      </c>
      <c r="AI291" s="683" t="s">
        <v>33</v>
      </c>
      <c r="AJ291" s="683">
        <v>3004345803</v>
      </c>
      <c r="AK291" s="683" t="s">
        <v>33</v>
      </c>
      <c r="AL291" s="683"/>
      <c r="AM291" s="683"/>
      <c r="AN291" s="683"/>
      <c r="AO291" s="683"/>
      <c r="AP291" s="683" t="s">
        <v>240</v>
      </c>
      <c r="AQ291" s="688" t="str">
        <f>CONCATENATE("REG-",BDEGENER[[#This Row],[FECHA DE SERVICIO]],"-",BDEGENER[[#This Row],[SERIE]],"-",BDEGENER[[#This Row],[HORAS]])</f>
        <v>REG-44053-3004336198-1922</v>
      </c>
      <c r="AR291" s="683" t="str">
        <f>CONCATENATE("MARCA: ",BDEGENER[[#This Row],[MARCA]],"
 MODELO: ",BDEGENER[[#This Row],[MODELO]])</f>
        <v>MARCA: GENERAC
 MODELO: PG090</v>
      </c>
      <c r="AS291" s="683" t="str">
        <f>CONCATENATE("MARCA: ",BDEGENER[[#This Row],[MARCA DE MOTOR]],"
SERIE: ",BDEGENER[[#This Row],[SERIE DE MOTOR]])</f>
        <v>MARCA: GENERAC
SERIE: 3004345803</v>
      </c>
      <c r="AT291" s="683" t="str">
        <f>CONCATENATE("MARCA: ",BDEGENER[[#This Row],[MARCA ALTERNADOR ]],"
SERIE: ",BDEGENER[[#This Row],[SERIE DE ALTERNADOR]])</f>
        <v xml:space="preserve">MARCA: GENERAC
SERIE: </v>
      </c>
      <c r="AU291" s="683" t="str">
        <f>CONCATENATE("HORAS: ",BDEGENER[[#This Row],[HORAS]],"
KW-HR: ",BDEGENER[[#This Row],[KW-HORA]],"
VOLT.BATERIA: ",BDEGENER[[#This Row],[VOLTAJE DE BATERIA]],"
TEMPERATURA: ",BDEGENER[[#This Row],[TEMPERATURA DE AGUA]],"
PRES. ACEITE: ",BDEGENER[[#This Row],[PRESION DE ACEITE]])</f>
        <v xml:space="preserve">HORAS: 1922
KW-HR: 
VOLT.BATERIA: 
TEMPERATURA: 
PRES. ACEITE: </v>
      </c>
      <c r="AV291" s="683">
        <f>COUNTIFS(Q291:Q2291,"MANTENIMIENTO CORRECTIVO",Y291:Y2291,BDEGENER[[#This Row],[SERIE]])</f>
        <v>1</v>
      </c>
      <c r="AW291" s="683">
        <f>COUNTIFS(Q291:Q2291,"MANTENIMIENTO PREVENTIVO",Y291:Y2291,BDEGENER[[#This Row],[SERIE]])</f>
        <v>6</v>
      </c>
      <c r="AX29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291" s="683">
        <f>COUNTIFS(BDEGENER[SERIE],BDEGENER[[#This Row],[SERIE]],BDEGENER[TIPO DE SERVICIO],"MANTENIMIENTO PREVENTIVO")</f>
        <v>7</v>
      </c>
      <c r="AZ291" s="683" t="str">
        <f>CONCATENATE("MANTENIMIENTO PREVENTIVO N°",BDEGENER[[#This Row],[GA1]])</f>
        <v>MANTENIMIENTO PREVENTIVO N°7</v>
      </c>
      <c r="BA291" s="683" t="str">
        <f>IF(BDEGENER[[#This Row],[SERVICIO]]=BDEGENER[[#This Row],[GA2]],BDEGENER[[#This Row],[HORAS]],"0")</f>
        <v>0</v>
      </c>
      <c r="BB291" s="683">
        <f>SUMIF(BDEGENER[SERIE],BDEGENER[[#This Row],[SERIE]],BDEGENER[GA3])</f>
        <v>2049.3000000000002</v>
      </c>
      <c r="BC291" s="683" t="str">
        <f>CONCATENATE("MANT",COUNTIF($Y$7:Y291,Y291))</f>
        <v>MANT4</v>
      </c>
      <c r="BD291" s="683" t="str">
        <f>CONCATENATE(BDEGENER[[#This Row],[SERIE]],BDEGENER[[#This Row],[GA5]])</f>
        <v>3004336198MANT4</v>
      </c>
      <c r="BE291" s="683" t="str">
        <f>CONCATENATE(BDEGENER[[#This Row],[CODIGO PATRIMONIAL]],BDEGENER[[#This Row],[GA5]])</f>
        <v>MANT4</v>
      </c>
      <c r="BF291" s="683">
        <f>COUNTIF(BDEGENER[SERIE],BDEGENER[[#This Row],[SERIE]])</f>
        <v>12</v>
      </c>
      <c r="BG291" s="683" t="str">
        <f>CONCATENATE("F",COUNTIF($K$7:K291,K291))</f>
        <v>F1</v>
      </c>
      <c r="BH291" s="683" t="str">
        <f>CONCATENATE(BDEGENER[[#This Row],[FECHA DE SERVICIO]],BDEGENER[[#This Row],[N° DE REGISTROS DEL DIA]])</f>
        <v>44053F1</v>
      </c>
      <c r="BI291" s="684"/>
      <c r="BJ291" s="683" t="s">
        <v>1544</v>
      </c>
      <c r="BK291" s="762"/>
    </row>
    <row r="292" spans="2:63" ht="69" hidden="1" x14ac:dyDescent="0.3">
      <c r="B292" s="2"/>
      <c r="C292" s="2"/>
      <c r="D292" s="2"/>
      <c r="E292" s="2"/>
      <c r="F292" s="2"/>
      <c r="G292" s="2"/>
      <c r="H292" s="2"/>
      <c r="I292" s="2"/>
      <c r="J292" s="685"/>
      <c r="K292" s="682">
        <v>44053</v>
      </c>
      <c r="L292" s="683" t="s">
        <v>561</v>
      </c>
      <c r="M292" s="683" t="s">
        <v>2439</v>
      </c>
      <c r="N292" s="683" t="s">
        <v>564</v>
      </c>
      <c r="O292" s="683"/>
      <c r="P292" s="688" t="s">
        <v>3208</v>
      </c>
      <c r="Q292" s="683" t="s">
        <v>37</v>
      </c>
      <c r="R292" s="683" t="s">
        <v>1782</v>
      </c>
      <c r="S292" s="686" t="s">
        <v>3209</v>
      </c>
      <c r="T292" s="683" t="s">
        <v>2521</v>
      </c>
      <c r="U292" s="683" t="s">
        <v>3210</v>
      </c>
      <c r="V292" s="683" t="s">
        <v>149</v>
      </c>
      <c r="W292" s="683" t="s">
        <v>914</v>
      </c>
      <c r="X292" s="691" t="s">
        <v>918</v>
      </c>
      <c r="Y292" s="687">
        <v>3003963149</v>
      </c>
      <c r="Z292" s="692" t="s">
        <v>2603</v>
      </c>
      <c r="AA292" s="683" t="s">
        <v>33</v>
      </c>
      <c r="AB292" s="683" t="s">
        <v>34</v>
      </c>
      <c r="AC292" s="683" t="s">
        <v>230</v>
      </c>
      <c r="AD292" s="683" t="s">
        <v>1123</v>
      </c>
      <c r="AE292" s="683">
        <v>60.1</v>
      </c>
      <c r="AF292" s="684">
        <v>3959.4</v>
      </c>
      <c r="AG292" s="683" t="s">
        <v>243</v>
      </c>
      <c r="AH292" s="683" t="s">
        <v>220</v>
      </c>
      <c r="AI292" s="683" t="s">
        <v>33</v>
      </c>
      <c r="AJ292" s="683">
        <v>3003945260</v>
      </c>
      <c r="AK292" s="683" t="s">
        <v>33</v>
      </c>
      <c r="AL292" s="683"/>
      <c r="AM292" s="683" t="s">
        <v>1121</v>
      </c>
      <c r="AN292" s="683" t="s">
        <v>1353</v>
      </c>
      <c r="AO292" s="683" t="s">
        <v>1354</v>
      </c>
      <c r="AP292" s="683" t="s">
        <v>240</v>
      </c>
      <c r="AQ292" s="688" t="str">
        <f>CONCATENATE("REG-",BDEGENER[[#This Row],[FECHA DE SERVICIO]],"-",BDEGENER[[#This Row],[SERIE]],"-",BDEGENER[[#This Row],[HORAS]])</f>
        <v>REG-44053-3003963149-3959,4</v>
      </c>
      <c r="AR292" s="683" t="str">
        <f>CONCATENATE("MARCA: ",BDEGENER[[#This Row],[MARCA]],"
 MODELO: ",BDEGENER[[#This Row],[MODELO]])</f>
        <v>MARCA: GENERAC
 MODELO: PG090</v>
      </c>
      <c r="AS292" s="683" t="str">
        <f>CONCATENATE("MARCA: ",BDEGENER[[#This Row],[MARCA DE MOTOR]],"
SERIE: ",BDEGENER[[#This Row],[SERIE DE MOTOR]])</f>
        <v>MARCA: GENERAC
SERIE: 3003945260</v>
      </c>
      <c r="AT292" s="683" t="str">
        <f>CONCATENATE("MARCA: ",BDEGENER[[#This Row],[MARCA ALTERNADOR ]],"
SERIE: ",BDEGENER[[#This Row],[SERIE DE ALTERNADOR]])</f>
        <v xml:space="preserve">MARCA: GENERAC
SERIE: </v>
      </c>
      <c r="AU292" s="683" t="str">
        <f>CONCATENATE("HORAS: ",BDEGENER[[#This Row],[HORAS]],"
KW-HR: ",BDEGENER[[#This Row],[KW-HORA]],"
VOLT.BATERIA: ",BDEGENER[[#This Row],[VOLTAJE DE BATERIA]],"
TEMPERATURA: ",BDEGENER[[#This Row],[TEMPERATURA DE AGUA]],"
PRES. ACEITE: ",BDEGENER[[#This Row],[PRESION DE ACEITE]])</f>
        <v>HORAS: 3959,4
KW-HR: 164700,6
VOLT.BATERIA: 13.7 V
TEMPERATURA: 174 °F
PRES. ACEITE: 63 PSI</v>
      </c>
      <c r="AV292" s="761">
        <f>COUNTIFS(Q292:Q2292,"MANTENIMIENTO CORRECTIVO",Y292:Y2292,BDEGENER[[#This Row],[SERIE]])</f>
        <v>3</v>
      </c>
      <c r="AW292" s="761">
        <f>COUNTIFS(Q292:Q2292,"MANTENIMIENTO PREVENTIVO",Y292:Y2292,BDEGENER[[#This Row],[SERIE]])</f>
        <v>6</v>
      </c>
      <c r="AX29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92" s="683">
        <f>COUNTIFS(BDEGENER[SERIE],BDEGENER[[#This Row],[SERIE]],BDEGENER[TIPO DE SERVICIO],"MANTENIMIENTO PREVENTIVO")</f>
        <v>6</v>
      </c>
      <c r="AZ292" s="683" t="str">
        <f>CONCATENATE("MANTENIMIENTO PREVENTIVO N°",BDEGENER[[#This Row],[GA1]])</f>
        <v>MANTENIMIENTO PREVENTIVO N°6</v>
      </c>
      <c r="BA292" s="683">
        <f>IF(BDEGENER[[#This Row],[SERVICIO]]=BDEGENER[[#This Row],[GA2]],BDEGENER[[#This Row],[HORAS]],"0")</f>
        <v>3959.4</v>
      </c>
      <c r="BB292" s="683">
        <f>SUMIF(BDEGENER[SERIE],BDEGENER[[#This Row],[SERIE]],BDEGENER[GA3])</f>
        <v>3959.4</v>
      </c>
      <c r="BC292" s="761" t="str">
        <f>CONCATENATE("MANT",COUNTIF($Y$7:Y292,Y292))</f>
        <v>MANT1</v>
      </c>
      <c r="BD292" s="683" t="str">
        <f>CONCATENATE(BDEGENER[[#This Row],[SERIE]],BDEGENER[[#This Row],[GA5]])</f>
        <v>3003963149MANT1</v>
      </c>
      <c r="BE292" s="683" t="str">
        <f>CONCATENATE(BDEGENER[[#This Row],[CODIGO PATRIMONIAL]],BDEGENER[[#This Row],[GA5]])</f>
        <v>SUR-GEG-0007MANT1</v>
      </c>
      <c r="BF292" s="683">
        <f>COUNTIF(BDEGENER[SERIE],BDEGENER[[#This Row],[SERIE]])</f>
        <v>12</v>
      </c>
      <c r="BG292" s="761" t="str">
        <f>CONCATENATE("F",COUNTIF($K$7:K292,K292))</f>
        <v>F2</v>
      </c>
      <c r="BH292" s="683" t="str">
        <f>CONCATENATE(BDEGENER[[#This Row],[FECHA DE SERVICIO]],BDEGENER[[#This Row],[N° DE REGISTROS DEL DIA]])</f>
        <v>44053F2</v>
      </c>
      <c r="BI292" s="684">
        <v>164700.6</v>
      </c>
      <c r="BJ292" s="683" t="s">
        <v>1544</v>
      </c>
      <c r="BK292" s="762"/>
    </row>
    <row r="293" spans="2:63" ht="69" hidden="1" x14ac:dyDescent="0.3">
      <c r="B293" s="2"/>
      <c r="C293" s="2"/>
      <c r="D293" s="2"/>
      <c r="E293" s="2"/>
      <c r="F293" s="2"/>
      <c r="G293" s="2"/>
      <c r="H293" s="2"/>
      <c r="I293" s="2"/>
      <c r="J293" s="685"/>
      <c r="K293" s="682">
        <v>44053</v>
      </c>
      <c r="L293" s="683" t="s">
        <v>561</v>
      </c>
      <c r="M293" s="683" t="s">
        <v>582</v>
      </c>
      <c r="N293" s="683" t="s">
        <v>578</v>
      </c>
      <c r="O293" s="683"/>
      <c r="P293" s="688" t="s">
        <v>3204</v>
      </c>
      <c r="Q293" s="683" t="s">
        <v>107</v>
      </c>
      <c r="R293" s="683" t="s">
        <v>1782</v>
      </c>
      <c r="S293" s="686" t="s">
        <v>3206</v>
      </c>
      <c r="T293" s="683" t="s">
        <v>3207</v>
      </c>
      <c r="U293" s="683" t="s">
        <v>3205</v>
      </c>
      <c r="V293" s="683" t="s">
        <v>149</v>
      </c>
      <c r="W293" s="683" t="s">
        <v>913</v>
      </c>
      <c r="X293" s="691" t="s">
        <v>918</v>
      </c>
      <c r="Y293" s="687">
        <v>3003415544</v>
      </c>
      <c r="Z293" s="692" t="s">
        <v>2601</v>
      </c>
      <c r="AA293" s="683" t="s">
        <v>33</v>
      </c>
      <c r="AB293" s="683" t="s">
        <v>217</v>
      </c>
      <c r="AC293" s="683" t="s">
        <v>749</v>
      </c>
      <c r="AD293" s="683" t="s">
        <v>2931</v>
      </c>
      <c r="AE293" s="683">
        <v>60</v>
      </c>
      <c r="AF293" s="684">
        <v>4962.7</v>
      </c>
      <c r="AG293" s="683" t="s">
        <v>243</v>
      </c>
      <c r="AH293" s="683" t="s">
        <v>1803</v>
      </c>
      <c r="AI293" s="683" t="s">
        <v>2553</v>
      </c>
      <c r="AJ293" s="683"/>
      <c r="AK293" s="683" t="s">
        <v>33</v>
      </c>
      <c r="AL293" s="683"/>
      <c r="AM293" s="683" t="s">
        <v>1094</v>
      </c>
      <c r="AN293" s="683"/>
      <c r="AO293" s="683"/>
      <c r="AP293" s="683" t="s">
        <v>240</v>
      </c>
      <c r="AQ293" s="688" t="str">
        <f>CONCATENATE("REG-",BDEGENER[[#This Row],[FECHA DE SERVICIO]],"-",BDEGENER[[#This Row],[SERIE]],"-",BDEGENER[[#This Row],[HORAS]])</f>
        <v>REG-44053-3003415544-4962,7</v>
      </c>
      <c r="AR293" s="683" t="str">
        <f>CONCATENATE("MARCA: ",BDEGENER[[#This Row],[MARCA]],"
 MODELO: ",BDEGENER[[#This Row],[MODELO]])</f>
        <v>MARCA: GENERAC
 MODELO: RG022</v>
      </c>
      <c r="AS293" s="683" t="str">
        <f>CONCATENATE("MARCA: ",BDEGENER[[#This Row],[MARCA DE MOTOR]],"
SERIE: ",BDEGENER[[#This Row],[SERIE DE MOTOR]])</f>
        <v xml:space="preserve">MARCA: MITSUBISHI
SERIE: </v>
      </c>
      <c r="AT293" s="683" t="str">
        <f>CONCATENATE("MARCA: ",BDEGENER[[#This Row],[MARCA ALTERNADOR ]],"
SERIE: ",BDEGENER[[#This Row],[SERIE DE ALTERNADOR]])</f>
        <v xml:space="preserve">MARCA: GENERAC
SERIE: </v>
      </c>
      <c r="AU293" s="683" t="str">
        <f>CONCATENATE("HORAS: ",BDEGENER[[#This Row],[HORAS]],"
KW-HR: ",BDEGENER[[#This Row],[KW-HORA]],"
VOLT.BATERIA: ",BDEGENER[[#This Row],[VOLTAJE DE BATERIA]],"
TEMPERATURA: ",BDEGENER[[#This Row],[TEMPERATURA DE AGUA]],"
PRES. ACEITE: ",BDEGENER[[#This Row],[PRESION DE ACEITE]])</f>
        <v xml:space="preserve">HORAS: 4962,7
KW-HR: 
VOLT.BATERIA: 13.5 V
TEMPERATURA: 
PRES. ACEITE: </v>
      </c>
      <c r="AV293" s="683">
        <f>COUNTIFS(Q293:Q2293,"MANTENIMIENTO CORRECTIVO",Y293:Y2293,BDEGENER[[#This Row],[SERIE]])</f>
        <v>1</v>
      </c>
      <c r="AW293" s="683">
        <f>COUNTIFS(Q293:Q2293,"MANTENIMIENTO PREVENTIVO",Y293:Y2293,BDEGENER[[#This Row],[SERIE]])</f>
        <v>7</v>
      </c>
      <c r="AX29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293" s="683">
        <f>COUNTIFS(BDEGENER[SERIE],BDEGENER[[#This Row],[SERIE]],BDEGENER[TIPO DE SERVICIO],"MANTENIMIENTO PREVENTIVO")</f>
        <v>9</v>
      </c>
      <c r="AZ293" s="683" t="str">
        <f>CONCATENATE("MANTENIMIENTO PREVENTIVO N°",BDEGENER[[#This Row],[GA1]])</f>
        <v>MANTENIMIENTO PREVENTIVO N°9</v>
      </c>
      <c r="BA293" s="683" t="str">
        <f>IF(BDEGENER[[#This Row],[SERVICIO]]=BDEGENER[[#This Row],[GA2]],BDEGENER[[#This Row],[HORAS]],"0")</f>
        <v>0</v>
      </c>
      <c r="BB293" s="683">
        <f>SUMIF(BDEGENER[SERIE],BDEGENER[[#This Row],[SERIE]],BDEGENER[GA3])</f>
        <v>5449.4</v>
      </c>
      <c r="BC293" s="683" t="str">
        <f>CONCATENATE("MANT",COUNTIF($Y$7:Y293,Y293))</f>
        <v>MANT5</v>
      </c>
      <c r="BD293" s="683" t="str">
        <f>CONCATENATE(BDEGENER[[#This Row],[SERIE]],BDEGENER[[#This Row],[GA5]])</f>
        <v>3003415544MANT5</v>
      </c>
      <c r="BE293" s="683" t="str">
        <f>CONCATENATE(BDEGENER[[#This Row],[CODIGO PATRIMONIAL]],BDEGENER[[#This Row],[GA5]])</f>
        <v>SUR-GEG-0005MANT5</v>
      </c>
      <c r="BF293" s="683">
        <f>COUNTIF(BDEGENER[SERIE],BDEGENER[[#This Row],[SERIE]])</f>
        <v>13</v>
      </c>
      <c r="BG293" s="683" t="str">
        <f>CONCATENATE("F",COUNTIF($K$7:K293,K293))</f>
        <v>F3</v>
      </c>
      <c r="BH293" s="683" t="str">
        <f>CONCATENATE(BDEGENER[[#This Row],[FECHA DE SERVICIO]],BDEGENER[[#This Row],[N° DE REGISTROS DEL DIA]])</f>
        <v>44053F3</v>
      </c>
      <c r="BI293" s="684"/>
      <c r="BJ293" s="683" t="s">
        <v>1544</v>
      </c>
      <c r="BK293" s="762"/>
    </row>
    <row r="294" spans="2:63" ht="69" hidden="1" x14ac:dyDescent="0.3">
      <c r="B294" s="2"/>
      <c r="C294" s="2"/>
      <c r="D294" s="2"/>
      <c r="E294" s="2"/>
      <c r="F294" s="2"/>
      <c r="G294" s="2"/>
      <c r="H294" s="2"/>
      <c r="I294" s="2"/>
      <c r="J294" s="685"/>
      <c r="K294" s="682">
        <v>44053</v>
      </c>
      <c r="L294" s="683" t="s">
        <v>561</v>
      </c>
      <c r="M294" s="683" t="s">
        <v>577</v>
      </c>
      <c r="N294" s="683" t="s">
        <v>578</v>
      </c>
      <c r="O294" s="683"/>
      <c r="P294" s="688" t="s">
        <v>2936</v>
      </c>
      <c r="Q294" s="683" t="s">
        <v>37</v>
      </c>
      <c r="R294" s="683" t="s">
        <v>1782</v>
      </c>
      <c r="S294" s="686" t="s">
        <v>2937</v>
      </c>
      <c r="T294" s="683" t="s">
        <v>2938</v>
      </c>
      <c r="U294" s="683" t="s">
        <v>2939</v>
      </c>
      <c r="V294" s="683" t="s">
        <v>149</v>
      </c>
      <c r="W294" s="683" t="s">
        <v>913</v>
      </c>
      <c r="X294" s="691" t="s">
        <v>918</v>
      </c>
      <c r="Y294" s="687">
        <v>3003415536</v>
      </c>
      <c r="Z294" s="692" t="s">
        <v>2604</v>
      </c>
      <c r="AA294" s="683" t="s">
        <v>33</v>
      </c>
      <c r="AB294" s="683" t="s">
        <v>217</v>
      </c>
      <c r="AC294" s="683" t="s">
        <v>749</v>
      </c>
      <c r="AD294" s="683" t="s">
        <v>1123</v>
      </c>
      <c r="AE294" s="683">
        <v>60</v>
      </c>
      <c r="AF294" s="684">
        <v>4676.8999999999996</v>
      </c>
      <c r="AG294" s="683" t="s">
        <v>243</v>
      </c>
      <c r="AH294" s="683" t="s">
        <v>1803</v>
      </c>
      <c r="AI294" s="683" t="s">
        <v>2553</v>
      </c>
      <c r="AJ294" s="683"/>
      <c r="AK294" s="683" t="s">
        <v>33</v>
      </c>
      <c r="AL294" s="683"/>
      <c r="AM294" s="683" t="s">
        <v>1145</v>
      </c>
      <c r="AN294" s="683"/>
      <c r="AO294" s="683"/>
      <c r="AP294" s="683" t="s">
        <v>240</v>
      </c>
      <c r="AQ294" s="688" t="str">
        <f>CONCATENATE("REG-",BDEGENER[[#This Row],[FECHA DE SERVICIO]],"-",BDEGENER[[#This Row],[SERIE]],"-",BDEGENER[[#This Row],[HORAS]])</f>
        <v>REG-44053-3003415536-4676,9</v>
      </c>
      <c r="AR294" s="683" t="str">
        <f>CONCATENATE("MARCA: ",BDEGENER[[#This Row],[MARCA]],"
 MODELO: ",BDEGENER[[#This Row],[MODELO]])</f>
        <v>MARCA: GENERAC
 MODELO: RG022</v>
      </c>
      <c r="AS294" s="683" t="str">
        <f>CONCATENATE("MARCA: ",BDEGENER[[#This Row],[MARCA DE MOTOR]],"
SERIE: ",BDEGENER[[#This Row],[SERIE DE MOTOR]])</f>
        <v xml:space="preserve">MARCA: MITSUBISHI
SERIE: </v>
      </c>
      <c r="AT294" s="683" t="str">
        <f>CONCATENATE("MARCA: ",BDEGENER[[#This Row],[MARCA ALTERNADOR ]],"
SERIE: ",BDEGENER[[#This Row],[SERIE DE ALTERNADOR]])</f>
        <v xml:space="preserve">MARCA: GENERAC
SERIE: </v>
      </c>
      <c r="AU294" s="683" t="str">
        <f>CONCATENATE("HORAS: ",BDEGENER[[#This Row],[HORAS]],"
KW-HR: ",BDEGENER[[#This Row],[KW-HORA]],"
VOLT.BATERIA: ",BDEGENER[[#This Row],[VOLTAJE DE BATERIA]],"
TEMPERATURA: ",BDEGENER[[#This Row],[TEMPERATURA DE AGUA]],"
PRES. ACEITE: ",BDEGENER[[#This Row],[PRESION DE ACEITE]])</f>
        <v xml:space="preserve">HORAS: 4676,9
KW-HR: 
VOLT.BATERIA: 13.4 V
TEMPERATURA: 
PRES. ACEITE: </v>
      </c>
      <c r="AV294" s="683">
        <f>COUNTIFS(Q294:Q2294,"MANTENIMIENTO CORRECTIVO",Y294:Y2294,BDEGENER[[#This Row],[SERIE]])</f>
        <v>0</v>
      </c>
      <c r="AW294" s="683">
        <f>COUNTIFS(Q294:Q2294,"MANTENIMIENTO PREVENTIVO",Y294:Y2294,BDEGENER[[#This Row],[SERIE]])</f>
        <v>6</v>
      </c>
      <c r="AX29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94" s="683">
        <f>COUNTIFS(BDEGENER[SERIE],BDEGENER[[#This Row],[SERIE]],BDEGENER[TIPO DE SERVICIO],"MANTENIMIENTO PREVENTIVO")</f>
        <v>10</v>
      </c>
      <c r="AZ294" s="683" t="str">
        <f>CONCATENATE("MANTENIMIENTO PREVENTIVO N°",BDEGENER[[#This Row],[GA1]])</f>
        <v>MANTENIMIENTO PREVENTIVO N°10</v>
      </c>
      <c r="BA294" s="683" t="str">
        <f>IF(BDEGENER[[#This Row],[SERVICIO]]=BDEGENER[[#This Row],[GA2]],BDEGENER[[#This Row],[HORAS]],"0")</f>
        <v>0</v>
      </c>
      <c r="BB294" s="683">
        <f>SUMIF(BDEGENER[SERIE],BDEGENER[[#This Row],[SERIE]],BDEGENER[GA3])</f>
        <v>5559.8</v>
      </c>
      <c r="BC294" s="683" t="str">
        <f>CONCATENATE("MANT",COUNTIF($Y$7:Y294,Y294))</f>
        <v>MANT6</v>
      </c>
      <c r="BD294" s="683" t="str">
        <f>CONCATENATE(BDEGENER[[#This Row],[SERIE]],BDEGENER[[#This Row],[GA5]])</f>
        <v>3003415536MANT6</v>
      </c>
      <c r="BE294" s="683" t="str">
        <f>CONCATENATE(BDEGENER[[#This Row],[CODIGO PATRIMONIAL]],BDEGENER[[#This Row],[GA5]])</f>
        <v>SUR-GEG-0008MANT6</v>
      </c>
      <c r="BF294" s="683">
        <f>COUNTIF(BDEGENER[SERIE],BDEGENER[[#This Row],[SERIE]])</f>
        <v>12</v>
      </c>
      <c r="BG294" s="683" t="str">
        <f>CONCATENATE("F",COUNTIF($K$7:K294,K294))</f>
        <v>F4</v>
      </c>
      <c r="BH294" s="683" t="str">
        <f>CONCATENATE(BDEGENER[[#This Row],[FECHA DE SERVICIO]],BDEGENER[[#This Row],[N° DE REGISTROS DEL DIA]])</f>
        <v>44053F4</v>
      </c>
      <c r="BI294" s="684"/>
      <c r="BJ294" s="683" t="s">
        <v>1544</v>
      </c>
      <c r="BK294" s="762"/>
    </row>
    <row r="295" spans="2:63" ht="69" hidden="1" x14ac:dyDescent="0.3">
      <c r="B295" s="2"/>
      <c r="C295" s="2"/>
      <c r="D295" s="2"/>
      <c r="E295" s="2"/>
      <c r="F295" s="2"/>
      <c r="G295" s="2"/>
      <c r="H295" s="2"/>
      <c r="I295" s="2"/>
      <c r="J295" s="685"/>
      <c r="K295" s="682">
        <v>44053</v>
      </c>
      <c r="L295" s="683" t="s">
        <v>561</v>
      </c>
      <c r="M295" s="683" t="s">
        <v>583</v>
      </c>
      <c r="N295" s="683" t="s">
        <v>578</v>
      </c>
      <c r="O295" s="683"/>
      <c r="P295" s="688" t="s">
        <v>2927</v>
      </c>
      <c r="Q295" s="683" t="s">
        <v>107</v>
      </c>
      <c r="R295" s="683" t="s">
        <v>1782</v>
      </c>
      <c r="S295" s="686" t="s">
        <v>2928</v>
      </c>
      <c r="T295" s="683" t="s">
        <v>2929</v>
      </c>
      <c r="U295" s="683" t="s">
        <v>2930</v>
      </c>
      <c r="V295" s="683" t="s">
        <v>149</v>
      </c>
      <c r="W295" s="683" t="s">
        <v>913</v>
      </c>
      <c r="X295" s="691" t="s">
        <v>918</v>
      </c>
      <c r="Y295" s="687">
        <v>3003415539</v>
      </c>
      <c r="Z295" s="692" t="s">
        <v>2600</v>
      </c>
      <c r="AA295" s="683" t="s">
        <v>33</v>
      </c>
      <c r="AB295" s="683" t="s">
        <v>217</v>
      </c>
      <c r="AC295" s="683" t="s">
        <v>749</v>
      </c>
      <c r="AD295" s="683" t="s">
        <v>2931</v>
      </c>
      <c r="AE295" s="683">
        <v>60</v>
      </c>
      <c r="AF295" s="684">
        <v>5306.3</v>
      </c>
      <c r="AG295" s="683" t="s">
        <v>243</v>
      </c>
      <c r="AH295" s="683" t="s">
        <v>1803</v>
      </c>
      <c r="AI295" s="683" t="s">
        <v>2553</v>
      </c>
      <c r="AJ295" s="683"/>
      <c r="AK295" s="683" t="s">
        <v>33</v>
      </c>
      <c r="AL295" s="683"/>
      <c r="AM295" s="683" t="s">
        <v>245</v>
      </c>
      <c r="AN295" s="683"/>
      <c r="AO295" s="683"/>
      <c r="AP295" s="683" t="s">
        <v>240</v>
      </c>
      <c r="AQ295" s="688" t="str">
        <f>CONCATENATE("REG-",BDEGENER[[#This Row],[FECHA DE SERVICIO]],"-",BDEGENER[[#This Row],[SERIE]],"-",BDEGENER[[#This Row],[HORAS]])</f>
        <v>REG-44053-3003415539-5306,3</v>
      </c>
      <c r="AR295" s="683" t="str">
        <f>CONCATENATE("MARCA: ",BDEGENER[[#This Row],[MARCA]],"
 MODELO: ",BDEGENER[[#This Row],[MODELO]])</f>
        <v>MARCA: GENERAC
 MODELO: RG022</v>
      </c>
      <c r="AS295" s="683" t="str">
        <f>CONCATENATE("MARCA: ",BDEGENER[[#This Row],[MARCA DE MOTOR]],"
SERIE: ",BDEGENER[[#This Row],[SERIE DE MOTOR]])</f>
        <v xml:space="preserve">MARCA: MITSUBISHI
SERIE: </v>
      </c>
      <c r="AT295" s="683" t="str">
        <f>CONCATENATE("MARCA: ",BDEGENER[[#This Row],[MARCA ALTERNADOR ]],"
SERIE: ",BDEGENER[[#This Row],[SERIE DE ALTERNADOR]])</f>
        <v xml:space="preserve">MARCA: GENERAC
SERIE: </v>
      </c>
      <c r="AU295" s="683" t="str">
        <f>CONCATENATE("HORAS: ",BDEGENER[[#This Row],[HORAS]],"
KW-HR: ",BDEGENER[[#This Row],[KW-HORA]],"
VOLT.BATERIA: ",BDEGENER[[#This Row],[VOLTAJE DE BATERIA]],"
TEMPERATURA: ",BDEGENER[[#This Row],[TEMPERATURA DE AGUA]],"
PRES. ACEITE: ",BDEGENER[[#This Row],[PRESION DE ACEITE]])</f>
        <v xml:space="preserve">HORAS: 5306,3
KW-HR: 
VOLT.BATERIA: 13.6 V
TEMPERATURA: 
PRES. ACEITE: </v>
      </c>
      <c r="AV295" s="761">
        <f>COUNTIFS(Q295:Q2295,"MANTENIMIENTO CORRECTIVO",Y295:Y2295,BDEGENER[[#This Row],[SERIE]])</f>
        <v>3</v>
      </c>
      <c r="AW295" s="761">
        <f>COUNTIFS(Q295:Q2295,"MANTENIMIENTO PREVENTIVO",Y295:Y2295,BDEGENER[[#This Row],[SERIE]])</f>
        <v>8</v>
      </c>
      <c r="AX29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295" s="683">
        <f>COUNTIFS(BDEGENER[SERIE],BDEGENER[[#This Row],[SERIE]],BDEGENER[TIPO DE SERVICIO],"MANTENIMIENTO PREVENTIVO")</f>
        <v>11</v>
      </c>
      <c r="AZ295" s="683" t="str">
        <f>CONCATENATE("MANTENIMIENTO PREVENTIVO N°",BDEGENER[[#This Row],[GA1]])</f>
        <v>MANTENIMIENTO PREVENTIVO N°11</v>
      </c>
      <c r="BA295" s="683" t="str">
        <f>IF(BDEGENER[[#This Row],[SERVICIO]]=BDEGENER[[#This Row],[GA2]],BDEGENER[[#This Row],[HORAS]],"0")</f>
        <v>0</v>
      </c>
      <c r="BB295" s="683">
        <f>SUMIF(BDEGENER[SERIE],BDEGENER[[#This Row],[SERIE]],BDEGENER[GA3])</f>
        <v>5881.6</v>
      </c>
      <c r="BC295" s="761" t="str">
        <f>CONCATENATE("MANT",COUNTIF($Y$7:Y295,Y295))</f>
        <v>MANT5</v>
      </c>
      <c r="BD295" s="683" t="str">
        <f>CONCATENATE(BDEGENER[[#This Row],[SERIE]],BDEGENER[[#This Row],[GA5]])</f>
        <v>3003415539MANT5</v>
      </c>
      <c r="BE295" s="683" t="str">
        <f>CONCATENATE(BDEGENER[[#This Row],[CODIGO PATRIMONIAL]],BDEGENER[[#This Row],[GA5]])</f>
        <v>SUR-GEG-0004MANT5</v>
      </c>
      <c r="BF295" s="683">
        <f>COUNTIF(BDEGENER[SERIE],BDEGENER[[#This Row],[SERIE]])</f>
        <v>16</v>
      </c>
      <c r="BG295" s="761" t="str">
        <f>CONCATENATE("F",COUNTIF($K$7:K295,K295))</f>
        <v>F5</v>
      </c>
      <c r="BH295" s="683" t="str">
        <f>CONCATENATE(BDEGENER[[#This Row],[FECHA DE SERVICIO]],BDEGENER[[#This Row],[N° DE REGISTROS DEL DIA]])</f>
        <v>44053F5</v>
      </c>
      <c r="BI295" s="684"/>
      <c r="BJ295" s="683" t="s">
        <v>1544</v>
      </c>
      <c r="BK295" s="762"/>
    </row>
    <row r="296" spans="2:63" ht="69" hidden="1" x14ac:dyDescent="0.3">
      <c r="B296" s="2"/>
      <c r="C296" s="2"/>
      <c r="D296" s="2"/>
      <c r="E296" s="2"/>
      <c r="F296" s="2"/>
      <c r="G296" s="2"/>
      <c r="H296" s="2"/>
      <c r="I296" s="2"/>
      <c r="J296" s="685"/>
      <c r="K296" s="682">
        <v>44051</v>
      </c>
      <c r="L296" s="683" t="s">
        <v>181</v>
      </c>
      <c r="M296" s="683" t="s">
        <v>186</v>
      </c>
      <c r="N296" s="683" t="s">
        <v>1982</v>
      </c>
      <c r="O296" s="683">
        <v>4500853877</v>
      </c>
      <c r="P296" s="688" t="s">
        <v>2959</v>
      </c>
      <c r="Q296" s="683" t="s">
        <v>37</v>
      </c>
      <c r="R296" s="683" t="s">
        <v>1782</v>
      </c>
      <c r="S296" s="686" t="s">
        <v>2916</v>
      </c>
      <c r="T296" s="683" t="s">
        <v>2958</v>
      </c>
      <c r="U296" s="683" t="s">
        <v>2404</v>
      </c>
      <c r="V296" s="683" t="s">
        <v>677</v>
      </c>
      <c r="W296" s="683" t="s">
        <v>914</v>
      </c>
      <c r="X296" s="691" t="s">
        <v>918</v>
      </c>
      <c r="Y296" s="687">
        <v>3004327721</v>
      </c>
      <c r="Z296" s="692"/>
      <c r="AA296" s="683" t="s">
        <v>33</v>
      </c>
      <c r="AB296" s="683" t="s">
        <v>34</v>
      </c>
      <c r="AC296" s="683" t="s">
        <v>230</v>
      </c>
      <c r="AD296" s="683" t="s">
        <v>1112</v>
      </c>
      <c r="AE296" s="683">
        <v>60</v>
      </c>
      <c r="AF296" s="684">
        <v>1856.1</v>
      </c>
      <c r="AG296" s="683" t="s">
        <v>243</v>
      </c>
      <c r="AH296" s="683" t="s">
        <v>244</v>
      </c>
      <c r="AI296" s="683" t="s">
        <v>33</v>
      </c>
      <c r="AJ296" s="683">
        <v>3004346806</v>
      </c>
      <c r="AK296" s="683" t="s">
        <v>33</v>
      </c>
      <c r="AL296" s="683"/>
      <c r="AM296" s="683" t="s">
        <v>245</v>
      </c>
      <c r="AN296" s="683" t="s">
        <v>1122</v>
      </c>
      <c r="AO296" s="683" t="s">
        <v>247</v>
      </c>
      <c r="AP296" s="683" t="s">
        <v>240</v>
      </c>
      <c r="AQ296" s="688" t="str">
        <f>CONCATENATE("REG-",BDEGENER[[#This Row],[FECHA DE SERVICIO]],"-",BDEGENER[[#This Row],[SERIE]],"-",BDEGENER[[#This Row],[HORAS]])</f>
        <v>REG-44051-3004327721-1856,1</v>
      </c>
      <c r="AR296" s="683" t="str">
        <f>CONCATENATE("MARCA: ",BDEGENER[[#This Row],[MARCA]],"
 MODELO: ",BDEGENER[[#This Row],[MODELO]])</f>
        <v>MARCA: GENERAC
 MODELO: PG090</v>
      </c>
      <c r="AS296" s="683" t="str">
        <f>CONCATENATE("MARCA: ",BDEGENER[[#This Row],[MARCA DE MOTOR]],"
SERIE: ",BDEGENER[[#This Row],[SERIE DE MOTOR]])</f>
        <v>MARCA: GENERAC
SERIE: 3004346806</v>
      </c>
      <c r="AT296" s="683" t="str">
        <f>CONCATENATE("MARCA: ",BDEGENER[[#This Row],[MARCA ALTERNADOR ]],"
SERIE: ",BDEGENER[[#This Row],[SERIE DE ALTERNADOR]])</f>
        <v xml:space="preserve">MARCA: GENERAC
SERIE: </v>
      </c>
      <c r="AU296" s="683" t="str">
        <f>CONCATENATE("HORAS: ",BDEGENER[[#This Row],[HORAS]],"
KW-HR: ",BDEGENER[[#This Row],[KW-HORA]],"
VOLT.BATERIA: ",BDEGENER[[#This Row],[VOLTAJE DE BATERIA]],"
TEMPERATURA: ",BDEGENER[[#This Row],[TEMPERATURA DE AGUA]],"
PRES. ACEITE: ",BDEGENER[[#This Row],[PRESION DE ACEITE]])</f>
        <v>HORAS: 1856,1
KW-HR: 47109,1
VOLT.BATERIA: 13.6 V
TEMPERATURA: 195 °F
PRES. ACEITE: 55 PSI</v>
      </c>
      <c r="AV296" s="683">
        <f>COUNTIFS(Q296:Q2296,"MANTENIMIENTO CORRECTIVO",Y296:Y2296,BDEGENER[[#This Row],[SERIE]])</f>
        <v>1</v>
      </c>
      <c r="AW296" s="683">
        <f>COUNTIFS(Q296:Q2296,"MANTENIMIENTO PREVENTIVO",Y296:Y2296,BDEGENER[[#This Row],[SERIE]])</f>
        <v>6</v>
      </c>
      <c r="AX29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96" s="683">
        <f>COUNTIFS(BDEGENER[SERIE],BDEGENER[[#This Row],[SERIE]],BDEGENER[TIPO DE SERVICIO],"MANTENIMIENTO PREVENTIVO")</f>
        <v>7</v>
      </c>
      <c r="AZ296" s="683" t="str">
        <f>CONCATENATE("MANTENIMIENTO PREVENTIVO N°",BDEGENER[[#This Row],[GA1]])</f>
        <v>MANTENIMIENTO PREVENTIVO N°7</v>
      </c>
      <c r="BA296" s="683" t="str">
        <f>IF(BDEGENER[[#This Row],[SERVICIO]]=BDEGENER[[#This Row],[GA2]],BDEGENER[[#This Row],[HORAS]],"0")</f>
        <v>0</v>
      </c>
      <c r="BB296" s="683">
        <f>SUMIF(BDEGENER[SERIE],BDEGENER[[#This Row],[SERIE]],BDEGENER[GA3])</f>
        <v>2098.4</v>
      </c>
      <c r="BC296" s="683" t="str">
        <f>CONCATENATE("MANT",COUNTIF($Y$7:Y296,Y296))</f>
        <v>MANT4</v>
      </c>
      <c r="BD296" s="683" t="str">
        <f>CONCATENATE(BDEGENER[[#This Row],[SERIE]],BDEGENER[[#This Row],[GA5]])</f>
        <v>3004327721MANT4</v>
      </c>
      <c r="BE296" s="683" t="str">
        <f>CONCATENATE(BDEGENER[[#This Row],[CODIGO PATRIMONIAL]],BDEGENER[[#This Row],[GA5]])</f>
        <v>MANT4</v>
      </c>
      <c r="BF296" s="683">
        <f>COUNTIF(BDEGENER[SERIE],BDEGENER[[#This Row],[SERIE]])</f>
        <v>11</v>
      </c>
      <c r="BG296" s="683" t="str">
        <f>CONCATENATE("F",COUNTIF($K$7:K296,K296))</f>
        <v>F1</v>
      </c>
      <c r="BH296" s="683" t="str">
        <f>CONCATENATE(BDEGENER[[#This Row],[FECHA DE SERVICIO]],BDEGENER[[#This Row],[N° DE REGISTROS DEL DIA]])</f>
        <v>44051F1</v>
      </c>
      <c r="BI296" s="684">
        <v>47109.1</v>
      </c>
      <c r="BJ296" s="683" t="s">
        <v>1544</v>
      </c>
      <c r="BK296" s="762" t="s">
        <v>533</v>
      </c>
    </row>
    <row r="297" spans="2:63" ht="69" hidden="1" x14ac:dyDescent="0.3">
      <c r="B297" s="2"/>
      <c r="C297" s="2"/>
      <c r="D297" s="2"/>
      <c r="E297" s="2"/>
      <c r="F297" s="2"/>
      <c r="G297" s="2"/>
      <c r="H297" s="2"/>
      <c r="I297" s="2"/>
      <c r="J297" s="685"/>
      <c r="K297" s="682">
        <v>44051</v>
      </c>
      <c r="L297" s="683" t="s">
        <v>181</v>
      </c>
      <c r="M297" s="683" t="s">
        <v>189</v>
      </c>
      <c r="N297" s="683" t="s">
        <v>1982</v>
      </c>
      <c r="O297" s="683">
        <v>4500853877</v>
      </c>
      <c r="P297" s="688" t="s">
        <v>2957</v>
      </c>
      <c r="Q297" s="683" t="s">
        <v>37</v>
      </c>
      <c r="R297" s="683" t="s">
        <v>1782</v>
      </c>
      <c r="S297" s="686" t="s">
        <v>2916</v>
      </c>
      <c r="T297" s="683" t="s">
        <v>2958</v>
      </c>
      <c r="U297" s="683" t="s">
        <v>2404</v>
      </c>
      <c r="V297" s="683" t="s">
        <v>677</v>
      </c>
      <c r="W297" s="683" t="s">
        <v>914</v>
      </c>
      <c r="X297" s="691" t="s">
        <v>918</v>
      </c>
      <c r="Y297" s="687">
        <v>3004331709</v>
      </c>
      <c r="Z297" s="692"/>
      <c r="AA297" s="683" t="s">
        <v>33</v>
      </c>
      <c r="AB297" s="683" t="s">
        <v>34</v>
      </c>
      <c r="AC297" s="683" t="s">
        <v>230</v>
      </c>
      <c r="AD297" s="683" t="s">
        <v>1112</v>
      </c>
      <c r="AE297" s="683">
        <v>60</v>
      </c>
      <c r="AF297" s="684">
        <v>1891.4</v>
      </c>
      <c r="AG297" s="683" t="s">
        <v>243</v>
      </c>
      <c r="AH297" s="683" t="s">
        <v>220</v>
      </c>
      <c r="AI297" s="683" t="s">
        <v>33</v>
      </c>
      <c r="AJ297" s="683"/>
      <c r="AK297" s="683" t="s">
        <v>33</v>
      </c>
      <c r="AL297" s="683">
        <v>106302870</v>
      </c>
      <c r="AM297" s="683" t="s">
        <v>1145</v>
      </c>
      <c r="AN297" s="683" t="s">
        <v>2903</v>
      </c>
      <c r="AO297" s="683" t="s">
        <v>1381</v>
      </c>
      <c r="AP297" s="683" t="s">
        <v>240</v>
      </c>
      <c r="AQ297" s="688" t="str">
        <f>CONCATENATE("REG-",BDEGENER[[#This Row],[FECHA DE SERVICIO]],"-",BDEGENER[[#This Row],[SERIE]],"-",BDEGENER[[#This Row],[HORAS]])</f>
        <v>REG-44051-3004331709-1891,4</v>
      </c>
      <c r="AR297" s="683" t="str">
        <f>CONCATENATE("MARCA: ",BDEGENER[[#This Row],[MARCA]],"
 MODELO: ",BDEGENER[[#This Row],[MODELO]])</f>
        <v>MARCA: GENERAC
 MODELO: PG090</v>
      </c>
      <c r="AS297" s="683" t="str">
        <f>CONCATENATE("MARCA: ",BDEGENER[[#This Row],[MARCA DE MOTOR]],"
SERIE: ",BDEGENER[[#This Row],[SERIE DE MOTOR]])</f>
        <v xml:space="preserve">MARCA: GENERAC
SERIE: </v>
      </c>
      <c r="AT297" s="683" t="str">
        <f>CONCATENATE("MARCA: ",BDEGENER[[#This Row],[MARCA ALTERNADOR ]],"
SERIE: ",BDEGENER[[#This Row],[SERIE DE ALTERNADOR]])</f>
        <v>MARCA: GENERAC
SERIE: 106302870</v>
      </c>
      <c r="AU297" s="683" t="str">
        <f>CONCATENATE("HORAS: ",BDEGENER[[#This Row],[HORAS]],"
KW-HR: ",BDEGENER[[#This Row],[KW-HORA]],"
VOLT.BATERIA: ",BDEGENER[[#This Row],[VOLTAJE DE BATERIA]],"
TEMPERATURA: ",BDEGENER[[#This Row],[TEMPERATURA DE AGUA]],"
PRES. ACEITE: ",BDEGENER[[#This Row],[PRESION DE ACEITE]])</f>
        <v>HORAS: 1891,4
KW-HR: 44553,7
VOLT.BATERIA: 13.4 V
TEMPERATURA: 191 °F
PRES. ACEITE: 66 PSI</v>
      </c>
      <c r="AV297" s="683">
        <f>COUNTIFS(Q297:Q2297,"MANTENIMIENTO CORRECTIVO",Y297:Y2297,BDEGENER[[#This Row],[SERIE]])</f>
        <v>2</v>
      </c>
      <c r="AW297" s="683">
        <f>COUNTIFS(Q297:Q2297,"MANTENIMIENTO PREVENTIVO",Y297:Y2297,BDEGENER[[#This Row],[SERIE]])</f>
        <v>6</v>
      </c>
      <c r="AX29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97" s="683">
        <f>COUNTIFS(BDEGENER[SERIE],BDEGENER[[#This Row],[SERIE]],BDEGENER[TIPO DE SERVICIO],"MANTENIMIENTO PREVENTIVO")</f>
        <v>7</v>
      </c>
      <c r="AZ297" s="683" t="str">
        <f>CONCATENATE("MANTENIMIENTO PREVENTIVO N°",BDEGENER[[#This Row],[GA1]])</f>
        <v>MANTENIMIENTO PREVENTIVO N°7</v>
      </c>
      <c r="BA297" s="683" t="str">
        <f>IF(BDEGENER[[#This Row],[SERVICIO]]=BDEGENER[[#This Row],[GA2]],BDEGENER[[#This Row],[HORAS]],"0")</f>
        <v>0</v>
      </c>
      <c r="BB297" s="683">
        <f>SUMIF(BDEGENER[SERIE],BDEGENER[[#This Row],[SERIE]],BDEGENER[GA3])</f>
        <v>2248.5</v>
      </c>
      <c r="BC297" s="683" t="str">
        <f>CONCATENATE("MANT",COUNTIF($Y$7:Y297,Y297))</f>
        <v>MANT2</v>
      </c>
      <c r="BD297" s="683" t="str">
        <f>CONCATENATE(BDEGENER[[#This Row],[SERIE]],BDEGENER[[#This Row],[GA5]])</f>
        <v>3004331709MANT2</v>
      </c>
      <c r="BE297" s="683" t="str">
        <f>CONCATENATE(BDEGENER[[#This Row],[CODIGO PATRIMONIAL]],BDEGENER[[#This Row],[GA5]])</f>
        <v>MANT2</v>
      </c>
      <c r="BF297" s="683">
        <f>COUNTIF(BDEGENER[SERIE],BDEGENER[[#This Row],[SERIE]])</f>
        <v>11</v>
      </c>
      <c r="BG297" s="683" t="str">
        <f>CONCATENATE("F",COUNTIF($K$7:K297,K297))</f>
        <v>F2</v>
      </c>
      <c r="BH297" s="683" t="str">
        <f>CONCATENATE(BDEGENER[[#This Row],[FECHA DE SERVICIO]],BDEGENER[[#This Row],[N° DE REGISTROS DEL DIA]])</f>
        <v>44051F2</v>
      </c>
      <c r="BI297" s="684">
        <v>44553.7</v>
      </c>
      <c r="BJ297" s="683" t="s">
        <v>1544</v>
      </c>
      <c r="BK297" s="762" t="s">
        <v>533</v>
      </c>
    </row>
    <row r="298" spans="2:63" ht="69" hidden="1" x14ac:dyDescent="0.3">
      <c r="B298" s="2"/>
      <c r="C298" s="2"/>
      <c r="D298" s="2"/>
      <c r="E298" s="2"/>
      <c r="F298" s="2"/>
      <c r="G298" s="2"/>
      <c r="H298" s="2"/>
      <c r="I298" s="2"/>
      <c r="J298" s="685"/>
      <c r="K298" s="682">
        <v>44051</v>
      </c>
      <c r="L298" s="683" t="s">
        <v>181</v>
      </c>
      <c r="M298" s="683" t="s">
        <v>189</v>
      </c>
      <c r="N298" s="683" t="s">
        <v>1982</v>
      </c>
      <c r="O298" s="683">
        <v>4500853877</v>
      </c>
      <c r="P298" s="688" t="s">
        <v>2926</v>
      </c>
      <c r="Q298" s="683" t="s">
        <v>37</v>
      </c>
      <c r="R298" s="683" t="s">
        <v>1782</v>
      </c>
      <c r="S298" s="686" t="s">
        <v>2916</v>
      </c>
      <c r="T298" s="683" t="s">
        <v>2960</v>
      </c>
      <c r="U298" s="683" t="s">
        <v>2281</v>
      </c>
      <c r="V298" s="683" t="s">
        <v>677</v>
      </c>
      <c r="W298" s="683" t="s">
        <v>914</v>
      </c>
      <c r="X298" s="691" t="s">
        <v>918</v>
      </c>
      <c r="Y298" s="687">
        <v>3004327723</v>
      </c>
      <c r="Z298" s="692"/>
      <c r="AA298" s="683" t="s">
        <v>33</v>
      </c>
      <c r="AB298" s="683" t="s">
        <v>34</v>
      </c>
      <c r="AC298" s="683" t="s">
        <v>230</v>
      </c>
      <c r="AD298" s="683" t="s">
        <v>1110</v>
      </c>
      <c r="AE298" s="683">
        <v>60.1</v>
      </c>
      <c r="AF298" s="684">
        <v>1785.7</v>
      </c>
      <c r="AG298" s="683" t="s">
        <v>243</v>
      </c>
      <c r="AH298" s="683" t="s">
        <v>220</v>
      </c>
      <c r="AI298" s="683" t="s">
        <v>33</v>
      </c>
      <c r="AJ298" s="683">
        <v>3004346813</v>
      </c>
      <c r="AK298" s="683" t="s">
        <v>33</v>
      </c>
      <c r="AL298" s="683">
        <v>106302070</v>
      </c>
      <c r="AM298" s="683" t="s">
        <v>1121</v>
      </c>
      <c r="AN298" s="683" t="s">
        <v>1505</v>
      </c>
      <c r="AO298" s="683" t="s">
        <v>1158</v>
      </c>
      <c r="AP298" s="683" t="s">
        <v>240</v>
      </c>
      <c r="AQ298" s="688" t="str">
        <f>CONCATENATE("REG-",BDEGENER[[#This Row],[FECHA DE SERVICIO]],"-",BDEGENER[[#This Row],[SERIE]],"-",BDEGENER[[#This Row],[HORAS]])</f>
        <v>REG-44051-3004327723-1785,7</v>
      </c>
      <c r="AR298" s="683" t="str">
        <f>CONCATENATE("MARCA: ",BDEGENER[[#This Row],[MARCA]],"
 MODELO: ",BDEGENER[[#This Row],[MODELO]])</f>
        <v>MARCA: GENERAC
 MODELO: PG090</v>
      </c>
      <c r="AS298" s="683" t="str">
        <f>CONCATENATE("MARCA: ",BDEGENER[[#This Row],[MARCA DE MOTOR]],"
SERIE: ",BDEGENER[[#This Row],[SERIE DE MOTOR]])</f>
        <v>MARCA: GENERAC
SERIE: 3004346813</v>
      </c>
      <c r="AT298" s="683" t="str">
        <f>CONCATENATE("MARCA: ",BDEGENER[[#This Row],[MARCA ALTERNADOR ]],"
SERIE: ",BDEGENER[[#This Row],[SERIE DE ALTERNADOR]])</f>
        <v>MARCA: GENERAC
SERIE: 106302070</v>
      </c>
      <c r="AU298" s="683" t="str">
        <f>CONCATENATE("HORAS: ",BDEGENER[[#This Row],[HORAS]],"
KW-HR: ",BDEGENER[[#This Row],[KW-HORA]],"
VOLT.BATERIA: ",BDEGENER[[#This Row],[VOLTAJE DE BATERIA]],"
TEMPERATURA: ",BDEGENER[[#This Row],[TEMPERATURA DE AGUA]],"
PRES. ACEITE: ",BDEGENER[[#This Row],[PRESION DE ACEITE]])</f>
        <v>HORAS: 1785,7
KW-HR: 42643,5
VOLT.BATERIA: 13.7 V
TEMPERATURA: 194 °F
PRES. ACEITE: 53 PSI</v>
      </c>
      <c r="AV298" s="761">
        <f>COUNTIFS(Q298:Q2298,"MANTENIMIENTO CORRECTIVO",Y298:Y2298,BDEGENER[[#This Row],[SERIE]])</f>
        <v>1</v>
      </c>
      <c r="AW298" s="761">
        <f>COUNTIFS(Q298:Q2298,"MANTENIMIENTO PREVENTIVO",Y298:Y2298,BDEGENER[[#This Row],[SERIE]])</f>
        <v>6</v>
      </c>
      <c r="AX29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98" s="683">
        <f>COUNTIFS(BDEGENER[SERIE],BDEGENER[[#This Row],[SERIE]],BDEGENER[TIPO DE SERVICIO],"MANTENIMIENTO PREVENTIVO")</f>
        <v>8</v>
      </c>
      <c r="AZ298" s="683" t="str">
        <f>CONCATENATE("MANTENIMIENTO PREVENTIVO N°",BDEGENER[[#This Row],[GA1]])</f>
        <v>MANTENIMIENTO PREVENTIVO N°8</v>
      </c>
      <c r="BA298" s="683" t="str">
        <f>IF(BDEGENER[[#This Row],[SERVICIO]]=BDEGENER[[#This Row],[GA2]],BDEGENER[[#This Row],[HORAS]],"0")</f>
        <v>0</v>
      </c>
      <c r="BB298" s="683">
        <f>SUMIF(BDEGENER[SERIE],BDEGENER[[#This Row],[SERIE]],BDEGENER[GA3])</f>
        <v>6883.3</v>
      </c>
      <c r="BC298" s="761" t="str">
        <f>CONCATENATE("MANT",COUNTIF($Y$7:Y298,Y298))</f>
        <v>MANT3</v>
      </c>
      <c r="BD298" s="683" t="str">
        <f>CONCATENATE(BDEGENER[[#This Row],[SERIE]],BDEGENER[[#This Row],[GA5]])</f>
        <v>3004327723MANT3</v>
      </c>
      <c r="BE298" s="683" t="str">
        <f>CONCATENATE(BDEGENER[[#This Row],[CODIGO PATRIMONIAL]],BDEGENER[[#This Row],[GA5]])</f>
        <v>MANT3</v>
      </c>
      <c r="BF298" s="683">
        <f>COUNTIF(BDEGENER[SERIE],BDEGENER[[#This Row],[SERIE]])</f>
        <v>11</v>
      </c>
      <c r="BG298" s="761" t="str">
        <f>CONCATENATE("F",COUNTIF($K$7:K298,K298))</f>
        <v>F3</v>
      </c>
      <c r="BH298" s="683" t="str">
        <f>CONCATENATE(BDEGENER[[#This Row],[FECHA DE SERVICIO]],BDEGENER[[#This Row],[N° DE REGISTROS DEL DIA]])</f>
        <v>44051F3</v>
      </c>
      <c r="BI298" s="684">
        <v>42643.5</v>
      </c>
      <c r="BJ298" s="683" t="s">
        <v>1544</v>
      </c>
      <c r="BK298" s="762" t="s">
        <v>2925</v>
      </c>
    </row>
    <row r="299" spans="2:63" ht="69" hidden="1" x14ac:dyDescent="0.3">
      <c r="B299" s="2"/>
      <c r="C299" s="2"/>
      <c r="D299" s="2"/>
      <c r="E299" s="2"/>
      <c r="F299" s="2"/>
      <c r="G299" s="2"/>
      <c r="H299" s="2"/>
      <c r="I299" s="2"/>
      <c r="J299" s="685"/>
      <c r="K299" s="682">
        <v>44051</v>
      </c>
      <c r="L299" s="683" t="s">
        <v>181</v>
      </c>
      <c r="M299" s="683" t="s">
        <v>189</v>
      </c>
      <c r="N299" s="683" t="s">
        <v>1982</v>
      </c>
      <c r="O299" s="683">
        <v>4500853877</v>
      </c>
      <c r="P299" s="688" t="s">
        <v>2924</v>
      </c>
      <c r="Q299" s="683" t="s">
        <v>37</v>
      </c>
      <c r="R299" s="683" t="s">
        <v>1782</v>
      </c>
      <c r="S299" s="686" t="s">
        <v>2916</v>
      </c>
      <c r="T299" s="683" t="s">
        <v>2961</v>
      </c>
      <c r="U299" s="683" t="s">
        <v>2281</v>
      </c>
      <c r="V299" s="683" t="s">
        <v>677</v>
      </c>
      <c r="W299" s="683" t="s">
        <v>914</v>
      </c>
      <c r="X299" s="691" t="s">
        <v>918</v>
      </c>
      <c r="Y299" s="687">
        <v>3004331708</v>
      </c>
      <c r="Z299" s="692"/>
      <c r="AA299" s="683" t="s">
        <v>33</v>
      </c>
      <c r="AB299" s="683" t="s">
        <v>34</v>
      </c>
      <c r="AC299" s="683" t="s">
        <v>230</v>
      </c>
      <c r="AD299" s="683" t="s">
        <v>1110</v>
      </c>
      <c r="AE299" s="683">
        <v>60</v>
      </c>
      <c r="AF299" s="684">
        <v>1635.5</v>
      </c>
      <c r="AG299" s="683" t="s">
        <v>243</v>
      </c>
      <c r="AH299" s="683" t="s">
        <v>220</v>
      </c>
      <c r="AI299" s="683" t="s">
        <v>33</v>
      </c>
      <c r="AJ299" s="683">
        <v>3004309058</v>
      </c>
      <c r="AK299" s="683" t="s">
        <v>33</v>
      </c>
      <c r="AL299" s="683">
        <v>106302850</v>
      </c>
      <c r="AM299" s="683" t="s">
        <v>245</v>
      </c>
      <c r="AN299" s="683" t="s">
        <v>1348</v>
      </c>
      <c r="AO299" s="683" t="s">
        <v>1427</v>
      </c>
      <c r="AP299" s="683" t="s">
        <v>240</v>
      </c>
      <c r="AQ299" s="688" t="str">
        <f>CONCATENATE("REG-",BDEGENER[[#This Row],[FECHA DE SERVICIO]],"-",BDEGENER[[#This Row],[SERIE]],"-",BDEGENER[[#This Row],[HORAS]])</f>
        <v>REG-44051-3004331708-1635,5</v>
      </c>
      <c r="AR299" s="683" t="str">
        <f>CONCATENATE("MARCA: ",BDEGENER[[#This Row],[MARCA]],"
 MODELO: ",BDEGENER[[#This Row],[MODELO]])</f>
        <v>MARCA: GENERAC
 MODELO: PG090</v>
      </c>
      <c r="AS299" s="683" t="str">
        <f>CONCATENATE("MARCA: ",BDEGENER[[#This Row],[MARCA DE MOTOR]],"
SERIE: ",BDEGENER[[#This Row],[SERIE DE MOTOR]])</f>
        <v>MARCA: GENERAC
SERIE: 3004309058</v>
      </c>
      <c r="AT299" s="683" t="str">
        <f>CONCATENATE("MARCA: ",BDEGENER[[#This Row],[MARCA ALTERNADOR ]],"
SERIE: ",BDEGENER[[#This Row],[SERIE DE ALTERNADOR]])</f>
        <v>MARCA: GENERAC
SERIE: 106302850</v>
      </c>
      <c r="AU299" s="683" t="str">
        <f>CONCATENATE("HORAS: ",BDEGENER[[#This Row],[HORAS]],"
KW-HR: ",BDEGENER[[#This Row],[KW-HORA]],"
VOLT.BATERIA: ",BDEGENER[[#This Row],[VOLTAJE DE BATERIA]],"
TEMPERATURA: ",BDEGENER[[#This Row],[TEMPERATURA DE AGUA]],"
PRES. ACEITE: ",BDEGENER[[#This Row],[PRESION DE ACEITE]])</f>
        <v>HORAS: 1635,5
KW-HR: 44910,8
VOLT.BATERIA: 13.6 V
TEMPERATURA: 193 °F
PRES. ACEITE: 60 PSI</v>
      </c>
      <c r="AV299" s="683">
        <f>COUNTIFS(Q299:Q2299,"MANTENIMIENTO CORRECTIVO",Y299:Y2299,BDEGENER[[#This Row],[SERIE]])</f>
        <v>3</v>
      </c>
      <c r="AW299" s="683">
        <f>COUNTIFS(Q299:Q2299,"MANTENIMIENTO PREVENTIVO",Y299:Y2299,BDEGENER[[#This Row],[SERIE]])</f>
        <v>6</v>
      </c>
      <c r="AX29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299" s="683">
        <f>COUNTIFS(BDEGENER[SERIE],BDEGENER[[#This Row],[SERIE]],BDEGENER[TIPO DE SERVICIO],"MANTENIMIENTO PREVENTIVO")</f>
        <v>6</v>
      </c>
      <c r="AZ299" s="683" t="str">
        <f>CONCATENATE("MANTENIMIENTO PREVENTIVO N°",BDEGENER[[#This Row],[GA1]])</f>
        <v>MANTENIMIENTO PREVENTIVO N°6</v>
      </c>
      <c r="BA299" s="683">
        <f>IF(BDEGENER[[#This Row],[SERVICIO]]=BDEGENER[[#This Row],[GA2]],BDEGENER[[#This Row],[HORAS]],"0")</f>
        <v>1635.5</v>
      </c>
      <c r="BB299" s="683">
        <f>SUMIF(BDEGENER[SERIE],BDEGENER[[#This Row],[SERIE]],BDEGENER[GA3])</f>
        <v>1635.5</v>
      </c>
      <c r="BC299" s="683" t="str">
        <f>CONCATENATE("MANT",COUNTIF($Y$7:Y299,Y299))</f>
        <v>MANT3</v>
      </c>
      <c r="BD299" s="683" t="str">
        <f>CONCATENATE(BDEGENER[[#This Row],[SERIE]],BDEGENER[[#This Row],[GA5]])</f>
        <v>3004331708MANT3</v>
      </c>
      <c r="BE299" s="683" t="str">
        <f>CONCATENATE(BDEGENER[[#This Row],[CODIGO PATRIMONIAL]],BDEGENER[[#This Row],[GA5]])</f>
        <v>MANT3</v>
      </c>
      <c r="BF299" s="683">
        <f>COUNTIF(BDEGENER[SERIE],BDEGENER[[#This Row],[SERIE]])</f>
        <v>13</v>
      </c>
      <c r="BG299" s="683" t="str">
        <f>CONCATENATE("F",COUNTIF($K$7:K299,K299))</f>
        <v>F4</v>
      </c>
      <c r="BH299" s="683" t="str">
        <f>CONCATENATE(BDEGENER[[#This Row],[FECHA DE SERVICIO]],BDEGENER[[#This Row],[N° DE REGISTROS DEL DIA]])</f>
        <v>44051F4</v>
      </c>
      <c r="BI299" s="684">
        <v>44910.8</v>
      </c>
      <c r="BJ299" s="683" t="s">
        <v>1544</v>
      </c>
      <c r="BK299" s="762" t="s">
        <v>2925</v>
      </c>
    </row>
    <row r="300" spans="2:63" ht="69" x14ac:dyDescent="0.3">
      <c r="B300" s="2"/>
      <c r="C300" s="2"/>
      <c r="D300" s="2"/>
      <c r="E300" s="2"/>
      <c r="F300" s="2"/>
      <c r="G300" s="2"/>
      <c r="H300" s="2"/>
      <c r="I300" s="2"/>
      <c r="J300" s="685"/>
      <c r="K300" s="682">
        <v>44051</v>
      </c>
      <c r="L300" s="683" t="s">
        <v>181</v>
      </c>
      <c r="M300" s="683" t="s">
        <v>186</v>
      </c>
      <c r="N300" s="683" t="s">
        <v>1982</v>
      </c>
      <c r="O300" s="683">
        <v>4500853877</v>
      </c>
      <c r="P300" s="688" t="s">
        <v>2915</v>
      </c>
      <c r="Q300" s="683" t="s">
        <v>37</v>
      </c>
      <c r="R300" s="683" t="s">
        <v>1782</v>
      </c>
      <c r="S300" s="686" t="s">
        <v>2916</v>
      </c>
      <c r="T300" s="683" t="s">
        <v>2962</v>
      </c>
      <c r="U300" s="683" t="s">
        <v>2404</v>
      </c>
      <c r="V300" s="683" t="s">
        <v>677</v>
      </c>
      <c r="W300" s="683" t="s">
        <v>914</v>
      </c>
      <c r="X300" s="691" t="s">
        <v>918</v>
      </c>
      <c r="Y300" s="687">
        <v>3004336198</v>
      </c>
      <c r="Z300" s="692"/>
      <c r="AA300" s="683" t="s">
        <v>33</v>
      </c>
      <c r="AB300" s="683" t="s">
        <v>34</v>
      </c>
      <c r="AC300" s="683" t="s">
        <v>230</v>
      </c>
      <c r="AD300" s="683" t="s">
        <v>1993</v>
      </c>
      <c r="AE300" s="683">
        <v>60</v>
      </c>
      <c r="AF300" s="684">
        <v>1922.1</v>
      </c>
      <c r="AG300" s="683" t="s">
        <v>243</v>
      </c>
      <c r="AH300" s="683" t="s">
        <v>220</v>
      </c>
      <c r="AI300" s="683" t="s">
        <v>33</v>
      </c>
      <c r="AJ300" s="683">
        <v>3004345803</v>
      </c>
      <c r="AK300" s="683" t="s">
        <v>33</v>
      </c>
      <c r="AL300" s="683"/>
      <c r="AM300" s="683" t="s">
        <v>245</v>
      </c>
      <c r="AN300" s="683" t="s">
        <v>246</v>
      </c>
      <c r="AO300" s="683" t="s">
        <v>1095</v>
      </c>
      <c r="AP300" s="683" t="s">
        <v>240</v>
      </c>
      <c r="AQ300" s="688" t="str">
        <f>CONCATENATE("REG-",BDEGENER[[#This Row],[FECHA DE SERVICIO]],"-",BDEGENER[[#This Row],[SERIE]],"-",BDEGENER[[#This Row],[HORAS]])</f>
        <v>REG-44051-3004336198-1922,1</v>
      </c>
      <c r="AR300" s="683" t="str">
        <f>CONCATENATE("MARCA: ",BDEGENER[[#This Row],[MARCA]],"
 MODELO: ",BDEGENER[[#This Row],[MODELO]])</f>
        <v>MARCA: GENERAC
 MODELO: PG090</v>
      </c>
      <c r="AS300" s="683" t="str">
        <f>CONCATENATE("MARCA: ",BDEGENER[[#This Row],[MARCA DE MOTOR]],"
SERIE: ",BDEGENER[[#This Row],[SERIE DE MOTOR]])</f>
        <v>MARCA: GENERAC
SERIE: 3004345803</v>
      </c>
      <c r="AT300" s="683" t="str">
        <f>CONCATENATE("MARCA: ",BDEGENER[[#This Row],[MARCA ALTERNADOR ]],"
SERIE: ",BDEGENER[[#This Row],[SERIE DE ALTERNADOR]])</f>
        <v xml:space="preserve">MARCA: GENERAC
SERIE: </v>
      </c>
      <c r="AU300" s="683" t="str">
        <f>CONCATENATE("HORAS: ",BDEGENER[[#This Row],[HORAS]],"
KW-HR: ",BDEGENER[[#This Row],[KW-HORA]],"
VOLT.BATERIA: ",BDEGENER[[#This Row],[VOLTAJE DE BATERIA]],"
TEMPERATURA: ",BDEGENER[[#This Row],[TEMPERATURA DE AGUA]],"
PRES. ACEITE: ",BDEGENER[[#This Row],[PRESION DE ACEITE]])</f>
        <v>HORAS: 1922,1
KW-HR: 45415
VOLT.BATERIA: 13.6 V
TEMPERATURA: 198 °F
PRES. ACEITE: 54 PSI</v>
      </c>
      <c r="AV300" s="683">
        <f>COUNTIFS(Q300:Q2300,"MANTENIMIENTO CORRECTIVO",Y300:Y2300,BDEGENER[[#This Row],[SERIE]])</f>
        <v>1</v>
      </c>
      <c r="AW300" s="683">
        <f>COUNTIFS(Q300:Q2300,"MANTENIMIENTO PREVENTIVO",Y300:Y2300,BDEGENER[[#This Row],[SERIE]])</f>
        <v>6</v>
      </c>
      <c r="AX30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00" s="683">
        <f>COUNTIFS(BDEGENER[SERIE],BDEGENER[[#This Row],[SERIE]],BDEGENER[TIPO DE SERVICIO],"MANTENIMIENTO PREVENTIVO")</f>
        <v>7</v>
      </c>
      <c r="AZ300" s="683" t="str">
        <f>CONCATENATE("MANTENIMIENTO PREVENTIVO N°",BDEGENER[[#This Row],[GA1]])</f>
        <v>MANTENIMIENTO PREVENTIVO N°7</v>
      </c>
      <c r="BA300" s="683" t="str">
        <f>IF(BDEGENER[[#This Row],[SERVICIO]]=BDEGENER[[#This Row],[GA2]],BDEGENER[[#This Row],[HORAS]],"0")</f>
        <v>0</v>
      </c>
      <c r="BB300" s="683">
        <f>SUMIF(BDEGENER[SERIE],BDEGENER[[#This Row],[SERIE]],BDEGENER[GA3])</f>
        <v>2049.3000000000002</v>
      </c>
      <c r="BC300" s="683" t="str">
        <f>CONCATENATE("MANT",COUNTIF($Y$7:Y300,Y300))</f>
        <v>MANT5</v>
      </c>
      <c r="BD300" s="683" t="str">
        <f>CONCATENATE(BDEGENER[[#This Row],[SERIE]],BDEGENER[[#This Row],[GA5]])</f>
        <v>3004336198MANT5</v>
      </c>
      <c r="BE300" s="683" t="str">
        <f>CONCATENATE(BDEGENER[[#This Row],[CODIGO PATRIMONIAL]],BDEGENER[[#This Row],[GA5]])</f>
        <v>MANT5</v>
      </c>
      <c r="BF300" s="683">
        <f>COUNTIF(BDEGENER[SERIE],BDEGENER[[#This Row],[SERIE]])</f>
        <v>12</v>
      </c>
      <c r="BG300" s="683" t="str">
        <f>CONCATENATE("F",COUNTIF($K$7:K300,K300))</f>
        <v>F5</v>
      </c>
      <c r="BH300" s="683" t="str">
        <f>CONCATENATE(BDEGENER[[#This Row],[FECHA DE SERVICIO]],BDEGENER[[#This Row],[N° DE REGISTROS DEL DIA]])</f>
        <v>44051F5</v>
      </c>
      <c r="BI300" s="684">
        <v>45415</v>
      </c>
      <c r="BJ300" s="683" t="s">
        <v>1544</v>
      </c>
      <c r="BK300" s="762" t="s">
        <v>2267</v>
      </c>
    </row>
    <row r="301" spans="2:63" ht="69" hidden="1" x14ac:dyDescent="0.3">
      <c r="B301" s="2"/>
      <c r="C301" s="2"/>
      <c r="D301" s="2"/>
      <c r="E301" s="2"/>
      <c r="F301" s="2"/>
      <c r="G301" s="2"/>
      <c r="H301" s="2"/>
      <c r="I301" s="2"/>
      <c r="J301" s="685"/>
      <c r="K301" s="682">
        <v>44051</v>
      </c>
      <c r="L301" s="683" t="s">
        <v>181</v>
      </c>
      <c r="M301" s="683" t="s">
        <v>188</v>
      </c>
      <c r="N301" s="683" t="s">
        <v>183</v>
      </c>
      <c r="O301" s="683">
        <v>4500873022</v>
      </c>
      <c r="P301" s="683" t="s">
        <v>2879</v>
      </c>
      <c r="Q301" s="683" t="s">
        <v>37</v>
      </c>
      <c r="R301" s="683" t="s">
        <v>1782</v>
      </c>
      <c r="S301" s="686" t="s">
        <v>2880</v>
      </c>
      <c r="T301" s="683" t="s">
        <v>2881</v>
      </c>
      <c r="U301" s="683" t="s">
        <v>2882</v>
      </c>
      <c r="V301" s="683" t="s">
        <v>146</v>
      </c>
      <c r="W301" s="683" t="s">
        <v>914</v>
      </c>
      <c r="X301" s="691" t="s">
        <v>918</v>
      </c>
      <c r="Y301" s="687">
        <v>3004235514</v>
      </c>
      <c r="Z301" s="692"/>
      <c r="AA301" s="683" t="s">
        <v>33</v>
      </c>
      <c r="AB301" s="683" t="s">
        <v>34</v>
      </c>
      <c r="AC301" s="683" t="s">
        <v>230</v>
      </c>
      <c r="AD301" s="683" t="s">
        <v>1110</v>
      </c>
      <c r="AE301" s="683">
        <v>60</v>
      </c>
      <c r="AF301" s="684">
        <v>2044.9</v>
      </c>
      <c r="AG301" s="683" t="s">
        <v>243</v>
      </c>
      <c r="AH301" s="683" t="s">
        <v>220</v>
      </c>
      <c r="AI301" s="683" t="s">
        <v>33</v>
      </c>
      <c r="AJ301" s="683">
        <v>3003266420</v>
      </c>
      <c r="AK301" s="683" t="s">
        <v>33</v>
      </c>
      <c r="AL301" s="683">
        <v>1630250</v>
      </c>
      <c r="AM301" s="683" t="s">
        <v>1121</v>
      </c>
      <c r="AN301" s="683" t="s">
        <v>1143</v>
      </c>
      <c r="AO301" s="683" t="s">
        <v>1318</v>
      </c>
      <c r="AP301" s="683" t="s">
        <v>240</v>
      </c>
      <c r="AQ301" s="683" t="str">
        <f>CONCATENATE("REG-",BDEGENER[[#This Row],[FECHA DE SERVICIO]],"-",BDEGENER[[#This Row],[SERIE]],"-",BDEGENER[[#This Row],[HORAS]])</f>
        <v>REG-44051-3004235514-2044,9</v>
      </c>
      <c r="AR301" s="683" t="str">
        <f>CONCATENATE("MARCA: ",BDEGENER[[#This Row],[MARCA]],"
 MODELO: ",BDEGENER[[#This Row],[MODELO]])</f>
        <v>MARCA: GENERAC
 MODELO: PG090</v>
      </c>
      <c r="AS301" s="683" t="str">
        <f>CONCATENATE("MARCA: ",BDEGENER[[#This Row],[MARCA DE MOTOR]],"
SERIE: ",BDEGENER[[#This Row],[SERIE DE MOTOR]])</f>
        <v>MARCA: GENERAC
SERIE: 3003266420</v>
      </c>
      <c r="AT301" s="683" t="str">
        <f>CONCATENATE("MARCA: ",BDEGENER[[#This Row],[MARCA ALTERNADOR ]],"
SERIE: ",BDEGENER[[#This Row],[SERIE DE ALTERNADOR]])</f>
        <v>MARCA: GENERAC
SERIE: 1630250</v>
      </c>
      <c r="AU301" s="683" t="str">
        <f>CONCATENATE("HORAS: ",BDEGENER[[#This Row],[HORAS]],"
KW-HR: ",BDEGENER[[#This Row],[KW-HORA]],"
VOLT.BATERIA: ",BDEGENER[[#This Row],[VOLTAJE DE BATERIA]],"
TEMPERATURA: ",BDEGENER[[#This Row],[TEMPERATURA DE AGUA]],"
PRES. ACEITE: ",BDEGENER[[#This Row],[PRESION DE ACEITE]])</f>
        <v>HORAS: 2044,9
KW-HR: 47020,5
VOLT.BATERIA: 13.7 V
TEMPERATURA: 197 °F
PRES. ACEITE: 58 PSI</v>
      </c>
      <c r="AV301" s="761">
        <f>COUNTIFS(Q301:Q2301,"MANTENIMIENTO CORRECTIVO",Y301:Y2301,BDEGENER[[#This Row],[SERIE]])</f>
        <v>1</v>
      </c>
      <c r="AW301" s="761">
        <f>COUNTIFS(Q301:Q2301,"MANTENIMIENTO PREVENTIVO",Y301:Y2301,BDEGENER[[#This Row],[SERIE]])</f>
        <v>7</v>
      </c>
      <c r="AX30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01" s="683">
        <f>COUNTIFS(BDEGENER[SERIE],BDEGENER[[#This Row],[SERIE]],BDEGENER[TIPO DE SERVICIO],"MANTENIMIENTO PREVENTIVO")</f>
        <v>7</v>
      </c>
      <c r="AZ301" s="683" t="str">
        <f>CONCATENATE("MANTENIMIENTO PREVENTIVO N°",BDEGENER[[#This Row],[GA1]])</f>
        <v>MANTENIMIENTO PREVENTIVO N°7</v>
      </c>
      <c r="BA301" s="683">
        <f>IF(BDEGENER[[#This Row],[SERVICIO]]=BDEGENER[[#This Row],[GA2]],BDEGENER[[#This Row],[HORAS]],"0")</f>
        <v>2044.9</v>
      </c>
      <c r="BB301" s="683">
        <f>SUMIF(BDEGENER[SERIE],BDEGENER[[#This Row],[SERIE]],BDEGENER[GA3])</f>
        <v>2044.9</v>
      </c>
      <c r="BC301" s="761" t="str">
        <f>CONCATENATE("MANT",COUNTIF($Y$7:Y301,Y301))</f>
        <v>MANT2</v>
      </c>
      <c r="BD301" s="683" t="str">
        <f>CONCATENATE(BDEGENER[[#This Row],[SERIE]],BDEGENER[[#This Row],[GA5]])</f>
        <v>3004235514MANT2</v>
      </c>
      <c r="BE301" s="683" t="str">
        <f>CONCATENATE(BDEGENER[[#This Row],[CODIGO PATRIMONIAL]],BDEGENER[[#This Row],[GA5]])</f>
        <v>MANT2</v>
      </c>
      <c r="BF301" s="683">
        <f>COUNTIF(BDEGENER[SERIE],BDEGENER[[#This Row],[SERIE]])</f>
        <v>10</v>
      </c>
      <c r="BG301" s="761" t="str">
        <f>CONCATENATE("F",COUNTIF($K$7:K301,K301))</f>
        <v>F6</v>
      </c>
      <c r="BH301" s="683" t="str">
        <f>CONCATENATE(BDEGENER[[#This Row],[FECHA DE SERVICIO]],BDEGENER[[#This Row],[N° DE REGISTROS DEL DIA]])</f>
        <v>44051F6</v>
      </c>
      <c r="BI301" s="684">
        <v>47020.5</v>
      </c>
      <c r="BJ301" s="683" t="s">
        <v>1544</v>
      </c>
      <c r="BK301" s="762">
        <v>30</v>
      </c>
    </row>
    <row r="302" spans="2:63" ht="69" hidden="1" x14ac:dyDescent="0.3">
      <c r="B302" s="2"/>
      <c r="C302" s="2"/>
      <c r="D302" s="2"/>
      <c r="E302" s="2"/>
      <c r="F302" s="2"/>
      <c r="G302" s="2"/>
      <c r="H302" s="2"/>
      <c r="I302" s="2"/>
      <c r="J302" s="685"/>
      <c r="K302" s="682">
        <v>44050</v>
      </c>
      <c r="L302" s="683" t="s">
        <v>561</v>
      </c>
      <c r="M302" s="683" t="s">
        <v>2451</v>
      </c>
      <c r="N302" s="683" t="s">
        <v>584</v>
      </c>
      <c r="O302" s="683"/>
      <c r="P302" s="688" t="s">
        <v>2876</v>
      </c>
      <c r="Q302" s="683" t="s">
        <v>37</v>
      </c>
      <c r="R302" s="683" t="s">
        <v>1782</v>
      </c>
      <c r="S302" s="686" t="s">
        <v>2883</v>
      </c>
      <c r="T302" s="683" t="s">
        <v>2870</v>
      </c>
      <c r="U302" s="683" t="s">
        <v>2884</v>
      </c>
      <c r="V302" s="683" t="s">
        <v>677</v>
      </c>
      <c r="W302" s="683" t="s">
        <v>913</v>
      </c>
      <c r="X302" s="691" t="s">
        <v>918</v>
      </c>
      <c r="Y302" s="687">
        <v>3003940357</v>
      </c>
      <c r="Z302" s="692" t="s">
        <v>2612</v>
      </c>
      <c r="AA302" s="683" t="s">
        <v>33</v>
      </c>
      <c r="AB302" s="683" t="s">
        <v>217</v>
      </c>
      <c r="AC302" s="683" t="s">
        <v>749</v>
      </c>
      <c r="AD302" s="683" t="s">
        <v>1123</v>
      </c>
      <c r="AE302" s="683">
        <v>60</v>
      </c>
      <c r="AF302" s="684">
        <v>4544.8</v>
      </c>
      <c r="AG302" s="683" t="s">
        <v>243</v>
      </c>
      <c r="AH302" s="683" t="s">
        <v>1803</v>
      </c>
      <c r="AI302" s="683" t="s">
        <v>2553</v>
      </c>
      <c r="AJ302" s="683" t="s">
        <v>2816</v>
      </c>
      <c r="AK302" s="683" t="s">
        <v>33</v>
      </c>
      <c r="AL302" s="683">
        <v>20181104</v>
      </c>
      <c r="AM302" s="683" t="s">
        <v>1094</v>
      </c>
      <c r="AN302" s="683"/>
      <c r="AO302" s="683"/>
      <c r="AP302" s="683" t="s">
        <v>240</v>
      </c>
      <c r="AQ302" s="688" t="str">
        <f>CONCATENATE("REG-",BDEGENER[[#This Row],[FECHA DE SERVICIO]],"-",BDEGENER[[#This Row],[SERIE]],"-",BDEGENER[[#This Row],[HORAS]])</f>
        <v>REG-44050-3003940357-4544,8</v>
      </c>
      <c r="AR302" s="683" t="str">
        <f>CONCATENATE("MARCA: ",BDEGENER[[#This Row],[MARCA]],"
 MODELO: ",BDEGENER[[#This Row],[MODELO]])</f>
        <v>MARCA: GENERAC
 MODELO: RG022</v>
      </c>
      <c r="AS302" s="683" t="str">
        <f>CONCATENATE("MARCA: ",BDEGENER[[#This Row],[MARCA DE MOTOR]],"
SERIE: ",BDEGENER[[#This Row],[SERIE DE MOTOR]])</f>
        <v>MARCA: MITSUBISHI
SERIE: 4G6454M/SXG1014</v>
      </c>
      <c r="AT302" s="683" t="str">
        <f>CONCATENATE("MARCA: ",BDEGENER[[#This Row],[MARCA ALTERNADOR ]],"
SERIE: ",BDEGENER[[#This Row],[SERIE DE ALTERNADOR]])</f>
        <v>MARCA: GENERAC
SERIE: 20181104</v>
      </c>
      <c r="AU302" s="683" t="str">
        <f>CONCATENATE("HORAS: ",BDEGENER[[#This Row],[HORAS]],"
KW-HR: ",BDEGENER[[#This Row],[KW-HORA]],"
VOLT.BATERIA: ",BDEGENER[[#This Row],[VOLTAJE DE BATERIA]],"
TEMPERATURA: ",BDEGENER[[#This Row],[TEMPERATURA DE AGUA]],"
PRES. ACEITE: ",BDEGENER[[#This Row],[PRESION DE ACEITE]])</f>
        <v xml:space="preserve">HORAS: 4544,8
KW-HR: 
VOLT.BATERIA: 13.5 V
TEMPERATURA: 
PRES. ACEITE: </v>
      </c>
      <c r="AV302" s="683">
        <f>COUNTIFS(Q302:Q2302,"MANTENIMIENTO CORRECTIVO",Y302:Y2302,BDEGENER[[#This Row],[SERIE]])</f>
        <v>0</v>
      </c>
      <c r="AW302" s="683">
        <f>COUNTIFS(Q302:Q2302,"MANTENIMIENTO PREVENTIVO",Y302:Y2302,BDEGENER[[#This Row],[SERIE]])</f>
        <v>7</v>
      </c>
      <c r="AX30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02" s="683">
        <f>COUNTIFS(BDEGENER[SERIE],BDEGENER[[#This Row],[SERIE]],BDEGENER[TIPO DE SERVICIO],"MANTENIMIENTO PREVENTIVO")</f>
        <v>12</v>
      </c>
      <c r="AZ302" s="683" t="str">
        <f>CONCATENATE("MANTENIMIENTO PREVENTIVO N°",BDEGENER[[#This Row],[GA1]])</f>
        <v>MANTENIMIENTO PREVENTIVO N°12</v>
      </c>
      <c r="BA302" s="683" t="str">
        <f>IF(BDEGENER[[#This Row],[SERVICIO]]=BDEGENER[[#This Row],[GA2]],BDEGENER[[#This Row],[HORAS]],"0")</f>
        <v>0</v>
      </c>
      <c r="BB302" s="683">
        <f>SUMIF(BDEGENER[SERIE],BDEGENER[[#This Row],[SERIE]],BDEGENER[GA3])</f>
        <v>6263.3</v>
      </c>
      <c r="BC302" s="683" t="str">
        <f>CONCATENATE("MANT",COUNTIF($Y$7:Y302,Y302))</f>
        <v>MANT9</v>
      </c>
      <c r="BD302" s="683" t="str">
        <f>CONCATENATE(BDEGENER[[#This Row],[SERIE]],BDEGENER[[#This Row],[GA5]])</f>
        <v>3003940357MANT9</v>
      </c>
      <c r="BE302" s="683" t="str">
        <f>CONCATENATE(BDEGENER[[#This Row],[CODIGO PATRIMONIAL]],BDEGENER[[#This Row],[GA5]])</f>
        <v>NOR-GEG-0014MANT9</v>
      </c>
      <c r="BF302" s="683">
        <f>COUNTIF(BDEGENER[SERIE],BDEGENER[[#This Row],[SERIE]])</f>
        <v>16</v>
      </c>
      <c r="BG302" s="683" t="str">
        <f>CONCATENATE("F",COUNTIF($K$7:K302,K302))</f>
        <v>F1</v>
      </c>
      <c r="BH302" s="683" t="str">
        <f>CONCATENATE(BDEGENER[[#This Row],[FECHA DE SERVICIO]],BDEGENER[[#This Row],[N° DE REGISTROS DEL DIA]])</f>
        <v>44050F1</v>
      </c>
      <c r="BI302" s="684"/>
      <c r="BJ302" s="683" t="s">
        <v>1544</v>
      </c>
      <c r="BK302" s="762"/>
    </row>
    <row r="303" spans="2:63" ht="69" hidden="1" x14ac:dyDescent="0.3">
      <c r="B303" s="2"/>
      <c r="C303" s="2"/>
      <c r="D303" s="2"/>
      <c r="E303" s="2"/>
      <c r="F303" s="2"/>
      <c r="G303" s="2"/>
      <c r="H303" s="2"/>
      <c r="I303" s="2"/>
      <c r="J303" s="685"/>
      <c r="K303" s="682">
        <v>44050</v>
      </c>
      <c r="L303" s="683" t="s">
        <v>561</v>
      </c>
      <c r="M303" s="683" t="s">
        <v>2453</v>
      </c>
      <c r="N303" s="683" t="s">
        <v>584</v>
      </c>
      <c r="O303" s="683"/>
      <c r="P303" s="688" t="s">
        <v>2876</v>
      </c>
      <c r="Q303" s="683" t="s">
        <v>37</v>
      </c>
      <c r="R303" s="683" t="s">
        <v>1782</v>
      </c>
      <c r="S303" s="686" t="s">
        <v>2877</v>
      </c>
      <c r="T303" s="683" t="s">
        <v>2546</v>
      </c>
      <c r="U303" s="683" t="s">
        <v>124</v>
      </c>
      <c r="V303" s="683" t="s">
        <v>677</v>
      </c>
      <c r="W303" s="683" t="s">
        <v>914</v>
      </c>
      <c r="X303" s="691" t="s">
        <v>918</v>
      </c>
      <c r="Y303" s="687">
        <v>3003566703</v>
      </c>
      <c r="Z303" s="692" t="s">
        <v>2615</v>
      </c>
      <c r="AA303" s="683" t="s">
        <v>33</v>
      </c>
      <c r="AB303" s="683" t="s">
        <v>34</v>
      </c>
      <c r="AC303" s="683" t="s">
        <v>230</v>
      </c>
      <c r="AD303" s="683" t="s">
        <v>1123</v>
      </c>
      <c r="AE303" s="683">
        <v>60</v>
      </c>
      <c r="AF303" s="684">
        <v>5405.1</v>
      </c>
      <c r="AG303" s="683" t="s">
        <v>243</v>
      </c>
      <c r="AH303" s="683" t="s">
        <v>220</v>
      </c>
      <c r="AI303" s="683" t="s">
        <v>33</v>
      </c>
      <c r="AJ303" s="683">
        <v>3003412041</v>
      </c>
      <c r="AK303" s="683" t="s">
        <v>33</v>
      </c>
      <c r="AL303" s="683">
        <v>811745</v>
      </c>
      <c r="AM303" s="683" t="s">
        <v>1196</v>
      </c>
      <c r="AN303" s="683" t="s">
        <v>2878</v>
      </c>
      <c r="AO303" s="683" t="s">
        <v>1149</v>
      </c>
      <c r="AP303" s="683" t="s">
        <v>240</v>
      </c>
      <c r="AQ303" s="688" t="str">
        <f>CONCATENATE("REG-",BDEGENER[[#This Row],[FECHA DE SERVICIO]],"-",BDEGENER[[#This Row],[SERIE]],"-",BDEGENER[[#This Row],[HORAS]])</f>
        <v>REG-44050-3003566703-5405,1</v>
      </c>
      <c r="AR303" s="683" t="str">
        <f>CONCATENATE("MARCA: ",BDEGENER[[#This Row],[MARCA]],"
 MODELO: ",BDEGENER[[#This Row],[MODELO]])</f>
        <v>MARCA: GENERAC
 MODELO: PG090</v>
      </c>
      <c r="AS303" s="683" t="str">
        <f>CONCATENATE("MARCA: ",BDEGENER[[#This Row],[MARCA DE MOTOR]],"
SERIE: ",BDEGENER[[#This Row],[SERIE DE MOTOR]])</f>
        <v>MARCA: GENERAC
SERIE: 3003412041</v>
      </c>
      <c r="AT303" s="683" t="str">
        <f>CONCATENATE("MARCA: ",BDEGENER[[#This Row],[MARCA ALTERNADOR ]],"
SERIE: ",BDEGENER[[#This Row],[SERIE DE ALTERNADOR]])</f>
        <v>MARCA: GENERAC
SERIE: 811745</v>
      </c>
      <c r="AU303" s="683" t="str">
        <f>CONCATENATE("HORAS: ",BDEGENER[[#This Row],[HORAS]],"
KW-HR: ",BDEGENER[[#This Row],[KW-HORA]],"
VOLT.BATERIA: ",BDEGENER[[#This Row],[VOLTAJE DE BATERIA]],"
TEMPERATURA: ",BDEGENER[[#This Row],[TEMPERATURA DE AGUA]],"
PRES. ACEITE: ",BDEGENER[[#This Row],[PRESION DE ACEITE]])</f>
        <v>HORAS: 5405,1
KW-HR: 41239,5
VOLT.BATERIA: 13.2 V
TEMPERATURA: 155 °F
PRES. ACEITE: 61 PSI</v>
      </c>
      <c r="AV303" s="683">
        <f>COUNTIFS(Q303:Q2303,"MANTENIMIENTO CORRECTIVO",Y303:Y2303,BDEGENER[[#This Row],[SERIE]])</f>
        <v>0</v>
      </c>
      <c r="AW303" s="683">
        <f>COUNTIFS(Q303:Q2303,"MANTENIMIENTO PREVENTIVO",Y303:Y2303,BDEGENER[[#This Row],[SERIE]])</f>
        <v>5</v>
      </c>
      <c r="AX30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03" s="683">
        <f>COUNTIFS(BDEGENER[SERIE],BDEGENER[[#This Row],[SERIE]],BDEGENER[TIPO DE SERVICIO],"MANTENIMIENTO PREVENTIVO")</f>
        <v>8</v>
      </c>
      <c r="AZ303" s="683" t="str">
        <f>CONCATENATE("MANTENIMIENTO PREVENTIVO N°",BDEGENER[[#This Row],[GA1]])</f>
        <v>MANTENIMIENTO PREVENTIVO N°8</v>
      </c>
      <c r="BA303" s="683" t="str">
        <f>IF(BDEGENER[[#This Row],[SERVICIO]]=BDEGENER[[#This Row],[GA2]],BDEGENER[[#This Row],[HORAS]],"0")</f>
        <v>0</v>
      </c>
      <c r="BB303" s="683">
        <f>SUMIF(BDEGENER[SERIE],BDEGENER[[#This Row],[SERIE]],BDEGENER[GA3])</f>
        <v>6396.5</v>
      </c>
      <c r="BC303" s="683" t="str">
        <f>CONCATENATE("MANT",COUNTIF($Y$7:Y303,Y303))</f>
        <v>MANT6</v>
      </c>
      <c r="BD303" s="683" t="str">
        <f>CONCATENATE(BDEGENER[[#This Row],[SERIE]],BDEGENER[[#This Row],[GA5]])</f>
        <v>3003566703MANT6</v>
      </c>
      <c r="BE303" s="683" t="str">
        <f>CONCATENATE(BDEGENER[[#This Row],[CODIGO PATRIMONIAL]],BDEGENER[[#This Row],[GA5]])</f>
        <v>NOR-GEG-0017MANT6</v>
      </c>
      <c r="BF303" s="683">
        <f>COUNTIF(BDEGENER[SERIE],BDEGENER[[#This Row],[SERIE]])</f>
        <v>11</v>
      </c>
      <c r="BG303" s="683" t="str">
        <f>CONCATENATE("F",COUNTIF($K$7:K303,K303))</f>
        <v>F2</v>
      </c>
      <c r="BH303" s="683" t="str">
        <f>CONCATENATE(BDEGENER[[#This Row],[FECHA DE SERVICIO]],BDEGENER[[#This Row],[N° DE REGISTROS DEL DIA]])</f>
        <v>44050F2</v>
      </c>
      <c r="BI303" s="684">
        <v>41239.5</v>
      </c>
      <c r="BJ303" s="683" t="s">
        <v>1544</v>
      </c>
      <c r="BK303" s="762"/>
    </row>
    <row r="304" spans="2:63" ht="69" hidden="1" x14ac:dyDescent="0.3">
      <c r="B304" s="2"/>
      <c r="C304" s="2"/>
      <c r="D304" s="2"/>
      <c r="E304" s="2"/>
      <c r="F304" s="2"/>
      <c r="G304" s="2"/>
      <c r="H304" s="2"/>
      <c r="I304" s="2"/>
      <c r="J304" s="685"/>
      <c r="K304" s="682">
        <v>44049</v>
      </c>
      <c r="L304" s="683" t="s">
        <v>181</v>
      </c>
      <c r="M304" s="683" t="s">
        <v>182</v>
      </c>
      <c r="N304" s="683" t="s">
        <v>183</v>
      </c>
      <c r="O304" s="683">
        <v>4500853865</v>
      </c>
      <c r="P304" s="683" t="s">
        <v>2874</v>
      </c>
      <c r="Q304" s="683" t="s">
        <v>37</v>
      </c>
      <c r="R304" s="683" t="s">
        <v>1782</v>
      </c>
      <c r="S304" s="686" t="s">
        <v>2172</v>
      </c>
      <c r="T304" s="683" t="s">
        <v>2875</v>
      </c>
      <c r="U304" s="683" t="s">
        <v>2873</v>
      </c>
      <c r="V304" s="683" t="s">
        <v>146</v>
      </c>
      <c r="W304" s="683" t="s">
        <v>914</v>
      </c>
      <c r="X304" s="691" t="s">
        <v>918</v>
      </c>
      <c r="Y304" s="687">
        <v>3004256777</v>
      </c>
      <c r="Z304" s="692"/>
      <c r="AA304" s="683" t="s">
        <v>33</v>
      </c>
      <c r="AB304" s="683" t="s">
        <v>34</v>
      </c>
      <c r="AC304" s="683" t="s">
        <v>230</v>
      </c>
      <c r="AD304" s="683" t="s">
        <v>1110</v>
      </c>
      <c r="AE304" s="683">
        <v>60</v>
      </c>
      <c r="AF304" s="684">
        <v>1824.6</v>
      </c>
      <c r="AG304" s="683" t="s">
        <v>243</v>
      </c>
      <c r="AH304" s="683" t="s">
        <v>220</v>
      </c>
      <c r="AI304" s="683" t="s">
        <v>33</v>
      </c>
      <c r="AJ304" s="683">
        <v>3003930235</v>
      </c>
      <c r="AK304" s="683" t="s">
        <v>33</v>
      </c>
      <c r="AL304" s="683">
        <v>10630250</v>
      </c>
      <c r="AM304" s="683" t="s">
        <v>1121</v>
      </c>
      <c r="AN304" s="683" t="s">
        <v>246</v>
      </c>
      <c r="AO304" s="683" t="s">
        <v>1166</v>
      </c>
      <c r="AP304" s="683" t="s">
        <v>240</v>
      </c>
      <c r="AQ304" s="683" t="str">
        <f>CONCATENATE("REG-",BDEGENER[[#This Row],[FECHA DE SERVICIO]],"-",BDEGENER[[#This Row],[SERIE]],"-",BDEGENER[[#This Row],[HORAS]])</f>
        <v>REG-44049-3004256777-1824,6</v>
      </c>
      <c r="AR304" s="683" t="str">
        <f>CONCATENATE("MARCA: ",BDEGENER[[#This Row],[MARCA]],"
 MODELO: ",BDEGENER[[#This Row],[MODELO]])</f>
        <v>MARCA: GENERAC
 MODELO: PG090</v>
      </c>
      <c r="AS304" s="683" t="str">
        <f>CONCATENATE("MARCA: ",BDEGENER[[#This Row],[MARCA DE MOTOR]],"
SERIE: ",BDEGENER[[#This Row],[SERIE DE MOTOR]])</f>
        <v>MARCA: GENERAC
SERIE: 3003930235</v>
      </c>
      <c r="AT304" s="683" t="str">
        <f>CONCATENATE("MARCA: ",BDEGENER[[#This Row],[MARCA ALTERNADOR ]],"
SERIE: ",BDEGENER[[#This Row],[SERIE DE ALTERNADOR]])</f>
        <v>MARCA: GENERAC
SERIE: 10630250</v>
      </c>
      <c r="AU304" s="683" t="str">
        <f>CONCATENATE("HORAS: ",BDEGENER[[#This Row],[HORAS]],"
KW-HR: ",BDEGENER[[#This Row],[KW-HORA]],"
VOLT.BATERIA: ",BDEGENER[[#This Row],[VOLTAJE DE BATERIA]],"
TEMPERATURA: ",BDEGENER[[#This Row],[TEMPERATURA DE AGUA]],"
PRES. ACEITE: ",BDEGENER[[#This Row],[PRESION DE ACEITE]])</f>
        <v>HORAS: 1824,6
KW-HR: 43082,2
VOLT.BATERIA: 13.7 V
TEMPERATURA: 198 °F
PRES. ACEITE: 57 PSI</v>
      </c>
      <c r="AV304" s="761">
        <f>COUNTIFS(Q304:Q2304,"MANTENIMIENTO CORRECTIVO",Y304:Y2304,BDEGENER[[#This Row],[SERIE]])</f>
        <v>4</v>
      </c>
      <c r="AW304" s="761">
        <f>COUNTIFS(Q304:Q2304,"MANTENIMIENTO PREVENTIVO",Y304:Y2304,BDEGENER[[#This Row],[SERIE]])</f>
        <v>6</v>
      </c>
      <c r="AX30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04" s="683">
        <f>COUNTIFS(BDEGENER[SERIE],BDEGENER[[#This Row],[SERIE]],BDEGENER[TIPO DE SERVICIO],"MANTENIMIENTO PREVENTIVO")</f>
        <v>9</v>
      </c>
      <c r="AZ304" s="683" t="str">
        <f>CONCATENATE("MANTENIMIENTO PREVENTIVO N°",BDEGENER[[#This Row],[GA1]])</f>
        <v>MANTENIMIENTO PREVENTIVO N°9</v>
      </c>
      <c r="BA304" s="683" t="str">
        <f>IF(BDEGENER[[#This Row],[SERVICIO]]=BDEGENER[[#This Row],[GA2]],BDEGENER[[#This Row],[HORAS]],"0")</f>
        <v>0</v>
      </c>
      <c r="BB304" s="683">
        <f>SUMIF(BDEGENER[SERIE],BDEGENER[[#This Row],[SERIE]],BDEGENER[GA3])</f>
        <v>2804.7</v>
      </c>
      <c r="BC304" s="761" t="str">
        <f>CONCATENATE("MANT",COUNTIF($Y$7:Y304,Y304))</f>
        <v>MANT6</v>
      </c>
      <c r="BD304" s="683" t="str">
        <f>CONCATENATE(BDEGENER[[#This Row],[SERIE]],BDEGENER[[#This Row],[GA5]])</f>
        <v>3004256777MANT6</v>
      </c>
      <c r="BE304" s="683" t="str">
        <f>CONCATENATE(BDEGENER[[#This Row],[CODIGO PATRIMONIAL]],BDEGENER[[#This Row],[GA5]])</f>
        <v>MANT6</v>
      </c>
      <c r="BF304" s="683">
        <f>COUNTIF(BDEGENER[SERIE],BDEGENER[[#This Row],[SERIE]])</f>
        <v>16</v>
      </c>
      <c r="BG304" s="761" t="str">
        <f>CONCATENATE("F",COUNTIF($K$7:K304,K304))</f>
        <v>F1</v>
      </c>
      <c r="BH304" s="683" t="str">
        <f>CONCATENATE(BDEGENER[[#This Row],[FECHA DE SERVICIO]],BDEGENER[[#This Row],[N° DE REGISTROS DEL DIA]])</f>
        <v>44049F1</v>
      </c>
      <c r="BI304" s="684">
        <v>43082.2</v>
      </c>
      <c r="BJ304" s="683" t="s">
        <v>1544</v>
      </c>
      <c r="BK304" s="762" t="s">
        <v>2160</v>
      </c>
    </row>
    <row r="305" spans="2:63" ht="69" hidden="1" x14ac:dyDescent="0.3">
      <c r="B305" s="2"/>
      <c r="C305" s="2"/>
      <c r="D305" s="2"/>
      <c r="E305" s="2"/>
      <c r="F305" s="2"/>
      <c r="G305" s="2"/>
      <c r="H305" s="2"/>
      <c r="I305" s="2"/>
      <c r="J305" s="685"/>
      <c r="K305" s="682">
        <v>44048</v>
      </c>
      <c r="L305" s="683" t="s">
        <v>181</v>
      </c>
      <c r="M305" s="683" t="s">
        <v>187</v>
      </c>
      <c r="N305" s="683" t="s">
        <v>183</v>
      </c>
      <c r="O305" s="683">
        <v>4500853865</v>
      </c>
      <c r="P305" s="683" t="s">
        <v>2869</v>
      </c>
      <c r="Q305" s="683" t="s">
        <v>37</v>
      </c>
      <c r="R305" s="683" t="s">
        <v>1782</v>
      </c>
      <c r="S305" s="686" t="s">
        <v>2872</v>
      </c>
      <c r="T305" s="683" t="s">
        <v>2870</v>
      </c>
      <c r="U305" s="683" t="s">
        <v>2873</v>
      </c>
      <c r="V305" s="683" t="s">
        <v>146</v>
      </c>
      <c r="W305" s="683" t="s">
        <v>914</v>
      </c>
      <c r="X305" s="691" t="s">
        <v>918</v>
      </c>
      <c r="Y305" s="687">
        <v>3004337428</v>
      </c>
      <c r="Z305" s="692"/>
      <c r="AA305" s="683" t="s">
        <v>33</v>
      </c>
      <c r="AB305" s="683" t="s">
        <v>34</v>
      </c>
      <c r="AC305" s="683" t="s">
        <v>230</v>
      </c>
      <c r="AD305" s="683" t="s">
        <v>1110</v>
      </c>
      <c r="AE305" s="683">
        <v>60</v>
      </c>
      <c r="AF305" s="684">
        <v>1206.5999999999999</v>
      </c>
      <c r="AG305" s="683" t="s">
        <v>243</v>
      </c>
      <c r="AH305" s="683" t="s">
        <v>220</v>
      </c>
      <c r="AI305" s="683" t="s">
        <v>33</v>
      </c>
      <c r="AJ305" s="683">
        <v>3004333869</v>
      </c>
      <c r="AK305" s="683" t="s">
        <v>33</v>
      </c>
      <c r="AL305" s="683">
        <v>10630350</v>
      </c>
      <c r="AM305" s="683" t="s">
        <v>1377</v>
      </c>
      <c r="AN305" s="683" t="s">
        <v>1143</v>
      </c>
      <c r="AO305" s="683" t="s">
        <v>1144</v>
      </c>
      <c r="AP305" s="683" t="s">
        <v>240</v>
      </c>
      <c r="AQ305" s="683" t="str">
        <f>CONCATENATE("REG-",BDEGENER[[#This Row],[FECHA DE SERVICIO]],"-",BDEGENER[[#This Row],[SERIE]],"-",BDEGENER[[#This Row],[HORAS]])</f>
        <v>REG-44048-3004337428-1206,6</v>
      </c>
      <c r="AR305" s="683" t="str">
        <f>CONCATENATE("MARCA: ",BDEGENER[[#This Row],[MARCA]],"
 MODELO: ",BDEGENER[[#This Row],[MODELO]])</f>
        <v>MARCA: GENERAC
 MODELO: PG090</v>
      </c>
      <c r="AS305" s="683" t="str">
        <f>CONCATENATE("MARCA: ",BDEGENER[[#This Row],[MARCA DE MOTOR]],"
SERIE: ",BDEGENER[[#This Row],[SERIE DE MOTOR]])</f>
        <v>MARCA: GENERAC
SERIE: 3004333869</v>
      </c>
      <c r="AT305" s="683" t="str">
        <f>CONCATENATE("MARCA: ",BDEGENER[[#This Row],[MARCA ALTERNADOR ]],"
SERIE: ",BDEGENER[[#This Row],[SERIE DE ALTERNADOR]])</f>
        <v>MARCA: GENERAC
SERIE: 10630350</v>
      </c>
      <c r="AU305" s="683" t="str">
        <f>CONCATENATE("HORAS: ",BDEGENER[[#This Row],[HORAS]],"
KW-HR: ",BDEGENER[[#This Row],[KW-HORA]],"
VOLT.BATERIA: ",BDEGENER[[#This Row],[VOLTAJE DE BATERIA]],"
TEMPERATURA: ",BDEGENER[[#This Row],[TEMPERATURA DE AGUA]],"
PRES. ACEITE: ",BDEGENER[[#This Row],[PRESION DE ACEITE]])</f>
        <v>HORAS: 1206,6
KW-HR: 31966,6
VOLT.BATERIA: 13.8 V
TEMPERATURA: 197 °F
PRES. ACEITE: 59 PSI</v>
      </c>
      <c r="AV305" s="683">
        <f>COUNTIFS(Q305:Q2305,"MANTENIMIENTO CORRECTIVO",Y305:Y2305,BDEGENER[[#This Row],[SERIE]])</f>
        <v>1</v>
      </c>
      <c r="AW305" s="683">
        <f>COUNTIFS(Q305:Q2305,"MANTENIMIENTO PREVENTIVO",Y305:Y2305,BDEGENER[[#This Row],[SERIE]])</f>
        <v>5</v>
      </c>
      <c r="AX30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05" s="683">
        <f>COUNTIFS(BDEGENER[SERIE],BDEGENER[[#This Row],[SERIE]],BDEGENER[TIPO DE SERVICIO],"MANTENIMIENTO PREVENTIVO")</f>
        <v>6</v>
      </c>
      <c r="AZ305" s="683" t="str">
        <f>CONCATENATE("MANTENIMIENTO PREVENTIVO N°",BDEGENER[[#This Row],[GA1]])</f>
        <v>MANTENIMIENTO PREVENTIVO N°6</v>
      </c>
      <c r="BA305" s="683" t="str">
        <f>IF(BDEGENER[[#This Row],[SERVICIO]]=BDEGENER[[#This Row],[GA2]],BDEGENER[[#This Row],[HORAS]],"0")</f>
        <v>0</v>
      </c>
      <c r="BB305" s="683">
        <f>SUMIF(BDEGENER[SERIE],BDEGENER[[#This Row],[SERIE]],BDEGENER[GA3])</f>
        <v>1586.2</v>
      </c>
      <c r="BC305" s="683" t="str">
        <f>CONCATENATE("MANT",COUNTIF($Y$7:Y305,Y305))</f>
        <v>MANT3</v>
      </c>
      <c r="BD305" s="683" t="str">
        <f>CONCATENATE(BDEGENER[[#This Row],[SERIE]],BDEGENER[[#This Row],[GA5]])</f>
        <v>3004337428MANT3</v>
      </c>
      <c r="BE305" s="683" t="str">
        <f>CONCATENATE(BDEGENER[[#This Row],[CODIGO PATRIMONIAL]],BDEGENER[[#This Row],[GA5]])</f>
        <v>MANT3</v>
      </c>
      <c r="BF305" s="683">
        <f>COUNTIF(BDEGENER[SERIE],BDEGENER[[#This Row],[SERIE]])</f>
        <v>9</v>
      </c>
      <c r="BG305" s="683" t="str">
        <f>CONCATENATE("F",COUNTIF($K$7:K305,K305))</f>
        <v>F1</v>
      </c>
      <c r="BH305" s="683" t="str">
        <f>CONCATENATE(BDEGENER[[#This Row],[FECHA DE SERVICIO]],BDEGENER[[#This Row],[N° DE REGISTROS DEL DIA]])</f>
        <v>44048F1</v>
      </c>
      <c r="BI305" s="684">
        <v>31966.6</v>
      </c>
      <c r="BJ305" s="683" t="s">
        <v>1544</v>
      </c>
      <c r="BK305" s="762"/>
    </row>
    <row r="306" spans="2:63" ht="69" hidden="1" x14ac:dyDescent="0.3">
      <c r="B306" s="2"/>
      <c r="C306" s="2"/>
      <c r="D306" s="2"/>
      <c r="E306" s="2"/>
      <c r="F306" s="2"/>
      <c r="G306" s="2"/>
      <c r="H306" s="2"/>
      <c r="I306" s="2"/>
      <c r="J306" s="685"/>
      <c r="K306" s="682">
        <v>44048</v>
      </c>
      <c r="L306" s="683" t="s">
        <v>181</v>
      </c>
      <c r="M306" s="683" t="s">
        <v>187</v>
      </c>
      <c r="N306" s="683" t="s">
        <v>183</v>
      </c>
      <c r="O306" s="683">
        <v>4500853865</v>
      </c>
      <c r="P306" s="683" t="s">
        <v>2869</v>
      </c>
      <c r="Q306" s="683" t="s">
        <v>37</v>
      </c>
      <c r="R306" s="683" t="s">
        <v>1782</v>
      </c>
      <c r="S306" s="686" t="s">
        <v>2851</v>
      </c>
      <c r="T306" s="683" t="s">
        <v>2870</v>
      </c>
      <c r="U306" s="683" t="s">
        <v>2871</v>
      </c>
      <c r="V306" s="683" t="s">
        <v>146</v>
      </c>
      <c r="W306" s="683" t="s">
        <v>914</v>
      </c>
      <c r="X306" s="691" t="s">
        <v>918</v>
      </c>
      <c r="Y306" s="687">
        <v>3004418790</v>
      </c>
      <c r="Z306" s="692"/>
      <c r="AA306" s="683" t="s">
        <v>33</v>
      </c>
      <c r="AB306" s="683" t="s">
        <v>34</v>
      </c>
      <c r="AC306" s="683" t="s">
        <v>230</v>
      </c>
      <c r="AD306" s="683" t="s">
        <v>1110</v>
      </c>
      <c r="AE306" s="683">
        <v>60</v>
      </c>
      <c r="AF306" s="684">
        <v>1884.9</v>
      </c>
      <c r="AG306" s="683" t="s">
        <v>243</v>
      </c>
      <c r="AH306" s="683" t="s">
        <v>220</v>
      </c>
      <c r="AI306" s="683" t="s">
        <v>33</v>
      </c>
      <c r="AJ306" s="683">
        <v>3005413982</v>
      </c>
      <c r="AK306" s="683" t="s">
        <v>33</v>
      </c>
      <c r="AL306" s="683">
        <v>107745310</v>
      </c>
      <c r="AM306" s="683" t="s">
        <v>245</v>
      </c>
      <c r="AN306" s="683" t="s">
        <v>246</v>
      </c>
      <c r="AO306" s="683" t="s">
        <v>1318</v>
      </c>
      <c r="AP306" s="683" t="s">
        <v>240</v>
      </c>
      <c r="AQ306" s="683" t="str">
        <f>CONCATENATE("REG-",BDEGENER[[#This Row],[FECHA DE SERVICIO]],"-",BDEGENER[[#This Row],[SERIE]],"-",BDEGENER[[#This Row],[HORAS]])</f>
        <v>REG-44048-3004418790-1884,9</v>
      </c>
      <c r="AR306" s="683" t="str">
        <f>CONCATENATE("MARCA: ",BDEGENER[[#This Row],[MARCA]],"
 MODELO: ",BDEGENER[[#This Row],[MODELO]])</f>
        <v>MARCA: GENERAC
 MODELO: PG090</v>
      </c>
      <c r="AS306" s="683" t="str">
        <f>CONCATENATE("MARCA: ",BDEGENER[[#This Row],[MARCA DE MOTOR]],"
SERIE: ",BDEGENER[[#This Row],[SERIE DE MOTOR]])</f>
        <v>MARCA: GENERAC
SERIE: 3005413982</v>
      </c>
      <c r="AT306" s="683" t="str">
        <f>CONCATENATE("MARCA: ",BDEGENER[[#This Row],[MARCA ALTERNADOR ]],"
SERIE: ",BDEGENER[[#This Row],[SERIE DE ALTERNADOR]])</f>
        <v>MARCA: GENERAC
SERIE: 107745310</v>
      </c>
      <c r="AU306" s="683" t="str">
        <f>CONCATENATE("HORAS: ",BDEGENER[[#This Row],[HORAS]],"
KW-HR: ",BDEGENER[[#This Row],[KW-HORA]],"
VOLT.BATERIA: ",BDEGENER[[#This Row],[VOLTAJE DE BATERIA]],"
TEMPERATURA: ",BDEGENER[[#This Row],[TEMPERATURA DE AGUA]],"
PRES. ACEITE: ",BDEGENER[[#This Row],[PRESION DE ACEITE]])</f>
        <v>HORAS: 1884,9
KW-HR: 36867,3
VOLT.BATERIA: 13.6 V
TEMPERATURA: 198 °F
PRES. ACEITE: 58 PSI</v>
      </c>
      <c r="AV306" s="683">
        <f>COUNTIFS(Q306:Q2306,"MANTENIMIENTO CORRECTIVO",Y306:Y2306,BDEGENER[[#This Row],[SERIE]])</f>
        <v>1</v>
      </c>
      <c r="AW306" s="683">
        <f>COUNTIFS(Q306:Q2306,"MANTENIMIENTO PREVENTIVO",Y306:Y2306,BDEGENER[[#This Row],[SERIE]])</f>
        <v>6</v>
      </c>
      <c r="AX30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06" s="683">
        <f>COUNTIFS(BDEGENER[SERIE],BDEGENER[[#This Row],[SERIE]],BDEGENER[TIPO DE SERVICIO],"MANTENIMIENTO PREVENTIVO")</f>
        <v>8</v>
      </c>
      <c r="AZ306" s="683" t="str">
        <f>CONCATENATE("MANTENIMIENTO PREVENTIVO N°",BDEGENER[[#This Row],[GA1]])</f>
        <v>MANTENIMIENTO PREVENTIVO N°8</v>
      </c>
      <c r="BA306" s="683" t="str">
        <f>IF(BDEGENER[[#This Row],[SERVICIO]]=BDEGENER[[#This Row],[GA2]],BDEGENER[[#This Row],[HORAS]],"0")</f>
        <v>0</v>
      </c>
      <c r="BB306" s="683">
        <f>SUMIF(BDEGENER[SERIE],BDEGENER[[#This Row],[SERIE]],BDEGENER[GA3])</f>
        <v>2579.3000000000002</v>
      </c>
      <c r="BC306" s="683" t="str">
        <f>CONCATENATE("MANT",COUNTIF($Y$7:Y306,Y306))</f>
        <v>MANT5</v>
      </c>
      <c r="BD306" s="683" t="str">
        <f>CONCATENATE(BDEGENER[[#This Row],[SERIE]],BDEGENER[[#This Row],[GA5]])</f>
        <v>3004418790MANT5</v>
      </c>
      <c r="BE306" s="683" t="str">
        <f>CONCATENATE(BDEGENER[[#This Row],[CODIGO PATRIMONIAL]],BDEGENER[[#This Row],[GA5]])</f>
        <v>MANT5</v>
      </c>
      <c r="BF306" s="683">
        <f>COUNTIF(BDEGENER[SERIE],BDEGENER[[#This Row],[SERIE]])</f>
        <v>14</v>
      </c>
      <c r="BG306" s="683" t="str">
        <f>CONCATENATE("F",COUNTIF($K$7:K306,K306))</f>
        <v>F2</v>
      </c>
      <c r="BH306" s="683" t="str">
        <f>CONCATENATE(BDEGENER[[#This Row],[FECHA DE SERVICIO]],BDEGENER[[#This Row],[N° DE REGISTROS DEL DIA]])</f>
        <v>44048F2</v>
      </c>
      <c r="BI306" s="684">
        <v>36867.300000000003</v>
      </c>
      <c r="BJ306" s="683" t="s">
        <v>1544</v>
      </c>
      <c r="BK306" s="762"/>
    </row>
    <row r="307" spans="2:63" ht="69" hidden="1" x14ac:dyDescent="0.3">
      <c r="B307" s="2"/>
      <c r="C307" s="2"/>
      <c r="D307" s="2"/>
      <c r="E307" s="2"/>
      <c r="F307" s="2"/>
      <c r="G307" s="2"/>
      <c r="H307" s="2"/>
      <c r="I307" s="2"/>
      <c r="J307" s="685"/>
      <c r="K307" s="682">
        <v>44046</v>
      </c>
      <c r="L307" s="683" t="s">
        <v>181</v>
      </c>
      <c r="M307" s="683" t="s">
        <v>1395</v>
      </c>
      <c r="N307" s="683" t="s">
        <v>1547</v>
      </c>
      <c r="O307" s="683"/>
      <c r="P307" s="683"/>
      <c r="Q307" s="683" t="s">
        <v>107</v>
      </c>
      <c r="R307" s="683" t="s">
        <v>3918</v>
      </c>
      <c r="S307" s="686" t="s">
        <v>3919</v>
      </c>
      <c r="T307" s="683"/>
      <c r="U307" s="683" t="s">
        <v>3920</v>
      </c>
      <c r="V307" s="683" t="s">
        <v>488</v>
      </c>
      <c r="W307" s="683" t="s">
        <v>914</v>
      </c>
      <c r="X307" s="691" t="s">
        <v>918</v>
      </c>
      <c r="Y307" s="687">
        <v>3004416581</v>
      </c>
      <c r="Z307" s="692"/>
      <c r="AA307" s="683" t="s">
        <v>33</v>
      </c>
      <c r="AB307" s="683" t="s">
        <v>34</v>
      </c>
      <c r="AC307" s="683" t="s">
        <v>230</v>
      </c>
      <c r="AD307" s="683"/>
      <c r="AE307" s="683"/>
      <c r="AF307" s="684">
        <v>976.5</v>
      </c>
      <c r="AG307" s="683" t="s">
        <v>243</v>
      </c>
      <c r="AH307" s="683" t="s">
        <v>220</v>
      </c>
      <c r="AI307" s="683" t="s">
        <v>33</v>
      </c>
      <c r="AJ307" s="683">
        <v>3004309056</v>
      </c>
      <c r="AK307" s="683" t="s">
        <v>33</v>
      </c>
      <c r="AL307" s="683">
        <v>107748810</v>
      </c>
      <c r="AM307" s="683"/>
      <c r="AN307" s="683"/>
      <c r="AO307" s="683"/>
      <c r="AP307" s="683" t="s">
        <v>240</v>
      </c>
      <c r="AQ307" s="683" t="str">
        <f>CONCATENATE("REG-",BDEGENER[[#This Row],[FECHA DE SERVICIO]],"-",BDEGENER[[#This Row],[SERIE]],"-",BDEGENER[[#This Row],[HORAS]])</f>
        <v>REG-44046-3004416581-976,5</v>
      </c>
      <c r="AR307" s="683" t="str">
        <f>CONCATENATE("MARCA: ",BDEGENER[[#This Row],[MARCA]],"
 MODELO: ",BDEGENER[[#This Row],[MODELO]])</f>
        <v>MARCA: GENERAC
 MODELO: PG090</v>
      </c>
      <c r="AS307" s="683" t="str">
        <f>CONCATENATE("MARCA: ",BDEGENER[[#This Row],[MARCA DE MOTOR]],"
SERIE: ",BDEGENER[[#This Row],[SERIE DE MOTOR]])</f>
        <v>MARCA: GENERAC
SERIE: 3004309056</v>
      </c>
      <c r="AT307" s="683" t="str">
        <f>CONCATENATE("MARCA: ",BDEGENER[[#This Row],[MARCA ALTERNADOR ]],"
SERIE: ",BDEGENER[[#This Row],[SERIE DE ALTERNADOR]])</f>
        <v>MARCA: GENERAC
SERIE: 107748810</v>
      </c>
      <c r="AU307" s="683" t="str">
        <f>CONCATENATE("HORAS: ",BDEGENER[[#This Row],[HORAS]],"
KW-HR: ",BDEGENER[[#This Row],[KW-HORA]],"
VOLT.BATERIA: ",BDEGENER[[#This Row],[VOLTAJE DE BATERIA]],"
TEMPERATURA: ",BDEGENER[[#This Row],[TEMPERATURA DE AGUA]],"
PRES. ACEITE: ",BDEGENER[[#This Row],[PRESION DE ACEITE]])</f>
        <v xml:space="preserve">HORAS: 976,5
KW-HR: 
VOLT.BATERIA: 
TEMPERATURA: 
PRES. ACEITE: </v>
      </c>
      <c r="AV307" s="761">
        <f>COUNTIFS(Q307:Q2307,"MANTENIMIENTO CORRECTIVO",Y307:Y2307,BDEGENER[[#This Row],[SERIE]])</f>
        <v>2</v>
      </c>
      <c r="AW307" s="761">
        <f>COUNTIFS(Q307:Q2307,"MANTENIMIENTO PREVENTIVO",Y307:Y2307,BDEGENER[[#This Row],[SERIE]])</f>
        <v>3</v>
      </c>
      <c r="AX30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307" s="683">
        <f>COUNTIFS(BDEGENER[SERIE],BDEGENER[[#This Row],[SERIE]],BDEGENER[TIPO DE SERVICIO],"MANTENIMIENTO PREVENTIVO")</f>
        <v>6</v>
      </c>
      <c r="AZ307" s="683" t="str">
        <f>CONCATENATE("MANTENIMIENTO PREVENTIVO N°",BDEGENER[[#This Row],[GA1]])</f>
        <v>MANTENIMIENTO PREVENTIVO N°6</v>
      </c>
      <c r="BA307" s="683" t="str">
        <f>IF(BDEGENER[[#This Row],[SERVICIO]]=BDEGENER[[#This Row],[GA2]],BDEGENER[[#This Row],[HORAS]],"0")</f>
        <v>0</v>
      </c>
      <c r="BB307" s="683">
        <f>SUMIF(BDEGENER[SERIE],BDEGENER[[#This Row],[SERIE]],BDEGENER[GA3])</f>
        <v>1659.1</v>
      </c>
      <c r="BC307" s="761" t="str">
        <f>CONCATENATE("MANT",COUNTIF($Y$7:Y307,Y307))</f>
        <v>MANT5</v>
      </c>
      <c r="BD307" s="683" t="str">
        <f>CONCATENATE(BDEGENER[[#This Row],[SERIE]],BDEGENER[[#This Row],[GA5]])</f>
        <v>3004416581MANT5</v>
      </c>
      <c r="BE307" s="683" t="str">
        <f>CONCATENATE(BDEGENER[[#This Row],[CODIGO PATRIMONIAL]],BDEGENER[[#This Row],[GA5]])</f>
        <v>MANT5</v>
      </c>
      <c r="BF307" s="683">
        <f>COUNTIF(BDEGENER[SERIE],BDEGENER[[#This Row],[SERIE]])</f>
        <v>11</v>
      </c>
      <c r="BG307" s="761" t="str">
        <f>CONCATENATE("F",COUNTIF($K$7:K307,K307))</f>
        <v>F1</v>
      </c>
      <c r="BH307" s="683" t="str">
        <f>CONCATENATE(BDEGENER[[#This Row],[FECHA DE SERVICIO]],BDEGENER[[#This Row],[N° DE REGISTROS DEL DIA]])</f>
        <v>44046F1</v>
      </c>
      <c r="BI307" s="684"/>
      <c r="BJ307" s="683" t="s">
        <v>1544</v>
      </c>
      <c r="BK307" s="762"/>
    </row>
    <row r="308" spans="2:63" ht="69" hidden="1" x14ac:dyDescent="0.3">
      <c r="B308" s="2"/>
      <c r="C308" s="2"/>
      <c r="D308" s="2"/>
      <c r="E308" s="2"/>
      <c r="F308" s="2"/>
      <c r="G308" s="2"/>
      <c r="H308" s="2"/>
      <c r="I308" s="2"/>
      <c r="J308" s="685"/>
      <c r="K308" s="682">
        <v>44046</v>
      </c>
      <c r="L308" s="683" t="s">
        <v>248</v>
      </c>
      <c r="M308" s="683" t="s">
        <v>2226</v>
      </c>
      <c r="N308" s="683" t="s">
        <v>2230</v>
      </c>
      <c r="O308" s="683"/>
      <c r="P308" s="683"/>
      <c r="Q308" s="683" t="s">
        <v>107</v>
      </c>
      <c r="R308" s="683" t="s">
        <v>1782</v>
      </c>
      <c r="S308" s="686" t="s">
        <v>3059</v>
      </c>
      <c r="T308" s="683" t="s">
        <v>3060</v>
      </c>
      <c r="U308" s="683" t="s">
        <v>3061</v>
      </c>
      <c r="V308" s="683" t="s">
        <v>149</v>
      </c>
      <c r="W308" s="683" t="s">
        <v>914</v>
      </c>
      <c r="X308" s="691" t="s">
        <v>917</v>
      </c>
      <c r="Y308" s="687">
        <v>3002933964</v>
      </c>
      <c r="Z308" s="692"/>
      <c r="AA308" s="683" t="s">
        <v>33</v>
      </c>
      <c r="AB308" s="683" t="s">
        <v>1446</v>
      </c>
      <c r="AC308" s="683" t="s">
        <v>1445</v>
      </c>
      <c r="AD308" s="683" t="s">
        <v>1087</v>
      </c>
      <c r="AE308" s="683">
        <v>62.1</v>
      </c>
      <c r="AF308" s="684">
        <v>712.35</v>
      </c>
      <c r="AG308" s="683" t="s">
        <v>243</v>
      </c>
      <c r="AH308" s="683" t="s">
        <v>1946</v>
      </c>
      <c r="AI308" s="683" t="s">
        <v>844</v>
      </c>
      <c r="AJ308" s="683" t="s">
        <v>1951</v>
      </c>
      <c r="AK308" s="683" t="s">
        <v>1448</v>
      </c>
      <c r="AL308" s="683" t="s">
        <v>1952</v>
      </c>
      <c r="AM308" s="683" t="s">
        <v>1142</v>
      </c>
      <c r="AN308" s="683" t="s">
        <v>1391</v>
      </c>
      <c r="AO308" s="683" t="s">
        <v>3062</v>
      </c>
      <c r="AP308" s="683" t="s">
        <v>240</v>
      </c>
      <c r="AQ308" s="688" t="str">
        <f>CONCATENATE("REG-",BDEGENER[[#This Row],[FECHA DE SERVICIO]],"-",BDEGENER[[#This Row],[SERIE]],"-",BDEGENER[[#This Row],[HORAS]])</f>
        <v>REG-44046-3002933964-712,35</v>
      </c>
      <c r="AR308" s="683" t="str">
        <f>CONCATENATE("MARCA: ",BDEGENER[[#This Row],[MARCA]],"
 MODELO: ",BDEGENER[[#This Row],[MODELO]])</f>
        <v>MARCA: GENERAC
 MODELO: PLY125</v>
      </c>
      <c r="AS308" s="683" t="str">
        <f>CONCATENATE("MARCA: ",BDEGENER[[#This Row],[MARCA DE MOTOR]],"
SERIE: ",BDEGENER[[#This Row],[SERIE DE MOTOR]])</f>
        <v>MARCA: PERKINS
SERIE: PP71370U061051C</v>
      </c>
      <c r="AT308" s="683" t="str">
        <f>CONCATENATE("MARCA: ",BDEGENER[[#This Row],[MARCA ALTERNADOR ]],"
SERIE: ",BDEGENER[[#This Row],[SERIE DE ALTERNADOR]])</f>
        <v>MARCA: LEROY SOMER
SERIE: 346063/19</v>
      </c>
      <c r="AU308" s="683" t="str">
        <f>CONCATENATE("HORAS: ",BDEGENER[[#This Row],[HORAS]],"
KW-HR: ",BDEGENER[[#This Row],[KW-HORA]],"
VOLT.BATERIA: ",BDEGENER[[#This Row],[VOLTAJE DE BATERIA]],"
TEMPERATURA: ",BDEGENER[[#This Row],[TEMPERATURA DE AGUA]],"
PRES. ACEITE: ",BDEGENER[[#This Row],[PRESION DE ACEITE]])</f>
        <v>HORAS: 712,35
KW-HR: 
VOLT.BATERIA: 14.4 V
TEMPERATURA: 90 °F
PRES. ACEITE: 96.5 PSI</v>
      </c>
      <c r="AV308" s="683">
        <f>COUNTIFS(Q308:Q2308,"MANTENIMIENTO CORRECTIVO",Y308:Y2308,BDEGENER[[#This Row],[SERIE]])</f>
        <v>1</v>
      </c>
      <c r="AW308" s="683">
        <f>COUNTIFS(Q308:Q2308,"MANTENIMIENTO PREVENTIVO",Y308:Y2308,BDEGENER[[#This Row],[SERIE]])</f>
        <v>2</v>
      </c>
      <c r="AX30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308" s="683">
        <f>COUNTIFS(BDEGENER[SERIE],BDEGENER[[#This Row],[SERIE]],BDEGENER[TIPO DE SERVICIO],"MANTENIMIENTO PREVENTIVO")</f>
        <v>4</v>
      </c>
      <c r="AZ308" s="683" t="str">
        <f>CONCATENATE("MANTENIMIENTO PREVENTIVO N°",BDEGENER[[#This Row],[GA1]])</f>
        <v>MANTENIMIENTO PREVENTIVO N°4</v>
      </c>
      <c r="BA308" s="683" t="str">
        <f>IF(BDEGENER[[#This Row],[SERVICIO]]=BDEGENER[[#This Row],[GA2]],BDEGENER[[#This Row],[HORAS]],"0")</f>
        <v>0</v>
      </c>
      <c r="BB308" s="683">
        <f>SUMIF(BDEGENER[SERIE],BDEGENER[[#This Row],[SERIE]],BDEGENER[GA3])</f>
        <v>1609.45</v>
      </c>
      <c r="BC308" s="683" t="str">
        <f>CONCATENATE("MANT",COUNTIF($Y$7:Y308,Y308))</f>
        <v>MANT4</v>
      </c>
      <c r="BD308" s="683" t="str">
        <f>CONCATENATE(BDEGENER[[#This Row],[SERIE]],BDEGENER[[#This Row],[GA5]])</f>
        <v>3002933964MANT4</v>
      </c>
      <c r="BE308" s="683" t="str">
        <f>CONCATENATE(BDEGENER[[#This Row],[CODIGO PATRIMONIAL]],BDEGENER[[#This Row],[GA5]])</f>
        <v>MANT4</v>
      </c>
      <c r="BF308" s="683">
        <f>COUNTIF(BDEGENER[SERIE],BDEGENER[[#This Row],[SERIE]])</f>
        <v>8</v>
      </c>
      <c r="BG308" s="683" t="str">
        <f>CONCATENATE("F",COUNTIF($K$7:K308,K308))</f>
        <v>F2</v>
      </c>
      <c r="BH308" s="683" t="str">
        <f>CONCATENATE(BDEGENER[[#This Row],[FECHA DE SERVICIO]],BDEGENER[[#This Row],[N° DE REGISTROS DEL DIA]])</f>
        <v>44046F2</v>
      </c>
      <c r="BI308" s="684"/>
      <c r="BJ308" s="683" t="s">
        <v>1544</v>
      </c>
      <c r="BK308" s="762"/>
    </row>
    <row r="309" spans="2:63" ht="69" hidden="1" x14ac:dyDescent="0.3">
      <c r="B309" s="2"/>
      <c r="C309" s="2"/>
      <c r="D309" s="2"/>
      <c r="E309" s="2"/>
      <c r="F309" s="2"/>
      <c r="G309" s="2"/>
      <c r="H309" s="2"/>
      <c r="I309" s="2"/>
      <c r="J309" s="685"/>
      <c r="K309" s="682">
        <v>44046</v>
      </c>
      <c r="L309" s="683" t="s">
        <v>181</v>
      </c>
      <c r="M309" s="683" t="s">
        <v>190</v>
      </c>
      <c r="N309" s="683" t="s">
        <v>183</v>
      </c>
      <c r="O309" s="683"/>
      <c r="P309" s="683"/>
      <c r="Q309" s="683" t="s">
        <v>108</v>
      </c>
      <c r="R309" s="683" t="s">
        <v>3007</v>
      </c>
      <c r="S309" s="686" t="s">
        <v>3008</v>
      </c>
      <c r="T309" s="683" t="s">
        <v>3009</v>
      </c>
      <c r="U309" s="683" t="s">
        <v>3010</v>
      </c>
      <c r="V309" s="683" t="s">
        <v>146</v>
      </c>
      <c r="W309" s="683" t="s">
        <v>914</v>
      </c>
      <c r="X309" s="691" t="s">
        <v>918</v>
      </c>
      <c r="Y309" s="687">
        <v>3004416581</v>
      </c>
      <c r="Z309" s="692"/>
      <c r="AA309" s="683" t="s">
        <v>33</v>
      </c>
      <c r="AB309" s="683" t="s">
        <v>34</v>
      </c>
      <c r="AC309" s="683" t="s">
        <v>230</v>
      </c>
      <c r="AD309" s="683"/>
      <c r="AE309" s="683"/>
      <c r="AF309" s="684">
        <v>976.5</v>
      </c>
      <c r="AG309" s="683" t="s">
        <v>243</v>
      </c>
      <c r="AH309" s="683" t="s">
        <v>220</v>
      </c>
      <c r="AI309" s="683" t="s">
        <v>33</v>
      </c>
      <c r="AJ309" s="683">
        <v>3004309056</v>
      </c>
      <c r="AK309" s="683" t="s">
        <v>33</v>
      </c>
      <c r="AL309" s="683">
        <v>107748810</v>
      </c>
      <c r="AM309" s="683"/>
      <c r="AN309" s="683"/>
      <c r="AO309" s="683"/>
      <c r="AP309" s="683" t="s">
        <v>557</v>
      </c>
      <c r="AQ309" s="683" t="str">
        <f>CONCATENATE("REG-",BDEGENER[[#This Row],[FECHA DE SERVICIO]],"-",BDEGENER[[#This Row],[SERIE]],"-",BDEGENER[[#This Row],[HORAS]])</f>
        <v>REG-44046-3004416581-976,5</v>
      </c>
      <c r="AR309" s="683" t="str">
        <f>CONCATENATE("MARCA: ",BDEGENER[[#This Row],[MARCA]],"
 MODELO: ",BDEGENER[[#This Row],[MODELO]])</f>
        <v>MARCA: GENERAC
 MODELO: PG090</v>
      </c>
      <c r="AS309" s="683" t="str">
        <f>CONCATENATE("MARCA: ",BDEGENER[[#This Row],[MARCA DE MOTOR]],"
SERIE: ",BDEGENER[[#This Row],[SERIE DE MOTOR]])</f>
        <v>MARCA: GENERAC
SERIE: 3004309056</v>
      </c>
      <c r="AT309" s="683" t="str">
        <f>CONCATENATE("MARCA: ",BDEGENER[[#This Row],[MARCA ALTERNADOR ]],"
SERIE: ",BDEGENER[[#This Row],[SERIE DE ALTERNADOR]])</f>
        <v>MARCA: GENERAC
SERIE: 107748810</v>
      </c>
      <c r="AU309" s="683" t="str">
        <f>CONCATENATE("HORAS: ",BDEGENER[[#This Row],[HORAS]],"
KW-HR: ",BDEGENER[[#This Row],[KW-HORA]],"
VOLT.BATERIA: ",BDEGENER[[#This Row],[VOLTAJE DE BATERIA]],"
TEMPERATURA: ",BDEGENER[[#This Row],[TEMPERATURA DE AGUA]],"
PRES. ACEITE: ",BDEGENER[[#This Row],[PRESION DE ACEITE]])</f>
        <v xml:space="preserve">HORAS: 976,5
KW-HR: 
VOLT.BATERIA: 
TEMPERATURA: 
PRES. ACEITE: </v>
      </c>
      <c r="AV309" s="683">
        <f>COUNTIFS(Q309:Q2309,"MANTENIMIENTO CORRECTIVO",Y309:Y2309,BDEGENER[[#This Row],[SERIE]])</f>
        <v>1</v>
      </c>
      <c r="AW309" s="683">
        <f>COUNTIFS(Q309:Q2309,"MANTENIMIENTO PREVENTIVO",Y309:Y2309,BDEGENER[[#This Row],[SERIE]])</f>
        <v>3</v>
      </c>
      <c r="AX30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09" s="683">
        <f>COUNTIFS(BDEGENER[SERIE],BDEGENER[[#This Row],[SERIE]],BDEGENER[TIPO DE SERVICIO],"MANTENIMIENTO PREVENTIVO")</f>
        <v>6</v>
      </c>
      <c r="AZ309" s="683" t="str">
        <f>CONCATENATE("MANTENIMIENTO PREVENTIVO N°",BDEGENER[[#This Row],[GA1]])</f>
        <v>MANTENIMIENTO PREVENTIVO N°6</v>
      </c>
      <c r="BA309" s="683" t="str">
        <f>IF(BDEGENER[[#This Row],[SERVICIO]]=BDEGENER[[#This Row],[GA2]],BDEGENER[[#This Row],[HORAS]],"0")</f>
        <v>0</v>
      </c>
      <c r="BB309" s="683">
        <f>SUMIF(BDEGENER[SERIE],BDEGENER[[#This Row],[SERIE]],BDEGENER[GA3])</f>
        <v>1659.1</v>
      </c>
      <c r="BC309" s="683" t="str">
        <f>CONCATENATE("MANT",COUNTIF($Y$7:Y309,Y309))</f>
        <v>MANT6</v>
      </c>
      <c r="BD309" s="683" t="str">
        <f>CONCATENATE(BDEGENER[[#This Row],[SERIE]],BDEGENER[[#This Row],[GA5]])</f>
        <v>3004416581MANT6</v>
      </c>
      <c r="BE309" s="683" t="str">
        <f>CONCATENATE(BDEGENER[[#This Row],[CODIGO PATRIMONIAL]],BDEGENER[[#This Row],[GA5]])</f>
        <v>MANT6</v>
      </c>
      <c r="BF309" s="683">
        <f>COUNTIF(BDEGENER[SERIE],BDEGENER[[#This Row],[SERIE]])</f>
        <v>11</v>
      </c>
      <c r="BG309" s="683" t="str">
        <f>CONCATENATE("F",COUNTIF($K$7:K309,K309))</f>
        <v>F3</v>
      </c>
      <c r="BH309" s="683" t="str">
        <f>CONCATENATE(BDEGENER[[#This Row],[FECHA DE SERVICIO]],BDEGENER[[#This Row],[N° DE REGISTROS DEL DIA]])</f>
        <v>44046F3</v>
      </c>
      <c r="BI309" s="684"/>
      <c r="BJ309" s="683" t="s">
        <v>1544</v>
      </c>
      <c r="BK309" s="762"/>
    </row>
    <row r="310" spans="2:63" ht="69" hidden="1" x14ac:dyDescent="0.3">
      <c r="B310" s="2"/>
      <c r="C310" s="2"/>
      <c r="D310" s="2"/>
      <c r="E310" s="2"/>
      <c r="F310" s="2"/>
      <c r="G310" s="2"/>
      <c r="H310" s="2"/>
      <c r="I310" s="2"/>
      <c r="J310" s="685"/>
      <c r="K310" s="682">
        <v>44046</v>
      </c>
      <c r="L310" s="683" t="s">
        <v>181</v>
      </c>
      <c r="M310" s="683" t="s">
        <v>190</v>
      </c>
      <c r="N310" s="683" t="s">
        <v>183</v>
      </c>
      <c r="O310" s="683"/>
      <c r="P310" s="683"/>
      <c r="Q310" s="683" t="s">
        <v>107</v>
      </c>
      <c r="R310" s="683" t="s">
        <v>2865</v>
      </c>
      <c r="S310" s="686" t="s">
        <v>2866</v>
      </c>
      <c r="T310" s="683" t="s">
        <v>2867</v>
      </c>
      <c r="U310" s="683" t="s">
        <v>2868</v>
      </c>
      <c r="V310" s="683" t="s">
        <v>146</v>
      </c>
      <c r="W310" s="683" t="s">
        <v>914</v>
      </c>
      <c r="X310" s="691" t="s">
        <v>918</v>
      </c>
      <c r="Y310" s="687">
        <v>3004336196</v>
      </c>
      <c r="Z310" s="692"/>
      <c r="AA310" s="683" t="s">
        <v>33</v>
      </c>
      <c r="AB310" s="683" t="s">
        <v>34</v>
      </c>
      <c r="AC310" s="683" t="s">
        <v>230</v>
      </c>
      <c r="AD310" s="683"/>
      <c r="AE310" s="683"/>
      <c r="AF310" s="684">
        <v>2204.3000000000002</v>
      </c>
      <c r="AG310" s="683" t="s">
        <v>243</v>
      </c>
      <c r="AH310" s="683" t="s">
        <v>220</v>
      </c>
      <c r="AI310" s="683" t="s">
        <v>33</v>
      </c>
      <c r="AJ310" s="683">
        <v>3004346824</v>
      </c>
      <c r="AK310" s="683" t="s">
        <v>33</v>
      </c>
      <c r="AL310" s="683">
        <v>10630720</v>
      </c>
      <c r="AM310" s="683"/>
      <c r="AN310" s="683"/>
      <c r="AO310" s="683"/>
      <c r="AP310" s="683" t="s">
        <v>240</v>
      </c>
      <c r="AQ310" s="688" t="str">
        <f>CONCATENATE("REG-",BDEGENER[[#This Row],[FECHA DE SERVICIO]],"-",BDEGENER[[#This Row],[SERIE]],"-",BDEGENER[[#This Row],[HORAS]])</f>
        <v>REG-44046-3004336196-2204,3</v>
      </c>
      <c r="AR310" s="683" t="str">
        <f>CONCATENATE("MARCA: ",BDEGENER[[#This Row],[MARCA]],"
 MODELO: ",BDEGENER[[#This Row],[MODELO]])</f>
        <v>MARCA: GENERAC
 MODELO: PG090</v>
      </c>
      <c r="AS310" s="683" t="str">
        <f>CONCATENATE("MARCA: ",BDEGENER[[#This Row],[MARCA DE MOTOR]],"
SERIE: ",BDEGENER[[#This Row],[SERIE DE MOTOR]])</f>
        <v>MARCA: GENERAC
SERIE: 3004346824</v>
      </c>
      <c r="AT310" s="683" t="str">
        <f>CONCATENATE("MARCA: ",BDEGENER[[#This Row],[MARCA ALTERNADOR ]],"
SERIE: ",BDEGENER[[#This Row],[SERIE DE ALTERNADOR]])</f>
        <v>MARCA: GENERAC
SERIE: 10630720</v>
      </c>
      <c r="AU310" s="683" t="str">
        <f>CONCATENATE("HORAS: ",BDEGENER[[#This Row],[HORAS]],"
KW-HR: ",BDEGENER[[#This Row],[KW-HORA]],"
VOLT.BATERIA: ",BDEGENER[[#This Row],[VOLTAJE DE BATERIA]],"
TEMPERATURA: ",BDEGENER[[#This Row],[TEMPERATURA DE AGUA]],"
PRES. ACEITE: ",BDEGENER[[#This Row],[PRESION DE ACEITE]])</f>
        <v xml:space="preserve">HORAS: 2204,3
KW-HR: 
VOLT.BATERIA: 
TEMPERATURA: 
PRES. ACEITE: </v>
      </c>
      <c r="AV310" s="761">
        <f>COUNTIFS(Q310:Q2310,"MANTENIMIENTO CORRECTIVO",Y310:Y2310,BDEGENER[[#This Row],[SERIE]])</f>
        <v>3</v>
      </c>
      <c r="AW310" s="761">
        <f>COUNTIFS(Q310:Q2310,"MANTENIMIENTO PREVENTIVO",Y310:Y2310,BDEGENER[[#This Row],[SERIE]])</f>
        <v>6</v>
      </c>
      <c r="AX31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310" s="683">
        <f>COUNTIFS(BDEGENER[SERIE],BDEGENER[[#This Row],[SERIE]],BDEGENER[TIPO DE SERVICIO],"MANTENIMIENTO PREVENTIVO")</f>
        <v>9</v>
      </c>
      <c r="AZ310" s="683" t="str">
        <f>CONCATENATE("MANTENIMIENTO PREVENTIVO N°",BDEGENER[[#This Row],[GA1]])</f>
        <v>MANTENIMIENTO PREVENTIVO N°9</v>
      </c>
      <c r="BA310" s="683" t="str">
        <f>IF(BDEGENER[[#This Row],[SERVICIO]]=BDEGENER[[#This Row],[GA2]],BDEGENER[[#This Row],[HORAS]],"0")</f>
        <v>0</v>
      </c>
      <c r="BB310" s="683">
        <f>SUMIF(BDEGENER[SERIE],BDEGENER[[#This Row],[SERIE]],BDEGENER[GA3])</f>
        <v>3148.2</v>
      </c>
      <c r="BC310" s="761" t="str">
        <f>CONCATENATE("MANT",COUNTIF($Y$7:Y310,Y310))</f>
        <v>MANT4</v>
      </c>
      <c r="BD310" s="683" t="str">
        <f>CONCATENATE(BDEGENER[[#This Row],[SERIE]],BDEGENER[[#This Row],[GA5]])</f>
        <v>3004336196MANT4</v>
      </c>
      <c r="BE310" s="683" t="str">
        <f>CONCATENATE(BDEGENER[[#This Row],[CODIGO PATRIMONIAL]],BDEGENER[[#This Row],[GA5]])</f>
        <v>MANT4</v>
      </c>
      <c r="BF310" s="683">
        <f>COUNTIF(BDEGENER[SERIE],BDEGENER[[#This Row],[SERIE]])</f>
        <v>13</v>
      </c>
      <c r="BG310" s="761" t="str">
        <f>CONCATENATE("F",COUNTIF($K$7:K310,K310))</f>
        <v>F4</v>
      </c>
      <c r="BH310" s="683" t="str">
        <f>CONCATENATE(BDEGENER[[#This Row],[FECHA DE SERVICIO]],BDEGENER[[#This Row],[N° DE REGISTROS DEL DIA]])</f>
        <v>44046F4</v>
      </c>
      <c r="BI310" s="684"/>
      <c r="BJ310" s="683" t="s">
        <v>1544</v>
      </c>
      <c r="BK310" s="762"/>
    </row>
    <row r="311" spans="2:63" ht="69" hidden="1" x14ac:dyDescent="0.3">
      <c r="B311" s="2"/>
      <c r="C311" s="2"/>
      <c r="D311" s="2"/>
      <c r="E311" s="2"/>
      <c r="F311" s="2"/>
      <c r="G311" s="2"/>
      <c r="H311" s="2"/>
      <c r="I311" s="2"/>
      <c r="J311" s="685"/>
      <c r="K311" s="682">
        <v>44044</v>
      </c>
      <c r="L311" s="683" t="s">
        <v>181</v>
      </c>
      <c r="M311" s="683" t="s">
        <v>187</v>
      </c>
      <c r="N311" s="683" t="s">
        <v>183</v>
      </c>
      <c r="O311" s="683">
        <v>4500873022</v>
      </c>
      <c r="P311" s="683" t="s">
        <v>2856</v>
      </c>
      <c r="Q311" s="683" t="s">
        <v>37</v>
      </c>
      <c r="R311" s="683" t="s">
        <v>1782</v>
      </c>
      <c r="S311" s="686" t="s">
        <v>2857</v>
      </c>
      <c r="T311" s="683" t="s">
        <v>2858</v>
      </c>
      <c r="U311" s="683" t="s">
        <v>2859</v>
      </c>
      <c r="V311" s="683" t="s">
        <v>146</v>
      </c>
      <c r="W311" s="683" t="s">
        <v>914</v>
      </c>
      <c r="X311" s="691" t="s">
        <v>918</v>
      </c>
      <c r="Y311" s="687">
        <v>3004214491</v>
      </c>
      <c r="Z311" s="692"/>
      <c r="AA311" s="683" t="s">
        <v>33</v>
      </c>
      <c r="AB311" s="683" t="s">
        <v>34</v>
      </c>
      <c r="AC311" s="683" t="s">
        <v>230</v>
      </c>
      <c r="AD311" s="683" t="s">
        <v>1110</v>
      </c>
      <c r="AE311" s="683">
        <v>60</v>
      </c>
      <c r="AF311" s="684">
        <v>1955.9</v>
      </c>
      <c r="AG311" s="683" t="s">
        <v>243</v>
      </c>
      <c r="AH311" s="683" t="s">
        <v>244</v>
      </c>
      <c r="AI311" s="683" t="s">
        <v>33</v>
      </c>
      <c r="AJ311" s="683">
        <v>3004133600</v>
      </c>
      <c r="AK311" s="683" t="s">
        <v>33</v>
      </c>
      <c r="AL311" s="683">
        <v>1063014</v>
      </c>
      <c r="AM311" s="683" t="s">
        <v>1121</v>
      </c>
      <c r="AN311" s="683" t="s">
        <v>1143</v>
      </c>
      <c r="AO311" s="683" t="s">
        <v>1166</v>
      </c>
      <c r="AP311" s="683" t="s">
        <v>240</v>
      </c>
      <c r="AQ311" s="683" t="str">
        <f>CONCATENATE("REG-",BDEGENER[[#This Row],[FECHA DE SERVICIO]],"-",BDEGENER[[#This Row],[SERIE]],"-",BDEGENER[[#This Row],[HORAS]])</f>
        <v>REG-44044-3004214491-1955,9</v>
      </c>
      <c r="AR311" s="683" t="str">
        <f>CONCATENATE("MARCA: ",BDEGENER[[#This Row],[MARCA]],"
 MODELO: ",BDEGENER[[#This Row],[MODELO]])</f>
        <v>MARCA: GENERAC
 MODELO: PG090</v>
      </c>
      <c r="AS311" s="683" t="str">
        <f>CONCATENATE("MARCA: ",BDEGENER[[#This Row],[MARCA DE MOTOR]],"
SERIE: ",BDEGENER[[#This Row],[SERIE DE MOTOR]])</f>
        <v>MARCA: GENERAC
SERIE: 3004133600</v>
      </c>
      <c r="AT311" s="683" t="str">
        <f>CONCATENATE("MARCA: ",BDEGENER[[#This Row],[MARCA ALTERNADOR ]],"
SERIE: ",BDEGENER[[#This Row],[SERIE DE ALTERNADOR]])</f>
        <v>MARCA: GENERAC
SERIE: 1063014</v>
      </c>
      <c r="AU311" s="683" t="str">
        <f>CONCATENATE("HORAS: ",BDEGENER[[#This Row],[HORAS]],"
KW-HR: ",BDEGENER[[#This Row],[KW-HORA]],"
VOLT.BATERIA: ",BDEGENER[[#This Row],[VOLTAJE DE BATERIA]],"
TEMPERATURA: ",BDEGENER[[#This Row],[TEMPERATURA DE AGUA]],"
PRES. ACEITE: ",BDEGENER[[#This Row],[PRESION DE ACEITE]])</f>
        <v>HORAS: 1955,9
KW-HR: 25810,4
VOLT.BATERIA: 13.7 V
TEMPERATURA: 197 °F
PRES. ACEITE: 57 PSI</v>
      </c>
      <c r="AV311" s="683">
        <f>COUNTIFS(Q311:Q2311,"MANTENIMIENTO CORRECTIVO",Y311:Y2311,BDEGENER[[#This Row],[SERIE]])</f>
        <v>4</v>
      </c>
      <c r="AW311" s="683">
        <f>COUNTIFS(Q311:Q2311,"MANTENIMIENTO PREVENTIVO",Y311:Y2311,BDEGENER[[#This Row],[SERIE]])</f>
        <v>7</v>
      </c>
      <c r="AX31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11" s="683">
        <f>COUNTIFS(BDEGENER[SERIE],BDEGENER[[#This Row],[SERIE]],BDEGENER[TIPO DE SERVICIO],"MANTENIMIENTO PREVENTIVO")</f>
        <v>9</v>
      </c>
      <c r="AZ311" s="683" t="str">
        <f>CONCATENATE("MANTENIMIENTO PREVENTIVO N°",BDEGENER[[#This Row],[GA1]])</f>
        <v>MANTENIMIENTO PREVENTIVO N°9</v>
      </c>
      <c r="BA311" s="683" t="str">
        <f>IF(BDEGENER[[#This Row],[SERVICIO]]=BDEGENER[[#This Row],[GA2]],BDEGENER[[#This Row],[HORAS]],"0")</f>
        <v>0</v>
      </c>
      <c r="BB311" s="683">
        <f>SUMIF(BDEGENER[SERIE],BDEGENER[[#This Row],[SERIE]],BDEGENER[GA3])</f>
        <v>2751</v>
      </c>
      <c r="BC311" s="683" t="str">
        <f>CONCATENATE("MANT",COUNTIF($Y$7:Y311,Y311))</f>
        <v>MANT6</v>
      </c>
      <c r="BD311" s="683" t="str">
        <f>CONCATENATE(BDEGENER[[#This Row],[SERIE]],BDEGENER[[#This Row],[GA5]])</f>
        <v>3004214491MANT6</v>
      </c>
      <c r="BE311" s="683" t="str">
        <f>CONCATENATE(BDEGENER[[#This Row],[CODIGO PATRIMONIAL]],BDEGENER[[#This Row],[GA5]])</f>
        <v>MANT6</v>
      </c>
      <c r="BF311" s="683">
        <f>COUNTIF(BDEGENER[SERIE],BDEGENER[[#This Row],[SERIE]])</f>
        <v>18</v>
      </c>
      <c r="BG311" s="683" t="str">
        <f>CONCATENATE("F",COUNTIF($K$7:K311,K311))</f>
        <v>F1</v>
      </c>
      <c r="BH311" s="683" t="str">
        <f>CONCATENATE(BDEGENER[[#This Row],[FECHA DE SERVICIO]],BDEGENER[[#This Row],[N° DE REGISTROS DEL DIA]])</f>
        <v>44044F1</v>
      </c>
      <c r="BI311" s="684">
        <v>25810.400000000001</v>
      </c>
      <c r="BJ311" s="683" t="s">
        <v>1544</v>
      </c>
      <c r="BK311" s="762" t="s">
        <v>2860</v>
      </c>
    </row>
    <row r="312" spans="2:63" ht="69" hidden="1" x14ac:dyDescent="0.3">
      <c r="B312" s="2"/>
      <c r="C312" s="2"/>
      <c r="D312" s="2"/>
      <c r="E312" s="2"/>
      <c r="F312" s="2"/>
      <c r="G312" s="2"/>
      <c r="H312" s="2"/>
      <c r="I312" s="2"/>
      <c r="J312" s="685"/>
      <c r="K312" s="682">
        <v>44044</v>
      </c>
      <c r="L312" s="683" t="s">
        <v>561</v>
      </c>
      <c r="M312" s="683" t="s">
        <v>583</v>
      </c>
      <c r="N312" s="683" t="s">
        <v>578</v>
      </c>
      <c r="O312" s="683"/>
      <c r="P312" s="688" t="s">
        <v>3174</v>
      </c>
      <c r="Q312" s="683" t="s">
        <v>37</v>
      </c>
      <c r="R312" s="683" t="s">
        <v>1782</v>
      </c>
      <c r="S312" s="686" t="s">
        <v>2892</v>
      </c>
      <c r="T312" s="683" t="s">
        <v>3175</v>
      </c>
      <c r="U312" s="683" t="s">
        <v>2484</v>
      </c>
      <c r="V312" s="683" t="s">
        <v>677</v>
      </c>
      <c r="W312" s="683" t="s">
        <v>913</v>
      </c>
      <c r="X312" s="691" t="s">
        <v>918</v>
      </c>
      <c r="Y312" s="687">
        <v>3003415539</v>
      </c>
      <c r="Z312" s="692" t="s">
        <v>2600</v>
      </c>
      <c r="AA312" s="683" t="s">
        <v>33</v>
      </c>
      <c r="AB312" s="683" t="s">
        <v>217</v>
      </c>
      <c r="AC312" s="683" t="s">
        <v>749</v>
      </c>
      <c r="AD312" s="683" t="s">
        <v>1123</v>
      </c>
      <c r="AE312" s="683">
        <v>60</v>
      </c>
      <c r="AF312" s="684">
        <v>5292.7</v>
      </c>
      <c r="AG312" s="683" t="s">
        <v>243</v>
      </c>
      <c r="AH312" s="683" t="s">
        <v>1803</v>
      </c>
      <c r="AI312" s="683" t="s">
        <v>2553</v>
      </c>
      <c r="AJ312" s="683"/>
      <c r="AK312" s="683" t="s">
        <v>33</v>
      </c>
      <c r="AL312" s="683"/>
      <c r="AM312" s="683" t="s">
        <v>245</v>
      </c>
      <c r="AN312" s="683"/>
      <c r="AO312" s="683"/>
      <c r="AP312" s="683" t="s">
        <v>240</v>
      </c>
      <c r="AQ312" s="688" t="str">
        <f>CONCATENATE("REG-",BDEGENER[[#This Row],[FECHA DE SERVICIO]],"-",BDEGENER[[#This Row],[SERIE]],"-",BDEGENER[[#This Row],[HORAS]])</f>
        <v>REG-44044-3003415539-5292,7</v>
      </c>
      <c r="AR312" s="683" t="str">
        <f>CONCATENATE("MARCA: ",BDEGENER[[#This Row],[MARCA]],"
 MODELO: ",BDEGENER[[#This Row],[MODELO]])</f>
        <v>MARCA: GENERAC
 MODELO: RG022</v>
      </c>
      <c r="AS312" s="683" t="str">
        <f>CONCATENATE("MARCA: ",BDEGENER[[#This Row],[MARCA DE MOTOR]],"
SERIE: ",BDEGENER[[#This Row],[SERIE DE MOTOR]])</f>
        <v xml:space="preserve">MARCA: MITSUBISHI
SERIE: </v>
      </c>
      <c r="AT312" s="683" t="str">
        <f>CONCATENATE("MARCA: ",BDEGENER[[#This Row],[MARCA ALTERNADOR ]],"
SERIE: ",BDEGENER[[#This Row],[SERIE DE ALTERNADOR]])</f>
        <v xml:space="preserve">MARCA: GENERAC
SERIE: </v>
      </c>
      <c r="AU312" s="683" t="str">
        <f>CONCATENATE("HORAS: ",BDEGENER[[#This Row],[HORAS]],"
KW-HR: ",BDEGENER[[#This Row],[KW-HORA]],"
VOLT.BATERIA: ",BDEGENER[[#This Row],[VOLTAJE DE BATERIA]],"
TEMPERATURA: ",BDEGENER[[#This Row],[TEMPERATURA DE AGUA]],"
PRES. ACEITE: ",BDEGENER[[#This Row],[PRESION DE ACEITE]])</f>
        <v xml:space="preserve">HORAS: 5292,7
KW-HR: 
VOLT.BATERIA: 13.6 V
TEMPERATURA: 
PRES. ACEITE: </v>
      </c>
      <c r="AV312" s="683">
        <f>COUNTIFS(Q312:Q2312,"MANTENIMIENTO CORRECTIVO",Y312:Y2312,BDEGENER[[#This Row],[SERIE]])</f>
        <v>2</v>
      </c>
      <c r="AW312" s="683">
        <f>COUNTIFS(Q312:Q2312,"MANTENIMIENTO PREVENTIVO",Y312:Y2312,BDEGENER[[#This Row],[SERIE]])</f>
        <v>8</v>
      </c>
      <c r="AX31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312" s="683">
        <f>COUNTIFS(BDEGENER[SERIE],BDEGENER[[#This Row],[SERIE]],BDEGENER[TIPO DE SERVICIO],"MANTENIMIENTO PREVENTIVO")</f>
        <v>11</v>
      </c>
      <c r="AZ312" s="683" t="str">
        <f>CONCATENATE("MANTENIMIENTO PREVENTIVO N°",BDEGENER[[#This Row],[GA1]])</f>
        <v>MANTENIMIENTO PREVENTIVO N°11</v>
      </c>
      <c r="BA312" s="683" t="str">
        <f>IF(BDEGENER[[#This Row],[SERVICIO]]=BDEGENER[[#This Row],[GA2]],BDEGENER[[#This Row],[HORAS]],"0")</f>
        <v>0</v>
      </c>
      <c r="BB312" s="683">
        <f>SUMIF(BDEGENER[SERIE],BDEGENER[[#This Row],[SERIE]],BDEGENER[GA3])</f>
        <v>5881.6</v>
      </c>
      <c r="BC312" s="683" t="str">
        <f>CONCATENATE("MANT",COUNTIF($Y$7:Y312,Y312))</f>
        <v>MANT6</v>
      </c>
      <c r="BD312" s="683" t="str">
        <f>CONCATENATE(BDEGENER[[#This Row],[SERIE]],BDEGENER[[#This Row],[GA5]])</f>
        <v>3003415539MANT6</v>
      </c>
      <c r="BE312" s="683" t="str">
        <f>CONCATENATE(BDEGENER[[#This Row],[CODIGO PATRIMONIAL]],BDEGENER[[#This Row],[GA5]])</f>
        <v>SUR-GEG-0004MANT6</v>
      </c>
      <c r="BF312" s="683">
        <f>COUNTIF(BDEGENER[SERIE],BDEGENER[[#This Row],[SERIE]])</f>
        <v>16</v>
      </c>
      <c r="BG312" s="683" t="str">
        <f>CONCATENATE("F",COUNTIF($K$7:K312,K312))</f>
        <v>F2</v>
      </c>
      <c r="BH312" s="683" t="str">
        <f>CONCATENATE(BDEGENER[[#This Row],[FECHA DE SERVICIO]],BDEGENER[[#This Row],[N° DE REGISTROS DEL DIA]])</f>
        <v>44044F2</v>
      </c>
      <c r="BI312" s="684"/>
      <c r="BJ312" s="683" t="s">
        <v>1544</v>
      </c>
      <c r="BK312" s="762"/>
    </row>
    <row r="313" spans="2:63" ht="69" hidden="1" x14ac:dyDescent="0.3">
      <c r="B313" s="2"/>
      <c r="C313" s="2"/>
      <c r="D313" s="2"/>
      <c r="E313" s="2"/>
      <c r="F313" s="2"/>
      <c r="G313" s="2"/>
      <c r="H313" s="2"/>
      <c r="I313" s="2"/>
      <c r="J313" s="685"/>
      <c r="K313" s="682">
        <v>44044</v>
      </c>
      <c r="L313" s="683" t="s">
        <v>561</v>
      </c>
      <c r="M313" s="683" t="s">
        <v>577</v>
      </c>
      <c r="N313" s="683" t="s">
        <v>578</v>
      </c>
      <c r="O313" s="683"/>
      <c r="P313" s="688" t="s">
        <v>3171</v>
      </c>
      <c r="Q313" s="683" t="s">
        <v>37</v>
      </c>
      <c r="R313" s="683"/>
      <c r="S313" s="686" t="s">
        <v>3172</v>
      </c>
      <c r="T313" s="683" t="s">
        <v>3173</v>
      </c>
      <c r="U313" s="683" t="s">
        <v>2884</v>
      </c>
      <c r="V313" s="683" t="s">
        <v>677</v>
      </c>
      <c r="W313" s="683" t="s">
        <v>913</v>
      </c>
      <c r="X313" s="691" t="s">
        <v>918</v>
      </c>
      <c r="Y313" s="687">
        <v>3003415536</v>
      </c>
      <c r="Z313" s="692" t="s">
        <v>2604</v>
      </c>
      <c r="AA313" s="683" t="s">
        <v>33</v>
      </c>
      <c r="AB313" s="683" t="s">
        <v>217</v>
      </c>
      <c r="AC313" s="683" t="s">
        <v>749</v>
      </c>
      <c r="AD313" s="683" t="s">
        <v>1123</v>
      </c>
      <c r="AE313" s="683">
        <v>60.2</v>
      </c>
      <c r="AF313" s="684">
        <v>4664.3999999999996</v>
      </c>
      <c r="AG313" s="683" t="s">
        <v>243</v>
      </c>
      <c r="AH313" s="683" t="s">
        <v>1803</v>
      </c>
      <c r="AI313" s="683" t="s">
        <v>2553</v>
      </c>
      <c r="AJ313" s="683"/>
      <c r="AK313" s="683" t="s">
        <v>33</v>
      </c>
      <c r="AL313" s="683"/>
      <c r="AM313" s="683" t="s">
        <v>1145</v>
      </c>
      <c r="AN313" s="683"/>
      <c r="AO313" s="683"/>
      <c r="AP313" s="683" t="s">
        <v>240</v>
      </c>
      <c r="AQ313" s="688" t="str">
        <f>CONCATENATE("REG-",BDEGENER[[#This Row],[FECHA DE SERVICIO]],"-",BDEGENER[[#This Row],[SERIE]],"-",BDEGENER[[#This Row],[HORAS]])</f>
        <v>REG-44044-3003415536-4664,4</v>
      </c>
      <c r="AR313" s="683" t="str">
        <f>CONCATENATE("MARCA: ",BDEGENER[[#This Row],[MARCA]],"
 MODELO: ",BDEGENER[[#This Row],[MODELO]])</f>
        <v>MARCA: GENERAC
 MODELO: RG022</v>
      </c>
      <c r="AS313" s="683" t="str">
        <f>CONCATENATE("MARCA: ",BDEGENER[[#This Row],[MARCA DE MOTOR]],"
SERIE: ",BDEGENER[[#This Row],[SERIE DE MOTOR]])</f>
        <v xml:space="preserve">MARCA: MITSUBISHI
SERIE: </v>
      </c>
      <c r="AT313" s="683" t="str">
        <f>CONCATENATE("MARCA: ",BDEGENER[[#This Row],[MARCA ALTERNADOR ]],"
SERIE: ",BDEGENER[[#This Row],[SERIE DE ALTERNADOR]])</f>
        <v xml:space="preserve">MARCA: GENERAC
SERIE: </v>
      </c>
      <c r="AU313" s="683" t="str">
        <f>CONCATENATE("HORAS: ",BDEGENER[[#This Row],[HORAS]],"
KW-HR: ",BDEGENER[[#This Row],[KW-HORA]],"
VOLT.BATERIA: ",BDEGENER[[#This Row],[VOLTAJE DE BATERIA]],"
TEMPERATURA: ",BDEGENER[[#This Row],[TEMPERATURA DE AGUA]],"
PRES. ACEITE: ",BDEGENER[[#This Row],[PRESION DE ACEITE]])</f>
        <v xml:space="preserve">HORAS: 4664,4
KW-HR: 
VOLT.BATERIA: 13.4 V
TEMPERATURA: 
PRES. ACEITE: </v>
      </c>
      <c r="AV313" s="761">
        <f>COUNTIFS(Q313:Q2313,"MANTENIMIENTO CORRECTIVO",Y313:Y2313,BDEGENER[[#This Row],[SERIE]])</f>
        <v>0</v>
      </c>
      <c r="AW313" s="761">
        <f>COUNTIFS(Q313:Q2313,"MANTENIMIENTO PREVENTIVO",Y313:Y2313,BDEGENER[[#This Row],[SERIE]])</f>
        <v>5</v>
      </c>
      <c r="AX31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13" s="683">
        <f>COUNTIFS(BDEGENER[SERIE],BDEGENER[[#This Row],[SERIE]],BDEGENER[TIPO DE SERVICIO],"MANTENIMIENTO PREVENTIVO")</f>
        <v>10</v>
      </c>
      <c r="AZ313" s="683" t="str">
        <f>CONCATENATE("MANTENIMIENTO PREVENTIVO N°",BDEGENER[[#This Row],[GA1]])</f>
        <v>MANTENIMIENTO PREVENTIVO N°10</v>
      </c>
      <c r="BA313" s="683" t="str">
        <f>IF(BDEGENER[[#This Row],[SERVICIO]]=BDEGENER[[#This Row],[GA2]],BDEGENER[[#This Row],[HORAS]],"0")</f>
        <v>0</v>
      </c>
      <c r="BB313" s="683">
        <f>SUMIF(BDEGENER[SERIE],BDEGENER[[#This Row],[SERIE]],BDEGENER[GA3])</f>
        <v>5559.8</v>
      </c>
      <c r="BC313" s="761" t="str">
        <f>CONCATENATE("MANT",COUNTIF($Y$7:Y313,Y313))</f>
        <v>MANT7</v>
      </c>
      <c r="BD313" s="683" t="str">
        <f>CONCATENATE(BDEGENER[[#This Row],[SERIE]],BDEGENER[[#This Row],[GA5]])</f>
        <v>3003415536MANT7</v>
      </c>
      <c r="BE313" s="683" t="str">
        <f>CONCATENATE(BDEGENER[[#This Row],[CODIGO PATRIMONIAL]],BDEGENER[[#This Row],[GA5]])</f>
        <v>SUR-GEG-0008MANT7</v>
      </c>
      <c r="BF313" s="683">
        <f>COUNTIF(BDEGENER[SERIE],BDEGENER[[#This Row],[SERIE]])</f>
        <v>12</v>
      </c>
      <c r="BG313" s="761" t="str">
        <f>CONCATENATE("F",COUNTIF($K$7:K313,K313))</f>
        <v>F3</v>
      </c>
      <c r="BH313" s="683" t="str">
        <f>CONCATENATE(BDEGENER[[#This Row],[FECHA DE SERVICIO]],BDEGENER[[#This Row],[N° DE REGISTROS DEL DIA]])</f>
        <v>44044F3</v>
      </c>
      <c r="BI313" s="684"/>
      <c r="BJ313" s="683" t="s">
        <v>1544</v>
      </c>
      <c r="BK313" s="762"/>
    </row>
    <row r="314" spans="2:63" ht="69" hidden="1" x14ac:dyDescent="0.3">
      <c r="B314" s="2"/>
      <c r="C314" s="2"/>
      <c r="D314" s="2"/>
      <c r="E314" s="2"/>
      <c r="F314" s="2"/>
      <c r="G314" s="2"/>
      <c r="H314" s="2"/>
      <c r="I314" s="2"/>
      <c r="J314" s="685"/>
      <c r="K314" s="682">
        <v>44044</v>
      </c>
      <c r="L314" s="683" t="s">
        <v>561</v>
      </c>
      <c r="M314" s="683" t="s">
        <v>582</v>
      </c>
      <c r="N314" s="683" t="s">
        <v>578</v>
      </c>
      <c r="O314" s="683"/>
      <c r="P314" s="688" t="s">
        <v>3167</v>
      </c>
      <c r="Q314" s="683" t="s">
        <v>37</v>
      </c>
      <c r="R314" s="683" t="s">
        <v>1782</v>
      </c>
      <c r="S314" s="686" t="s">
        <v>3168</v>
      </c>
      <c r="T314" s="683" t="s">
        <v>3169</v>
      </c>
      <c r="U314" s="683" t="s">
        <v>3170</v>
      </c>
      <c r="V314" s="683" t="s">
        <v>677</v>
      </c>
      <c r="W314" s="683" t="s">
        <v>913</v>
      </c>
      <c r="X314" s="691" t="s">
        <v>918</v>
      </c>
      <c r="Y314" s="687">
        <v>3003415544</v>
      </c>
      <c r="Z314" s="692" t="s">
        <v>2601</v>
      </c>
      <c r="AA314" s="683" t="s">
        <v>33</v>
      </c>
      <c r="AB314" s="683" t="s">
        <v>217</v>
      </c>
      <c r="AC314" s="683" t="s">
        <v>749</v>
      </c>
      <c r="AD314" s="683" t="s">
        <v>1123</v>
      </c>
      <c r="AE314" s="683">
        <v>60</v>
      </c>
      <c r="AF314" s="684">
        <v>4962.3999999999996</v>
      </c>
      <c r="AG314" s="683" t="s">
        <v>243</v>
      </c>
      <c r="AH314" s="683" t="s">
        <v>1803</v>
      </c>
      <c r="AI314" s="683" t="s">
        <v>2553</v>
      </c>
      <c r="AJ314" s="683"/>
      <c r="AK314" s="683" t="s">
        <v>33</v>
      </c>
      <c r="AL314" s="683"/>
      <c r="AM314" s="683" t="s">
        <v>1094</v>
      </c>
      <c r="AN314" s="683"/>
      <c r="AO314" s="683"/>
      <c r="AP314" s="683" t="s">
        <v>240</v>
      </c>
      <c r="AQ314" s="688" t="str">
        <f>CONCATENATE("REG-",BDEGENER[[#This Row],[FECHA DE SERVICIO]],"-",BDEGENER[[#This Row],[SERIE]],"-",BDEGENER[[#This Row],[HORAS]])</f>
        <v>REG-44044-3003415544-4962,4</v>
      </c>
      <c r="AR314" s="683" t="str">
        <f>CONCATENATE("MARCA: ",BDEGENER[[#This Row],[MARCA]],"
 MODELO: ",BDEGENER[[#This Row],[MODELO]])</f>
        <v>MARCA: GENERAC
 MODELO: RG022</v>
      </c>
      <c r="AS314" s="683" t="str">
        <f>CONCATENATE("MARCA: ",BDEGENER[[#This Row],[MARCA DE MOTOR]],"
SERIE: ",BDEGENER[[#This Row],[SERIE DE MOTOR]])</f>
        <v xml:space="preserve">MARCA: MITSUBISHI
SERIE: </v>
      </c>
      <c r="AT314" s="683" t="str">
        <f>CONCATENATE("MARCA: ",BDEGENER[[#This Row],[MARCA ALTERNADOR ]],"
SERIE: ",BDEGENER[[#This Row],[SERIE DE ALTERNADOR]])</f>
        <v xml:space="preserve">MARCA: GENERAC
SERIE: </v>
      </c>
      <c r="AU314" s="683" t="str">
        <f>CONCATENATE("HORAS: ",BDEGENER[[#This Row],[HORAS]],"
KW-HR: ",BDEGENER[[#This Row],[KW-HORA]],"
VOLT.BATERIA: ",BDEGENER[[#This Row],[VOLTAJE DE BATERIA]],"
TEMPERATURA: ",BDEGENER[[#This Row],[TEMPERATURA DE AGUA]],"
PRES. ACEITE: ",BDEGENER[[#This Row],[PRESION DE ACEITE]])</f>
        <v xml:space="preserve">HORAS: 4962,4
KW-HR: 
VOLT.BATERIA: 13.5 V
TEMPERATURA: 
PRES. ACEITE: </v>
      </c>
      <c r="AV314" s="683">
        <f>COUNTIFS(Q314:Q2314,"MANTENIMIENTO CORRECTIVO",Y314:Y2314,BDEGENER[[#This Row],[SERIE]])</f>
        <v>0</v>
      </c>
      <c r="AW314" s="683">
        <f>COUNTIFS(Q314:Q2314,"MANTENIMIENTO PREVENTIVO",Y314:Y2314,BDEGENER[[#This Row],[SERIE]])</f>
        <v>7</v>
      </c>
      <c r="AX31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14" s="683">
        <f>COUNTIFS(BDEGENER[SERIE],BDEGENER[[#This Row],[SERIE]],BDEGENER[TIPO DE SERVICIO],"MANTENIMIENTO PREVENTIVO")</f>
        <v>9</v>
      </c>
      <c r="AZ314" s="683" t="str">
        <f>CONCATENATE("MANTENIMIENTO PREVENTIVO N°",BDEGENER[[#This Row],[GA1]])</f>
        <v>MANTENIMIENTO PREVENTIVO N°9</v>
      </c>
      <c r="BA314" s="683" t="str">
        <f>IF(BDEGENER[[#This Row],[SERVICIO]]=BDEGENER[[#This Row],[GA2]],BDEGENER[[#This Row],[HORAS]],"0")</f>
        <v>0</v>
      </c>
      <c r="BB314" s="683">
        <f>SUMIF(BDEGENER[SERIE],BDEGENER[[#This Row],[SERIE]],BDEGENER[GA3])</f>
        <v>5449.4</v>
      </c>
      <c r="BC314" s="683" t="str">
        <f>CONCATENATE("MANT",COUNTIF($Y$7:Y314,Y314))</f>
        <v>MANT6</v>
      </c>
      <c r="BD314" s="683" t="str">
        <f>CONCATENATE(BDEGENER[[#This Row],[SERIE]],BDEGENER[[#This Row],[GA5]])</f>
        <v>3003415544MANT6</v>
      </c>
      <c r="BE314" s="683" t="str">
        <f>CONCATENATE(BDEGENER[[#This Row],[CODIGO PATRIMONIAL]],BDEGENER[[#This Row],[GA5]])</f>
        <v>SUR-GEG-0005MANT6</v>
      </c>
      <c r="BF314" s="683">
        <f>COUNTIF(BDEGENER[SERIE],BDEGENER[[#This Row],[SERIE]])</f>
        <v>13</v>
      </c>
      <c r="BG314" s="683" t="str">
        <f>CONCATENATE("F",COUNTIF($K$7:K314,K314))</f>
        <v>F4</v>
      </c>
      <c r="BH314" s="683" t="str">
        <f>CONCATENATE(BDEGENER[[#This Row],[FECHA DE SERVICIO]],BDEGENER[[#This Row],[N° DE REGISTROS DEL DIA]])</f>
        <v>44044F4</v>
      </c>
      <c r="BI314" s="684"/>
      <c r="BJ314" s="683" t="s">
        <v>1544</v>
      </c>
      <c r="BK314" s="762"/>
    </row>
    <row r="315" spans="2:63" ht="69" hidden="1" x14ac:dyDescent="0.3">
      <c r="B315" s="2"/>
      <c r="C315" s="2"/>
      <c r="D315" s="2"/>
      <c r="E315" s="2"/>
      <c r="F315" s="2"/>
      <c r="G315" s="2"/>
      <c r="H315" s="2"/>
      <c r="I315" s="2"/>
      <c r="J315" s="685"/>
      <c r="K315" s="682">
        <v>44043</v>
      </c>
      <c r="L315" s="683" t="s">
        <v>561</v>
      </c>
      <c r="M315" s="683" t="s">
        <v>588</v>
      </c>
      <c r="N315" s="683" t="s">
        <v>589</v>
      </c>
      <c r="O315" s="683"/>
      <c r="P315" s="688" t="s">
        <v>3214</v>
      </c>
      <c r="Q315" s="683" t="s">
        <v>37</v>
      </c>
      <c r="R315" s="683" t="s">
        <v>1782</v>
      </c>
      <c r="S315" s="686" t="s">
        <v>3216</v>
      </c>
      <c r="T315" s="683" t="s">
        <v>3217</v>
      </c>
      <c r="U315" s="683" t="s">
        <v>3215</v>
      </c>
      <c r="V315" s="683" t="s">
        <v>149</v>
      </c>
      <c r="W315" s="683" t="s">
        <v>914</v>
      </c>
      <c r="X315" s="691" t="s">
        <v>918</v>
      </c>
      <c r="Y315" s="687">
        <v>3003566699</v>
      </c>
      <c r="Z315" s="692" t="s">
        <v>2619</v>
      </c>
      <c r="AA315" s="683" t="s">
        <v>33</v>
      </c>
      <c r="AB315" s="683" t="s">
        <v>34</v>
      </c>
      <c r="AC315" s="683" t="s">
        <v>230</v>
      </c>
      <c r="AD315" s="683" t="s">
        <v>1123</v>
      </c>
      <c r="AE315" s="683">
        <v>60.9</v>
      </c>
      <c r="AF315" s="684">
        <v>6106.9</v>
      </c>
      <c r="AG315" s="683" t="s">
        <v>243</v>
      </c>
      <c r="AH315" s="683" t="s">
        <v>244</v>
      </c>
      <c r="AI315" s="683" t="s">
        <v>33</v>
      </c>
      <c r="AJ315" s="683">
        <v>3003412044</v>
      </c>
      <c r="AK315" s="683" t="s">
        <v>33</v>
      </c>
      <c r="AL315" s="683">
        <v>811745</v>
      </c>
      <c r="AM315" s="683" t="s">
        <v>1094</v>
      </c>
      <c r="AN315" s="683" t="s">
        <v>3218</v>
      </c>
      <c r="AO315" s="683" t="s">
        <v>1427</v>
      </c>
      <c r="AP315" s="683" t="s">
        <v>240</v>
      </c>
      <c r="AQ315" s="688" t="str">
        <f>CONCATENATE("REG-",BDEGENER[[#This Row],[FECHA DE SERVICIO]],"-",BDEGENER[[#This Row],[SERIE]],"-",BDEGENER[[#This Row],[HORAS]])</f>
        <v>REG-44043-3003566699-6106,9</v>
      </c>
      <c r="AR315" s="683" t="str">
        <f>CONCATENATE("MARCA: ",BDEGENER[[#This Row],[MARCA]],"
 MODELO: ",BDEGENER[[#This Row],[MODELO]])</f>
        <v>MARCA: GENERAC
 MODELO: PG090</v>
      </c>
      <c r="AS315" s="683" t="str">
        <f>CONCATENATE("MARCA: ",BDEGENER[[#This Row],[MARCA DE MOTOR]],"
SERIE: ",BDEGENER[[#This Row],[SERIE DE MOTOR]])</f>
        <v>MARCA: GENERAC
SERIE: 3003412044</v>
      </c>
      <c r="AT315" s="683" t="str">
        <f>CONCATENATE("MARCA: ",BDEGENER[[#This Row],[MARCA ALTERNADOR ]],"
SERIE: ",BDEGENER[[#This Row],[SERIE DE ALTERNADOR]])</f>
        <v>MARCA: GENERAC
SERIE: 811745</v>
      </c>
      <c r="AU315" s="683" t="str">
        <f>CONCATENATE("HORAS: ",BDEGENER[[#This Row],[HORAS]],"
KW-HR: ",BDEGENER[[#This Row],[KW-HORA]],"
VOLT.BATERIA: ",BDEGENER[[#This Row],[VOLTAJE DE BATERIA]],"
TEMPERATURA: ",BDEGENER[[#This Row],[TEMPERATURA DE AGUA]],"
PRES. ACEITE: ",BDEGENER[[#This Row],[PRESION DE ACEITE]])</f>
        <v>HORAS: 6106,9
KW-HR: 140239,1
VOLT.BATERIA: 13.5 V
TEMPERATURA: 123 °F
PRES. ACEITE: 60 PSI</v>
      </c>
      <c r="AV315" s="683">
        <f>COUNTIFS(Q315:Q2315,"MANTENIMIENTO CORRECTIVO",Y315:Y2315,BDEGENER[[#This Row],[SERIE]])</f>
        <v>4</v>
      </c>
      <c r="AW315" s="683">
        <f>COUNTIFS(Q315:Q2315,"MANTENIMIENTO PREVENTIVO",Y315:Y2315,BDEGENER[[#This Row],[SERIE]])</f>
        <v>6</v>
      </c>
      <c r="AX31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15" s="683">
        <f>COUNTIFS(BDEGENER[SERIE],BDEGENER[[#This Row],[SERIE]],BDEGENER[TIPO DE SERVICIO],"MANTENIMIENTO PREVENTIVO")</f>
        <v>12</v>
      </c>
      <c r="AZ315" s="683" t="str">
        <f>CONCATENATE("MANTENIMIENTO PREVENTIVO N°",BDEGENER[[#This Row],[GA1]])</f>
        <v>MANTENIMIENTO PREVENTIVO N°12</v>
      </c>
      <c r="BA315" s="683" t="str">
        <f>IF(BDEGENER[[#This Row],[SERVICIO]]=BDEGENER[[#This Row],[GA2]],BDEGENER[[#This Row],[HORAS]],"0")</f>
        <v>0</v>
      </c>
      <c r="BB315" s="683">
        <f>SUMIF(BDEGENER[SERIE],BDEGENER[[#This Row],[SERIE]],BDEGENER[GA3])</f>
        <v>8154.7</v>
      </c>
      <c r="BC315" s="683" t="str">
        <f>CONCATENATE("MANT",COUNTIF($Y$7:Y315,Y315))</f>
        <v>MANT7</v>
      </c>
      <c r="BD315" s="683" t="str">
        <f>CONCATENATE(BDEGENER[[#This Row],[SERIE]],BDEGENER[[#This Row],[GA5]])</f>
        <v>3003566699MANT7</v>
      </c>
      <c r="BE315" s="683" t="str">
        <f>CONCATENATE(BDEGENER[[#This Row],[CODIGO PATRIMONIAL]],BDEGENER[[#This Row],[GA5]])</f>
        <v>NOR-GEG-0021MANT7</v>
      </c>
      <c r="BF315" s="683">
        <f>COUNTIF(BDEGENER[SERIE],BDEGENER[[#This Row],[SERIE]])</f>
        <v>17</v>
      </c>
      <c r="BG315" s="683" t="str">
        <f>CONCATENATE("F",COUNTIF($K$7:K315,K315))</f>
        <v>F1</v>
      </c>
      <c r="BH315" s="683" t="str">
        <f>CONCATENATE(BDEGENER[[#This Row],[FECHA DE SERVICIO]],BDEGENER[[#This Row],[N° DE REGISTROS DEL DIA]])</f>
        <v>44043F1</v>
      </c>
      <c r="BI315" s="684">
        <v>140239.1</v>
      </c>
      <c r="BJ315" s="683" t="s">
        <v>1544</v>
      </c>
      <c r="BK315" s="762"/>
    </row>
    <row r="316" spans="2:63" ht="69" hidden="1" x14ac:dyDescent="0.3">
      <c r="B316" s="2"/>
      <c r="C316" s="2"/>
      <c r="D316" s="2"/>
      <c r="E316" s="2"/>
      <c r="F316" s="2"/>
      <c r="G316" s="2"/>
      <c r="H316" s="2"/>
      <c r="I316" s="2"/>
      <c r="J316" s="685"/>
      <c r="K316" s="682">
        <v>44043</v>
      </c>
      <c r="L316" s="683" t="s">
        <v>561</v>
      </c>
      <c r="M316" s="683" t="s">
        <v>588</v>
      </c>
      <c r="N316" s="683" t="s">
        <v>589</v>
      </c>
      <c r="O316" s="683"/>
      <c r="P316" s="688" t="s">
        <v>3211</v>
      </c>
      <c r="Q316" s="683" t="s">
        <v>107</v>
      </c>
      <c r="R316" s="683" t="s">
        <v>1782</v>
      </c>
      <c r="S316" s="686" t="s">
        <v>3213</v>
      </c>
      <c r="T316" s="683" t="s">
        <v>2546</v>
      </c>
      <c r="U316" s="683" t="s">
        <v>3212</v>
      </c>
      <c r="V316" s="683" t="s">
        <v>149</v>
      </c>
      <c r="W316" s="683" t="s">
        <v>914</v>
      </c>
      <c r="X316" s="691" t="s">
        <v>918</v>
      </c>
      <c r="Y316" s="687">
        <v>3003566699</v>
      </c>
      <c r="Z316" s="692" t="s">
        <v>2619</v>
      </c>
      <c r="AA316" s="683" t="s">
        <v>33</v>
      </c>
      <c r="AB316" s="683" t="s">
        <v>34</v>
      </c>
      <c r="AC316" s="683" t="s">
        <v>230</v>
      </c>
      <c r="AD316" s="683"/>
      <c r="AE316" s="683"/>
      <c r="AF316" s="684">
        <v>6106.5</v>
      </c>
      <c r="AG316" s="683" t="s">
        <v>243</v>
      </c>
      <c r="AH316" s="683" t="s">
        <v>244</v>
      </c>
      <c r="AI316" s="683" t="s">
        <v>33</v>
      </c>
      <c r="AJ316" s="683">
        <v>3003412044</v>
      </c>
      <c r="AK316" s="683" t="s">
        <v>33</v>
      </c>
      <c r="AL316" s="683">
        <v>811745</v>
      </c>
      <c r="AM316" s="683"/>
      <c r="AN316" s="683"/>
      <c r="AO316" s="683"/>
      <c r="AP316" s="683" t="s">
        <v>240</v>
      </c>
      <c r="AQ316" s="688" t="str">
        <f>CONCATENATE("REG-",BDEGENER[[#This Row],[FECHA DE SERVICIO]],"-",BDEGENER[[#This Row],[SERIE]],"-",BDEGENER[[#This Row],[HORAS]])</f>
        <v>REG-44043-3003566699-6106,5</v>
      </c>
      <c r="AR316" s="683" t="str">
        <f>CONCATENATE("MARCA: ",BDEGENER[[#This Row],[MARCA]],"
 MODELO: ",BDEGENER[[#This Row],[MODELO]])</f>
        <v>MARCA: GENERAC
 MODELO: PG090</v>
      </c>
      <c r="AS316" s="683" t="str">
        <f>CONCATENATE("MARCA: ",BDEGENER[[#This Row],[MARCA DE MOTOR]],"
SERIE: ",BDEGENER[[#This Row],[SERIE DE MOTOR]])</f>
        <v>MARCA: GENERAC
SERIE: 3003412044</v>
      </c>
      <c r="AT316" s="683" t="str">
        <f>CONCATENATE("MARCA: ",BDEGENER[[#This Row],[MARCA ALTERNADOR ]],"
SERIE: ",BDEGENER[[#This Row],[SERIE DE ALTERNADOR]])</f>
        <v>MARCA: GENERAC
SERIE: 811745</v>
      </c>
      <c r="AU316" s="683" t="str">
        <f>CONCATENATE("HORAS: ",BDEGENER[[#This Row],[HORAS]],"
KW-HR: ",BDEGENER[[#This Row],[KW-HORA]],"
VOLT.BATERIA: ",BDEGENER[[#This Row],[VOLTAJE DE BATERIA]],"
TEMPERATURA: ",BDEGENER[[#This Row],[TEMPERATURA DE AGUA]],"
PRES. ACEITE: ",BDEGENER[[#This Row],[PRESION DE ACEITE]])</f>
        <v xml:space="preserve">HORAS: 6106,5
KW-HR: 
VOLT.BATERIA: 
TEMPERATURA: 
PRES. ACEITE: </v>
      </c>
      <c r="AV316" s="761">
        <f>COUNTIFS(Q316:Q2316,"MANTENIMIENTO CORRECTIVO",Y316:Y2316,BDEGENER[[#This Row],[SERIE]])</f>
        <v>4</v>
      </c>
      <c r="AW316" s="761">
        <f>COUNTIFS(Q316:Q2316,"MANTENIMIENTO PREVENTIVO",Y316:Y2316,BDEGENER[[#This Row],[SERIE]])</f>
        <v>5</v>
      </c>
      <c r="AX31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316" s="683">
        <f>COUNTIFS(BDEGENER[SERIE],BDEGENER[[#This Row],[SERIE]],BDEGENER[TIPO DE SERVICIO],"MANTENIMIENTO PREVENTIVO")</f>
        <v>12</v>
      </c>
      <c r="AZ316" s="683" t="str">
        <f>CONCATENATE("MANTENIMIENTO PREVENTIVO N°",BDEGENER[[#This Row],[GA1]])</f>
        <v>MANTENIMIENTO PREVENTIVO N°12</v>
      </c>
      <c r="BA316" s="683" t="str">
        <f>IF(BDEGENER[[#This Row],[SERVICIO]]=BDEGENER[[#This Row],[GA2]],BDEGENER[[#This Row],[HORAS]],"0")</f>
        <v>0</v>
      </c>
      <c r="BB316" s="683">
        <f>SUMIF(BDEGENER[SERIE],BDEGENER[[#This Row],[SERIE]],BDEGENER[GA3])</f>
        <v>8154.7</v>
      </c>
      <c r="BC316" s="761" t="str">
        <f>CONCATENATE("MANT",COUNTIF($Y$7:Y316,Y316))</f>
        <v>MANT8</v>
      </c>
      <c r="BD316" s="683" t="str">
        <f>CONCATENATE(BDEGENER[[#This Row],[SERIE]],BDEGENER[[#This Row],[GA5]])</f>
        <v>3003566699MANT8</v>
      </c>
      <c r="BE316" s="683" t="str">
        <f>CONCATENATE(BDEGENER[[#This Row],[CODIGO PATRIMONIAL]],BDEGENER[[#This Row],[GA5]])</f>
        <v>NOR-GEG-0021MANT8</v>
      </c>
      <c r="BF316" s="683">
        <f>COUNTIF(BDEGENER[SERIE],BDEGENER[[#This Row],[SERIE]])</f>
        <v>17</v>
      </c>
      <c r="BG316" s="761" t="str">
        <f>CONCATENATE("F",COUNTIF($K$7:K316,K316))</f>
        <v>F2</v>
      </c>
      <c r="BH316" s="683" t="str">
        <f>CONCATENATE(BDEGENER[[#This Row],[FECHA DE SERVICIO]],BDEGENER[[#This Row],[N° DE REGISTROS DEL DIA]])</f>
        <v>44043F2</v>
      </c>
      <c r="BI316" s="684"/>
      <c r="BJ316" s="683" t="s">
        <v>1544</v>
      </c>
      <c r="BK316" s="762"/>
    </row>
    <row r="317" spans="2:63" ht="69" hidden="1" x14ac:dyDescent="0.3">
      <c r="B317" s="2"/>
      <c r="C317" s="2"/>
      <c r="D317" s="2"/>
      <c r="E317" s="2"/>
      <c r="F317" s="2"/>
      <c r="G317" s="2"/>
      <c r="H317" s="2"/>
      <c r="I317" s="2"/>
      <c r="J317" s="685"/>
      <c r="K317" s="682">
        <v>44043</v>
      </c>
      <c r="L317" s="683" t="s">
        <v>181</v>
      </c>
      <c r="M317" s="683" t="s">
        <v>182</v>
      </c>
      <c r="N317" s="683" t="s">
        <v>183</v>
      </c>
      <c r="O317" s="683">
        <v>4500873022</v>
      </c>
      <c r="P317" s="683" t="s">
        <v>2861</v>
      </c>
      <c r="Q317" s="683" t="s">
        <v>37</v>
      </c>
      <c r="R317" s="683" t="s">
        <v>1782</v>
      </c>
      <c r="S317" s="686" t="s">
        <v>2862</v>
      </c>
      <c r="T317" s="683" t="s">
        <v>2863</v>
      </c>
      <c r="U317" s="683" t="s">
        <v>2864</v>
      </c>
      <c r="V317" s="683" t="s">
        <v>146</v>
      </c>
      <c r="W317" s="683" t="s">
        <v>914</v>
      </c>
      <c r="X317" s="691" t="s">
        <v>918</v>
      </c>
      <c r="Y317" s="687">
        <v>3004381435</v>
      </c>
      <c r="Z317" s="692"/>
      <c r="AA317" s="683" t="s">
        <v>33</v>
      </c>
      <c r="AB317" s="683" t="s">
        <v>34</v>
      </c>
      <c r="AC317" s="683" t="s">
        <v>230</v>
      </c>
      <c r="AD317" s="683" t="s">
        <v>1110</v>
      </c>
      <c r="AE317" s="683">
        <v>60</v>
      </c>
      <c r="AF317" s="684">
        <v>1271.9000000000001</v>
      </c>
      <c r="AG317" s="683" t="s">
        <v>243</v>
      </c>
      <c r="AH317" s="683" t="s">
        <v>220</v>
      </c>
      <c r="AI317" s="683" t="s">
        <v>33</v>
      </c>
      <c r="AJ317" s="683">
        <v>3004346796</v>
      </c>
      <c r="AK317" s="683" t="s">
        <v>33</v>
      </c>
      <c r="AL317" s="683">
        <v>10630960</v>
      </c>
      <c r="AM317" s="683" t="s">
        <v>1121</v>
      </c>
      <c r="AN317" s="683" t="s">
        <v>246</v>
      </c>
      <c r="AO317" s="683" t="s">
        <v>1349</v>
      </c>
      <c r="AP317" s="683" t="s">
        <v>240</v>
      </c>
      <c r="AQ317" s="683" t="str">
        <f>CONCATENATE("REG-",BDEGENER[[#This Row],[FECHA DE SERVICIO]],"-",BDEGENER[[#This Row],[SERIE]],"-",BDEGENER[[#This Row],[HORAS]])</f>
        <v>REG-44043-3004381435-1271,9</v>
      </c>
      <c r="AR317" s="683" t="str">
        <f>CONCATENATE("MARCA: ",BDEGENER[[#This Row],[MARCA]],"
 MODELO: ",BDEGENER[[#This Row],[MODELO]])</f>
        <v>MARCA: GENERAC
 MODELO: PG090</v>
      </c>
      <c r="AS317" s="683" t="str">
        <f>CONCATENATE("MARCA: ",BDEGENER[[#This Row],[MARCA DE MOTOR]],"
SERIE: ",BDEGENER[[#This Row],[SERIE DE MOTOR]])</f>
        <v>MARCA: GENERAC
SERIE: 3004346796</v>
      </c>
      <c r="AT317" s="683" t="str">
        <f>CONCATENATE("MARCA: ",BDEGENER[[#This Row],[MARCA ALTERNADOR ]],"
SERIE: ",BDEGENER[[#This Row],[SERIE DE ALTERNADOR]])</f>
        <v>MARCA: GENERAC
SERIE: 10630960</v>
      </c>
      <c r="AU317" s="683" t="str">
        <f>CONCATENATE("HORAS: ",BDEGENER[[#This Row],[HORAS]],"
KW-HR: ",BDEGENER[[#This Row],[KW-HORA]],"
VOLT.BATERIA: ",BDEGENER[[#This Row],[VOLTAJE DE BATERIA]],"
TEMPERATURA: ",BDEGENER[[#This Row],[TEMPERATURA DE AGUA]],"
PRES. ACEITE: ",BDEGENER[[#This Row],[PRESION DE ACEITE]])</f>
        <v>HORAS: 1271,9
KW-HR: 22378,9
VOLT.BATERIA: 13.7 V
TEMPERATURA: 198 °F
PRES. ACEITE: 56 PSI</v>
      </c>
      <c r="AV317" s="683">
        <f>COUNTIFS(Q317:Q2317,"MANTENIMIENTO CORRECTIVO",Y317:Y2317,BDEGENER[[#This Row],[SERIE]])</f>
        <v>2</v>
      </c>
      <c r="AW317" s="683">
        <f>COUNTIFS(Q317:Q2317,"MANTENIMIENTO PREVENTIVO",Y317:Y2317,BDEGENER[[#This Row],[SERIE]])</f>
        <v>5</v>
      </c>
      <c r="AX31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17" s="683">
        <f>COUNTIFS(BDEGENER[SERIE],BDEGENER[[#This Row],[SERIE]],BDEGENER[TIPO DE SERVICIO],"MANTENIMIENTO PREVENTIVO")</f>
        <v>8</v>
      </c>
      <c r="AZ317" s="683" t="str">
        <f>CONCATENATE("MANTENIMIENTO PREVENTIVO N°",BDEGENER[[#This Row],[GA1]])</f>
        <v>MANTENIMIENTO PREVENTIVO N°8</v>
      </c>
      <c r="BA317" s="683" t="str">
        <f>IF(BDEGENER[[#This Row],[SERVICIO]]=BDEGENER[[#This Row],[GA2]],BDEGENER[[#This Row],[HORAS]],"0")</f>
        <v>0</v>
      </c>
      <c r="BB317" s="683">
        <f>SUMIF(BDEGENER[SERIE],BDEGENER[[#This Row],[SERIE]],BDEGENER[GA3])</f>
        <v>2141.3000000000002</v>
      </c>
      <c r="BC317" s="683" t="str">
        <f>CONCATENATE("MANT",COUNTIF($Y$7:Y317,Y317))</f>
        <v>MANT6</v>
      </c>
      <c r="BD317" s="683" t="str">
        <f>CONCATENATE(BDEGENER[[#This Row],[SERIE]],BDEGENER[[#This Row],[GA5]])</f>
        <v>3004381435MANT6</v>
      </c>
      <c r="BE317" s="683" t="str">
        <f>CONCATENATE(BDEGENER[[#This Row],[CODIGO PATRIMONIAL]],BDEGENER[[#This Row],[GA5]])</f>
        <v>MANT6</v>
      </c>
      <c r="BF317" s="683">
        <f>COUNTIF(BDEGENER[SERIE],BDEGENER[[#This Row],[SERIE]])</f>
        <v>13</v>
      </c>
      <c r="BG317" s="683" t="str">
        <f>CONCATENATE("F",COUNTIF($K$7:K317,K317))</f>
        <v>F3</v>
      </c>
      <c r="BH317" s="683" t="str">
        <f>CONCATENATE(BDEGENER[[#This Row],[FECHA DE SERVICIO]],BDEGENER[[#This Row],[N° DE REGISTROS DEL DIA]])</f>
        <v>44043F3</v>
      </c>
      <c r="BI317" s="684">
        <v>22378.9</v>
      </c>
      <c r="BJ317" s="683" t="s">
        <v>1544</v>
      </c>
      <c r="BK317" s="762" t="s">
        <v>2160</v>
      </c>
    </row>
    <row r="318" spans="2:63" ht="69" hidden="1" x14ac:dyDescent="0.3">
      <c r="B318" s="2"/>
      <c r="C318" s="2"/>
      <c r="D318" s="2"/>
      <c r="E318" s="2"/>
      <c r="F318" s="2"/>
      <c r="G318" s="2"/>
      <c r="H318" s="2"/>
      <c r="I318" s="2"/>
      <c r="J318" s="685"/>
      <c r="K318" s="682">
        <v>44040</v>
      </c>
      <c r="L318" s="683" t="s">
        <v>181</v>
      </c>
      <c r="M318" s="683" t="s">
        <v>184</v>
      </c>
      <c r="N318" s="683" t="s">
        <v>183</v>
      </c>
      <c r="O318" s="683">
        <v>4500873022</v>
      </c>
      <c r="P318" s="683" t="s">
        <v>2847</v>
      </c>
      <c r="Q318" s="683" t="s">
        <v>37</v>
      </c>
      <c r="R318" s="683" t="s">
        <v>1782</v>
      </c>
      <c r="S318" s="686" t="s">
        <v>2172</v>
      </c>
      <c r="T318" s="683" t="s">
        <v>2849</v>
      </c>
      <c r="U318" s="683" t="s">
        <v>2278</v>
      </c>
      <c r="V318" s="683" t="s">
        <v>146</v>
      </c>
      <c r="W318" s="683" t="s">
        <v>914</v>
      </c>
      <c r="X318" s="691" t="s">
        <v>918</v>
      </c>
      <c r="Y318" s="687">
        <v>3004402508</v>
      </c>
      <c r="Z318" s="692"/>
      <c r="AA318" s="683" t="s">
        <v>33</v>
      </c>
      <c r="AB318" s="683" t="s">
        <v>34</v>
      </c>
      <c r="AC318" s="683" t="s">
        <v>230</v>
      </c>
      <c r="AD318" s="683" t="s">
        <v>1110</v>
      </c>
      <c r="AE318" s="683">
        <v>60</v>
      </c>
      <c r="AF318" s="684">
        <v>1596.4</v>
      </c>
      <c r="AG318" s="683" t="s">
        <v>243</v>
      </c>
      <c r="AH318" s="683" t="s">
        <v>220</v>
      </c>
      <c r="AI318" s="683" t="s">
        <v>33</v>
      </c>
      <c r="AJ318" s="683">
        <v>3004425773</v>
      </c>
      <c r="AK318" s="683" t="s">
        <v>33</v>
      </c>
      <c r="AL318" s="683">
        <v>106310050</v>
      </c>
      <c r="AM318" s="683" t="s">
        <v>1121</v>
      </c>
      <c r="AN318" s="683" t="s">
        <v>1122</v>
      </c>
      <c r="AO318" s="683" t="s">
        <v>1166</v>
      </c>
      <c r="AP318" s="683" t="s">
        <v>240</v>
      </c>
      <c r="AQ318" s="688" t="str">
        <f>CONCATENATE("REG-",BDEGENER[[#This Row],[FECHA DE SERVICIO]],"-",BDEGENER[[#This Row],[SERIE]],"-",BDEGENER[[#This Row],[HORAS]])</f>
        <v>REG-44040-3004402508-1596,4</v>
      </c>
      <c r="AR318" s="683" t="str">
        <f>CONCATENATE("MARCA: ",BDEGENER[[#This Row],[MARCA]],"
 MODELO: ",BDEGENER[[#This Row],[MODELO]])</f>
        <v>MARCA: GENERAC
 MODELO: PG090</v>
      </c>
      <c r="AS318" s="683" t="str">
        <f>CONCATENATE("MARCA: ",BDEGENER[[#This Row],[MARCA DE MOTOR]],"
SERIE: ",BDEGENER[[#This Row],[SERIE DE MOTOR]])</f>
        <v>MARCA: GENERAC
SERIE: 3004425773</v>
      </c>
      <c r="AT318" s="683" t="str">
        <f>CONCATENATE("MARCA: ",BDEGENER[[#This Row],[MARCA ALTERNADOR ]],"
SERIE: ",BDEGENER[[#This Row],[SERIE DE ALTERNADOR]])</f>
        <v>MARCA: GENERAC
SERIE: 106310050</v>
      </c>
      <c r="AU318" s="683" t="str">
        <f>CONCATENATE("HORAS: ",BDEGENER[[#This Row],[HORAS]],"
KW-HR: ",BDEGENER[[#This Row],[KW-HORA]],"
VOLT.BATERIA: ",BDEGENER[[#This Row],[VOLTAJE DE BATERIA]],"
TEMPERATURA: ",BDEGENER[[#This Row],[TEMPERATURA DE AGUA]],"
PRES. ACEITE: ",BDEGENER[[#This Row],[PRESION DE ACEITE]])</f>
        <v>HORAS: 1596,4
KW-HR: 22330,5
VOLT.BATERIA: 13.7 V
TEMPERATURA: 195 °F
PRES. ACEITE: 57 PSI</v>
      </c>
      <c r="AV318" s="683">
        <f>COUNTIFS(Q318:Q2318,"MANTENIMIENTO CORRECTIVO",Y318:Y2318,BDEGENER[[#This Row],[SERIE]])</f>
        <v>3</v>
      </c>
      <c r="AW318" s="683">
        <f>COUNTIFS(Q318:Q2318,"MANTENIMIENTO PREVENTIVO",Y318:Y2318,BDEGENER[[#This Row],[SERIE]])</f>
        <v>6</v>
      </c>
      <c r="AX31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18" s="683">
        <f>COUNTIFS(BDEGENER[SERIE],BDEGENER[[#This Row],[SERIE]],BDEGENER[TIPO DE SERVICIO],"MANTENIMIENTO PREVENTIVO")</f>
        <v>8</v>
      </c>
      <c r="AZ318" s="683" t="str">
        <f>CONCATENATE("MANTENIMIENTO PREVENTIVO N°",BDEGENER[[#This Row],[GA1]])</f>
        <v>MANTENIMIENTO PREVENTIVO N°8</v>
      </c>
      <c r="BA318" s="683" t="str">
        <f>IF(BDEGENER[[#This Row],[SERVICIO]]=BDEGENER[[#This Row],[GA2]],BDEGENER[[#This Row],[HORAS]],"0")</f>
        <v>0</v>
      </c>
      <c r="BB318" s="683">
        <f>SUMIF(BDEGENER[SERIE],BDEGENER[[#This Row],[SERIE]],BDEGENER[GA3])</f>
        <v>2186.3000000000002</v>
      </c>
      <c r="BC318" s="683" t="str">
        <f>CONCATENATE("MANT",COUNTIF($Y$7:Y318,Y318))</f>
        <v>MANT5</v>
      </c>
      <c r="BD318" s="683" t="str">
        <f>CONCATENATE(BDEGENER[[#This Row],[SERIE]],BDEGENER[[#This Row],[GA5]])</f>
        <v>3004402508MANT5</v>
      </c>
      <c r="BE318" s="683" t="str">
        <f>CONCATENATE(BDEGENER[[#This Row],[CODIGO PATRIMONIAL]],BDEGENER[[#This Row],[GA5]])</f>
        <v>MANT5</v>
      </c>
      <c r="BF318" s="683">
        <f>COUNTIF(BDEGENER[SERIE],BDEGENER[[#This Row],[SERIE]])</f>
        <v>15</v>
      </c>
      <c r="BG318" s="683" t="str">
        <f>CONCATENATE("F",COUNTIF($K$7:K318,K318))</f>
        <v>F1</v>
      </c>
      <c r="BH318" s="683" t="str">
        <f>CONCATENATE(BDEGENER[[#This Row],[FECHA DE SERVICIO]],BDEGENER[[#This Row],[N° DE REGISTROS DEL DIA]])</f>
        <v>44040F1</v>
      </c>
      <c r="BI318" s="684">
        <v>22330.5</v>
      </c>
      <c r="BJ318" s="683" t="s">
        <v>1544</v>
      </c>
      <c r="BK318" s="762">
        <v>11</v>
      </c>
    </row>
    <row r="319" spans="2:63" ht="69" hidden="1" x14ac:dyDescent="0.3">
      <c r="B319" s="2"/>
      <c r="C319" s="2"/>
      <c r="D319" s="2"/>
      <c r="E319" s="2"/>
      <c r="F319" s="2"/>
      <c r="G319" s="2"/>
      <c r="H319" s="2"/>
      <c r="I319" s="2"/>
      <c r="J319" s="685"/>
      <c r="K319" s="682">
        <v>44040</v>
      </c>
      <c r="L319" s="683" t="s">
        <v>181</v>
      </c>
      <c r="M319" s="683" t="s">
        <v>184</v>
      </c>
      <c r="N319" s="683" t="s">
        <v>183</v>
      </c>
      <c r="O319" s="683">
        <v>4500873022</v>
      </c>
      <c r="P319" s="683" t="s">
        <v>2847</v>
      </c>
      <c r="Q319" s="683" t="s">
        <v>37</v>
      </c>
      <c r="R319" s="683" t="s">
        <v>1782</v>
      </c>
      <c r="S319" s="686" t="s">
        <v>2172</v>
      </c>
      <c r="T319" s="683" t="s">
        <v>2848</v>
      </c>
      <c r="U319" s="683" t="s">
        <v>2278</v>
      </c>
      <c r="V319" s="683" t="s">
        <v>146</v>
      </c>
      <c r="W319" s="683" t="s">
        <v>914</v>
      </c>
      <c r="X319" s="691" t="s">
        <v>918</v>
      </c>
      <c r="Y319" s="687">
        <v>3004336197</v>
      </c>
      <c r="Z319" s="692"/>
      <c r="AA319" s="683" t="s">
        <v>33</v>
      </c>
      <c r="AB319" s="683" t="s">
        <v>34</v>
      </c>
      <c r="AC319" s="683" t="s">
        <v>230</v>
      </c>
      <c r="AD319" s="683" t="s">
        <v>1110</v>
      </c>
      <c r="AE319" s="683">
        <v>60</v>
      </c>
      <c r="AF319" s="684">
        <v>2044.4</v>
      </c>
      <c r="AG319" s="683" t="s">
        <v>243</v>
      </c>
      <c r="AH319" s="683" t="s">
        <v>220</v>
      </c>
      <c r="AI319" s="683" t="s">
        <v>33</v>
      </c>
      <c r="AJ319" s="683">
        <v>3004309062</v>
      </c>
      <c r="AK319" s="683" t="s">
        <v>33</v>
      </c>
      <c r="AL319" s="683">
        <v>10650720</v>
      </c>
      <c r="AM319" s="683" t="s">
        <v>1121</v>
      </c>
      <c r="AN319" s="683" t="s">
        <v>1122</v>
      </c>
      <c r="AO319" s="683" t="s">
        <v>1318</v>
      </c>
      <c r="AP319" s="683" t="s">
        <v>240</v>
      </c>
      <c r="AQ319" s="688" t="str">
        <f>CONCATENATE("REG-",BDEGENER[[#This Row],[FECHA DE SERVICIO]],"-",BDEGENER[[#This Row],[SERIE]],"-",BDEGENER[[#This Row],[HORAS]])</f>
        <v>REG-44040-3004336197-2044,4</v>
      </c>
      <c r="AR319" s="683" t="str">
        <f>CONCATENATE("MARCA: ",BDEGENER[[#This Row],[MARCA]],"
 MODELO: ",BDEGENER[[#This Row],[MODELO]])</f>
        <v>MARCA: GENERAC
 MODELO: PG090</v>
      </c>
      <c r="AS319" s="683" t="str">
        <f>CONCATENATE("MARCA: ",BDEGENER[[#This Row],[MARCA DE MOTOR]],"
SERIE: ",BDEGENER[[#This Row],[SERIE DE MOTOR]])</f>
        <v>MARCA: GENERAC
SERIE: 3004309062</v>
      </c>
      <c r="AT319" s="683" t="str">
        <f>CONCATENATE("MARCA: ",BDEGENER[[#This Row],[MARCA ALTERNADOR ]],"
SERIE: ",BDEGENER[[#This Row],[SERIE DE ALTERNADOR]])</f>
        <v>MARCA: GENERAC
SERIE: 10650720</v>
      </c>
      <c r="AU319" s="683" t="str">
        <f>CONCATENATE("HORAS: ",BDEGENER[[#This Row],[HORAS]],"
KW-HR: ",BDEGENER[[#This Row],[KW-HORA]],"
VOLT.BATERIA: ",BDEGENER[[#This Row],[VOLTAJE DE BATERIA]],"
TEMPERATURA: ",BDEGENER[[#This Row],[TEMPERATURA DE AGUA]],"
PRES. ACEITE: ",BDEGENER[[#This Row],[PRESION DE ACEITE]])</f>
        <v>HORAS: 2044,4
KW-HR: 47439,9
VOLT.BATERIA: 13.7 V
TEMPERATURA: 195 °F
PRES. ACEITE: 58 PSI</v>
      </c>
      <c r="AV319" s="761">
        <f>COUNTIFS(Q319:Q2319,"MANTENIMIENTO CORRECTIVO",Y319:Y2319,BDEGENER[[#This Row],[SERIE]])</f>
        <v>4</v>
      </c>
      <c r="AW319" s="761">
        <f>COUNTIFS(Q319:Q2319,"MANTENIMIENTO PREVENTIVO",Y319:Y2319,BDEGENER[[#This Row],[SERIE]])</f>
        <v>7</v>
      </c>
      <c r="AX31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19" s="683">
        <f>COUNTIFS(BDEGENER[SERIE],BDEGENER[[#This Row],[SERIE]],BDEGENER[TIPO DE SERVICIO],"MANTENIMIENTO PREVENTIVO")</f>
        <v>9</v>
      </c>
      <c r="AZ319" s="683" t="str">
        <f>CONCATENATE("MANTENIMIENTO PREVENTIVO N°",BDEGENER[[#This Row],[GA1]])</f>
        <v>MANTENIMIENTO PREVENTIVO N°9</v>
      </c>
      <c r="BA319" s="683" t="str">
        <f>IF(BDEGENER[[#This Row],[SERVICIO]]=BDEGENER[[#This Row],[GA2]],BDEGENER[[#This Row],[HORAS]],"0")</f>
        <v>0</v>
      </c>
      <c r="BB319" s="683">
        <f>SUMIF(BDEGENER[SERIE],BDEGENER[[#This Row],[SERIE]],BDEGENER[GA3])</f>
        <v>2922.3</v>
      </c>
      <c r="BC319" s="761" t="str">
        <f>CONCATENATE("MANT",COUNTIF($Y$7:Y319,Y319))</f>
        <v>MANT5</v>
      </c>
      <c r="BD319" s="683" t="str">
        <f>CONCATENATE(BDEGENER[[#This Row],[SERIE]],BDEGENER[[#This Row],[GA5]])</f>
        <v>3004336197MANT5</v>
      </c>
      <c r="BE319" s="683" t="str">
        <f>CONCATENATE(BDEGENER[[#This Row],[CODIGO PATRIMONIAL]],BDEGENER[[#This Row],[GA5]])</f>
        <v>MANT5</v>
      </c>
      <c r="BF319" s="683">
        <f>COUNTIF(BDEGENER[SERIE],BDEGENER[[#This Row],[SERIE]])</f>
        <v>17</v>
      </c>
      <c r="BG319" s="761" t="str">
        <f>CONCATENATE("F",COUNTIF($K$7:K319,K319))</f>
        <v>F2</v>
      </c>
      <c r="BH319" s="683" t="str">
        <f>CONCATENATE(BDEGENER[[#This Row],[FECHA DE SERVICIO]],BDEGENER[[#This Row],[N° DE REGISTROS DEL DIA]])</f>
        <v>44040F2</v>
      </c>
      <c r="BI319" s="684">
        <v>47439.9</v>
      </c>
      <c r="BJ319" s="683" t="s">
        <v>1544</v>
      </c>
      <c r="BK319" s="762">
        <v>27</v>
      </c>
    </row>
    <row r="320" spans="2:63" ht="69" hidden="1" x14ac:dyDescent="0.3">
      <c r="B320" s="2"/>
      <c r="C320" s="2"/>
      <c r="D320" s="2"/>
      <c r="E320" s="2"/>
      <c r="F320" s="2"/>
      <c r="G320" s="2"/>
      <c r="H320" s="2"/>
      <c r="I320" s="2"/>
      <c r="J320" s="685"/>
      <c r="K320" s="682">
        <v>44037</v>
      </c>
      <c r="L320" s="683" t="s">
        <v>181</v>
      </c>
      <c r="M320" s="683" t="s">
        <v>185</v>
      </c>
      <c r="N320" s="683" t="s">
        <v>183</v>
      </c>
      <c r="O320" s="683"/>
      <c r="P320" s="683"/>
      <c r="Q320" s="683" t="s">
        <v>108</v>
      </c>
      <c r="R320" s="683" t="s">
        <v>2840</v>
      </c>
      <c r="S320" s="686" t="s">
        <v>2841</v>
      </c>
      <c r="T320" s="683" t="s">
        <v>2842</v>
      </c>
      <c r="U320" s="683"/>
      <c r="V320" s="683" t="s">
        <v>146</v>
      </c>
      <c r="W320" s="683" t="s">
        <v>914</v>
      </c>
      <c r="X320" s="691" t="s">
        <v>918</v>
      </c>
      <c r="Y320" s="687">
        <v>3004290365</v>
      </c>
      <c r="Z320" s="692"/>
      <c r="AA320" s="683" t="s">
        <v>33</v>
      </c>
      <c r="AB320" s="683" t="s">
        <v>34</v>
      </c>
      <c r="AC320" s="683" t="s">
        <v>230</v>
      </c>
      <c r="AD320" s="683"/>
      <c r="AE320" s="683"/>
      <c r="AF320" s="684">
        <v>1843.3</v>
      </c>
      <c r="AG320" s="683" t="s">
        <v>243</v>
      </c>
      <c r="AH320" s="683" t="s">
        <v>220</v>
      </c>
      <c r="AI320" s="683" t="s">
        <v>33</v>
      </c>
      <c r="AJ320" s="683">
        <v>3004301039</v>
      </c>
      <c r="AK320" s="683" t="s">
        <v>33</v>
      </c>
      <c r="AL320" s="683">
        <v>1063018</v>
      </c>
      <c r="AM320" s="683"/>
      <c r="AN320" s="683"/>
      <c r="AO320" s="683"/>
      <c r="AP320" s="683" t="s">
        <v>557</v>
      </c>
      <c r="AQ320" s="688" t="str">
        <f>CONCATENATE("REG-",BDEGENER[[#This Row],[FECHA DE SERVICIO]],"-",BDEGENER[[#This Row],[SERIE]],"-",BDEGENER[[#This Row],[HORAS]])</f>
        <v>REG-44037-3004290365-1843,3</v>
      </c>
      <c r="AR320" s="683" t="str">
        <f>CONCATENATE("MARCA: ",BDEGENER[[#This Row],[MARCA]],"
 MODELO: ",BDEGENER[[#This Row],[MODELO]])</f>
        <v>MARCA: GENERAC
 MODELO: PG090</v>
      </c>
      <c r="AS320" s="683" t="str">
        <f>CONCATENATE("MARCA: ",BDEGENER[[#This Row],[MARCA DE MOTOR]],"
SERIE: ",BDEGENER[[#This Row],[SERIE DE MOTOR]])</f>
        <v>MARCA: GENERAC
SERIE: 3004301039</v>
      </c>
      <c r="AT320" s="683" t="str">
        <f>CONCATENATE("MARCA: ",BDEGENER[[#This Row],[MARCA ALTERNADOR ]],"
SERIE: ",BDEGENER[[#This Row],[SERIE DE ALTERNADOR]])</f>
        <v>MARCA: GENERAC
SERIE: 1063018</v>
      </c>
      <c r="AU320" s="683" t="str">
        <f>CONCATENATE("HORAS: ",BDEGENER[[#This Row],[HORAS]],"
KW-HR: ",BDEGENER[[#This Row],[KW-HORA]],"
VOLT.BATERIA: ",BDEGENER[[#This Row],[VOLTAJE DE BATERIA]],"
TEMPERATURA: ",BDEGENER[[#This Row],[TEMPERATURA DE AGUA]],"
PRES. ACEITE: ",BDEGENER[[#This Row],[PRESION DE ACEITE]])</f>
        <v xml:space="preserve">HORAS: 1843,3
KW-HR: 36052,3
VOLT.BATERIA: 
TEMPERATURA: 
PRES. ACEITE: </v>
      </c>
      <c r="AV320" s="683">
        <f>COUNTIFS(Q320:Q2320,"MANTENIMIENTO CORRECTIVO",Y320:Y2320,BDEGENER[[#This Row],[SERIE]])</f>
        <v>5</v>
      </c>
      <c r="AW320" s="683">
        <f>COUNTIFS(Q320:Q2320,"MANTENIMIENTO PREVENTIVO",Y320:Y2320,BDEGENER[[#This Row],[SERIE]])</f>
        <v>5</v>
      </c>
      <c r="AX32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20" s="683">
        <f>COUNTIFS(BDEGENER[SERIE],BDEGENER[[#This Row],[SERIE]],BDEGENER[TIPO DE SERVICIO],"MANTENIMIENTO PREVENTIVO")</f>
        <v>5</v>
      </c>
      <c r="AZ320" s="683" t="str">
        <f>CONCATENATE("MANTENIMIENTO PREVENTIVO N°",BDEGENER[[#This Row],[GA1]])</f>
        <v>MANTENIMIENTO PREVENTIVO N°5</v>
      </c>
      <c r="BA320" s="683" t="str">
        <f>IF(BDEGENER[[#This Row],[SERVICIO]]=BDEGENER[[#This Row],[GA2]],BDEGENER[[#This Row],[HORAS]],"0")</f>
        <v>0</v>
      </c>
      <c r="BB320" s="683">
        <f>SUMIF(BDEGENER[SERIE],BDEGENER[[#This Row],[SERIE]],BDEGENER[GA3])</f>
        <v>1700.2</v>
      </c>
      <c r="BC320" s="683" t="str">
        <f>CONCATENATE("MANT",COUNTIF($Y$7:Y320,Y320))</f>
        <v>MANT4</v>
      </c>
      <c r="BD320" s="683" t="str">
        <f>CONCATENATE(BDEGENER[[#This Row],[SERIE]],BDEGENER[[#This Row],[GA5]])</f>
        <v>3004290365MANT4</v>
      </c>
      <c r="BE320" s="683" t="str">
        <f>CONCATENATE(BDEGENER[[#This Row],[CODIGO PATRIMONIAL]],BDEGENER[[#This Row],[GA5]])</f>
        <v>MANT4</v>
      </c>
      <c r="BF320" s="683">
        <f>COUNTIF(BDEGENER[SERIE],BDEGENER[[#This Row],[SERIE]])</f>
        <v>15</v>
      </c>
      <c r="BG320" s="683" t="str">
        <f>CONCATENATE("F",COUNTIF($K$7:K320,K320))</f>
        <v>F1</v>
      </c>
      <c r="BH320" s="683" t="str">
        <f>CONCATENATE(BDEGENER[[#This Row],[FECHA DE SERVICIO]],BDEGENER[[#This Row],[N° DE REGISTROS DEL DIA]])</f>
        <v>44037F1</v>
      </c>
      <c r="BI320" s="684">
        <v>36052.300000000003</v>
      </c>
      <c r="BJ320" s="683" t="s">
        <v>1544</v>
      </c>
      <c r="BK320" s="762"/>
    </row>
    <row r="321" spans="2:63" ht="69" hidden="1" x14ac:dyDescent="0.3">
      <c r="B321" s="2"/>
      <c r="C321" s="2"/>
      <c r="D321" s="2"/>
      <c r="E321" s="2"/>
      <c r="F321" s="2"/>
      <c r="G321" s="2"/>
      <c r="H321" s="2"/>
      <c r="I321" s="2"/>
      <c r="J321" s="685"/>
      <c r="K321" s="682">
        <v>44036</v>
      </c>
      <c r="L321" s="683" t="s">
        <v>561</v>
      </c>
      <c r="M321" s="683" t="s">
        <v>2890</v>
      </c>
      <c r="N321" s="683" t="s">
        <v>3093</v>
      </c>
      <c r="O321" s="683"/>
      <c r="P321" s="688" t="s">
        <v>3163</v>
      </c>
      <c r="Q321" s="683" t="s">
        <v>37</v>
      </c>
      <c r="R321" s="683" t="s">
        <v>1782</v>
      </c>
      <c r="S321" s="686" t="s">
        <v>3164</v>
      </c>
      <c r="T321" s="683" t="s">
        <v>3166</v>
      </c>
      <c r="U321" s="683" t="s">
        <v>3165</v>
      </c>
      <c r="V321" s="683" t="s">
        <v>677</v>
      </c>
      <c r="W321" s="683" t="s">
        <v>913</v>
      </c>
      <c r="X321" s="691" t="s">
        <v>918</v>
      </c>
      <c r="Y321" s="687">
        <v>3003415532</v>
      </c>
      <c r="Z321" s="692" t="s">
        <v>2606</v>
      </c>
      <c r="AA321" s="683" t="s">
        <v>33</v>
      </c>
      <c r="AB321" s="683" t="s">
        <v>217</v>
      </c>
      <c r="AC321" s="683" t="s">
        <v>749</v>
      </c>
      <c r="AD321" s="683" t="s">
        <v>1123</v>
      </c>
      <c r="AE321" s="683">
        <v>60</v>
      </c>
      <c r="AF321" s="684">
        <v>4338.2</v>
      </c>
      <c r="AG321" s="683" t="s">
        <v>243</v>
      </c>
      <c r="AH321" s="683" t="s">
        <v>1803</v>
      </c>
      <c r="AI321" s="683" t="s">
        <v>2553</v>
      </c>
      <c r="AJ321" s="683"/>
      <c r="AK321" s="683" t="s">
        <v>33</v>
      </c>
      <c r="AL321" s="683"/>
      <c r="AM321" s="683" t="s">
        <v>245</v>
      </c>
      <c r="AN321" s="683"/>
      <c r="AO321" s="683"/>
      <c r="AP321" s="683" t="s">
        <v>240</v>
      </c>
      <c r="AQ321" s="688" t="str">
        <f>CONCATENATE("REG-",BDEGENER[[#This Row],[FECHA DE SERVICIO]],"-",BDEGENER[[#This Row],[SERIE]],"-",BDEGENER[[#This Row],[HORAS]])</f>
        <v>REG-44036-3003415532-4338,2</v>
      </c>
      <c r="AR321" s="683" t="str">
        <f>CONCATENATE("MARCA: ",BDEGENER[[#This Row],[MARCA]],"
 MODELO: ",BDEGENER[[#This Row],[MODELO]])</f>
        <v>MARCA: GENERAC
 MODELO: RG022</v>
      </c>
      <c r="AS321" s="683" t="str">
        <f>CONCATENATE("MARCA: ",BDEGENER[[#This Row],[MARCA DE MOTOR]],"
SERIE: ",BDEGENER[[#This Row],[SERIE DE MOTOR]])</f>
        <v xml:space="preserve">MARCA: MITSUBISHI
SERIE: </v>
      </c>
      <c r="AT321" s="683" t="str">
        <f>CONCATENATE("MARCA: ",BDEGENER[[#This Row],[MARCA ALTERNADOR ]],"
SERIE: ",BDEGENER[[#This Row],[SERIE DE ALTERNADOR]])</f>
        <v xml:space="preserve">MARCA: GENERAC
SERIE: </v>
      </c>
      <c r="AU321" s="683" t="str">
        <f>CONCATENATE("HORAS: ",BDEGENER[[#This Row],[HORAS]],"
KW-HR: ",BDEGENER[[#This Row],[KW-HORA]],"
VOLT.BATERIA: ",BDEGENER[[#This Row],[VOLTAJE DE BATERIA]],"
TEMPERATURA: ",BDEGENER[[#This Row],[TEMPERATURA DE AGUA]],"
PRES. ACEITE: ",BDEGENER[[#This Row],[PRESION DE ACEITE]])</f>
        <v xml:space="preserve">HORAS: 4338,2
KW-HR: 
VOLT.BATERIA: 13.6 V
TEMPERATURA: 
PRES. ACEITE: </v>
      </c>
      <c r="AV321" s="683">
        <f>COUNTIFS(Q321:Q2321,"MANTENIMIENTO CORRECTIVO",Y321:Y2321,BDEGENER[[#This Row],[SERIE]])</f>
        <v>0</v>
      </c>
      <c r="AW321" s="683">
        <f>COUNTIFS(Q321:Q2321,"MANTENIMIENTO PREVENTIVO",Y321:Y2321,BDEGENER[[#This Row],[SERIE]])</f>
        <v>8</v>
      </c>
      <c r="AX32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N°8</v>
      </c>
      <c r="AY321" s="683">
        <f>COUNTIFS(BDEGENER[SERIE],BDEGENER[[#This Row],[SERIE]],BDEGENER[TIPO DE SERVICIO],"MANTENIMIENTO PREVENTIVO")</f>
        <v>14</v>
      </c>
      <c r="AZ321" s="683" t="str">
        <f>CONCATENATE("MANTENIMIENTO PREVENTIVO N°",BDEGENER[[#This Row],[GA1]])</f>
        <v>MANTENIMIENTO PREVENTIVO N°14</v>
      </c>
      <c r="BA321" s="683" t="str">
        <f>IF(BDEGENER[[#This Row],[SERVICIO]]=BDEGENER[[#This Row],[GA2]],BDEGENER[[#This Row],[HORAS]],"0")</f>
        <v>0</v>
      </c>
      <c r="BB321" s="683">
        <f>SUMIF(BDEGENER[SERIE],BDEGENER[[#This Row],[SERIE]],BDEGENER[GA3])</f>
        <v>5730.6</v>
      </c>
      <c r="BC321" s="683" t="str">
        <f>CONCATENATE("MANT",COUNTIF($Y$7:Y321,Y321))</f>
        <v>MANT7</v>
      </c>
      <c r="BD321" s="683" t="str">
        <f>CONCATENATE(BDEGENER[[#This Row],[SERIE]],BDEGENER[[#This Row],[GA5]])</f>
        <v>3003415532MANT7</v>
      </c>
      <c r="BE321" s="683" t="str">
        <f>CONCATENATE(BDEGENER[[#This Row],[CODIGO PATRIMONIAL]],BDEGENER[[#This Row],[GA5]])</f>
        <v>SUR-GEG-0010MANT7</v>
      </c>
      <c r="BF321" s="683">
        <f>COUNTIF(BDEGENER[SERIE],BDEGENER[[#This Row],[SERIE]])</f>
        <v>14</v>
      </c>
      <c r="BG321" s="683" t="str">
        <f>CONCATENATE("F",COUNTIF($K$7:K321,K321))</f>
        <v>F1</v>
      </c>
      <c r="BH321" s="683" t="str">
        <f>CONCATENATE(BDEGENER[[#This Row],[FECHA DE SERVICIO]],BDEGENER[[#This Row],[N° DE REGISTROS DEL DIA]])</f>
        <v>44036F1</v>
      </c>
      <c r="BI321" s="684"/>
      <c r="BJ321" s="683" t="s">
        <v>1544</v>
      </c>
      <c r="BK321" s="762"/>
    </row>
    <row r="322" spans="2:63" ht="82.8" hidden="1" x14ac:dyDescent="0.3">
      <c r="B322" s="2"/>
      <c r="C322" s="2"/>
      <c r="D322" s="2"/>
      <c r="E322" s="2"/>
      <c r="F322" s="2"/>
      <c r="G322" s="2"/>
      <c r="H322" s="2"/>
      <c r="I322" s="2"/>
      <c r="J322" s="685"/>
      <c r="K322" s="682">
        <v>44036</v>
      </c>
      <c r="L322" s="683" t="s">
        <v>561</v>
      </c>
      <c r="M322" s="683" t="s">
        <v>565</v>
      </c>
      <c r="N322" s="683" t="s">
        <v>566</v>
      </c>
      <c r="O322" s="683"/>
      <c r="P322" s="688" t="s">
        <v>3126</v>
      </c>
      <c r="Q322" s="683" t="s">
        <v>37</v>
      </c>
      <c r="R322" s="683"/>
      <c r="S322" s="686" t="s">
        <v>3127</v>
      </c>
      <c r="T322" s="683" t="s">
        <v>3128</v>
      </c>
      <c r="U322" s="683" t="s">
        <v>3129</v>
      </c>
      <c r="V322" s="683" t="s">
        <v>677</v>
      </c>
      <c r="W322" s="683" t="s">
        <v>913</v>
      </c>
      <c r="X322" s="691" t="s">
        <v>918</v>
      </c>
      <c r="Y322" s="687">
        <v>3004370193</v>
      </c>
      <c r="Z322" s="692" t="s">
        <v>2599</v>
      </c>
      <c r="AA322" s="683" t="s">
        <v>33</v>
      </c>
      <c r="AB322" s="683" t="s">
        <v>217</v>
      </c>
      <c r="AC322" s="683" t="s">
        <v>749</v>
      </c>
      <c r="AD322" s="683" t="s">
        <v>3130</v>
      </c>
      <c r="AE322" s="683">
        <v>60</v>
      </c>
      <c r="AF322" s="684">
        <v>3148.5</v>
      </c>
      <c r="AG322" s="683" t="s">
        <v>243</v>
      </c>
      <c r="AH322" s="683" t="s">
        <v>1803</v>
      </c>
      <c r="AI322" s="683" t="s">
        <v>2553</v>
      </c>
      <c r="AJ322" s="683"/>
      <c r="AK322" s="683" t="s">
        <v>33</v>
      </c>
      <c r="AL322" s="683"/>
      <c r="AM322" s="683" t="s">
        <v>1094</v>
      </c>
      <c r="AN322" s="683"/>
      <c r="AO322" s="683"/>
      <c r="AP322" s="683" t="s">
        <v>240</v>
      </c>
      <c r="AQ322" s="688" t="str">
        <f>CONCATENATE("REG-",BDEGENER[[#This Row],[FECHA DE SERVICIO]],"-",BDEGENER[[#This Row],[SERIE]],"-",BDEGENER[[#This Row],[HORAS]])</f>
        <v>REG-44036-3004370193-3148,5</v>
      </c>
      <c r="AR322" s="683" t="str">
        <f>CONCATENATE("MARCA: ",BDEGENER[[#This Row],[MARCA]],"
 MODELO: ",BDEGENER[[#This Row],[MODELO]])</f>
        <v>MARCA: GENERAC
 MODELO: RG022</v>
      </c>
      <c r="AS322" s="683" t="str">
        <f>CONCATENATE("MARCA: ",BDEGENER[[#This Row],[MARCA DE MOTOR]],"
SERIE: ",BDEGENER[[#This Row],[SERIE DE MOTOR]])</f>
        <v xml:space="preserve">MARCA: MITSUBISHI
SERIE: </v>
      </c>
      <c r="AT322" s="683" t="str">
        <f>CONCATENATE("MARCA: ",BDEGENER[[#This Row],[MARCA ALTERNADOR ]],"
SERIE: ",BDEGENER[[#This Row],[SERIE DE ALTERNADOR]])</f>
        <v xml:space="preserve">MARCA: GENERAC
SERIE: </v>
      </c>
      <c r="AU322" s="683" t="str">
        <f>CONCATENATE("HORAS: ",BDEGENER[[#This Row],[HORAS]],"
KW-HR: ",BDEGENER[[#This Row],[KW-HORA]],"
VOLT.BATERIA: ",BDEGENER[[#This Row],[VOLTAJE DE BATERIA]],"
TEMPERATURA: ",BDEGENER[[#This Row],[TEMPERATURA DE AGUA]],"
PRES. ACEITE: ",BDEGENER[[#This Row],[PRESION DE ACEITE]])</f>
        <v xml:space="preserve">HORAS: 3148,5
KW-HR: 
VOLT.BATERIA: 13.5 V
TEMPERATURA: 
PRES. ACEITE: </v>
      </c>
      <c r="AV322" s="761">
        <f>COUNTIFS(Q322:Q2322,"MANTENIMIENTO CORRECTIVO",Y322:Y2322,BDEGENER[[#This Row],[SERIE]])</f>
        <v>2</v>
      </c>
      <c r="AW322" s="761">
        <f>COUNTIFS(Q322:Q2322,"MANTENIMIENTO PREVENTIVO",Y322:Y2322,BDEGENER[[#This Row],[SERIE]])</f>
        <v>7</v>
      </c>
      <c r="AX32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22" s="683">
        <f>COUNTIFS(BDEGENER[SERIE],BDEGENER[[#This Row],[SERIE]],BDEGENER[TIPO DE SERVICIO],"MANTENIMIENTO PREVENTIVO")</f>
        <v>9</v>
      </c>
      <c r="AZ322" s="683" t="str">
        <f>CONCATENATE("MANTENIMIENTO PREVENTIVO N°",BDEGENER[[#This Row],[GA1]])</f>
        <v>MANTENIMIENTO PREVENTIVO N°9</v>
      </c>
      <c r="BA322" s="683" t="str">
        <f>IF(BDEGENER[[#This Row],[SERVICIO]]=BDEGENER[[#This Row],[GA2]],BDEGENER[[#This Row],[HORAS]],"0")</f>
        <v>0</v>
      </c>
      <c r="BB322" s="683">
        <f>SUMIF(BDEGENER[SERIE],BDEGENER[[#This Row],[SERIE]],BDEGENER[GA3])</f>
        <v>3580.3</v>
      </c>
      <c r="BC322" s="761" t="str">
        <f>CONCATENATE("MANT",COUNTIF($Y$7:Y322,Y322))</f>
        <v>MANT6</v>
      </c>
      <c r="BD322" s="683" t="str">
        <f>CONCATENATE(BDEGENER[[#This Row],[SERIE]],BDEGENER[[#This Row],[GA5]])</f>
        <v>3004370193MANT6</v>
      </c>
      <c r="BE322" s="683" t="str">
        <f>CONCATENATE(BDEGENER[[#This Row],[CODIGO PATRIMONIAL]],BDEGENER[[#This Row],[GA5]])</f>
        <v>SUR-GEG-0003MANT6</v>
      </c>
      <c r="BF322" s="683">
        <f>COUNTIF(BDEGENER[SERIE],BDEGENER[[#This Row],[SERIE]])</f>
        <v>16</v>
      </c>
      <c r="BG322" s="761" t="str">
        <f>CONCATENATE("F",COUNTIF($K$7:K322,K322))</f>
        <v>F2</v>
      </c>
      <c r="BH322" s="683" t="str">
        <f>CONCATENATE(BDEGENER[[#This Row],[FECHA DE SERVICIO]],BDEGENER[[#This Row],[N° DE REGISTROS DEL DIA]])</f>
        <v>44036F2</v>
      </c>
      <c r="BI322" s="684"/>
      <c r="BJ322" s="683" t="s">
        <v>1544</v>
      </c>
      <c r="BK322" s="762"/>
    </row>
    <row r="323" spans="2:63" ht="69" hidden="1" x14ac:dyDescent="0.3">
      <c r="B323" s="2"/>
      <c r="C323" s="2"/>
      <c r="D323" s="2"/>
      <c r="E323" s="2"/>
      <c r="F323" s="2"/>
      <c r="G323" s="2"/>
      <c r="H323" s="2"/>
      <c r="I323" s="2"/>
      <c r="J323" s="685"/>
      <c r="K323" s="682">
        <v>44035</v>
      </c>
      <c r="L323" s="683" t="s">
        <v>181</v>
      </c>
      <c r="M323" s="683" t="s">
        <v>187</v>
      </c>
      <c r="N323" s="683" t="s">
        <v>183</v>
      </c>
      <c r="O323" s="683"/>
      <c r="P323" s="683"/>
      <c r="Q323" s="683" t="s">
        <v>108</v>
      </c>
      <c r="R323" s="683" t="s">
        <v>1782</v>
      </c>
      <c r="S323" s="686" t="s">
        <v>3456</v>
      </c>
      <c r="T323" s="683" t="s">
        <v>3457</v>
      </c>
      <c r="U323" s="683"/>
      <c r="V323" s="683" t="s">
        <v>146</v>
      </c>
      <c r="W323" s="683" t="s">
        <v>914</v>
      </c>
      <c r="X323" s="691" t="s">
        <v>918</v>
      </c>
      <c r="Y323" s="687">
        <v>3004327725</v>
      </c>
      <c r="Z323" s="692"/>
      <c r="AA323" s="683" t="s">
        <v>33</v>
      </c>
      <c r="AB323" s="683" t="s">
        <v>34</v>
      </c>
      <c r="AC323" s="683" t="s">
        <v>230</v>
      </c>
      <c r="AD323" s="683"/>
      <c r="AE323" s="683"/>
      <c r="AF323" s="684">
        <v>1607.4</v>
      </c>
      <c r="AG323" s="683" t="s">
        <v>243</v>
      </c>
      <c r="AH323" s="683" t="s">
        <v>220</v>
      </c>
      <c r="AI323" s="683" t="s">
        <v>33</v>
      </c>
      <c r="AJ323" s="683">
        <v>3004333865</v>
      </c>
      <c r="AK323" s="683" t="s">
        <v>33</v>
      </c>
      <c r="AL323" s="683">
        <v>1065020</v>
      </c>
      <c r="AM323" s="683"/>
      <c r="AN323" s="683"/>
      <c r="AO323" s="683"/>
      <c r="AP323" s="683" t="s">
        <v>557</v>
      </c>
      <c r="AQ323" s="683" t="str">
        <f>CONCATENATE("REG-",BDEGENER[[#This Row],[FECHA DE SERVICIO]],"-",BDEGENER[[#This Row],[SERIE]],"-",BDEGENER[[#This Row],[HORAS]])</f>
        <v>REG-44035-3004327725-1607,4</v>
      </c>
      <c r="AR323" s="683" t="str">
        <f>CONCATENATE("MARCA: ",BDEGENER[[#This Row],[MARCA]],"
 MODELO: ",BDEGENER[[#This Row],[MODELO]])</f>
        <v>MARCA: GENERAC
 MODELO: PG090</v>
      </c>
      <c r="AS323" s="683" t="str">
        <f>CONCATENATE("MARCA: ",BDEGENER[[#This Row],[MARCA DE MOTOR]],"
SERIE: ",BDEGENER[[#This Row],[SERIE DE MOTOR]])</f>
        <v>MARCA: GENERAC
SERIE: 3004333865</v>
      </c>
      <c r="AT323" s="683" t="str">
        <f>CONCATENATE("MARCA: ",BDEGENER[[#This Row],[MARCA ALTERNADOR ]],"
SERIE: ",BDEGENER[[#This Row],[SERIE DE ALTERNADOR]])</f>
        <v>MARCA: GENERAC
SERIE: 1065020</v>
      </c>
      <c r="AU323" s="683" t="str">
        <f>CONCATENATE("HORAS: ",BDEGENER[[#This Row],[HORAS]],"
KW-HR: ",BDEGENER[[#This Row],[KW-HORA]],"
VOLT.BATERIA: ",BDEGENER[[#This Row],[VOLTAJE DE BATERIA]],"
TEMPERATURA: ",BDEGENER[[#This Row],[TEMPERATURA DE AGUA]],"
PRES. ACEITE: ",BDEGENER[[#This Row],[PRESION DE ACEITE]])</f>
        <v xml:space="preserve">HORAS: 1607,4
KW-HR: 
VOLT.BATERIA: 
TEMPERATURA: 
PRES. ACEITE: </v>
      </c>
      <c r="AV323" s="683">
        <f>COUNTIFS(Q323:Q2323,"MANTENIMIENTO CORRECTIVO",Y323:Y2323,BDEGENER[[#This Row],[SERIE]])</f>
        <v>1</v>
      </c>
      <c r="AW323" s="683">
        <f>COUNTIFS(Q323:Q2323,"MANTENIMIENTO PREVENTIVO",Y323:Y2323,BDEGENER[[#This Row],[SERIE]])</f>
        <v>6</v>
      </c>
      <c r="AX32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23" s="683">
        <f>COUNTIFS(BDEGENER[SERIE],BDEGENER[[#This Row],[SERIE]],BDEGENER[TIPO DE SERVICIO],"MANTENIMIENTO PREVENTIVO")</f>
        <v>6</v>
      </c>
      <c r="AZ323" s="683" t="str">
        <f>CONCATENATE("MANTENIMIENTO PREVENTIVO N°",BDEGENER[[#This Row],[GA1]])</f>
        <v>MANTENIMIENTO PREVENTIVO N°6</v>
      </c>
      <c r="BA323" s="683" t="str">
        <f>IF(BDEGENER[[#This Row],[SERVICIO]]=BDEGENER[[#This Row],[GA2]],BDEGENER[[#This Row],[HORAS]],"0")</f>
        <v>0</v>
      </c>
      <c r="BB323" s="683">
        <f>SUMIF(BDEGENER[SERIE],BDEGENER[[#This Row],[SERIE]],BDEGENER[GA3])</f>
        <v>1599.8</v>
      </c>
      <c r="BC323" s="683" t="str">
        <f>CONCATENATE("MANT",COUNTIF($Y$7:Y323,Y323))</f>
        <v>MANT4</v>
      </c>
      <c r="BD323" s="683" t="str">
        <f>CONCATENATE(BDEGENER[[#This Row],[SERIE]],BDEGENER[[#This Row],[GA5]])</f>
        <v>3004327725MANT4</v>
      </c>
      <c r="BE323" s="683" t="str">
        <f>CONCATENATE(BDEGENER[[#This Row],[CODIGO PATRIMONIAL]],BDEGENER[[#This Row],[GA5]])</f>
        <v>MANT4</v>
      </c>
      <c r="BF323" s="683">
        <f>COUNTIF(BDEGENER[SERIE],BDEGENER[[#This Row],[SERIE]])</f>
        <v>13</v>
      </c>
      <c r="BG323" s="683" t="str">
        <f>CONCATENATE("F",COUNTIF($K$7:K323,K323))</f>
        <v>F1</v>
      </c>
      <c r="BH323" s="683" t="str">
        <f>CONCATENATE(BDEGENER[[#This Row],[FECHA DE SERVICIO]],BDEGENER[[#This Row],[N° DE REGISTROS DEL DIA]])</f>
        <v>44035F1</v>
      </c>
      <c r="BI323" s="684"/>
      <c r="BJ323" s="683" t="s">
        <v>1544</v>
      </c>
      <c r="BK323" s="762"/>
    </row>
    <row r="324" spans="2:63" ht="69" hidden="1" x14ac:dyDescent="0.3">
      <c r="B324" s="2"/>
      <c r="C324" s="2"/>
      <c r="D324" s="2"/>
      <c r="E324" s="2"/>
      <c r="F324" s="2"/>
      <c r="G324" s="2"/>
      <c r="H324" s="2"/>
      <c r="I324" s="2"/>
      <c r="J324" s="685"/>
      <c r="K324" s="682">
        <v>44035</v>
      </c>
      <c r="L324" s="683" t="s">
        <v>181</v>
      </c>
      <c r="M324" s="683" t="s">
        <v>185</v>
      </c>
      <c r="N324" s="683" t="s">
        <v>183</v>
      </c>
      <c r="O324" s="683"/>
      <c r="P324" s="683"/>
      <c r="Q324" s="683" t="s">
        <v>108</v>
      </c>
      <c r="R324" s="683" t="s">
        <v>1782</v>
      </c>
      <c r="S324" s="686" t="s">
        <v>3454</v>
      </c>
      <c r="T324" s="683" t="s">
        <v>3455</v>
      </c>
      <c r="U324" s="683"/>
      <c r="V324" s="683" t="s">
        <v>146</v>
      </c>
      <c r="W324" s="683" t="s">
        <v>914</v>
      </c>
      <c r="X324" s="691" t="s">
        <v>918</v>
      </c>
      <c r="Y324" s="687">
        <v>3004290366</v>
      </c>
      <c r="Z324" s="692"/>
      <c r="AA324" s="683" t="s">
        <v>33</v>
      </c>
      <c r="AB324" s="683" t="s">
        <v>34</v>
      </c>
      <c r="AC324" s="683" t="s">
        <v>230</v>
      </c>
      <c r="AD324" s="683"/>
      <c r="AE324" s="683"/>
      <c r="AF324" s="684">
        <v>2535.3000000000002</v>
      </c>
      <c r="AG324" s="683" t="s">
        <v>243</v>
      </c>
      <c r="AH324" s="683" t="s">
        <v>220</v>
      </c>
      <c r="AI324" s="683" t="s">
        <v>33</v>
      </c>
      <c r="AJ324" s="683">
        <v>3004295604</v>
      </c>
      <c r="AK324" s="683" t="s">
        <v>33</v>
      </c>
      <c r="AL324" s="683">
        <v>10631290</v>
      </c>
      <c r="AM324" s="683"/>
      <c r="AN324" s="683"/>
      <c r="AO324" s="683"/>
      <c r="AP324" s="683" t="s">
        <v>557</v>
      </c>
      <c r="AQ324" s="683" t="str">
        <f>CONCATENATE("REG-",BDEGENER[[#This Row],[FECHA DE SERVICIO]],"-",BDEGENER[[#This Row],[SERIE]],"-",BDEGENER[[#This Row],[HORAS]])</f>
        <v>REG-44035-3004290366-2535,3</v>
      </c>
      <c r="AR324" s="683" t="str">
        <f>CONCATENATE("MARCA: ",BDEGENER[[#This Row],[MARCA]],"
 MODELO: ",BDEGENER[[#This Row],[MODELO]])</f>
        <v>MARCA: GENERAC
 MODELO: PG090</v>
      </c>
      <c r="AS324" s="683" t="str">
        <f>CONCATENATE("MARCA: ",BDEGENER[[#This Row],[MARCA DE MOTOR]],"
SERIE: ",BDEGENER[[#This Row],[SERIE DE MOTOR]])</f>
        <v>MARCA: GENERAC
SERIE: 3004295604</v>
      </c>
      <c r="AT324" s="683" t="str">
        <f>CONCATENATE("MARCA: ",BDEGENER[[#This Row],[MARCA ALTERNADOR ]],"
SERIE: ",BDEGENER[[#This Row],[SERIE DE ALTERNADOR]])</f>
        <v>MARCA: GENERAC
SERIE: 10631290</v>
      </c>
      <c r="AU324" s="683" t="str">
        <f>CONCATENATE("HORAS: ",BDEGENER[[#This Row],[HORAS]],"
KW-HR: ",BDEGENER[[#This Row],[KW-HORA]],"
VOLT.BATERIA: ",BDEGENER[[#This Row],[VOLTAJE DE BATERIA]],"
TEMPERATURA: ",BDEGENER[[#This Row],[TEMPERATURA DE AGUA]],"
PRES. ACEITE: ",BDEGENER[[#This Row],[PRESION DE ACEITE]])</f>
        <v xml:space="preserve">HORAS: 2535,3
KW-HR: 
VOLT.BATERIA: 
TEMPERATURA: 
PRES. ACEITE: </v>
      </c>
      <c r="AV324" s="683">
        <f>COUNTIFS(Q324:Q2324,"MANTENIMIENTO CORRECTIVO",Y324:Y2324,BDEGENER[[#This Row],[SERIE]])</f>
        <v>2</v>
      </c>
      <c r="AW324" s="683">
        <f>COUNTIFS(Q324:Q2324,"MANTENIMIENTO PREVENTIVO",Y324:Y2324,BDEGENER[[#This Row],[SERIE]])</f>
        <v>6</v>
      </c>
      <c r="AX32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24" s="683">
        <f>COUNTIFS(BDEGENER[SERIE],BDEGENER[[#This Row],[SERIE]],BDEGENER[TIPO DE SERVICIO],"MANTENIMIENTO PREVENTIVO")</f>
        <v>7</v>
      </c>
      <c r="AZ324" s="683" t="str">
        <f>CONCATENATE("MANTENIMIENTO PREVENTIVO N°",BDEGENER[[#This Row],[GA1]])</f>
        <v>MANTENIMIENTO PREVENTIVO N°7</v>
      </c>
      <c r="BA324" s="683" t="str">
        <f>IF(BDEGENER[[#This Row],[SERVICIO]]=BDEGENER[[#This Row],[GA2]],BDEGENER[[#This Row],[HORAS]],"0")</f>
        <v>0</v>
      </c>
      <c r="BB324" s="683">
        <f>SUMIF(BDEGENER[SERIE],BDEGENER[[#This Row],[SERIE]],BDEGENER[GA3])</f>
        <v>2629.6</v>
      </c>
      <c r="BC324" s="683" t="str">
        <f>CONCATENATE("MANT",COUNTIF($Y$7:Y324,Y324))</f>
        <v>MANT3</v>
      </c>
      <c r="BD324" s="683" t="str">
        <f>CONCATENATE(BDEGENER[[#This Row],[SERIE]],BDEGENER[[#This Row],[GA5]])</f>
        <v>3004290366MANT3</v>
      </c>
      <c r="BE324" s="683" t="str">
        <f>CONCATENATE(BDEGENER[[#This Row],[CODIGO PATRIMONIAL]],BDEGENER[[#This Row],[GA5]])</f>
        <v>MANT3</v>
      </c>
      <c r="BF324" s="683">
        <f>COUNTIF(BDEGENER[SERIE],BDEGENER[[#This Row],[SERIE]])</f>
        <v>14</v>
      </c>
      <c r="BG324" s="683" t="str">
        <f>CONCATENATE("F",COUNTIF($K$7:K324,K324))</f>
        <v>F2</v>
      </c>
      <c r="BH324" s="683" t="str">
        <f>CONCATENATE(BDEGENER[[#This Row],[FECHA DE SERVICIO]],BDEGENER[[#This Row],[N° DE REGISTROS DEL DIA]])</f>
        <v>44035F2</v>
      </c>
      <c r="BI324" s="684"/>
      <c r="BJ324" s="683" t="s">
        <v>1544</v>
      </c>
      <c r="BK324" s="762"/>
    </row>
    <row r="325" spans="2:63" ht="69" hidden="1" x14ac:dyDescent="0.3">
      <c r="B325" s="2"/>
      <c r="C325" s="2"/>
      <c r="D325" s="2"/>
      <c r="E325" s="2"/>
      <c r="F325" s="2"/>
      <c r="G325" s="2"/>
      <c r="H325" s="2"/>
      <c r="I325" s="2"/>
      <c r="J325" s="685"/>
      <c r="K325" s="682">
        <v>44035</v>
      </c>
      <c r="L325" s="683" t="s">
        <v>561</v>
      </c>
      <c r="M325" s="683" t="s">
        <v>2452</v>
      </c>
      <c r="N325" s="683" t="s">
        <v>584</v>
      </c>
      <c r="O325" s="683"/>
      <c r="P325" s="688" t="s">
        <v>3125</v>
      </c>
      <c r="Q325" s="683" t="s">
        <v>37</v>
      </c>
      <c r="R325" s="683" t="s">
        <v>1782</v>
      </c>
      <c r="S325" s="686" t="s">
        <v>3123</v>
      </c>
      <c r="T325" s="683" t="s">
        <v>3124</v>
      </c>
      <c r="U325" s="683" t="s">
        <v>2488</v>
      </c>
      <c r="V325" s="683" t="s">
        <v>677</v>
      </c>
      <c r="W325" s="683" t="s">
        <v>914</v>
      </c>
      <c r="X325" s="691" t="s">
        <v>918</v>
      </c>
      <c r="Y325" s="687">
        <v>3003566705</v>
      </c>
      <c r="Z325" s="692" t="s">
        <v>2613</v>
      </c>
      <c r="AA325" s="683" t="s">
        <v>33</v>
      </c>
      <c r="AB325" s="683" t="s">
        <v>34</v>
      </c>
      <c r="AC325" s="683" t="s">
        <v>230</v>
      </c>
      <c r="AD325" s="683" t="s">
        <v>1123</v>
      </c>
      <c r="AE325" s="683">
        <v>60</v>
      </c>
      <c r="AF325" s="684">
        <v>5732.5</v>
      </c>
      <c r="AG325" s="683" t="s">
        <v>243</v>
      </c>
      <c r="AH325" s="683" t="s">
        <v>220</v>
      </c>
      <c r="AI325" s="683" t="s">
        <v>33</v>
      </c>
      <c r="AJ325" s="683"/>
      <c r="AK325" s="683" t="s">
        <v>33</v>
      </c>
      <c r="AL325" s="683"/>
      <c r="AM325" s="683" t="s">
        <v>1145</v>
      </c>
      <c r="AN325" s="683" t="s">
        <v>2791</v>
      </c>
      <c r="AO325" s="683" t="s">
        <v>1349</v>
      </c>
      <c r="AP325" s="683" t="s">
        <v>240</v>
      </c>
      <c r="AQ325" s="688" t="str">
        <f>CONCATENATE("REG-",BDEGENER[[#This Row],[FECHA DE SERVICIO]],"-",BDEGENER[[#This Row],[SERIE]],"-",BDEGENER[[#This Row],[HORAS]])</f>
        <v>REG-44035-3003566705-5732,5</v>
      </c>
      <c r="AR325" s="683" t="str">
        <f>CONCATENATE("MARCA: ",BDEGENER[[#This Row],[MARCA]],"
 MODELO: ",BDEGENER[[#This Row],[MODELO]])</f>
        <v>MARCA: GENERAC
 MODELO: PG090</v>
      </c>
      <c r="AS325" s="683" t="str">
        <f>CONCATENATE("MARCA: ",BDEGENER[[#This Row],[MARCA DE MOTOR]],"
SERIE: ",BDEGENER[[#This Row],[SERIE DE MOTOR]])</f>
        <v xml:space="preserve">MARCA: GENERAC
SERIE: </v>
      </c>
      <c r="AT325" s="683" t="str">
        <f>CONCATENATE("MARCA: ",BDEGENER[[#This Row],[MARCA ALTERNADOR ]],"
SERIE: ",BDEGENER[[#This Row],[SERIE DE ALTERNADOR]])</f>
        <v xml:space="preserve">MARCA: GENERAC
SERIE: </v>
      </c>
      <c r="AU325" s="683" t="str">
        <f>CONCATENATE("HORAS: ",BDEGENER[[#This Row],[HORAS]],"
KW-HR: ",BDEGENER[[#This Row],[KW-HORA]],"
VOLT.BATERIA: ",BDEGENER[[#This Row],[VOLTAJE DE BATERIA]],"
TEMPERATURA: ",BDEGENER[[#This Row],[TEMPERATURA DE AGUA]],"
PRES. ACEITE: ",BDEGENER[[#This Row],[PRESION DE ACEITE]])</f>
        <v>HORAS: 5732,5
KW-HR: 75583,2
VOLT.BATERIA: 13.4 V
TEMPERATURA: 165 °F
PRES. ACEITE: 56 PSI</v>
      </c>
      <c r="AV325" s="761">
        <f>COUNTIFS(Q325:Q2325,"MANTENIMIENTO CORRECTIVO",Y325:Y2325,BDEGENER[[#This Row],[SERIE]])</f>
        <v>0</v>
      </c>
      <c r="AW325" s="761">
        <f>COUNTIFS(Q325:Q2325,"MANTENIMIENTO PREVENTIVO",Y325:Y2325,BDEGENER[[#This Row],[SERIE]])</f>
        <v>5</v>
      </c>
      <c r="AX32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25" s="683">
        <f>COUNTIFS(BDEGENER[SERIE],BDEGENER[[#This Row],[SERIE]],BDEGENER[TIPO DE SERVICIO],"MANTENIMIENTO PREVENTIVO")</f>
        <v>6</v>
      </c>
      <c r="AZ325" s="683" t="str">
        <f>CONCATENATE("MANTENIMIENTO PREVENTIVO N°",BDEGENER[[#This Row],[GA1]])</f>
        <v>MANTENIMIENTO PREVENTIVO N°6</v>
      </c>
      <c r="BA325" s="683" t="str">
        <f>IF(BDEGENER[[#This Row],[SERVICIO]]=BDEGENER[[#This Row],[GA2]],BDEGENER[[#This Row],[HORAS]],"0")</f>
        <v>0</v>
      </c>
      <c r="BB325" s="683">
        <f>SUMIF(BDEGENER[SERIE],BDEGENER[[#This Row],[SERIE]],BDEGENER[GA3])</f>
        <v>6247.9</v>
      </c>
      <c r="BC325" s="761" t="str">
        <f>CONCATENATE("MANT",COUNTIF($Y$7:Y325,Y325))</f>
        <v>MANT3</v>
      </c>
      <c r="BD325" s="683" t="str">
        <f>CONCATENATE(BDEGENER[[#This Row],[SERIE]],BDEGENER[[#This Row],[GA5]])</f>
        <v>3003566705MANT3</v>
      </c>
      <c r="BE325" s="683" t="str">
        <f>CONCATENATE(BDEGENER[[#This Row],[CODIGO PATRIMONIAL]],BDEGENER[[#This Row],[GA5]])</f>
        <v>NOR-GEG-0015MANT3</v>
      </c>
      <c r="BF325" s="683">
        <f>COUNTIF(BDEGENER[SERIE],BDEGENER[[#This Row],[SERIE]])</f>
        <v>8</v>
      </c>
      <c r="BG325" s="761" t="str">
        <f>CONCATENATE("F",COUNTIF($K$7:K325,K325))</f>
        <v>F3</v>
      </c>
      <c r="BH325" s="683" t="str">
        <f>CONCATENATE(BDEGENER[[#This Row],[FECHA DE SERVICIO]],BDEGENER[[#This Row],[N° DE REGISTROS DEL DIA]])</f>
        <v>44035F3</v>
      </c>
      <c r="BI325" s="684">
        <v>75583.199999999997</v>
      </c>
      <c r="BJ325" s="683" t="s">
        <v>1544</v>
      </c>
      <c r="BK325" s="762"/>
    </row>
    <row r="326" spans="2:63" ht="69" hidden="1" x14ac:dyDescent="0.3">
      <c r="B326" s="2"/>
      <c r="C326" s="2"/>
      <c r="D326" s="2"/>
      <c r="E326" s="2"/>
      <c r="F326" s="2"/>
      <c r="G326" s="2"/>
      <c r="H326" s="2"/>
      <c r="I326" s="2"/>
      <c r="J326" s="685"/>
      <c r="K326" s="682">
        <v>44035</v>
      </c>
      <c r="L326" s="683" t="s">
        <v>561</v>
      </c>
      <c r="M326" s="683" t="s">
        <v>2554</v>
      </c>
      <c r="N326" s="683" t="s">
        <v>586</v>
      </c>
      <c r="O326" s="683"/>
      <c r="P326" s="688" t="s">
        <v>3048</v>
      </c>
      <c r="Q326" s="683" t="s">
        <v>37</v>
      </c>
      <c r="R326" s="683" t="s">
        <v>1782</v>
      </c>
      <c r="S326" s="686" t="s">
        <v>3049</v>
      </c>
      <c r="T326" s="683" t="s">
        <v>2870</v>
      </c>
      <c r="U326" s="683" t="s">
        <v>2404</v>
      </c>
      <c r="V326" s="683" t="s">
        <v>677</v>
      </c>
      <c r="W326" s="683" t="s">
        <v>914</v>
      </c>
      <c r="X326" s="691" t="s">
        <v>918</v>
      </c>
      <c r="Y326" s="687">
        <v>3003566701</v>
      </c>
      <c r="Z326" s="692" t="s">
        <v>2616</v>
      </c>
      <c r="AA326" s="683" t="s">
        <v>33</v>
      </c>
      <c r="AB326" s="683" t="s">
        <v>34</v>
      </c>
      <c r="AC326" s="683" t="s">
        <v>230</v>
      </c>
      <c r="AD326" s="683" t="s">
        <v>1123</v>
      </c>
      <c r="AE326" s="683">
        <v>60</v>
      </c>
      <c r="AF326" s="684">
        <v>4650.2</v>
      </c>
      <c r="AG326" s="683" t="s">
        <v>1413</v>
      </c>
      <c r="AH326" s="683" t="s">
        <v>220</v>
      </c>
      <c r="AI326" s="683" t="s">
        <v>33</v>
      </c>
      <c r="AJ326" s="683">
        <v>3003430313</v>
      </c>
      <c r="AK326" s="683" t="s">
        <v>33</v>
      </c>
      <c r="AL326" s="683"/>
      <c r="AM326" s="683" t="s">
        <v>1377</v>
      </c>
      <c r="AN326" s="683"/>
      <c r="AO326" s="683"/>
      <c r="AP326" s="683" t="s">
        <v>240</v>
      </c>
      <c r="AQ326" s="688" t="str">
        <f>CONCATENATE("REG-",BDEGENER[[#This Row],[FECHA DE SERVICIO]],"-",BDEGENER[[#This Row],[SERIE]],"-",BDEGENER[[#This Row],[HORAS]])</f>
        <v>REG-44035-3003566701-4650,2</v>
      </c>
      <c r="AR326" s="683" t="str">
        <f>CONCATENATE("MARCA: ",BDEGENER[[#This Row],[MARCA]],"
 MODELO: ",BDEGENER[[#This Row],[MODELO]])</f>
        <v>MARCA: GENERAC
 MODELO: PG090</v>
      </c>
      <c r="AS326" s="683" t="str">
        <f>CONCATENATE("MARCA: ",BDEGENER[[#This Row],[MARCA DE MOTOR]],"
SERIE: ",BDEGENER[[#This Row],[SERIE DE MOTOR]])</f>
        <v>MARCA: GENERAC
SERIE: 3003430313</v>
      </c>
      <c r="AT326" s="683" t="str">
        <f>CONCATENATE("MARCA: ",BDEGENER[[#This Row],[MARCA ALTERNADOR ]],"
SERIE: ",BDEGENER[[#This Row],[SERIE DE ALTERNADOR]])</f>
        <v xml:space="preserve">MARCA: GENERAC
SERIE: </v>
      </c>
      <c r="AU326" s="683" t="str">
        <f>CONCATENATE("HORAS: ",BDEGENER[[#This Row],[HORAS]],"
KW-HR: ",BDEGENER[[#This Row],[KW-HORA]],"
VOLT.BATERIA: ",BDEGENER[[#This Row],[VOLTAJE DE BATERIA]],"
TEMPERATURA: ",BDEGENER[[#This Row],[TEMPERATURA DE AGUA]],"
PRES. ACEITE: ",BDEGENER[[#This Row],[PRESION DE ACEITE]])</f>
        <v xml:space="preserve">HORAS: 4650,2
KW-HR: 99824,1
VOLT.BATERIA: 13.8 V
TEMPERATURA: 
PRES. ACEITE: </v>
      </c>
      <c r="AV326" s="683">
        <f>COUNTIFS(Q326:Q2326,"MANTENIMIENTO CORRECTIVO",Y326:Y2326,BDEGENER[[#This Row],[SERIE]])</f>
        <v>0</v>
      </c>
      <c r="AW326" s="683">
        <f>COUNTIFS(Q326:Q2326,"MANTENIMIENTO PREVENTIVO",Y326:Y2326,BDEGENER[[#This Row],[SERIE]])</f>
        <v>7</v>
      </c>
      <c r="AX32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26" s="683">
        <f>COUNTIFS(BDEGENER[SERIE],BDEGENER[[#This Row],[SERIE]],BDEGENER[TIPO DE SERVICIO],"MANTENIMIENTO PREVENTIVO")</f>
        <v>9</v>
      </c>
      <c r="AZ326" s="683" t="str">
        <f>CONCATENATE("MANTENIMIENTO PREVENTIVO N°",BDEGENER[[#This Row],[GA1]])</f>
        <v>MANTENIMIENTO PREVENTIVO N°9</v>
      </c>
      <c r="BA326" s="683" t="str">
        <f>IF(BDEGENER[[#This Row],[SERVICIO]]=BDEGENER[[#This Row],[GA2]],BDEGENER[[#This Row],[HORAS]],"0")</f>
        <v>0</v>
      </c>
      <c r="BB326" s="683">
        <f>SUMIF(BDEGENER[SERIE],BDEGENER[[#This Row],[SERIE]],BDEGENER[GA3])</f>
        <v>5274.9</v>
      </c>
      <c r="BC326" s="683" t="str">
        <f>CONCATENATE("MANT",COUNTIF($Y$7:Y326,Y326))</f>
        <v>MANT4</v>
      </c>
      <c r="BD326" s="683" t="str">
        <f>CONCATENATE(BDEGENER[[#This Row],[SERIE]],BDEGENER[[#This Row],[GA5]])</f>
        <v>3003566701MANT4</v>
      </c>
      <c r="BE326" s="683" t="str">
        <f>CONCATENATE(BDEGENER[[#This Row],[CODIGO PATRIMONIAL]],BDEGENER[[#This Row],[GA5]])</f>
        <v>NOR-GEG-0018MANT4</v>
      </c>
      <c r="BF326" s="683">
        <f>COUNTIF(BDEGENER[SERIE],BDEGENER[[#This Row],[SERIE]])</f>
        <v>10</v>
      </c>
      <c r="BG326" s="683" t="str">
        <f>CONCATENATE("F",COUNTIF($K$7:K326,K326))</f>
        <v>F4</v>
      </c>
      <c r="BH326" s="683" t="str">
        <f>CONCATENATE(BDEGENER[[#This Row],[FECHA DE SERVICIO]],BDEGENER[[#This Row],[N° DE REGISTROS DEL DIA]])</f>
        <v>44035F4</v>
      </c>
      <c r="BI326" s="684">
        <v>99824.1</v>
      </c>
      <c r="BJ326" s="683" t="s">
        <v>1544</v>
      </c>
      <c r="BK326" s="762"/>
    </row>
    <row r="327" spans="2:63" ht="69" hidden="1" x14ac:dyDescent="0.3">
      <c r="B327" s="2"/>
      <c r="C327" s="2"/>
      <c r="D327" s="2"/>
      <c r="E327" s="2"/>
      <c r="F327" s="2"/>
      <c r="G327" s="2"/>
      <c r="H327" s="2"/>
      <c r="I327" s="2"/>
      <c r="J327" s="685"/>
      <c r="K327" s="682">
        <v>44035</v>
      </c>
      <c r="L327" s="683" t="s">
        <v>181</v>
      </c>
      <c r="M327" s="683" t="s">
        <v>185</v>
      </c>
      <c r="N327" s="683" t="s">
        <v>183</v>
      </c>
      <c r="O327" s="683"/>
      <c r="P327" s="683"/>
      <c r="Q327" s="683" t="s">
        <v>107</v>
      </c>
      <c r="R327" s="683" t="s">
        <v>2843</v>
      </c>
      <c r="S327" s="686" t="s">
        <v>2844</v>
      </c>
      <c r="T327" s="683" t="s">
        <v>2845</v>
      </c>
      <c r="U327" s="683" t="s">
        <v>2846</v>
      </c>
      <c r="V327" s="683" t="s">
        <v>146</v>
      </c>
      <c r="W327" s="683" t="s">
        <v>914</v>
      </c>
      <c r="X327" s="691" t="s">
        <v>918</v>
      </c>
      <c r="Y327" s="687">
        <v>3004344017</v>
      </c>
      <c r="Z327" s="692"/>
      <c r="AA327" s="683" t="s">
        <v>33</v>
      </c>
      <c r="AB327" s="683" t="s">
        <v>34</v>
      </c>
      <c r="AC327" s="683" t="s">
        <v>230</v>
      </c>
      <c r="AD327" s="683"/>
      <c r="AE327" s="683"/>
      <c r="AF327" s="684">
        <v>1588.3</v>
      </c>
      <c r="AG327" s="683" t="s">
        <v>243</v>
      </c>
      <c r="AH327" s="683" t="s">
        <v>220</v>
      </c>
      <c r="AI327" s="683" t="s">
        <v>33</v>
      </c>
      <c r="AJ327" s="683">
        <v>3004346832</v>
      </c>
      <c r="AK327" s="683" t="s">
        <v>33</v>
      </c>
      <c r="AL327" s="683">
        <v>106308750</v>
      </c>
      <c r="AM327" s="683"/>
      <c r="AN327" s="683"/>
      <c r="AO327" s="683"/>
      <c r="AP327" s="683" t="s">
        <v>240</v>
      </c>
      <c r="AQ327" s="688" t="str">
        <f>CONCATENATE("REG-",BDEGENER[[#This Row],[FECHA DE SERVICIO]],"-",BDEGENER[[#This Row],[SERIE]],"-",BDEGENER[[#This Row],[HORAS]])</f>
        <v>REG-44035-3004344017-1588,3</v>
      </c>
      <c r="AR327" s="683" t="str">
        <f>CONCATENATE("MARCA: ",BDEGENER[[#This Row],[MARCA]],"
 MODELO: ",BDEGENER[[#This Row],[MODELO]])</f>
        <v>MARCA: GENERAC
 MODELO: PG090</v>
      </c>
      <c r="AS327" s="683" t="str">
        <f>CONCATENATE("MARCA: ",BDEGENER[[#This Row],[MARCA DE MOTOR]],"
SERIE: ",BDEGENER[[#This Row],[SERIE DE MOTOR]])</f>
        <v>MARCA: GENERAC
SERIE: 3004346832</v>
      </c>
      <c r="AT327" s="683" t="str">
        <f>CONCATENATE("MARCA: ",BDEGENER[[#This Row],[MARCA ALTERNADOR ]],"
SERIE: ",BDEGENER[[#This Row],[SERIE DE ALTERNADOR]])</f>
        <v>MARCA: GENERAC
SERIE: 106308750</v>
      </c>
      <c r="AU327" s="683" t="str">
        <f>CONCATENATE("HORAS: ",BDEGENER[[#This Row],[HORAS]],"
KW-HR: ",BDEGENER[[#This Row],[KW-HORA]],"
VOLT.BATERIA: ",BDEGENER[[#This Row],[VOLTAJE DE BATERIA]],"
TEMPERATURA: ",BDEGENER[[#This Row],[TEMPERATURA DE AGUA]],"
PRES. ACEITE: ",BDEGENER[[#This Row],[PRESION DE ACEITE]])</f>
        <v xml:space="preserve">HORAS: 1588,3
KW-HR: 
VOLT.BATERIA: 
TEMPERATURA: 
PRES. ACEITE: </v>
      </c>
      <c r="AV327" s="683">
        <f>COUNTIFS(Q327:Q2327,"MANTENIMIENTO CORRECTIVO",Y327:Y2327,BDEGENER[[#This Row],[SERIE]])</f>
        <v>4</v>
      </c>
      <c r="AW327" s="683">
        <f>COUNTIFS(Q327:Q2327,"MANTENIMIENTO PREVENTIVO",Y327:Y2327,BDEGENER[[#This Row],[SERIE]])</f>
        <v>4</v>
      </c>
      <c r="AX32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327" s="683">
        <f>COUNTIFS(BDEGENER[SERIE],BDEGENER[[#This Row],[SERIE]],BDEGENER[TIPO DE SERVICIO],"MANTENIMIENTO PREVENTIVO")</f>
        <v>6</v>
      </c>
      <c r="AZ327" s="683" t="str">
        <f>CONCATENATE("MANTENIMIENTO PREVENTIVO N°",BDEGENER[[#This Row],[GA1]])</f>
        <v>MANTENIMIENTO PREVENTIVO N°6</v>
      </c>
      <c r="BA327" s="683" t="str">
        <f>IF(BDEGENER[[#This Row],[SERVICIO]]=BDEGENER[[#This Row],[GA2]],BDEGENER[[#This Row],[HORAS]],"0")</f>
        <v>0</v>
      </c>
      <c r="BB327" s="683">
        <f>SUMIF(BDEGENER[SERIE],BDEGENER[[#This Row],[SERIE]],BDEGENER[GA3])</f>
        <v>2140.9</v>
      </c>
      <c r="BC327" s="683" t="str">
        <f>CONCATENATE("MANT",COUNTIF($Y$7:Y327,Y327))</f>
        <v>MANT3</v>
      </c>
      <c r="BD327" s="683" t="str">
        <f>CONCATENATE(BDEGENER[[#This Row],[SERIE]],BDEGENER[[#This Row],[GA5]])</f>
        <v>3004344017MANT3</v>
      </c>
      <c r="BE327" s="683" t="str">
        <f>CONCATENATE(BDEGENER[[#This Row],[CODIGO PATRIMONIAL]],BDEGENER[[#This Row],[GA5]])</f>
        <v>MANT3</v>
      </c>
      <c r="BF327" s="683">
        <f>COUNTIF(BDEGENER[SERIE],BDEGENER[[#This Row],[SERIE]])</f>
        <v>12</v>
      </c>
      <c r="BG327" s="683" t="str">
        <f>CONCATENATE("F",COUNTIF($K$7:K327,K327))</f>
        <v>F5</v>
      </c>
      <c r="BH327" s="683" t="str">
        <f>CONCATENATE(BDEGENER[[#This Row],[FECHA DE SERVICIO]],BDEGENER[[#This Row],[N° DE REGISTROS DEL DIA]])</f>
        <v>44035F5</v>
      </c>
      <c r="BI327" s="684"/>
      <c r="BJ327" s="683" t="s">
        <v>1544</v>
      </c>
      <c r="BK327" s="762"/>
    </row>
    <row r="328" spans="2:63" ht="69" hidden="1" x14ac:dyDescent="0.3">
      <c r="B328" s="2"/>
      <c r="C328" s="2"/>
      <c r="D328" s="2"/>
      <c r="E328" s="2"/>
      <c r="F328" s="2"/>
      <c r="G328" s="2"/>
      <c r="H328" s="2"/>
      <c r="I328" s="2"/>
      <c r="J328" s="685"/>
      <c r="K328" s="763">
        <v>44035</v>
      </c>
      <c r="L328" s="761" t="s">
        <v>181</v>
      </c>
      <c r="M328" s="761" t="s">
        <v>188</v>
      </c>
      <c r="N328" s="761" t="s">
        <v>183</v>
      </c>
      <c r="O328" s="761">
        <v>4500873022</v>
      </c>
      <c r="P328" s="761" t="s">
        <v>2827</v>
      </c>
      <c r="Q328" s="761" t="s">
        <v>37</v>
      </c>
      <c r="R328" s="761" t="s">
        <v>1782</v>
      </c>
      <c r="S328" s="765" t="s">
        <v>2172</v>
      </c>
      <c r="T328" s="761" t="s">
        <v>2828</v>
      </c>
      <c r="U328" s="761" t="s">
        <v>2488</v>
      </c>
      <c r="V328" s="761" t="s">
        <v>146</v>
      </c>
      <c r="W328" s="761" t="s">
        <v>914</v>
      </c>
      <c r="X328" s="761" t="s">
        <v>918</v>
      </c>
      <c r="Y328" s="766">
        <v>3004290369</v>
      </c>
      <c r="Z328" s="761" t="s">
        <v>192</v>
      </c>
      <c r="AA328" s="761" t="s">
        <v>33</v>
      </c>
      <c r="AB328" s="761" t="s">
        <v>34</v>
      </c>
      <c r="AC328" s="761" t="s">
        <v>230</v>
      </c>
      <c r="AD328" s="761" t="s">
        <v>1110</v>
      </c>
      <c r="AE328" s="761">
        <v>60</v>
      </c>
      <c r="AF328" s="764">
        <v>1209.4000000000001</v>
      </c>
      <c r="AG328" s="761" t="s">
        <v>243</v>
      </c>
      <c r="AH328" s="761" t="s">
        <v>220</v>
      </c>
      <c r="AI328" s="761" t="s">
        <v>33</v>
      </c>
      <c r="AJ328" s="761">
        <v>3004308219</v>
      </c>
      <c r="AK328" s="761" t="s">
        <v>33</v>
      </c>
      <c r="AL328" s="761">
        <v>1063018</v>
      </c>
      <c r="AM328" s="761" t="s">
        <v>1121</v>
      </c>
      <c r="AN328" s="761" t="s">
        <v>1122</v>
      </c>
      <c r="AO328" s="761" t="s">
        <v>1144</v>
      </c>
      <c r="AP328" s="761" t="s">
        <v>240</v>
      </c>
      <c r="AQ328" s="769" t="str">
        <f>CONCATENATE("REG-",BDEGENER[[#This Row],[FECHA DE SERVICIO]],"-",BDEGENER[[#This Row],[SERIE]],"-",BDEGENER[[#This Row],[HORAS]])</f>
        <v>REG-44035-3004290369-1209,4</v>
      </c>
      <c r="AR328" s="761" t="str">
        <f>CONCATENATE("MARCA: ",BDEGENER[[#This Row],[MARCA]],"
 MODELO: ",BDEGENER[[#This Row],[MODELO]])</f>
        <v>MARCA: GENERAC
 MODELO: PG090</v>
      </c>
      <c r="AS328" s="761" t="str">
        <f>CONCATENATE("MARCA: ",BDEGENER[[#This Row],[MARCA DE MOTOR]],"
SERIE: ",BDEGENER[[#This Row],[SERIE DE MOTOR]])</f>
        <v>MARCA: GENERAC
SERIE: 3004308219</v>
      </c>
      <c r="AT328" s="761" t="str">
        <f>CONCATENATE("MARCA: ",BDEGENER[[#This Row],[MARCA ALTERNADOR ]],"
SERIE: ",BDEGENER[[#This Row],[SERIE DE ALTERNADOR]])</f>
        <v>MARCA: GENERAC
SERIE: 1063018</v>
      </c>
      <c r="AU328" s="761" t="str">
        <f>CONCATENATE("HORAS: ",BDEGENER[[#This Row],[HORAS]],"
KW-HR: ",BDEGENER[[#This Row],[KW-HORA]],"
VOLT.BATERIA: ",BDEGENER[[#This Row],[VOLTAJE DE BATERIA]],"
TEMPERATURA: ",BDEGENER[[#This Row],[TEMPERATURA DE AGUA]],"
PRES. ACEITE: ",BDEGENER[[#This Row],[PRESION DE ACEITE]])</f>
        <v>HORAS: 1209,4
KW-HR: 23487,8
VOLT.BATERIA: 13.7 V
TEMPERATURA: 195 °F
PRES. ACEITE: 59 PSI</v>
      </c>
      <c r="AV328" s="761">
        <f>COUNTIFS(Q328:Q2328,"MANTENIMIENTO CORRECTIVO",Y328:Y2328,BDEGENER[[#This Row],[SERIE]])</f>
        <v>2</v>
      </c>
      <c r="AW328" s="761">
        <f>COUNTIFS(Q328:Q2328,"MANTENIMIENTO PREVENTIVO",Y328:Y2328,BDEGENER[[#This Row],[SERIE]])</f>
        <v>4</v>
      </c>
      <c r="AX328" s="761"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328" s="761">
        <f>COUNTIFS(BDEGENER[SERIE],BDEGENER[[#This Row],[SERIE]],BDEGENER[TIPO DE SERVICIO],"MANTENIMIENTO PREVENTIVO")</f>
        <v>7</v>
      </c>
      <c r="AZ328" s="761" t="str">
        <f>CONCATENATE("MANTENIMIENTO PREVENTIVO N°",BDEGENER[[#This Row],[GA1]])</f>
        <v>MANTENIMIENTO PREVENTIVO N°7</v>
      </c>
      <c r="BA328" s="761" t="str">
        <f>IF(BDEGENER[[#This Row],[SERVICIO]]=BDEGENER[[#This Row],[GA2]],BDEGENER[[#This Row],[HORAS]],"0")</f>
        <v>0</v>
      </c>
      <c r="BB328" s="761">
        <f>SUMIF(BDEGENER[SERIE],BDEGENER[[#This Row],[SERIE]],BDEGENER[GA3])</f>
        <v>2294</v>
      </c>
      <c r="BC328" s="761" t="str">
        <f>CONCATENATE("MANT",COUNTIF($Y$7:Y328,Y328))</f>
        <v>MANT5</v>
      </c>
      <c r="BD328" s="761" t="str">
        <f>CONCATENATE(BDEGENER[[#This Row],[SERIE]],BDEGENER[[#This Row],[GA5]])</f>
        <v>3004290369MANT5</v>
      </c>
      <c r="BE328" s="761" t="str">
        <f>CONCATENATE(BDEGENER[[#This Row],[CODIGO PATRIMONIAL]],BDEGENER[[#This Row],[GA5]])</f>
        <v xml:space="preserve"> MANT5</v>
      </c>
      <c r="BF328" s="683">
        <f>COUNTIF(BDEGENER[SERIE],BDEGENER[[#This Row],[SERIE]])</f>
        <v>11</v>
      </c>
      <c r="BG328" s="761" t="str">
        <f>CONCATENATE("F",COUNTIF($K$7:K328,K328))</f>
        <v>F6</v>
      </c>
      <c r="BH328" s="683" t="str">
        <f>CONCATENATE(BDEGENER[[#This Row],[FECHA DE SERVICIO]],BDEGENER[[#This Row],[N° DE REGISTROS DEL DIA]])</f>
        <v>44035F6</v>
      </c>
      <c r="BI328" s="684">
        <v>23487.8</v>
      </c>
      <c r="BJ328" s="683" t="s">
        <v>1544</v>
      </c>
      <c r="BK328" s="736" t="s">
        <v>231</v>
      </c>
    </row>
    <row r="329" spans="2:63" ht="69" hidden="1" x14ac:dyDescent="0.3">
      <c r="B329" s="2"/>
      <c r="C329" s="2"/>
      <c r="D329" s="2"/>
      <c r="E329" s="2"/>
      <c r="F329" s="2"/>
      <c r="G329" s="2"/>
      <c r="H329" s="2"/>
      <c r="I329" s="2"/>
      <c r="J329" s="685"/>
      <c r="K329" s="682">
        <v>44034</v>
      </c>
      <c r="L329" s="85" t="s">
        <v>561</v>
      </c>
      <c r="M329" s="683" t="s">
        <v>2439</v>
      </c>
      <c r="N329" s="85" t="s">
        <v>564</v>
      </c>
      <c r="O329" s="85"/>
      <c r="P329" s="9" t="s">
        <v>3157</v>
      </c>
      <c r="Q329" s="85" t="s">
        <v>37</v>
      </c>
      <c r="R329" s="85" t="s">
        <v>1782</v>
      </c>
      <c r="S329" s="686" t="s">
        <v>3158</v>
      </c>
      <c r="T329" s="683" t="s">
        <v>3159</v>
      </c>
      <c r="U329" s="683" t="s">
        <v>3160</v>
      </c>
      <c r="V329" s="683" t="s">
        <v>677</v>
      </c>
      <c r="W329" s="85" t="s">
        <v>914</v>
      </c>
      <c r="X329" s="689" t="s">
        <v>918</v>
      </c>
      <c r="Y329" s="687">
        <v>3003963149</v>
      </c>
      <c r="Z329" s="692" t="s">
        <v>2603</v>
      </c>
      <c r="AA329" s="683" t="s">
        <v>33</v>
      </c>
      <c r="AB329" s="683" t="s">
        <v>34</v>
      </c>
      <c r="AC329" s="683" t="s">
        <v>230</v>
      </c>
      <c r="AD329" s="683" t="s">
        <v>3161</v>
      </c>
      <c r="AE329" s="683">
        <v>60</v>
      </c>
      <c r="AF329" s="684">
        <v>3712.4</v>
      </c>
      <c r="AG329" s="683" t="s">
        <v>243</v>
      </c>
      <c r="AH329" s="683" t="s">
        <v>220</v>
      </c>
      <c r="AI329" s="683" t="s">
        <v>33</v>
      </c>
      <c r="AJ329" s="683">
        <v>3003945260</v>
      </c>
      <c r="AK329" s="683" t="s">
        <v>33</v>
      </c>
      <c r="AL329" s="683"/>
      <c r="AM329" s="683" t="s">
        <v>3154</v>
      </c>
      <c r="AN329" s="683" t="s">
        <v>3162</v>
      </c>
      <c r="AO329" s="683" t="s">
        <v>1318</v>
      </c>
      <c r="AP329" s="683" t="s">
        <v>240</v>
      </c>
      <c r="AQ329" s="688" t="str">
        <f>CONCATENATE("REG-",BDEGENER[[#This Row],[FECHA DE SERVICIO]],"-",BDEGENER[[#This Row],[SERIE]],"-",BDEGENER[[#This Row],[HORAS]])</f>
        <v>REG-44034-3003963149-3712,4</v>
      </c>
      <c r="AR329" s="683" t="str">
        <f>CONCATENATE("MARCA: ",BDEGENER[[#This Row],[MARCA]],"
 MODELO: ",BDEGENER[[#This Row],[MODELO]])</f>
        <v>MARCA: GENERAC
 MODELO: PG090</v>
      </c>
      <c r="AS329" s="683" t="str">
        <f>CONCATENATE("MARCA: ",BDEGENER[[#This Row],[MARCA DE MOTOR]],"
SERIE: ",BDEGENER[[#This Row],[SERIE DE MOTOR]])</f>
        <v>MARCA: GENERAC
SERIE: 3003945260</v>
      </c>
      <c r="AT329" s="683" t="str">
        <f>CONCATENATE("MARCA: ",BDEGENER[[#This Row],[MARCA ALTERNADOR ]],"
SERIE: ",BDEGENER[[#This Row],[SERIE DE ALTERNADOR]])</f>
        <v xml:space="preserve">MARCA: GENERAC
SERIE: </v>
      </c>
      <c r="AU329" s="683" t="str">
        <f>CONCATENATE("HORAS: ",BDEGENER[[#This Row],[HORAS]],"
KW-HR: ",BDEGENER[[#This Row],[KW-HORA]],"
VOLT.BATERIA: ",BDEGENER[[#This Row],[VOLTAJE DE BATERIA]],"
TEMPERATURA: ",BDEGENER[[#This Row],[TEMPERATURA DE AGUA]],"
PRES. ACEITE: ",BDEGENER[[#This Row],[PRESION DE ACEITE]])</f>
        <v>HORAS: 3712,4
KW-HR: 153707,3
VOLT.BATERIA: 13,5 V
TEMPERATURA: 181 F
PRES. ACEITE: 58 PSI</v>
      </c>
      <c r="AV329" s="683">
        <f>COUNTIFS(Q329:Q2329,"MANTENIMIENTO CORRECTIVO",Y329:Y2329,BDEGENER[[#This Row],[SERIE]])</f>
        <v>3</v>
      </c>
      <c r="AW329" s="683">
        <f>COUNTIFS(Q329:Q2329,"MANTENIMIENTO PREVENTIVO",Y329:Y2329,BDEGENER[[#This Row],[SERIE]])</f>
        <v>5</v>
      </c>
      <c r="AX32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29" s="683">
        <f>COUNTIFS(BDEGENER[SERIE],BDEGENER[[#This Row],[SERIE]],BDEGENER[TIPO DE SERVICIO],"MANTENIMIENTO PREVENTIVO")</f>
        <v>6</v>
      </c>
      <c r="AZ329" s="683" t="str">
        <f>CONCATENATE("MANTENIMIENTO PREVENTIVO N°",BDEGENER[[#This Row],[GA1]])</f>
        <v>MANTENIMIENTO PREVENTIVO N°6</v>
      </c>
      <c r="BA329" s="683" t="str">
        <f>IF(BDEGENER[[#This Row],[SERVICIO]]=BDEGENER[[#This Row],[GA2]],BDEGENER[[#This Row],[HORAS]],"0")</f>
        <v>0</v>
      </c>
      <c r="BB329" s="683">
        <f>SUMIF(BDEGENER[SERIE],BDEGENER[[#This Row],[SERIE]],BDEGENER[GA3])</f>
        <v>3959.4</v>
      </c>
      <c r="BC329" s="683" t="str">
        <f>CONCATENATE("MANT",COUNTIF($Y$7:Y329,Y329))</f>
        <v>MANT2</v>
      </c>
      <c r="BD329" s="683" t="str">
        <f>CONCATENATE(BDEGENER[[#This Row],[SERIE]],BDEGENER[[#This Row],[GA5]])</f>
        <v>3003963149MANT2</v>
      </c>
      <c r="BE329" s="683" t="str">
        <f>CONCATENATE(BDEGENER[[#This Row],[CODIGO PATRIMONIAL]],BDEGENER[[#This Row],[GA5]])</f>
        <v>SUR-GEG-0007MANT2</v>
      </c>
      <c r="BF329" s="683">
        <f>COUNTIF(BDEGENER[SERIE],BDEGENER[[#This Row],[SERIE]])</f>
        <v>12</v>
      </c>
      <c r="BG329" s="683" t="str">
        <f>CONCATENATE("F",COUNTIF($K$7:K329,K329))</f>
        <v>F1</v>
      </c>
      <c r="BH329" s="683" t="str">
        <f>CONCATENATE(BDEGENER[[#This Row],[FECHA DE SERVICIO]],BDEGENER[[#This Row],[N° DE REGISTROS DEL DIA]])</f>
        <v>44034F1</v>
      </c>
      <c r="BI329" s="684">
        <v>153707.29999999999</v>
      </c>
      <c r="BJ329" s="683" t="s">
        <v>1544</v>
      </c>
      <c r="BK329" s="736" t="s">
        <v>2860</v>
      </c>
    </row>
    <row r="330" spans="2:63" ht="69" hidden="1" x14ac:dyDescent="0.3">
      <c r="B330" s="2"/>
      <c r="C330" s="2"/>
      <c r="D330" s="2"/>
      <c r="E330" s="2"/>
      <c r="F330" s="2"/>
      <c r="G330" s="2"/>
      <c r="H330" s="2"/>
      <c r="I330" s="2"/>
      <c r="J330" s="685"/>
      <c r="K330" s="682">
        <v>44034</v>
      </c>
      <c r="L330" s="683" t="s">
        <v>561</v>
      </c>
      <c r="M330" s="683" t="s">
        <v>2480</v>
      </c>
      <c r="N330" s="683" t="s">
        <v>2481</v>
      </c>
      <c r="O330" s="683"/>
      <c r="P330" s="688" t="s">
        <v>3075</v>
      </c>
      <c r="Q330" s="683" t="s">
        <v>37</v>
      </c>
      <c r="R330" s="683" t="s">
        <v>1782</v>
      </c>
      <c r="S330" s="686" t="s">
        <v>3076</v>
      </c>
      <c r="T330" s="683" t="s">
        <v>3021</v>
      </c>
      <c r="U330" s="683" t="s">
        <v>3074</v>
      </c>
      <c r="V330" s="683" t="s">
        <v>677</v>
      </c>
      <c r="W330" s="683" t="s">
        <v>913</v>
      </c>
      <c r="X330" s="691" t="s">
        <v>918</v>
      </c>
      <c r="Y330" s="687">
        <v>3004370195</v>
      </c>
      <c r="Z330" s="692" t="s">
        <v>2597</v>
      </c>
      <c r="AA330" s="683" t="s">
        <v>33</v>
      </c>
      <c r="AB330" s="683" t="s">
        <v>217</v>
      </c>
      <c r="AC330" s="683" t="s">
        <v>749</v>
      </c>
      <c r="AD330" s="683" t="s">
        <v>2433</v>
      </c>
      <c r="AE330" s="683">
        <v>60</v>
      </c>
      <c r="AF330" s="684">
        <v>2828</v>
      </c>
      <c r="AG330" s="683" t="s">
        <v>243</v>
      </c>
      <c r="AH330" s="683" t="s">
        <v>1803</v>
      </c>
      <c r="AI330" s="683" t="s">
        <v>2553</v>
      </c>
      <c r="AJ330" s="683"/>
      <c r="AK330" s="683" t="s">
        <v>33</v>
      </c>
      <c r="AL330" s="683"/>
      <c r="AM330" s="683" t="s">
        <v>1347</v>
      </c>
      <c r="AN330" s="683"/>
      <c r="AO330" s="683"/>
      <c r="AP330" s="683" t="s">
        <v>240</v>
      </c>
      <c r="AQ330" s="688" t="str">
        <f>CONCATENATE("REG-",BDEGENER[[#This Row],[FECHA DE SERVICIO]],"-",BDEGENER[[#This Row],[SERIE]],"-",BDEGENER[[#This Row],[HORAS]])</f>
        <v>REG-44034-3004370195-2828</v>
      </c>
      <c r="AR330" s="683" t="str">
        <f>CONCATENATE("MARCA: ",BDEGENER[[#This Row],[MARCA]],"
 MODELO: ",BDEGENER[[#This Row],[MODELO]])</f>
        <v>MARCA: GENERAC
 MODELO: RG022</v>
      </c>
      <c r="AS330" s="683" t="str">
        <f>CONCATENATE("MARCA: ",BDEGENER[[#This Row],[MARCA DE MOTOR]],"
SERIE: ",BDEGENER[[#This Row],[SERIE DE MOTOR]])</f>
        <v xml:space="preserve">MARCA: MITSUBISHI
SERIE: </v>
      </c>
      <c r="AT330" s="683" t="str">
        <f>CONCATENATE("MARCA: ",BDEGENER[[#This Row],[MARCA ALTERNADOR ]],"
SERIE: ",BDEGENER[[#This Row],[SERIE DE ALTERNADOR]])</f>
        <v xml:space="preserve">MARCA: GENERAC
SERIE: </v>
      </c>
      <c r="AU330" s="683" t="str">
        <f>CONCATENATE("HORAS: ",BDEGENER[[#This Row],[HORAS]],"
KW-HR: ",BDEGENER[[#This Row],[KW-HORA]],"
VOLT.BATERIA: ",BDEGENER[[#This Row],[VOLTAJE DE BATERIA]],"
TEMPERATURA: ",BDEGENER[[#This Row],[TEMPERATURA DE AGUA]],"
PRES. ACEITE: ",BDEGENER[[#This Row],[PRESION DE ACEITE]])</f>
        <v xml:space="preserve">HORAS: 2828
KW-HR: 
VOLT.BATERIA: 13.3 V
TEMPERATURA: 
PRES. ACEITE: </v>
      </c>
      <c r="AV330" s="683">
        <f>COUNTIFS(Q330:Q2330,"MANTENIMIENTO CORRECTIVO",Y330:Y2330,BDEGENER[[#This Row],[SERIE]])</f>
        <v>1</v>
      </c>
      <c r="AW330" s="683">
        <f>COUNTIFS(Q330:Q2330,"MANTENIMIENTO PREVENTIVO",Y330:Y2330,BDEGENER[[#This Row],[SERIE]])</f>
        <v>5</v>
      </c>
      <c r="AX33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30" s="683">
        <f>COUNTIFS(BDEGENER[SERIE],BDEGENER[[#This Row],[SERIE]],BDEGENER[TIPO DE SERVICIO],"MANTENIMIENTO PREVENTIVO")</f>
        <v>7</v>
      </c>
      <c r="AZ330" s="683" t="str">
        <f>CONCATENATE("MANTENIMIENTO PREVENTIVO N°",BDEGENER[[#This Row],[GA1]])</f>
        <v>MANTENIMIENTO PREVENTIVO N°7</v>
      </c>
      <c r="BA330" s="683" t="str">
        <f>IF(BDEGENER[[#This Row],[SERVICIO]]=BDEGENER[[#This Row],[GA2]],BDEGENER[[#This Row],[HORAS]],"0")</f>
        <v>0</v>
      </c>
      <c r="BB330" s="683">
        <f>SUMIF(BDEGENER[SERIE],BDEGENER[[#This Row],[SERIE]],BDEGENER[GA3])</f>
        <v>3519.7</v>
      </c>
      <c r="BC330" s="683" t="str">
        <f>CONCATENATE("MANT",COUNTIF($Y$7:Y330,Y330))</f>
        <v>MANT4</v>
      </c>
      <c r="BD330" s="683" t="str">
        <f>CONCATENATE(BDEGENER[[#This Row],[SERIE]],BDEGENER[[#This Row],[GA5]])</f>
        <v>3004370195MANT4</v>
      </c>
      <c r="BE330" s="683" t="str">
        <f>CONCATENATE(BDEGENER[[#This Row],[CODIGO PATRIMONIAL]],BDEGENER[[#This Row],[GA5]])</f>
        <v>SUR-GEG-0001MANT4</v>
      </c>
      <c r="BF330" s="683">
        <f>COUNTIF(BDEGENER[SERIE],BDEGENER[[#This Row],[SERIE]])</f>
        <v>12</v>
      </c>
      <c r="BG330" s="683" t="str">
        <f>CONCATENATE("F",COUNTIF($K$7:K330,K330))</f>
        <v>F2</v>
      </c>
      <c r="BH330" s="683" t="str">
        <f>CONCATENATE(BDEGENER[[#This Row],[FECHA DE SERVICIO]],BDEGENER[[#This Row],[N° DE REGISTROS DEL DIA]])</f>
        <v>44034F2</v>
      </c>
      <c r="BI330" s="684"/>
      <c r="BJ330" s="683" t="s">
        <v>1544</v>
      </c>
      <c r="BK330" s="736"/>
    </row>
    <row r="331" spans="2:63" ht="69" hidden="1" x14ac:dyDescent="0.3">
      <c r="B331" s="2"/>
      <c r="C331" s="2"/>
      <c r="D331" s="2"/>
      <c r="E331" s="2"/>
      <c r="F331" s="2"/>
      <c r="G331" s="2"/>
      <c r="H331" s="2"/>
      <c r="I331" s="2"/>
      <c r="J331" s="685"/>
      <c r="K331" s="682">
        <v>44034</v>
      </c>
      <c r="L331" s="683" t="s">
        <v>561</v>
      </c>
      <c r="M331" s="683" t="s">
        <v>2480</v>
      </c>
      <c r="N331" s="683" t="s">
        <v>2481</v>
      </c>
      <c r="O331" s="683"/>
      <c r="P331" s="683"/>
      <c r="Q331" s="683" t="s">
        <v>108</v>
      </c>
      <c r="R331" s="683" t="s">
        <v>3070</v>
      </c>
      <c r="S331" s="686" t="s">
        <v>3071</v>
      </c>
      <c r="T331" s="683" t="s">
        <v>3072</v>
      </c>
      <c r="U331" s="683" t="s">
        <v>3073</v>
      </c>
      <c r="V331" s="683" t="s">
        <v>677</v>
      </c>
      <c r="W331" s="683" t="s">
        <v>913</v>
      </c>
      <c r="X331" s="691" t="s">
        <v>918</v>
      </c>
      <c r="Y331" s="687">
        <v>3004370195</v>
      </c>
      <c r="Z331" s="692" t="s">
        <v>2597</v>
      </c>
      <c r="AA331" s="683" t="s">
        <v>33</v>
      </c>
      <c r="AB331" s="683" t="s">
        <v>217</v>
      </c>
      <c r="AC331" s="683" t="s">
        <v>749</v>
      </c>
      <c r="AD331" s="683" t="s">
        <v>1087</v>
      </c>
      <c r="AE331" s="683">
        <v>60</v>
      </c>
      <c r="AF331" s="684">
        <v>2827.5</v>
      </c>
      <c r="AG331" s="683" t="s">
        <v>243</v>
      </c>
      <c r="AH331" s="683" t="s">
        <v>1803</v>
      </c>
      <c r="AI331" s="683" t="s">
        <v>2553</v>
      </c>
      <c r="AJ331" s="683"/>
      <c r="AK331" s="683" t="s">
        <v>33</v>
      </c>
      <c r="AL331" s="683"/>
      <c r="AM331" s="683" t="s">
        <v>1347</v>
      </c>
      <c r="AN331" s="683"/>
      <c r="AO331" s="683"/>
      <c r="AP331" s="683" t="s">
        <v>240</v>
      </c>
      <c r="AQ331" s="688" t="str">
        <f>CONCATENATE("REG-",BDEGENER[[#This Row],[FECHA DE SERVICIO]],"-",BDEGENER[[#This Row],[SERIE]],"-",BDEGENER[[#This Row],[HORAS]])</f>
        <v>REG-44034-3004370195-2827,5</v>
      </c>
      <c r="AR331" s="683" t="str">
        <f>CONCATENATE("MARCA: ",BDEGENER[[#This Row],[MARCA]],"
 MODELO: ",BDEGENER[[#This Row],[MODELO]])</f>
        <v>MARCA: GENERAC
 MODELO: RG022</v>
      </c>
      <c r="AS331" s="683" t="str">
        <f>CONCATENATE("MARCA: ",BDEGENER[[#This Row],[MARCA DE MOTOR]],"
SERIE: ",BDEGENER[[#This Row],[SERIE DE MOTOR]])</f>
        <v xml:space="preserve">MARCA: MITSUBISHI
SERIE: </v>
      </c>
      <c r="AT331" s="683" t="str">
        <f>CONCATENATE("MARCA: ",BDEGENER[[#This Row],[MARCA ALTERNADOR ]],"
SERIE: ",BDEGENER[[#This Row],[SERIE DE ALTERNADOR]])</f>
        <v xml:space="preserve">MARCA: GENERAC
SERIE: </v>
      </c>
      <c r="AU331" s="683" t="str">
        <f>CONCATENATE("HORAS: ",BDEGENER[[#This Row],[HORAS]],"
KW-HR: ",BDEGENER[[#This Row],[KW-HORA]],"
VOLT.BATERIA: ",BDEGENER[[#This Row],[VOLTAJE DE BATERIA]],"
TEMPERATURA: ",BDEGENER[[#This Row],[TEMPERATURA DE AGUA]],"
PRES. ACEITE: ",BDEGENER[[#This Row],[PRESION DE ACEITE]])</f>
        <v xml:space="preserve">HORAS: 2827,5
KW-HR: 
VOLT.BATERIA: 13.3 V
TEMPERATURA: 
PRES. ACEITE: </v>
      </c>
      <c r="AV331" s="761">
        <f>COUNTIFS(Q331:Q2331,"MANTENIMIENTO CORRECTIVO",Y331:Y2331,BDEGENER[[#This Row],[SERIE]])</f>
        <v>1</v>
      </c>
      <c r="AW331" s="761">
        <f>COUNTIFS(Q331:Q2331,"MANTENIMIENTO PREVENTIVO",Y331:Y2331,BDEGENER[[#This Row],[SERIE]])</f>
        <v>4</v>
      </c>
      <c r="AX33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31" s="683">
        <f>COUNTIFS(BDEGENER[SERIE],BDEGENER[[#This Row],[SERIE]],BDEGENER[TIPO DE SERVICIO],"MANTENIMIENTO PREVENTIVO")</f>
        <v>7</v>
      </c>
      <c r="AZ331" s="683" t="str">
        <f>CONCATENATE("MANTENIMIENTO PREVENTIVO N°",BDEGENER[[#This Row],[GA1]])</f>
        <v>MANTENIMIENTO PREVENTIVO N°7</v>
      </c>
      <c r="BA331" s="683" t="str">
        <f>IF(BDEGENER[[#This Row],[SERVICIO]]=BDEGENER[[#This Row],[GA2]],BDEGENER[[#This Row],[HORAS]],"0")</f>
        <v>0</v>
      </c>
      <c r="BB331" s="683">
        <f>SUMIF(BDEGENER[SERIE],BDEGENER[[#This Row],[SERIE]],BDEGENER[GA3])</f>
        <v>3519.7</v>
      </c>
      <c r="BC331" s="761" t="str">
        <f>CONCATENATE("MANT",COUNTIF($Y$7:Y331,Y331))</f>
        <v>MANT5</v>
      </c>
      <c r="BD331" s="683" t="str">
        <f>CONCATENATE(BDEGENER[[#This Row],[SERIE]],BDEGENER[[#This Row],[GA5]])</f>
        <v>3004370195MANT5</v>
      </c>
      <c r="BE331" s="683" t="str">
        <f>CONCATENATE(BDEGENER[[#This Row],[CODIGO PATRIMONIAL]],BDEGENER[[#This Row],[GA5]])</f>
        <v>SUR-GEG-0001MANT5</v>
      </c>
      <c r="BF331" s="683">
        <f>COUNTIF(BDEGENER[SERIE],BDEGENER[[#This Row],[SERIE]])</f>
        <v>12</v>
      </c>
      <c r="BG331" s="761" t="str">
        <f>CONCATENATE("F",COUNTIF($K$7:K331,K331))</f>
        <v>F3</v>
      </c>
      <c r="BH331" s="683" t="str">
        <f>CONCATENATE(BDEGENER[[#This Row],[FECHA DE SERVICIO]],BDEGENER[[#This Row],[N° DE REGISTROS DEL DIA]])</f>
        <v>44034F3</v>
      </c>
      <c r="BI331" s="684"/>
      <c r="BJ331" s="683" t="s">
        <v>1544</v>
      </c>
      <c r="BK331" s="736"/>
    </row>
    <row r="332" spans="2:63" ht="69" hidden="1" x14ac:dyDescent="0.3">
      <c r="B332" s="2"/>
      <c r="C332" s="2"/>
      <c r="D332" s="2"/>
      <c r="E332" s="2"/>
      <c r="F332" s="2"/>
      <c r="G332" s="2"/>
      <c r="H332" s="2"/>
      <c r="I332" s="2"/>
      <c r="J332" s="685"/>
      <c r="K332" s="682">
        <v>44034</v>
      </c>
      <c r="L332" s="683" t="s">
        <v>561</v>
      </c>
      <c r="M332" s="683" t="s">
        <v>2445</v>
      </c>
      <c r="N332" s="683" t="s">
        <v>2549</v>
      </c>
      <c r="O332" s="683"/>
      <c r="P332" s="688" t="s">
        <v>3057</v>
      </c>
      <c r="Q332" s="683" t="s">
        <v>37</v>
      </c>
      <c r="R332" s="683" t="s">
        <v>1782</v>
      </c>
      <c r="S332" s="686" t="s">
        <v>3058</v>
      </c>
      <c r="T332" s="683" t="s">
        <v>2870</v>
      </c>
      <c r="U332" s="683" t="s">
        <v>2951</v>
      </c>
      <c r="V332" s="683" t="s">
        <v>677</v>
      </c>
      <c r="W332" s="683" t="s">
        <v>913</v>
      </c>
      <c r="X332" s="691" t="s">
        <v>918</v>
      </c>
      <c r="Y332" s="687">
        <v>3004597773</v>
      </c>
      <c r="Z332" s="692" t="s">
        <v>2609</v>
      </c>
      <c r="AA332" s="683" t="s">
        <v>33</v>
      </c>
      <c r="AB332" s="683" t="s">
        <v>217</v>
      </c>
      <c r="AC332" s="683" t="s">
        <v>750</v>
      </c>
      <c r="AD332" s="683" t="s">
        <v>1123</v>
      </c>
      <c r="AE332" s="683">
        <v>60.1</v>
      </c>
      <c r="AF332" s="684">
        <v>2342.4</v>
      </c>
      <c r="AG332" s="683" t="s">
        <v>243</v>
      </c>
      <c r="AH332" s="683" t="s">
        <v>1803</v>
      </c>
      <c r="AI332" s="683" t="s">
        <v>2553</v>
      </c>
      <c r="AJ332" s="683"/>
      <c r="AK332" s="683" t="s">
        <v>33</v>
      </c>
      <c r="AL332" s="683"/>
      <c r="AM332" s="683" t="s">
        <v>1094</v>
      </c>
      <c r="AN332" s="683"/>
      <c r="AO332" s="683"/>
      <c r="AP332" s="683" t="s">
        <v>240</v>
      </c>
      <c r="AQ332" s="688" t="str">
        <f>CONCATENATE("REG-",BDEGENER[[#This Row],[FECHA DE SERVICIO]],"-",BDEGENER[[#This Row],[SERIE]],"-",BDEGENER[[#This Row],[HORAS]])</f>
        <v>REG-44034-3004597773-2342,4</v>
      </c>
      <c r="AR332" s="683" t="str">
        <f>CONCATENATE("MARCA: ",BDEGENER[[#This Row],[MARCA]],"
 MODELO: ",BDEGENER[[#This Row],[MODELO]])</f>
        <v>MARCA: GENERAC
 MODELO: RG022</v>
      </c>
      <c r="AS332" s="683" t="str">
        <f>CONCATENATE("MARCA: ",BDEGENER[[#This Row],[MARCA DE MOTOR]],"
SERIE: ",BDEGENER[[#This Row],[SERIE DE MOTOR]])</f>
        <v xml:space="preserve">MARCA: MITSUBISHI
SERIE: </v>
      </c>
      <c r="AT332" s="683" t="str">
        <f>CONCATENATE("MARCA: ",BDEGENER[[#This Row],[MARCA ALTERNADOR ]],"
SERIE: ",BDEGENER[[#This Row],[SERIE DE ALTERNADOR]])</f>
        <v xml:space="preserve">MARCA: GENERAC
SERIE: </v>
      </c>
      <c r="AU332" s="683" t="str">
        <f>CONCATENATE("HORAS: ",BDEGENER[[#This Row],[HORAS]],"
KW-HR: ",BDEGENER[[#This Row],[KW-HORA]],"
VOLT.BATERIA: ",BDEGENER[[#This Row],[VOLTAJE DE BATERIA]],"
TEMPERATURA: ",BDEGENER[[#This Row],[TEMPERATURA DE AGUA]],"
PRES. ACEITE: ",BDEGENER[[#This Row],[PRESION DE ACEITE]])</f>
        <v xml:space="preserve">HORAS: 2342,4
KW-HR: 
VOLT.BATERIA: 13.5 V
TEMPERATURA: 
PRES. ACEITE: </v>
      </c>
      <c r="AV332" s="683">
        <f>COUNTIFS(Q332:Q2332,"MANTENIMIENTO CORRECTIVO",Y332:Y2332,BDEGENER[[#This Row],[SERIE]])</f>
        <v>0</v>
      </c>
      <c r="AW332" s="683">
        <f>COUNTIFS(Q332:Q2332,"MANTENIMIENTO PREVENTIVO",Y332:Y2332,BDEGENER[[#This Row],[SERIE]])</f>
        <v>7</v>
      </c>
      <c r="AX33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32" s="683">
        <f>COUNTIFS(BDEGENER[SERIE],BDEGENER[[#This Row],[SERIE]],BDEGENER[TIPO DE SERVICIO],"MANTENIMIENTO PREVENTIVO")</f>
        <v>9</v>
      </c>
      <c r="AZ332" s="683" t="str">
        <f>CONCATENATE("MANTENIMIENTO PREVENTIVO N°",BDEGENER[[#This Row],[GA1]])</f>
        <v>MANTENIMIENTO PREVENTIVO N°9</v>
      </c>
      <c r="BA332" s="683" t="str">
        <f>IF(BDEGENER[[#This Row],[SERVICIO]]=BDEGENER[[#This Row],[GA2]],BDEGENER[[#This Row],[HORAS]],"0")</f>
        <v>0</v>
      </c>
      <c r="BB332" s="683">
        <f>SUMIF(BDEGENER[SERIE],BDEGENER[[#This Row],[SERIE]],BDEGENER[GA3])</f>
        <v>3087.7</v>
      </c>
      <c r="BC332" s="683" t="str">
        <f>CONCATENATE("MANT",COUNTIF($Y$7:Y332,Y332))</f>
        <v>MANT3</v>
      </c>
      <c r="BD332" s="683" t="str">
        <f>CONCATENATE(BDEGENER[[#This Row],[SERIE]],BDEGENER[[#This Row],[GA5]])</f>
        <v>3004597773MANT3</v>
      </c>
      <c r="BE332" s="683" t="str">
        <f>CONCATENATE(BDEGENER[[#This Row],[CODIGO PATRIMONIAL]],BDEGENER[[#This Row],[GA5]])</f>
        <v>SUR-GEG-0013MANT3</v>
      </c>
      <c r="BF332" s="683">
        <f>COUNTIF(BDEGENER[SERIE],BDEGENER[[#This Row],[SERIE]])</f>
        <v>11</v>
      </c>
      <c r="BG332" s="683" t="str">
        <f>CONCATENATE("F",COUNTIF($K$7:K332,K332))</f>
        <v>F4</v>
      </c>
      <c r="BH332" s="683" t="str">
        <f>CONCATENATE(BDEGENER[[#This Row],[FECHA DE SERVICIO]],BDEGENER[[#This Row],[N° DE REGISTROS DEL DIA]])</f>
        <v>44034F4</v>
      </c>
      <c r="BI332" s="684"/>
      <c r="BJ332" s="683" t="s">
        <v>1544</v>
      </c>
      <c r="BK332" s="736"/>
    </row>
    <row r="333" spans="2:63" ht="69" hidden="1" x14ac:dyDescent="0.3">
      <c r="B333" s="2"/>
      <c r="C333" s="2"/>
      <c r="D333" s="2"/>
      <c r="E333" s="2"/>
      <c r="F333" s="2"/>
      <c r="G333" s="2"/>
      <c r="H333" s="2"/>
      <c r="I333" s="2"/>
      <c r="J333" s="685"/>
      <c r="K333" s="682">
        <v>44033</v>
      </c>
      <c r="L333" s="683" t="s">
        <v>181</v>
      </c>
      <c r="M333" s="683" t="s">
        <v>187</v>
      </c>
      <c r="N333" s="683" t="s">
        <v>183</v>
      </c>
      <c r="O333" s="683">
        <v>4500873022</v>
      </c>
      <c r="P333" s="683" t="s">
        <v>2832</v>
      </c>
      <c r="Q333" s="683" t="s">
        <v>37</v>
      </c>
      <c r="R333" s="683" t="s">
        <v>1782</v>
      </c>
      <c r="S333" s="686" t="s">
        <v>2140</v>
      </c>
      <c r="T333" s="683" t="s">
        <v>2833</v>
      </c>
      <c r="U333" s="683" t="s">
        <v>2488</v>
      </c>
      <c r="V333" s="683" t="s">
        <v>146</v>
      </c>
      <c r="W333" s="683" t="s">
        <v>914</v>
      </c>
      <c r="X333" s="691" t="s">
        <v>918</v>
      </c>
      <c r="Y333" s="687">
        <v>3004218547</v>
      </c>
      <c r="Z333" s="692"/>
      <c r="AA333" s="683" t="s">
        <v>33</v>
      </c>
      <c r="AB333" s="683" t="s">
        <v>34</v>
      </c>
      <c r="AC333" s="683" t="s">
        <v>230</v>
      </c>
      <c r="AD333" s="683" t="s">
        <v>1110</v>
      </c>
      <c r="AE333" s="683">
        <v>60</v>
      </c>
      <c r="AF333" s="684">
        <v>1368.3</v>
      </c>
      <c r="AG333" s="683" t="s">
        <v>243</v>
      </c>
      <c r="AH333" s="683" t="s">
        <v>220</v>
      </c>
      <c r="AI333" s="683" t="s">
        <v>33</v>
      </c>
      <c r="AJ333" s="683">
        <v>3003966252</v>
      </c>
      <c r="AK333" s="683" t="s">
        <v>33</v>
      </c>
      <c r="AL333" s="683">
        <v>10630140</v>
      </c>
      <c r="AM333" s="683" t="s">
        <v>245</v>
      </c>
      <c r="AN333" s="683" t="s">
        <v>1143</v>
      </c>
      <c r="AO333" s="683" t="s">
        <v>1166</v>
      </c>
      <c r="AP333" s="683" t="s">
        <v>240</v>
      </c>
      <c r="AQ333" s="683" t="str">
        <f>CONCATENATE("REG-",BDEGENER[[#This Row],[FECHA DE SERVICIO]],"-",BDEGENER[[#This Row],[SERIE]],"-",BDEGENER[[#This Row],[HORAS]])</f>
        <v>REG-44033-3004218547-1368,3</v>
      </c>
      <c r="AR333" s="683" t="str">
        <f>CONCATENATE("MARCA: ",BDEGENER[[#This Row],[MARCA]],"
 MODELO: ",BDEGENER[[#This Row],[MODELO]])</f>
        <v>MARCA: GENERAC
 MODELO: PG090</v>
      </c>
      <c r="AS333" s="683" t="str">
        <f>CONCATENATE("MARCA: ",BDEGENER[[#This Row],[MARCA DE MOTOR]],"
SERIE: ",BDEGENER[[#This Row],[SERIE DE MOTOR]])</f>
        <v>MARCA: GENERAC
SERIE: 3003966252</v>
      </c>
      <c r="AT333" s="683" t="str">
        <f>CONCATENATE("MARCA: ",BDEGENER[[#This Row],[MARCA ALTERNADOR ]],"
SERIE: ",BDEGENER[[#This Row],[SERIE DE ALTERNADOR]])</f>
        <v>MARCA: GENERAC
SERIE: 10630140</v>
      </c>
      <c r="AU333" s="683" t="str">
        <f>CONCATENATE("HORAS: ",BDEGENER[[#This Row],[HORAS]],"
KW-HR: ",BDEGENER[[#This Row],[KW-HORA]],"
VOLT.BATERIA: ",BDEGENER[[#This Row],[VOLTAJE DE BATERIA]],"
TEMPERATURA: ",BDEGENER[[#This Row],[TEMPERATURA DE AGUA]],"
PRES. ACEITE: ",BDEGENER[[#This Row],[PRESION DE ACEITE]])</f>
        <v>HORAS: 1368,3
KW-HR: 40158,5
VOLT.BATERIA: 13.6 V
TEMPERATURA: 197 °F
PRES. ACEITE: 57 PSI</v>
      </c>
      <c r="AV333" s="683">
        <f>COUNTIFS(Q333:Q2333,"MANTENIMIENTO CORRECTIVO",Y333:Y2333,BDEGENER[[#This Row],[SERIE]])</f>
        <v>1</v>
      </c>
      <c r="AW333" s="683">
        <f>COUNTIFS(Q333:Q2333,"MANTENIMIENTO PREVENTIVO",Y333:Y2333,BDEGENER[[#This Row],[SERIE]])</f>
        <v>5</v>
      </c>
      <c r="AX33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33" s="683">
        <f>COUNTIFS(BDEGENER[SERIE],BDEGENER[[#This Row],[SERIE]],BDEGENER[TIPO DE SERVICIO],"MANTENIMIENTO PREVENTIVO")</f>
        <v>7</v>
      </c>
      <c r="AZ333" s="683" t="str">
        <f>CONCATENATE("MANTENIMIENTO PREVENTIVO N°",BDEGENER[[#This Row],[GA1]])</f>
        <v>MANTENIMIENTO PREVENTIVO N°7</v>
      </c>
      <c r="BA333" s="683" t="str">
        <f>IF(BDEGENER[[#This Row],[SERVICIO]]=BDEGENER[[#This Row],[GA2]],BDEGENER[[#This Row],[HORAS]],"0")</f>
        <v>0</v>
      </c>
      <c r="BB333" s="683">
        <f>SUMIF(BDEGENER[SERIE],BDEGENER[[#This Row],[SERIE]],BDEGENER[GA3])</f>
        <v>2015.6</v>
      </c>
      <c r="BC333" s="683" t="str">
        <f>CONCATENATE("MANT",COUNTIF($Y$7:Y333,Y333))</f>
        <v>MANT5</v>
      </c>
      <c r="BD333" s="683" t="str">
        <f>CONCATENATE(BDEGENER[[#This Row],[SERIE]],BDEGENER[[#This Row],[GA5]])</f>
        <v>3004218547MANT5</v>
      </c>
      <c r="BE333" s="683" t="str">
        <f>CONCATENATE(BDEGENER[[#This Row],[CODIGO PATRIMONIAL]],BDEGENER[[#This Row],[GA5]])</f>
        <v>MANT5</v>
      </c>
      <c r="BF333" s="683">
        <f>COUNTIF(BDEGENER[SERIE],BDEGENER[[#This Row],[SERIE]])</f>
        <v>12</v>
      </c>
      <c r="BG333" s="683" t="str">
        <f>CONCATENATE("F",COUNTIF($K$7:K333,K333))</f>
        <v>F1</v>
      </c>
      <c r="BH333" s="683" t="str">
        <f>CONCATENATE(BDEGENER[[#This Row],[FECHA DE SERVICIO]],BDEGENER[[#This Row],[N° DE REGISTROS DEL DIA]])</f>
        <v>44033F1</v>
      </c>
      <c r="BI333" s="684">
        <v>40158.5</v>
      </c>
      <c r="BJ333" s="683" t="s">
        <v>1544</v>
      </c>
      <c r="BK333" s="736" t="s">
        <v>2177</v>
      </c>
    </row>
    <row r="334" spans="2:63" ht="69" hidden="1" x14ac:dyDescent="0.3">
      <c r="B334" s="2"/>
      <c r="C334" s="2"/>
      <c r="D334" s="2"/>
      <c r="E334" s="2"/>
      <c r="F334" s="2"/>
      <c r="G334" s="2"/>
      <c r="H334" s="2"/>
      <c r="I334" s="2"/>
      <c r="J334" s="685"/>
      <c r="K334" s="682">
        <v>44033</v>
      </c>
      <c r="L334" s="683" t="s">
        <v>181</v>
      </c>
      <c r="M334" s="683" t="s">
        <v>190</v>
      </c>
      <c r="N334" s="683" t="s">
        <v>183</v>
      </c>
      <c r="O334" s="683">
        <v>4500873022</v>
      </c>
      <c r="P334" s="683" t="s">
        <v>2829</v>
      </c>
      <c r="Q334" s="683" t="s">
        <v>37</v>
      </c>
      <c r="R334" s="683" t="s">
        <v>1782</v>
      </c>
      <c r="S334" s="686" t="s">
        <v>2527</v>
      </c>
      <c r="T334" s="683" t="s">
        <v>2831</v>
      </c>
      <c r="U334" s="683" t="s">
        <v>2488</v>
      </c>
      <c r="V334" s="683" t="s">
        <v>146</v>
      </c>
      <c r="W334" s="683" t="s">
        <v>914</v>
      </c>
      <c r="X334" s="691" t="s">
        <v>918</v>
      </c>
      <c r="Y334" s="687">
        <v>3004381438</v>
      </c>
      <c r="Z334" s="692"/>
      <c r="AA334" s="683" t="s">
        <v>33</v>
      </c>
      <c r="AB334" s="683" t="s">
        <v>34</v>
      </c>
      <c r="AC334" s="683" t="s">
        <v>230</v>
      </c>
      <c r="AD334" s="683" t="s">
        <v>1110</v>
      </c>
      <c r="AE334" s="683">
        <v>60</v>
      </c>
      <c r="AF334" s="684">
        <v>2177.3000000000002</v>
      </c>
      <c r="AG334" s="683" t="s">
        <v>243</v>
      </c>
      <c r="AH334" s="683" t="s">
        <v>220</v>
      </c>
      <c r="AI334" s="683" t="s">
        <v>33</v>
      </c>
      <c r="AJ334" s="683">
        <v>3004333873</v>
      </c>
      <c r="AK334" s="683" t="s">
        <v>33</v>
      </c>
      <c r="AL334" s="683">
        <v>106309650</v>
      </c>
      <c r="AM334" s="683" t="s">
        <v>1121</v>
      </c>
      <c r="AN334" s="683" t="s">
        <v>1352</v>
      </c>
      <c r="AO334" s="683" t="s">
        <v>1349</v>
      </c>
      <c r="AP334" s="683" t="s">
        <v>240</v>
      </c>
      <c r="AQ334" s="688" t="str">
        <f>CONCATENATE("REG-",BDEGENER[[#This Row],[FECHA DE SERVICIO]],"-",BDEGENER[[#This Row],[SERIE]],"-",BDEGENER[[#This Row],[HORAS]])</f>
        <v>REG-44033-3004381438-2177,3</v>
      </c>
      <c r="AR334" s="683" t="str">
        <f>CONCATENATE("MARCA: ",BDEGENER[[#This Row],[MARCA]],"
 MODELO: ",BDEGENER[[#This Row],[MODELO]])</f>
        <v>MARCA: GENERAC
 MODELO: PG090</v>
      </c>
      <c r="AS334" s="683" t="str">
        <f>CONCATENATE("MARCA: ",BDEGENER[[#This Row],[MARCA DE MOTOR]],"
SERIE: ",BDEGENER[[#This Row],[SERIE DE MOTOR]])</f>
        <v>MARCA: GENERAC
SERIE: 3004333873</v>
      </c>
      <c r="AT334" s="683" t="str">
        <f>CONCATENATE("MARCA: ",BDEGENER[[#This Row],[MARCA ALTERNADOR ]],"
SERIE: ",BDEGENER[[#This Row],[SERIE DE ALTERNADOR]])</f>
        <v>MARCA: GENERAC
SERIE: 106309650</v>
      </c>
      <c r="AU334" s="683" t="str">
        <f>CONCATENATE("HORAS: ",BDEGENER[[#This Row],[HORAS]],"
KW-HR: ",BDEGENER[[#This Row],[KW-HORA]],"
VOLT.BATERIA: ",BDEGENER[[#This Row],[VOLTAJE DE BATERIA]],"
TEMPERATURA: ",BDEGENER[[#This Row],[TEMPERATURA DE AGUA]],"
PRES. ACEITE: ",BDEGENER[[#This Row],[PRESION DE ACEITE]])</f>
        <v>HORAS: 2177,3
KW-HR: 47644,2
VOLT.BATERIA: 13.7 V
TEMPERATURA: 196 °F
PRES. ACEITE: 56 PSI</v>
      </c>
      <c r="AV334" s="761">
        <f>COUNTIFS(Q334:Q2334,"MANTENIMIENTO CORRECTIVO",Y334:Y2334,BDEGENER[[#This Row],[SERIE]])</f>
        <v>1</v>
      </c>
      <c r="AW334" s="761">
        <f>COUNTIFS(Q334:Q2334,"MANTENIMIENTO PREVENTIVO",Y334:Y2334,BDEGENER[[#This Row],[SERIE]])</f>
        <v>7</v>
      </c>
      <c r="AX33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34" s="683">
        <f>COUNTIFS(BDEGENER[SERIE],BDEGENER[[#This Row],[SERIE]],BDEGENER[TIPO DE SERVICIO],"MANTENIMIENTO PREVENTIVO")</f>
        <v>10</v>
      </c>
      <c r="AZ334" s="683" t="str">
        <f>CONCATENATE("MANTENIMIENTO PREVENTIVO N°",BDEGENER[[#This Row],[GA1]])</f>
        <v>MANTENIMIENTO PREVENTIVO N°10</v>
      </c>
      <c r="BA334" s="683" t="str">
        <f>IF(BDEGENER[[#This Row],[SERVICIO]]=BDEGENER[[#This Row],[GA2]],BDEGENER[[#This Row],[HORAS]],"0")</f>
        <v>0</v>
      </c>
      <c r="BB334" s="683">
        <f>SUMIF(BDEGENER[SERIE],BDEGENER[[#This Row],[SERIE]],BDEGENER[GA3])</f>
        <v>3227.9</v>
      </c>
      <c r="BC334" s="761" t="str">
        <f>CONCATENATE("MANT",COUNTIF($Y$7:Y334,Y334))</f>
        <v>MANT5</v>
      </c>
      <c r="BD334" s="683" t="str">
        <f>CONCATENATE(BDEGENER[[#This Row],[SERIE]],BDEGENER[[#This Row],[GA5]])</f>
        <v>3004381438MANT5</v>
      </c>
      <c r="BE334" s="683" t="str">
        <f>CONCATENATE(BDEGENER[[#This Row],[CODIGO PATRIMONIAL]],BDEGENER[[#This Row],[GA5]])</f>
        <v>MANT5</v>
      </c>
      <c r="BF334" s="683">
        <f>COUNTIF(BDEGENER[SERIE],BDEGENER[[#This Row],[SERIE]])</f>
        <v>13</v>
      </c>
      <c r="BG334" s="761" t="str">
        <f>CONCATENATE("F",COUNTIF($K$7:K334,K334))</f>
        <v>F2</v>
      </c>
      <c r="BH334" s="683" t="str">
        <f>CONCATENATE(BDEGENER[[#This Row],[FECHA DE SERVICIO]],BDEGENER[[#This Row],[N° DE REGISTROS DEL DIA]])</f>
        <v>44033F2</v>
      </c>
      <c r="BI334" s="684">
        <v>47644.2</v>
      </c>
      <c r="BJ334" s="683" t="s">
        <v>1544</v>
      </c>
      <c r="BK334" s="736" t="s">
        <v>2548</v>
      </c>
    </row>
    <row r="335" spans="2:63" ht="69" hidden="1" x14ac:dyDescent="0.3">
      <c r="B335" s="2"/>
      <c r="C335" s="2"/>
      <c r="D335" s="2"/>
      <c r="E335" s="2"/>
      <c r="F335" s="2"/>
      <c r="G335" s="2"/>
      <c r="H335" s="2"/>
      <c r="I335" s="2"/>
      <c r="J335" s="685"/>
      <c r="K335" s="682">
        <v>44033</v>
      </c>
      <c r="L335" s="683" t="s">
        <v>181</v>
      </c>
      <c r="M335" s="683" t="s">
        <v>190</v>
      </c>
      <c r="N335" s="683" t="s">
        <v>183</v>
      </c>
      <c r="O335" s="683">
        <v>4500873022</v>
      </c>
      <c r="P335" s="683" t="s">
        <v>2829</v>
      </c>
      <c r="Q335" s="683" t="s">
        <v>37</v>
      </c>
      <c r="R335" s="683" t="s">
        <v>1782</v>
      </c>
      <c r="S335" s="686" t="s">
        <v>2172</v>
      </c>
      <c r="T335" s="683" t="s">
        <v>2830</v>
      </c>
      <c r="U335" s="683" t="s">
        <v>2488</v>
      </c>
      <c r="V335" s="683" t="s">
        <v>146</v>
      </c>
      <c r="W335" s="683" t="s">
        <v>914</v>
      </c>
      <c r="X335" s="691" t="s">
        <v>918</v>
      </c>
      <c r="Y335" s="687">
        <v>3004336196</v>
      </c>
      <c r="Z335" s="692"/>
      <c r="AA335" s="683" t="s">
        <v>33</v>
      </c>
      <c r="AB335" s="683" t="s">
        <v>34</v>
      </c>
      <c r="AC335" s="683" t="s">
        <v>230</v>
      </c>
      <c r="AD335" s="683" t="s">
        <v>1110</v>
      </c>
      <c r="AE335" s="683">
        <v>60</v>
      </c>
      <c r="AF335" s="684">
        <v>2043.3</v>
      </c>
      <c r="AG335" s="683" t="s">
        <v>243</v>
      </c>
      <c r="AH335" s="683" t="s">
        <v>220</v>
      </c>
      <c r="AI335" s="683" t="s">
        <v>33</v>
      </c>
      <c r="AJ335" s="683">
        <v>3004346824</v>
      </c>
      <c r="AK335" s="683" t="s">
        <v>33</v>
      </c>
      <c r="AL335" s="683">
        <v>10630720</v>
      </c>
      <c r="AM335" s="683" t="s">
        <v>1121</v>
      </c>
      <c r="AN335" s="683" t="s">
        <v>1505</v>
      </c>
      <c r="AO335" s="683" t="s">
        <v>1166</v>
      </c>
      <c r="AP335" s="683" t="s">
        <v>240</v>
      </c>
      <c r="AQ335" s="683" t="str">
        <f>CONCATENATE("REG-",BDEGENER[[#This Row],[FECHA DE SERVICIO]],"-",BDEGENER[[#This Row],[SERIE]],"-",BDEGENER[[#This Row],[HORAS]])</f>
        <v>REG-44033-3004336196-2043,3</v>
      </c>
      <c r="AR335" s="683" t="str">
        <f>CONCATENATE("MARCA: ",BDEGENER[[#This Row],[MARCA]],"
 MODELO: ",BDEGENER[[#This Row],[MODELO]])</f>
        <v>MARCA: GENERAC
 MODELO: PG090</v>
      </c>
      <c r="AS335" s="683" t="str">
        <f>CONCATENATE("MARCA: ",BDEGENER[[#This Row],[MARCA DE MOTOR]],"
SERIE: ",BDEGENER[[#This Row],[SERIE DE MOTOR]])</f>
        <v>MARCA: GENERAC
SERIE: 3004346824</v>
      </c>
      <c r="AT335" s="683" t="str">
        <f>CONCATENATE("MARCA: ",BDEGENER[[#This Row],[MARCA ALTERNADOR ]],"
SERIE: ",BDEGENER[[#This Row],[SERIE DE ALTERNADOR]])</f>
        <v>MARCA: GENERAC
SERIE: 10630720</v>
      </c>
      <c r="AU335" s="683" t="str">
        <f>CONCATENATE("HORAS: ",BDEGENER[[#This Row],[HORAS]],"
KW-HR: ",BDEGENER[[#This Row],[KW-HORA]],"
VOLT.BATERIA: ",BDEGENER[[#This Row],[VOLTAJE DE BATERIA]],"
TEMPERATURA: ",BDEGENER[[#This Row],[TEMPERATURA DE AGUA]],"
PRES. ACEITE: ",BDEGENER[[#This Row],[PRESION DE ACEITE]])</f>
        <v>HORAS: 2043,3
KW-HR: 46944,2
VOLT.BATERIA: 13.7 V
TEMPERATURA: 194 °F
PRES. ACEITE: 57 PSI</v>
      </c>
      <c r="AV335" s="683">
        <f>COUNTIFS(Q335:Q2335,"MANTENIMIENTO CORRECTIVO",Y335:Y2335,BDEGENER[[#This Row],[SERIE]])</f>
        <v>2</v>
      </c>
      <c r="AW335" s="683">
        <f>COUNTIFS(Q335:Q2335,"MANTENIMIENTO PREVENTIVO",Y335:Y2335,BDEGENER[[#This Row],[SERIE]])</f>
        <v>6</v>
      </c>
      <c r="AX33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35" s="683">
        <f>COUNTIFS(BDEGENER[SERIE],BDEGENER[[#This Row],[SERIE]],BDEGENER[TIPO DE SERVICIO],"MANTENIMIENTO PREVENTIVO")</f>
        <v>9</v>
      </c>
      <c r="AZ335" s="683" t="str">
        <f>CONCATENATE("MANTENIMIENTO PREVENTIVO N°",BDEGENER[[#This Row],[GA1]])</f>
        <v>MANTENIMIENTO PREVENTIVO N°9</v>
      </c>
      <c r="BA335" s="683" t="str">
        <f>IF(BDEGENER[[#This Row],[SERVICIO]]=BDEGENER[[#This Row],[GA2]],BDEGENER[[#This Row],[HORAS]],"0")</f>
        <v>0</v>
      </c>
      <c r="BB335" s="683">
        <f>SUMIF(BDEGENER[SERIE],BDEGENER[[#This Row],[SERIE]],BDEGENER[GA3])</f>
        <v>3148.2</v>
      </c>
      <c r="BC335" s="683" t="str">
        <f>CONCATENATE("MANT",COUNTIF($Y$7:Y335,Y335))</f>
        <v>MANT5</v>
      </c>
      <c r="BD335" s="683" t="str">
        <f>CONCATENATE(BDEGENER[[#This Row],[SERIE]],BDEGENER[[#This Row],[GA5]])</f>
        <v>3004336196MANT5</v>
      </c>
      <c r="BE335" s="683" t="str">
        <f>CONCATENATE(BDEGENER[[#This Row],[CODIGO PATRIMONIAL]],BDEGENER[[#This Row],[GA5]])</f>
        <v>MANT5</v>
      </c>
      <c r="BF335" s="683">
        <f>COUNTIF(BDEGENER[SERIE],BDEGENER[[#This Row],[SERIE]])</f>
        <v>13</v>
      </c>
      <c r="BG335" s="683" t="str">
        <f>CONCATENATE("F",COUNTIF($K$7:K335,K335))</f>
        <v>F3</v>
      </c>
      <c r="BH335" s="683" t="str">
        <f>CONCATENATE(BDEGENER[[#This Row],[FECHA DE SERVICIO]],BDEGENER[[#This Row],[N° DE REGISTROS DEL DIA]])</f>
        <v>44033F3</v>
      </c>
      <c r="BI335" s="684">
        <v>46944.2</v>
      </c>
      <c r="BJ335" s="683" t="s">
        <v>1544</v>
      </c>
      <c r="BK335" s="736" t="s">
        <v>2548</v>
      </c>
    </row>
    <row r="336" spans="2:63" ht="69" hidden="1" x14ac:dyDescent="0.3">
      <c r="B336" s="2"/>
      <c r="C336" s="2"/>
      <c r="D336" s="2"/>
      <c r="E336" s="2"/>
      <c r="F336" s="2"/>
      <c r="G336" s="2"/>
      <c r="H336" s="2"/>
      <c r="I336" s="2"/>
      <c r="J336" s="685"/>
      <c r="K336" s="682">
        <v>44032</v>
      </c>
      <c r="L336" s="683" t="s">
        <v>181</v>
      </c>
      <c r="M336" s="683" t="s">
        <v>188</v>
      </c>
      <c r="N336" s="683" t="s">
        <v>183</v>
      </c>
      <c r="O336" s="683"/>
      <c r="P336" s="683"/>
      <c r="Q336" s="683" t="s">
        <v>108</v>
      </c>
      <c r="R336" s="683" t="s">
        <v>1782</v>
      </c>
      <c r="S336" s="686" t="s">
        <v>3451</v>
      </c>
      <c r="T336" s="683" t="s">
        <v>2843</v>
      </c>
      <c r="U336" s="683"/>
      <c r="V336" s="683" t="s">
        <v>146</v>
      </c>
      <c r="W336" s="683" t="s">
        <v>914</v>
      </c>
      <c r="X336" s="691" t="s">
        <v>918</v>
      </c>
      <c r="Y336" s="687">
        <v>3004290364</v>
      </c>
      <c r="Z336" s="692"/>
      <c r="AA336" s="683" t="s">
        <v>33</v>
      </c>
      <c r="AB336" s="683" t="s">
        <v>34</v>
      </c>
      <c r="AC336" s="683" t="s">
        <v>230</v>
      </c>
      <c r="AD336" s="683"/>
      <c r="AE336" s="683"/>
      <c r="AF336" s="684">
        <v>1146.0999999999999</v>
      </c>
      <c r="AG336" s="683" t="s">
        <v>243</v>
      </c>
      <c r="AH336" s="683" t="s">
        <v>220</v>
      </c>
      <c r="AI336" s="683" t="s">
        <v>33</v>
      </c>
      <c r="AJ336" s="683">
        <v>3004301038</v>
      </c>
      <c r="AK336" s="683" t="s">
        <v>33</v>
      </c>
      <c r="AL336" s="683">
        <v>10630180</v>
      </c>
      <c r="AM336" s="683"/>
      <c r="AN336" s="683"/>
      <c r="AO336" s="683"/>
      <c r="AP336" s="683" t="s">
        <v>557</v>
      </c>
      <c r="AQ336" s="683" t="str">
        <f>CONCATENATE("REG-",BDEGENER[[#This Row],[FECHA DE SERVICIO]],"-",BDEGENER[[#This Row],[SERIE]],"-",BDEGENER[[#This Row],[HORAS]])</f>
        <v>REG-44032-3004290364-1146,1</v>
      </c>
      <c r="AR336" s="683" t="str">
        <f>CONCATENATE("MARCA: ",BDEGENER[[#This Row],[MARCA]],"
 MODELO: ",BDEGENER[[#This Row],[MODELO]])</f>
        <v>MARCA: GENERAC
 MODELO: PG090</v>
      </c>
      <c r="AS336" s="683" t="str">
        <f>CONCATENATE("MARCA: ",BDEGENER[[#This Row],[MARCA DE MOTOR]],"
SERIE: ",BDEGENER[[#This Row],[SERIE DE MOTOR]])</f>
        <v>MARCA: GENERAC
SERIE: 3004301038</v>
      </c>
      <c r="AT336" s="683" t="str">
        <f>CONCATENATE("MARCA: ",BDEGENER[[#This Row],[MARCA ALTERNADOR ]],"
SERIE: ",BDEGENER[[#This Row],[SERIE DE ALTERNADOR]])</f>
        <v>MARCA: GENERAC
SERIE: 10630180</v>
      </c>
      <c r="AU336" s="683" t="str">
        <f>CONCATENATE("HORAS: ",BDEGENER[[#This Row],[HORAS]],"
KW-HR: ",BDEGENER[[#This Row],[KW-HORA]],"
VOLT.BATERIA: ",BDEGENER[[#This Row],[VOLTAJE DE BATERIA]],"
TEMPERATURA: ",BDEGENER[[#This Row],[TEMPERATURA DE AGUA]],"
PRES. ACEITE: ",BDEGENER[[#This Row],[PRESION DE ACEITE]])</f>
        <v xml:space="preserve">HORAS: 1146,1
KW-HR: 
VOLT.BATERIA: 
TEMPERATURA: 
PRES. ACEITE: </v>
      </c>
      <c r="AV336" s="683">
        <f>COUNTIFS(Q336:Q2336,"MANTENIMIENTO CORRECTIVO",Y336:Y2336,BDEGENER[[#This Row],[SERIE]])</f>
        <v>1</v>
      </c>
      <c r="AW336" s="683">
        <f>COUNTIFS(Q336:Q2336,"MANTENIMIENTO PREVENTIVO",Y336:Y2336,BDEGENER[[#This Row],[SERIE]])</f>
        <v>3</v>
      </c>
      <c r="AX33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36" s="683">
        <f>COUNTIFS(BDEGENER[SERIE],BDEGENER[[#This Row],[SERIE]],BDEGENER[TIPO DE SERVICIO],"MANTENIMIENTO PREVENTIVO")</f>
        <v>3</v>
      </c>
      <c r="AZ336" s="683" t="str">
        <f>CONCATENATE("MANTENIMIENTO PREVENTIVO N°",BDEGENER[[#This Row],[GA1]])</f>
        <v>MANTENIMIENTO PREVENTIVO N°3</v>
      </c>
      <c r="BA336" s="683" t="str">
        <f>IF(BDEGENER[[#This Row],[SERVICIO]]=BDEGENER[[#This Row],[GA2]],BDEGENER[[#This Row],[HORAS]],"0")</f>
        <v>0</v>
      </c>
      <c r="BB336" s="683">
        <f>SUMIF(BDEGENER[SERIE],BDEGENER[[#This Row],[SERIE]],BDEGENER[GA3])</f>
        <v>941.5</v>
      </c>
      <c r="BC336" s="683" t="str">
        <f>CONCATENATE("MANT",COUNTIF($Y$7:Y336,Y336))</f>
        <v>MANT3</v>
      </c>
      <c r="BD336" s="683" t="str">
        <f>CONCATENATE(BDEGENER[[#This Row],[SERIE]],BDEGENER[[#This Row],[GA5]])</f>
        <v>3004290364MANT3</v>
      </c>
      <c r="BE336" s="683" t="str">
        <f>CONCATENATE(BDEGENER[[#This Row],[CODIGO PATRIMONIAL]],BDEGENER[[#This Row],[GA5]])</f>
        <v>MANT3</v>
      </c>
      <c r="BF336" s="683">
        <f>COUNTIF(BDEGENER[SERIE],BDEGENER[[#This Row],[SERIE]])</f>
        <v>9</v>
      </c>
      <c r="BG336" s="683" t="str">
        <f>CONCATENATE("F",COUNTIF($K$7:K336,K336))</f>
        <v>F1</v>
      </c>
      <c r="BH336" s="683" t="str">
        <f>CONCATENATE(BDEGENER[[#This Row],[FECHA DE SERVICIO]],BDEGENER[[#This Row],[N° DE REGISTROS DEL DIA]])</f>
        <v>44032F1</v>
      </c>
      <c r="BI336" s="684"/>
      <c r="BJ336" s="683" t="s">
        <v>1544</v>
      </c>
      <c r="BK336" s="736"/>
    </row>
    <row r="337" spans="2:63" ht="69" hidden="1" x14ac:dyDescent="0.3">
      <c r="B337" s="2"/>
      <c r="C337" s="2"/>
      <c r="D337" s="2"/>
      <c r="E337" s="2"/>
      <c r="F337" s="2"/>
      <c r="G337" s="2"/>
      <c r="H337" s="2"/>
      <c r="I337" s="2"/>
      <c r="J337" s="685"/>
      <c r="K337" s="682">
        <v>44032</v>
      </c>
      <c r="L337" s="683" t="s">
        <v>181</v>
      </c>
      <c r="M337" s="683" t="s">
        <v>188</v>
      </c>
      <c r="N337" s="683" t="s">
        <v>183</v>
      </c>
      <c r="O337" s="683"/>
      <c r="P337" s="683"/>
      <c r="Q337" s="683" t="s">
        <v>107</v>
      </c>
      <c r="R337" s="683" t="s">
        <v>3447</v>
      </c>
      <c r="S337" s="686" t="s">
        <v>3448</v>
      </c>
      <c r="T337" s="683" t="s">
        <v>3449</v>
      </c>
      <c r="U337" s="683" t="s">
        <v>3450</v>
      </c>
      <c r="V337" s="683" t="s">
        <v>146</v>
      </c>
      <c r="W337" s="683" t="s">
        <v>914</v>
      </c>
      <c r="X337" s="691" t="s">
        <v>918</v>
      </c>
      <c r="Y337" s="687">
        <v>3004337388</v>
      </c>
      <c r="Z337" s="692"/>
      <c r="AA337" s="683" t="s">
        <v>33</v>
      </c>
      <c r="AB337" s="683" t="s">
        <v>34</v>
      </c>
      <c r="AC337" s="683" t="s">
        <v>230</v>
      </c>
      <c r="AD337" s="683"/>
      <c r="AE337" s="683"/>
      <c r="AF337" s="684">
        <v>1828.9</v>
      </c>
      <c r="AG337" s="683" t="s">
        <v>243</v>
      </c>
      <c r="AH337" s="683" t="s">
        <v>220</v>
      </c>
      <c r="AI337" s="683" t="s">
        <v>33</v>
      </c>
      <c r="AJ337" s="683">
        <v>3004346829</v>
      </c>
      <c r="AK337" s="683" t="s">
        <v>33</v>
      </c>
      <c r="AL337" s="683">
        <v>10630871</v>
      </c>
      <c r="AM337" s="683"/>
      <c r="AN337" s="683"/>
      <c r="AO337" s="683"/>
      <c r="AP337" s="683" t="s">
        <v>240</v>
      </c>
      <c r="AQ337" s="9" t="str">
        <f>CONCATENATE("REG-",BDEGENER[[#This Row],[FECHA DE SERVICIO]],"-",BDEGENER[[#This Row],[SERIE]],"-",BDEGENER[[#This Row],[HORAS]])</f>
        <v>REG-44032-3004337388-1828,9</v>
      </c>
      <c r="AR337" s="683" t="str">
        <f>CONCATENATE("MARCA: ",BDEGENER[[#This Row],[MARCA]],"
 MODELO: ",BDEGENER[[#This Row],[MODELO]])</f>
        <v>MARCA: GENERAC
 MODELO: PG090</v>
      </c>
      <c r="AS337" s="683" t="str">
        <f>CONCATENATE("MARCA: ",BDEGENER[[#This Row],[MARCA DE MOTOR]],"
SERIE: ",BDEGENER[[#This Row],[SERIE DE MOTOR]])</f>
        <v>MARCA: GENERAC
SERIE: 3004346829</v>
      </c>
      <c r="AT337" s="683" t="str">
        <f>CONCATENATE("MARCA: ",BDEGENER[[#This Row],[MARCA ALTERNADOR ]],"
SERIE: ",BDEGENER[[#This Row],[SERIE DE ALTERNADOR]])</f>
        <v>MARCA: GENERAC
SERIE: 10630871</v>
      </c>
      <c r="AU337" s="683" t="str">
        <f>CONCATENATE("HORAS: ",BDEGENER[[#This Row],[HORAS]],"
KW-HR: ",BDEGENER[[#This Row],[KW-HORA]],"
VOLT.BATERIA: ",BDEGENER[[#This Row],[VOLTAJE DE BATERIA]],"
TEMPERATURA: ",BDEGENER[[#This Row],[TEMPERATURA DE AGUA]],"
PRES. ACEITE: ",BDEGENER[[#This Row],[PRESION DE ACEITE]])</f>
        <v xml:space="preserve">HORAS: 1828,9
KW-HR: 
VOLT.BATERIA: 
TEMPERATURA: 
PRES. ACEITE: </v>
      </c>
      <c r="AV337" s="761">
        <f>COUNTIFS(Q337:Q2337,"MANTENIMIENTO CORRECTIVO",Y337:Y2337,BDEGENER[[#This Row],[SERIE]])</f>
        <v>3</v>
      </c>
      <c r="AW337" s="761">
        <f>COUNTIFS(Q337:Q2337,"MANTENIMIENTO PREVENTIVO",Y337:Y2337,BDEGENER[[#This Row],[SERIE]])</f>
        <v>6</v>
      </c>
      <c r="AX33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337" s="683">
        <f>COUNTIFS(BDEGENER[SERIE],BDEGENER[[#This Row],[SERIE]],BDEGENER[TIPO DE SERVICIO],"MANTENIMIENTO PREVENTIVO")</f>
        <v>7</v>
      </c>
      <c r="AZ337" s="683" t="str">
        <f>CONCATENATE("MANTENIMIENTO PREVENTIVO N°",BDEGENER[[#This Row],[GA1]])</f>
        <v>MANTENIMIENTO PREVENTIVO N°7</v>
      </c>
      <c r="BA337" s="683" t="str">
        <f>IF(BDEGENER[[#This Row],[SERVICIO]]=BDEGENER[[#This Row],[GA2]],BDEGENER[[#This Row],[HORAS]],"0")</f>
        <v>0</v>
      </c>
      <c r="BB337" s="683">
        <f>SUMIF(BDEGENER[SERIE],BDEGENER[[#This Row],[SERIE]],BDEGENER[GA3])</f>
        <v>2129.8000000000002</v>
      </c>
      <c r="BC337" s="761" t="str">
        <f>CONCATENATE("MANT",COUNTIF($Y$7:Y337,Y337))</f>
        <v>MANT4</v>
      </c>
      <c r="BD337" s="683" t="str">
        <f>CONCATENATE(BDEGENER[[#This Row],[SERIE]],BDEGENER[[#This Row],[GA5]])</f>
        <v>3004337388MANT4</v>
      </c>
      <c r="BE337" s="683" t="str">
        <f>CONCATENATE(BDEGENER[[#This Row],[CODIGO PATRIMONIAL]],BDEGENER[[#This Row],[GA5]])</f>
        <v>MANT4</v>
      </c>
      <c r="BF337" s="683">
        <f>COUNTIF(BDEGENER[SERIE],BDEGENER[[#This Row],[SERIE]])</f>
        <v>14</v>
      </c>
      <c r="BG337" s="761" t="str">
        <f>CONCATENATE("F",COUNTIF($K$7:K337,K337))</f>
        <v>F2</v>
      </c>
      <c r="BH337" s="683" t="str">
        <f>CONCATENATE(BDEGENER[[#This Row],[FECHA DE SERVICIO]],BDEGENER[[#This Row],[N° DE REGISTROS DEL DIA]])</f>
        <v>44032F2</v>
      </c>
      <c r="BI337" s="684"/>
      <c r="BJ337" s="683" t="s">
        <v>1544</v>
      </c>
      <c r="BK337" s="736"/>
    </row>
    <row r="338" spans="2:63" ht="69" hidden="1" x14ac:dyDescent="0.3">
      <c r="B338" s="2"/>
      <c r="C338" s="2"/>
      <c r="D338" s="2"/>
      <c r="E338" s="2"/>
      <c r="F338" s="2"/>
      <c r="G338" s="2"/>
      <c r="H338" s="2"/>
      <c r="I338" s="2"/>
      <c r="J338" s="685"/>
      <c r="K338" s="682">
        <v>44032</v>
      </c>
      <c r="L338" s="683" t="s">
        <v>764</v>
      </c>
      <c r="M338" s="683" t="s">
        <v>2392</v>
      </c>
      <c r="N338" s="683" t="s">
        <v>2393</v>
      </c>
      <c r="O338" s="683"/>
      <c r="P338" s="683"/>
      <c r="Q338" s="683" t="s">
        <v>107</v>
      </c>
      <c r="R338" s="683" t="s">
        <v>2979</v>
      </c>
      <c r="S338" s="686" t="s">
        <v>2980</v>
      </c>
      <c r="T338" s="683" t="s">
        <v>2981</v>
      </c>
      <c r="U338" s="683" t="s">
        <v>2982</v>
      </c>
      <c r="V338" s="683" t="s">
        <v>147</v>
      </c>
      <c r="W338" s="683" t="s">
        <v>914</v>
      </c>
      <c r="X338" s="691" t="s">
        <v>917</v>
      </c>
      <c r="Y338" s="687" t="s">
        <v>2432</v>
      </c>
      <c r="Z338" s="692"/>
      <c r="AA338" s="683" t="s">
        <v>221</v>
      </c>
      <c r="AB338" s="683" t="s">
        <v>2417</v>
      </c>
      <c r="AC338" s="683" t="s">
        <v>789</v>
      </c>
      <c r="AD338" s="683" t="s">
        <v>1087</v>
      </c>
      <c r="AE338" s="683">
        <v>60</v>
      </c>
      <c r="AF338" s="684">
        <v>60.54</v>
      </c>
      <c r="AG338" s="683" t="s">
        <v>243</v>
      </c>
      <c r="AH338" s="683" t="s">
        <v>2418</v>
      </c>
      <c r="AI338" s="683" t="s">
        <v>844</v>
      </c>
      <c r="AJ338" s="683" t="s">
        <v>2419</v>
      </c>
      <c r="AK338" s="683" t="s">
        <v>2401</v>
      </c>
      <c r="AL338" s="683" t="s">
        <v>2420</v>
      </c>
      <c r="AM338" s="683" t="s">
        <v>2253</v>
      </c>
      <c r="AN338" s="683" t="s">
        <v>2309</v>
      </c>
      <c r="AO338" s="683" t="s">
        <v>1318</v>
      </c>
      <c r="AP338" s="683" t="s">
        <v>240</v>
      </c>
      <c r="AQ338" s="688" t="str">
        <f>CONCATENATE("REG-",BDEGENER[[#This Row],[FECHA DE SERVICIO]],"-",BDEGENER[[#This Row],[SERIE]],"-",BDEGENER[[#This Row],[HORAS]])</f>
        <v>REG-44032-S-X095140-60,54</v>
      </c>
      <c r="AR338" s="683" t="str">
        <f>CONCATENATE("MARCA: ",BDEGENER[[#This Row],[MARCA]],"
 MODELO: ",BDEGENER[[#This Row],[MODELO]])</f>
        <v>MARCA: MODASA
 MODELO: MP-400</v>
      </c>
      <c r="AS338" s="683" t="str">
        <f>CONCATENATE("MARCA: ",BDEGENER[[#This Row],[MARCA DE MOTOR]],"
SERIE: ",BDEGENER[[#This Row],[SERIE DE MOTOR]])</f>
        <v>MARCA: PERKINS
SERIE: TGHF5069-U18007U</v>
      </c>
      <c r="AT338" s="683" t="str">
        <f>CONCATENATE("MARCA: ",BDEGENER[[#This Row],[MARCA ALTERNADOR ]],"
SERIE: ",BDEGENER[[#This Row],[SERIE DE ALTERNADOR]])</f>
        <v>MARCA: STAMFORD
SERIE: M10K477346</v>
      </c>
      <c r="AU338" s="683" t="str">
        <f>CONCATENATE("HORAS: ",BDEGENER[[#This Row],[HORAS]],"
KW-HR: ",BDEGENER[[#This Row],[KW-HORA]],"
VOLT.BATERIA: ",BDEGENER[[#This Row],[VOLTAJE DE BATERIA]],"
TEMPERATURA: ",BDEGENER[[#This Row],[TEMPERATURA DE AGUA]],"
PRES. ACEITE: ",BDEGENER[[#This Row],[PRESION DE ACEITE]])</f>
        <v>HORAS: 60,54
KW-HR: 3072,9
VOLT.BATERIA: 27.5 V
TEMPERATURA: 125 °F
PRES. ACEITE: 58 PSI</v>
      </c>
      <c r="AV338" s="683">
        <f>COUNTIFS(Q338:Q2338,"MANTENIMIENTO CORRECTIVO",Y338:Y2338,BDEGENER[[#This Row],[SERIE]])</f>
        <v>1</v>
      </c>
      <c r="AW338" s="683">
        <f>COUNTIFS(Q338:Q2338,"MANTENIMIENTO PREVENTIVO",Y338:Y2338,BDEGENER[[#This Row],[SERIE]])</f>
        <v>2</v>
      </c>
      <c r="AX33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338" s="683">
        <f>COUNTIFS(BDEGENER[SERIE],BDEGENER[[#This Row],[SERIE]],BDEGENER[TIPO DE SERVICIO],"MANTENIMIENTO PREVENTIVO")</f>
        <v>2</v>
      </c>
      <c r="AZ338" s="683" t="str">
        <f>CONCATENATE("MANTENIMIENTO PREVENTIVO N°",BDEGENER[[#This Row],[GA1]])</f>
        <v>MANTENIMIENTO PREVENTIVO N°2</v>
      </c>
      <c r="BA338" s="683" t="str">
        <f>IF(BDEGENER[[#This Row],[SERVICIO]]=BDEGENER[[#This Row],[GA2]],BDEGENER[[#This Row],[HORAS]],"0")</f>
        <v>0</v>
      </c>
      <c r="BB338" s="683">
        <f>SUMIF(BDEGENER[SERIE],BDEGENER[[#This Row],[SERIE]],BDEGENER[GA3])</f>
        <v>60.42</v>
      </c>
      <c r="BC338" s="683" t="str">
        <f>CONCATENATE("MANT",COUNTIF($Y$7:Y338,Y338))</f>
        <v>MANT1</v>
      </c>
      <c r="BD338" s="683" t="str">
        <f>CONCATENATE(BDEGENER[[#This Row],[SERIE]],BDEGENER[[#This Row],[GA5]])</f>
        <v>S-X095140MANT1</v>
      </c>
      <c r="BE338" s="683" t="str">
        <f>CONCATENATE(BDEGENER[[#This Row],[CODIGO PATRIMONIAL]],BDEGENER[[#This Row],[GA5]])</f>
        <v>MANT1</v>
      </c>
      <c r="BF338" s="683">
        <f>COUNTIF(BDEGENER[SERIE],BDEGENER[[#This Row],[SERIE]])</f>
        <v>3</v>
      </c>
      <c r="BG338" s="683" t="str">
        <f>CONCATENATE("F",COUNTIF($K$7:K338,K338))</f>
        <v>F3</v>
      </c>
      <c r="BH338" s="683" t="str">
        <f>CONCATENATE(BDEGENER[[#This Row],[FECHA DE SERVICIO]],BDEGENER[[#This Row],[N° DE REGISTROS DEL DIA]])</f>
        <v>44032F3</v>
      </c>
      <c r="BI338" s="684">
        <v>3072.9</v>
      </c>
      <c r="BJ338" s="683" t="s">
        <v>1544</v>
      </c>
      <c r="BK338" s="736"/>
    </row>
    <row r="339" spans="2:63" ht="69" hidden="1" x14ac:dyDescent="0.3">
      <c r="B339" s="2"/>
      <c r="C339" s="2"/>
      <c r="D339" s="2"/>
      <c r="E339" s="2"/>
      <c r="F339" s="2"/>
      <c r="G339" s="2"/>
      <c r="H339" s="2"/>
      <c r="I339" s="2"/>
      <c r="J339" s="685"/>
      <c r="K339" s="682">
        <v>44030</v>
      </c>
      <c r="L339" s="683" t="s">
        <v>181</v>
      </c>
      <c r="M339" s="683" t="s">
        <v>187</v>
      </c>
      <c r="N339" s="683" t="s">
        <v>183</v>
      </c>
      <c r="O339" s="683"/>
      <c r="P339" s="683"/>
      <c r="Q339" s="683" t="s">
        <v>108</v>
      </c>
      <c r="R339" s="683" t="s">
        <v>1782</v>
      </c>
      <c r="S339" s="686" t="s">
        <v>2818</v>
      </c>
      <c r="T339" s="683" t="s">
        <v>2819</v>
      </c>
      <c r="U339" s="683"/>
      <c r="V339" s="683" t="s">
        <v>146</v>
      </c>
      <c r="W339" s="683" t="s">
        <v>914</v>
      </c>
      <c r="X339" s="691" t="s">
        <v>918</v>
      </c>
      <c r="Y339" s="687">
        <v>3004214491</v>
      </c>
      <c r="Z339" s="692"/>
      <c r="AA339" s="683" t="s">
        <v>33</v>
      </c>
      <c r="AB339" s="683" t="s">
        <v>34</v>
      </c>
      <c r="AC339" s="683" t="s">
        <v>230</v>
      </c>
      <c r="AD339" s="683"/>
      <c r="AE339" s="683"/>
      <c r="AF339" s="684">
        <v>1801.7</v>
      </c>
      <c r="AG339" s="683" t="s">
        <v>243</v>
      </c>
      <c r="AH339" s="683" t="s">
        <v>244</v>
      </c>
      <c r="AI339" s="683" t="s">
        <v>33</v>
      </c>
      <c r="AJ339" s="683">
        <v>3004133600</v>
      </c>
      <c r="AK339" s="683" t="s">
        <v>33</v>
      </c>
      <c r="AL339" s="683">
        <v>1063014</v>
      </c>
      <c r="AM339" s="683"/>
      <c r="AN339" s="683"/>
      <c r="AO339" s="683"/>
      <c r="AP339" s="683" t="s">
        <v>240</v>
      </c>
      <c r="AQ339" s="688" t="str">
        <f>CONCATENATE("REG-",BDEGENER[[#This Row],[FECHA DE SERVICIO]],"-",BDEGENER[[#This Row],[SERIE]],"-",BDEGENER[[#This Row],[HORAS]])</f>
        <v>REG-44030-3004214491-1801,7</v>
      </c>
      <c r="AR339" s="683" t="str">
        <f>CONCATENATE("MARCA: ",BDEGENER[[#This Row],[MARCA]],"
 MODELO: ",BDEGENER[[#This Row],[MODELO]])</f>
        <v>MARCA: GENERAC
 MODELO: PG090</v>
      </c>
      <c r="AS339" s="683" t="str">
        <f>CONCATENATE("MARCA: ",BDEGENER[[#This Row],[MARCA DE MOTOR]],"
SERIE: ",BDEGENER[[#This Row],[SERIE DE MOTOR]])</f>
        <v>MARCA: GENERAC
SERIE: 3004133600</v>
      </c>
      <c r="AT339" s="683" t="str">
        <f>CONCATENATE("MARCA: ",BDEGENER[[#This Row],[MARCA ALTERNADOR ]],"
SERIE: ",BDEGENER[[#This Row],[SERIE DE ALTERNADOR]])</f>
        <v>MARCA: GENERAC
SERIE: 1063014</v>
      </c>
      <c r="AU339" s="683" t="str">
        <f>CONCATENATE("HORAS: ",BDEGENER[[#This Row],[HORAS]],"
KW-HR: ",BDEGENER[[#This Row],[KW-HORA]],"
VOLT.BATERIA: ",BDEGENER[[#This Row],[VOLTAJE DE BATERIA]],"
TEMPERATURA: ",BDEGENER[[#This Row],[TEMPERATURA DE AGUA]],"
PRES. ACEITE: ",BDEGENER[[#This Row],[PRESION DE ACEITE]])</f>
        <v xml:space="preserve">HORAS: 1801,7
KW-HR: 
VOLT.BATERIA: 
TEMPERATURA: 
PRES. ACEITE: </v>
      </c>
      <c r="AV339" s="683">
        <f>COUNTIFS(Q339:Q2339,"MANTENIMIENTO CORRECTIVO",Y339:Y2339,BDEGENER[[#This Row],[SERIE]])</f>
        <v>4</v>
      </c>
      <c r="AW339" s="683">
        <f>COUNTIFS(Q339:Q2339,"MANTENIMIENTO PREVENTIVO",Y339:Y2339,BDEGENER[[#This Row],[SERIE]])</f>
        <v>6</v>
      </c>
      <c r="AX33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39" s="683">
        <f>COUNTIFS(BDEGENER[SERIE],BDEGENER[[#This Row],[SERIE]],BDEGENER[TIPO DE SERVICIO],"MANTENIMIENTO PREVENTIVO")</f>
        <v>9</v>
      </c>
      <c r="AZ339" s="683" t="str">
        <f>CONCATENATE("MANTENIMIENTO PREVENTIVO N°",BDEGENER[[#This Row],[GA1]])</f>
        <v>MANTENIMIENTO PREVENTIVO N°9</v>
      </c>
      <c r="BA339" s="683" t="str">
        <f>IF(BDEGENER[[#This Row],[SERVICIO]]=BDEGENER[[#This Row],[GA2]],BDEGENER[[#This Row],[HORAS]],"0")</f>
        <v>0</v>
      </c>
      <c r="BB339" s="683">
        <f>SUMIF(BDEGENER[SERIE],BDEGENER[[#This Row],[SERIE]],BDEGENER[GA3])</f>
        <v>2751</v>
      </c>
      <c r="BC339" s="683" t="str">
        <f>CONCATENATE("MANT",COUNTIF($Y$7:Y339,Y339))</f>
        <v>MANT7</v>
      </c>
      <c r="BD339" s="683" t="str">
        <f>CONCATENATE(BDEGENER[[#This Row],[SERIE]],BDEGENER[[#This Row],[GA5]])</f>
        <v>3004214491MANT7</v>
      </c>
      <c r="BE339" s="683" t="str">
        <f>CONCATENATE(BDEGENER[[#This Row],[CODIGO PATRIMONIAL]],BDEGENER[[#This Row],[GA5]])</f>
        <v>MANT7</v>
      </c>
      <c r="BF339" s="683">
        <f>COUNTIF(BDEGENER[SERIE],BDEGENER[[#This Row],[SERIE]])</f>
        <v>18</v>
      </c>
      <c r="BG339" s="683" t="str">
        <f>CONCATENATE("F",COUNTIF($K$7:K339,K339))</f>
        <v>F1</v>
      </c>
      <c r="BH339" s="683" t="str">
        <f>CONCATENATE(BDEGENER[[#This Row],[FECHA DE SERVICIO]],BDEGENER[[#This Row],[N° DE REGISTROS DEL DIA]])</f>
        <v>44030F1</v>
      </c>
      <c r="BI339" s="684"/>
      <c r="BJ339" s="683" t="s">
        <v>1544</v>
      </c>
      <c r="BK339" s="736" t="s">
        <v>2177</v>
      </c>
    </row>
    <row r="340" spans="2:63" ht="69" hidden="1" x14ac:dyDescent="0.3">
      <c r="B340" s="2"/>
      <c r="C340" s="2"/>
      <c r="D340" s="2"/>
      <c r="E340" s="2"/>
      <c r="F340" s="2"/>
      <c r="G340" s="2"/>
      <c r="H340" s="2"/>
      <c r="I340" s="2"/>
      <c r="J340" s="685"/>
      <c r="K340" s="682">
        <v>44030</v>
      </c>
      <c r="L340" s="683" t="s">
        <v>248</v>
      </c>
      <c r="M340" s="683" t="s">
        <v>2226</v>
      </c>
      <c r="N340" s="683" t="s">
        <v>2230</v>
      </c>
      <c r="O340" s="683"/>
      <c r="P340" s="688" t="s">
        <v>3063</v>
      </c>
      <c r="Q340" s="683" t="s">
        <v>37</v>
      </c>
      <c r="R340" s="683" t="s">
        <v>1782</v>
      </c>
      <c r="S340" s="686" t="s">
        <v>3065</v>
      </c>
      <c r="T340" s="683" t="s">
        <v>3069</v>
      </c>
      <c r="U340" s="683" t="s">
        <v>3064</v>
      </c>
      <c r="V340" s="683" t="s">
        <v>147</v>
      </c>
      <c r="W340" s="683" t="s">
        <v>914</v>
      </c>
      <c r="X340" s="691" t="s">
        <v>917</v>
      </c>
      <c r="Y340" s="687">
        <v>3002933963</v>
      </c>
      <c r="Z340" s="692"/>
      <c r="AA340" s="683" t="s">
        <v>33</v>
      </c>
      <c r="AB340" s="683" t="s">
        <v>1446</v>
      </c>
      <c r="AC340" s="683" t="s">
        <v>1445</v>
      </c>
      <c r="AD340" s="683" t="s">
        <v>1200</v>
      </c>
      <c r="AE340" s="683">
        <v>60</v>
      </c>
      <c r="AF340" s="684">
        <v>596.30999999999995</v>
      </c>
      <c r="AG340" s="683" t="s">
        <v>243</v>
      </c>
      <c r="AH340" s="683" t="s">
        <v>1946</v>
      </c>
      <c r="AI340" s="683" t="s">
        <v>844</v>
      </c>
      <c r="AJ340" s="683" t="s">
        <v>1947</v>
      </c>
      <c r="AK340" s="683" t="s">
        <v>1448</v>
      </c>
      <c r="AL340" s="683" t="s">
        <v>1948</v>
      </c>
      <c r="AM340" s="683" t="s">
        <v>1157</v>
      </c>
      <c r="AN340" s="683" t="s">
        <v>3067</v>
      </c>
      <c r="AO340" s="683" t="s">
        <v>2834</v>
      </c>
      <c r="AP340" s="683" t="s">
        <v>240</v>
      </c>
      <c r="AQ340" s="688" t="str">
        <f>CONCATENATE("REG-",BDEGENER[[#This Row],[FECHA DE SERVICIO]],"-",BDEGENER[[#This Row],[SERIE]],"-",BDEGENER[[#This Row],[HORAS]])</f>
        <v>REG-44030-3002933963-596,31</v>
      </c>
      <c r="AR340" s="683" t="str">
        <f>CONCATENATE("MARCA: ",BDEGENER[[#This Row],[MARCA]],"
 MODELO: ",BDEGENER[[#This Row],[MODELO]])</f>
        <v>MARCA: GENERAC
 MODELO: PLY125</v>
      </c>
      <c r="AS340" s="683" t="str">
        <f>CONCATENATE("MARCA: ",BDEGENER[[#This Row],[MARCA DE MOTOR]],"
SERIE: ",BDEGENER[[#This Row],[SERIE DE MOTOR]])</f>
        <v>MARCA: PERKINS
SERIE: PP71370U061050C</v>
      </c>
      <c r="AT340" s="683" t="str">
        <f>CONCATENATE("MARCA: ",BDEGENER[[#This Row],[MARCA ALTERNADOR ]],"
SERIE: ",BDEGENER[[#This Row],[SERIE DE ALTERNADOR]])</f>
        <v>MARCA: LEROY SOMER
SERIE: 346063/18</v>
      </c>
      <c r="AU340" s="683" t="str">
        <f>CONCATENATE("HORAS: ",BDEGENER[[#This Row],[HORAS]],"
KW-HR: ",BDEGENER[[#This Row],[KW-HORA]],"
VOLT.BATERIA: ",BDEGENER[[#This Row],[VOLTAJE DE BATERIA]],"
TEMPERATURA: ",BDEGENER[[#This Row],[TEMPERATURA DE AGUA]],"
PRES. ACEITE: ",BDEGENER[[#This Row],[PRESION DE ACEITE]])</f>
        <v>HORAS: 596,31
KW-HR: 19220,5
VOLT.BATERIA: 13.9 V
TEMPERATURA: 122 °F
PRES. ACEITE: 90 PSI</v>
      </c>
      <c r="AV340" s="761">
        <f>COUNTIFS(Q340:Q2340,"MANTENIMIENTO CORRECTIVO",Y340:Y2340,BDEGENER[[#This Row],[SERIE]])</f>
        <v>0</v>
      </c>
      <c r="AW340" s="761">
        <f>COUNTIFS(Q340:Q2340,"MANTENIMIENTO PREVENTIVO",Y340:Y2340,BDEGENER[[#This Row],[SERIE]])</f>
        <v>3</v>
      </c>
      <c r="AX34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340" s="683">
        <f>COUNTIFS(BDEGENER[SERIE],BDEGENER[[#This Row],[SERIE]],BDEGENER[TIPO DE SERVICIO],"MANTENIMIENTO PREVENTIVO")</f>
        <v>5</v>
      </c>
      <c r="AZ340" s="683" t="str">
        <f>CONCATENATE("MANTENIMIENTO PREVENTIVO N°",BDEGENER[[#This Row],[GA1]])</f>
        <v>MANTENIMIENTO PREVENTIVO N°5</v>
      </c>
      <c r="BA340" s="683" t="str">
        <f>IF(BDEGENER[[#This Row],[SERVICIO]]=BDEGENER[[#This Row],[GA2]],BDEGENER[[#This Row],[HORAS]],"0")</f>
        <v>0</v>
      </c>
      <c r="BB340" s="683">
        <f>SUMIF(BDEGENER[SERIE],BDEGENER[[#This Row],[SERIE]],BDEGENER[GA3])</f>
        <v>1473.6</v>
      </c>
      <c r="BC340" s="761" t="str">
        <f>CONCATENATE("MANT",COUNTIF($Y$7:Y340,Y340))</f>
        <v>MANT3</v>
      </c>
      <c r="BD340" s="683" t="str">
        <f>CONCATENATE(BDEGENER[[#This Row],[SERIE]],BDEGENER[[#This Row],[GA5]])</f>
        <v>3002933963MANT3</v>
      </c>
      <c r="BE340" s="683" t="str">
        <f>CONCATENATE(BDEGENER[[#This Row],[CODIGO PATRIMONIAL]],BDEGENER[[#This Row],[GA5]])</f>
        <v>MANT3</v>
      </c>
      <c r="BF340" s="683">
        <f>COUNTIF(BDEGENER[SERIE],BDEGENER[[#This Row],[SERIE]])</f>
        <v>7</v>
      </c>
      <c r="BG340" s="761" t="str">
        <f>CONCATENATE("F",COUNTIF($K$7:K340,K340))</f>
        <v>F2</v>
      </c>
      <c r="BH340" s="683" t="str">
        <f>CONCATENATE(BDEGENER[[#This Row],[FECHA DE SERVICIO]],BDEGENER[[#This Row],[N° DE REGISTROS DEL DIA]])</f>
        <v>44030F2</v>
      </c>
      <c r="BI340" s="684">
        <v>19220.5</v>
      </c>
      <c r="BJ340" s="683" t="s">
        <v>1544</v>
      </c>
      <c r="BK340" s="736" t="s">
        <v>3068</v>
      </c>
    </row>
    <row r="341" spans="2:63" ht="69" hidden="1" x14ac:dyDescent="0.3">
      <c r="B341" s="2"/>
      <c r="C341" s="2"/>
      <c r="D341" s="2"/>
      <c r="E341" s="2"/>
      <c r="F341" s="2"/>
      <c r="G341" s="2"/>
      <c r="H341" s="2"/>
      <c r="I341" s="2"/>
      <c r="J341" s="685"/>
      <c r="K341" s="682">
        <v>44030</v>
      </c>
      <c r="L341" s="683" t="s">
        <v>248</v>
      </c>
      <c r="M341" s="683" t="s">
        <v>2226</v>
      </c>
      <c r="N341" s="683" t="s">
        <v>2230</v>
      </c>
      <c r="O341" s="683"/>
      <c r="P341" s="688" t="s">
        <v>3063</v>
      </c>
      <c r="Q341" s="683" t="s">
        <v>37</v>
      </c>
      <c r="R341" s="683" t="s">
        <v>1782</v>
      </c>
      <c r="S341" s="686" t="s">
        <v>3065</v>
      </c>
      <c r="T341" s="683" t="s">
        <v>2948</v>
      </c>
      <c r="U341" s="683" t="s">
        <v>3064</v>
      </c>
      <c r="V341" s="683" t="s">
        <v>147</v>
      </c>
      <c r="W341" s="683" t="s">
        <v>914</v>
      </c>
      <c r="X341" s="691" t="s">
        <v>917</v>
      </c>
      <c r="Y341" s="687">
        <v>3002933964</v>
      </c>
      <c r="Z341" s="692"/>
      <c r="AA341" s="683" t="s">
        <v>33</v>
      </c>
      <c r="AB341" s="683" t="s">
        <v>1446</v>
      </c>
      <c r="AC341" s="683" t="s">
        <v>1445</v>
      </c>
      <c r="AD341" s="683" t="s">
        <v>1087</v>
      </c>
      <c r="AE341" s="683">
        <v>62.1</v>
      </c>
      <c r="AF341" s="684">
        <v>633.1</v>
      </c>
      <c r="AG341" s="683" t="s">
        <v>243</v>
      </c>
      <c r="AH341" s="683" t="s">
        <v>1946</v>
      </c>
      <c r="AI341" s="683" t="s">
        <v>844</v>
      </c>
      <c r="AJ341" s="683" t="s">
        <v>1951</v>
      </c>
      <c r="AK341" s="683" t="s">
        <v>1448</v>
      </c>
      <c r="AL341" s="683" t="s">
        <v>1952</v>
      </c>
      <c r="AM341" s="683" t="s">
        <v>1502</v>
      </c>
      <c r="AN341" s="683" t="s">
        <v>1988</v>
      </c>
      <c r="AO341" s="683" t="s">
        <v>2082</v>
      </c>
      <c r="AP341" s="683" t="s">
        <v>240</v>
      </c>
      <c r="AQ341" s="688" t="str">
        <f>CONCATENATE("REG-",BDEGENER[[#This Row],[FECHA DE SERVICIO]],"-",BDEGENER[[#This Row],[SERIE]],"-",BDEGENER[[#This Row],[HORAS]])</f>
        <v>REG-44030-3002933964-633,1</v>
      </c>
      <c r="AR341" s="683" t="str">
        <f>CONCATENATE("MARCA: ",BDEGENER[[#This Row],[MARCA]],"
 MODELO: ",BDEGENER[[#This Row],[MODELO]])</f>
        <v>MARCA: GENERAC
 MODELO: PLY125</v>
      </c>
      <c r="AS341" s="683" t="str">
        <f>CONCATENATE("MARCA: ",BDEGENER[[#This Row],[MARCA DE MOTOR]],"
SERIE: ",BDEGENER[[#This Row],[SERIE DE MOTOR]])</f>
        <v>MARCA: PERKINS
SERIE: PP71370U061051C</v>
      </c>
      <c r="AT341" s="683" t="str">
        <f>CONCATENATE("MARCA: ",BDEGENER[[#This Row],[MARCA ALTERNADOR ]],"
SERIE: ",BDEGENER[[#This Row],[SERIE DE ALTERNADOR]])</f>
        <v>MARCA: LEROY SOMER
SERIE: 346063/19</v>
      </c>
      <c r="AU341" s="683" t="str">
        <f>CONCATENATE("HORAS: ",BDEGENER[[#This Row],[HORAS]],"
KW-HR: ",BDEGENER[[#This Row],[KW-HORA]],"
VOLT.BATERIA: ",BDEGENER[[#This Row],[VOLTAJE DE BATERIA]],"
TEMPERATURA: ",BDEGENER[[#This Row],[TEMPERATURA DE AGUA]],"
PRES. ACEITE: ",BDEGENER[[#This Row],[PRESION DE ACEITE]])</f>
        <v>HORAS: 633,1
KW-HR: 29218,5
VOLT.BATERIA: 14 V
TEMPERATURA: 150 °F
PRES. ACEITE: 86 PSI</v>
      </c>
      <c r="AV341" s="683">
        <f>COUNTIFS(Q341:Q2341,"MANTENIMIENTO CORRECTIVO",Y341:Y2341,BDEGENER[[#This Row],[SERIE]])</f>
        <v>0</v>
      </c>
      <c r="AW341" s="683">
        <f>COUNTIFS(Q341:Q2341,"MANTENIMIENTO PREVENTIVO",Y341:Y2341,BDEGENER[[#This Row],[SERIE]])</f>
        <v>2</v>
      </c>
      <c r="AX34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341" s="683">
        <f>COUNTIFS(BDEGENER[SERIE],BDEGENER[[#This Row],[SERIE]],BDEGENER[TIPO DE SERVICIO],"MANTENIMIENTO PREVENTIVO")</f>
        <v>4</v>
      </c>
      <c r="AZ341" s="683" t="str">
        <f>CONCATENATE("MANTENIMIENTO PREVENTIVO N°",BDEGENER[[#This Row],[GA1]])</f>
        <v>MANTENIMIENTO PREVENTIVO N°4</v>
      </c>
      <c r="BA341" s="683" t="str">
        <f>IF(BDEGENER[[#This Row],[SERVICIO]]=BDEGENER[[#This Row],[GA2]],BDEGENER[[#This Row],[HORAS]],"0")</f>
        <v>0</v>
      </c>
      <c r="BB341" s="683">
        <f>SUMIF(BDEGENER[SERIE],BDEGENER[[#This Row],[SERIE]],BDEGENER[GA3])</f>
        <v>1609.45</v>
      </c>
      <c r="BC341" s="683" t="str">
        <f>CONCATENATE("MANT",COUNTIF($Y$7:Y341,Y341))</f>
        <v>MANT5</v>
      </c>
      <c r="BD341" s="683" t="str">
        <f>CONCATENATE(BDEGENER[[#This Row],[SERIE]],BDEGENER[[#This Row],[GA5]])</f>
        <v>3002933964MANT5</v>
      </c>
      <c r="BE341" s="683" t="str">
        <f>CONCATENATE(BDEGENER[[#This Row],[CODIGO PATRIMONIAL]],BDEGENER[[#This Row],[GA5]])</f>
        <v>MANT5</v>
      </c>
      <c r="BF341" s="683">
        <f>COUNTIF(BDEGENER[SERIE],BDEGENER[[#This Row],[SERIE]])</f>
        <v>8</v>
      </c>
      <c r="BG341" s="683" t="str">
        <f>CONCATENATE("F",COUNTIF($K$7:K341,K341))</f>
        <v>F3</v>
      </c>
      <c r="BH341" s="683" t="str">
        <f>CONCATENATE(BDEGENER[[#This Row],[FECHA DE SERVICIO]],BDEGENER[[#This Row],[N° DE REGISTROS DEL DIA]])</f>
        <v>44030F3</v>
      </c>
      <c r="BI341" s="684">
        <v>29218.5</v>
      </c>
      <c r="BJ341" s="683" t="s">
        <v>1544</v>
      </c>
      <c r="BK341" s="736" t="s">
        <v>3066</v>
      </c>
    </row>
    <row r="342" spans="2:63" ht="69" hidden="1" x14ac:dyDescent="0.3">
      <c r="B342" s="2"/>
      <c r="C342" s="2"/>
      <c r="D342" s="2"/>
      <c r="E342" s="2"/>
      <c r="F342" s="2"/>
      <c r="G342" s="2"/>
      <c r="H342" s="2"/>
      <c r="I342" s="2"/>
      <c r="J342" s="685"/>
      <c r="K342" s="682">
        <v>44030</v>
      </c>
      <c r="L342" s="683" t="s">
        <v>181</v>
      </c>
      <c r="M342" s="683" t="s">
        <v>187</v>
      </c>
      <c r="N342" s="683" t="s">
        <v>183</v>
      </c>
      <c r="O342" s="683"/>
      <c r="P342" s="683"/>
      <c r="Q342" s="683" t="s">
        <v>108</v>
      </c>
      <c r="R342" s="683" t="s">
        <v>1782</v>
      </c>
      <c r="S342" s="686" t="s">
        <v>2818</v>
      </c>
      <c r="T342" s="683" t="s">
        <v>2819</v>
      </c>
      <c r="U342" s="683"/>
      <c r="V342" s="683" t="s">
        <v>146</v>
      </c>
      <c r="W342" s="683" t="s">
        <v>914</v>
      </c>
      <c r="X342" s="691" t="s">
        <v>918</v>
      </c>
      <c r="Y342" s="687">
        <v>3004218547</v>
      </c>
      <c r="Z342" s="692" t="s">
        <v>192</v>
      </c>
      <c r="AA342" s="683" t="s">
        <v>33</v>
      </c>
      <c r="AB342" s="683" t="s">
        <v>34</v>
      </c>
      <c r="AC342" s="683" t="s">
        <v>230</v>
      </c>
      <c r="AD342" s="683"/>
      <c r="AE342" s="683"/>
      <c r="AF342" s="684">
        <v>1341.5</v>
      </c>
      <c r="AG342" s="683" t="s">
        <v>243</v>
      </c>
      <c r="AH342" s="683" t="s">
        <v>220</v>
      </c>
      <c r="AI342" s="683" t="s">
        <v>33</v>
      </c>
      <c r="AJ342" s="683">
        <v>3003966252</v>
      </c>
      <c r="AK342" s="683" t="s">
        <v>33</v>
      </c>
      <c r="AL342" s="683">
        <v>10630140</v>
      </c>
      <c r="AM342" s="683"/>
      <c r="AN342" s="683"/>
      <c r="AO342" s="683"/>
      <c r="AP342" s="683" t="s">
        <v>240</v>
      </c>
      <c r="AQ342" s="688" t="str">
        <f>CONCATENATE("REG-",BDEGENER[[#This Row],[FECHA DE SERVICIO]],"-",BDEGENER[[#This Row],[SERIE]],"-",BDEGENER[[#This Row],[HORAS]])</f>
        <v>REG-44030-3004218547-1341,5</v>
      </c>
      <c r="AR342" s="683" t="str">
        <f>CONCATENATE("MARCA: ",BDEGENER[[#This Row],[MARCA]],"
 MODELO: ",BDEGENER[[#This Row],[MODELO]])</f>
        <v>MARCA: GENERAC
 MODELO: PG090</v>
      </c>
      <c r="AS342" s="683" t="str">
        <f>CONCATENATE("MARCA: ",BDEGENER[[#This Row],[MARCA DE MOTOR]],"
SERIE: ",BDEGENER[[#This Row],[SERIE DE MOTOR]])</f>
        <v>MARCA: GENERAC
SERIE: 3003966252</v>
      </c>
      <c r="AT342" s="683" t="str">
        <f>CONCATENATE("MARCA: ",BDEGENER[[#This Row],[MARCA ALTERNADOR ]],"
SERIE: ",BDEGENER[[#This Row],[SERIE DE ALTERNADOR]])</f>
        <v>MARCA: GENERAC
SERIE: 10630140</v>
      </c>
      <c r="AU342" s="683" t="str">
        <f>CONCATENATE("HORAS: ",BDEGENER[[#This Row],[HORAS]],"
KW-HR: ",BDEGENER[[#This Row],[KW-HORA]],"
VOLT.BATERIA: ",BDEGENER[[#This Row],[VOLTAJE DE BATERIA]],"
TEMPERATURA: ",BDEGENER[[#This Row],[TEMPERATURA DE AGUA]],"
PRES. ACEITE: ",BDEGENER[[#This Row],[PRESION DE ACEITE]])</f>
        <v xml:space="preserve">HORAS: 1341,5
KW-HR: 
VOLT.BATERIA: 
TEMPERATURA: 
PRES. ACEITE: </v>
      </c>
      <c r="AV342" s="683">
        <f>COUNTIFS(Q342:Q2342,"MANTENIMIENTO CORRECTIVO",Y342:Y2342,BDEGENER[[#This Row],[SERIE]])</f>
        <v>1</v>
      </c>
      <c r="AW342" s="683">
        <f>COUNTIFS(Q342:Q2342,"MANTENIMIENTO PREVENTIVO",Y342:Y2342,BDEGENER[[#This Row],[SERIE]])</f>
        <v>4</v>
      </c>
      <c r="AX34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42" s="683">
        <f>COUNTIFS(BDEGENER[SERIE],BDEGENER[[#This Row],[SERIE]],BDEGENER[TIPO DE SERVICIO],"MANTENIMIENTO PREVENTIVO")</f>
        <v>7</v>
      </c>
      <c r="AZ342" s="683" t="str">
        <f>CONCATENATE("MANTENIMIENTO PREVENTIVO N°",BDEGENER[[#This Row],[GA1]])</f>
        <v>MANTENIMIENTO PREVENTIVO N°7</v>
      </c>
      <c r="BA342" s="683" t="str">
        <f>IF(BDEGENER[[#This Row],[SERVICIO]]=BDEGENER[[#This Row],[GA2]],BDEGENER[[#This Row],[HORAS]],"0")</f>
        <v>0</v>
      </c>
      <c r="BB342" s="683">
        <f>SUMIF(BDEGENER[SERIE],BDEGENER[[#This Row],[SERIE]],BDEGENER[GA3])</f>
        <v>2015.6</v>
      </c>
      <c r="BC342" s="683" t="str">
        <f>CONCATENATE("MANT",COUNTIF($Y$7:Y342,Y342))</f>
        <v>MANT6</v>
      </c>
      <c r="BD342" s="683" t="str">
        <f>CONCATENATE(BDEGENER[[#This Row],[SERIE]],BDEGENER[[#This Row],[GA5]])</f>
        <v>3004218547MANT6</v>
      </c>
      <c r="BE342" s="683" t="str">
        <f>CONCATENATE(BDEGENER[[#This Row],[CODIGO PATRIMONIAL]],BDEGENER[[#This Row],[GA5]])</f>
        <v xml:space="preserve"> MANT6</v>
      </c>
      <c r="BF342" s="683">
        <f>COUNTIF(BDEGENER[SERIE],BDEGENER[[#This Row],[SERIE]])</f>
        <v>12</v>
      </c>
      <c r="BG342" s="683" t="str">
        <f>CONCATENATE("F",COUNTIF($K$7:K342,K342))</f>
        <v>F4</v>
      </c>
      <c r="BH342" s="683" t="str">
        <f>CONCATENATE(BDEGENER[[#This Row],[FECHA DE SERVICIO]],BDEGENER[[#This Row],[N° DE REGISTROS DEL DIA]])</f>
        <v>44030F4</v>
      </c>
      <c r="BI342" s="684"/>
      <c r="BJ342" s="683" t="s">
        <v>1544</v>
      </c>
      <c r="BK342" s="736" t="s">
        <v>2177</v>
      </c>
    </row>
    <row r="343" spans="2:63" ht="69" hidden="1" x14ac:dyDescent="0.3">
      <c r="B343" s="2"/>
      <c r="C343" s="2"/>
      <c r="D343" s="2"/>
      <c r="E343" s="2"/>
      <c r="F343" s="2"/>
      <c r="G343" s="2"/>
      <c r="H343" s="2"/>
      <c r="I343" s="2"/>
      <c r="J343" s="685"/>
      <c r="K343" s="682">
        <v>44029</v>
      </c>
      <c r="L343" s="683" t="s">
        <v>561</v>
      </c>
      <c r="M343" s="683" t="s">
        <v>571</v>
      </c>
      <c r="N343" s="683" t="s">
        <v>572</v>
      </c>
      <c r="O343" s="683"/>
      <c r="P343" s="683"/>
      <c r="Q343" s="683" t="s">
        <v>108</v>
      </c>
      <c r="R343" s="683" t="s">
        <v>1782</v>
      </c>
      <c r="S343" s="686" t="s">
        <v>3143</v>
      </c>
      <c r="T343" s="683" t="s">
        <v>3142</v>
      </c>
      <c r="U343" s="683" t="s">
        <v>3144</v>
      </c>
      <c r="V343" s="683" t="s">
        <v>149</v>
      </c>
      <c r="W343" s="683" t="s">
        <v>913</v>
      </c>
      <c r="X343" s="691" t="s">
        <v>918</v>
      </c>
      <c r="Y343" s="687">
        <v>3004370203</v>
      </c>
      <c r="Z343" s="692" t="s">
        <v>2598</v>
      </c>
      <c r="AA343" s="683" t="s">
        <v>33</v>
      </c>
      <c r="AB343" s="683" t="s">
        <v>217</v>
      </c>
      <c r="AC343" s="683" t="s">
        <v>749</v>
      </c>
      <c r="AD343" s="683"/>
      <c r="AE343" s="683"/>
      <c r="AF343" s="684">
        <v>2487.9</v>
      </c>
      <c r="AG343" s="683" t="s">
        <v>243</v>
      </c>
      <c r="AH343" s="683" t="s">
        <v>1803</v>
      </c>
      <c r="AI343" s="683" t="s">
        <v>2553</v>
      </c>
      <c r="AJ343" s="683"/>
      <c r="AK343" s="683" t="s">
        <v>33</v>
      </c>
      <c r="AL343" s="683"/>
      <c r="AM343" s="683"/>
      <c r="AN343" s="683"/>
      <c r="AO343" s="683"/>
      <c r="AP343" s="683" t="s">
        <v>240</v>
      </c>
      <c r="AQ343" s="688" t="str">
        <f>CONCATENATE("REG-",BDEGENER[[#This Row],[FECHA DE SERVICIO]],"-",BDEGENER[[#This Row],[SERIE]],"-",BDEGENER[[#This Row],[HORAS]])</f>
        <v>REG-44029-3004370203-2487,9</v>
      </c>
      <c r="AR343" s="683" t="str">
        <f>CONCATENATE("MARCA: ",BDEGENER[[#This Row],[MARCA]],"
 MODELO: ",BDEGENER[[#This Row],[MODELO]])</f>
        <v>MARCA: GENERAC
 MODELO: RG022</v>
      </c>
      <c r="AS343" s="683" t="str">
        <f>CONCATENATE("MARCA: ",BDEGENER[[#This Row],[MARCA DE MOTOR]],"
SERIE: ",BDEGENER[[#This Row],[SERIE DE MOTOR]])</f>
        <v xml:space="preserve">MARCA: MITSUBISHI
SERIE: </v>
      </c>
      <c r="AT343" s="683" t="str">
        <f>CONCATENATE("MARCA: ",BDEGENER[[#This Row],[MARCA ALTERNADOR ]],"
SERIE: ",BDEGENER[[#This Row],[SERIE DE ALTERNADOR]])</f>
        <v xml:space="preserve">MARCA: GENERAC
SERIE: </v>
      </c>
      <c r="AU343" s="683" t="str">
        <f>CONCATENATE("HORAS: ",BDEGENER[[#This Row],[HORAS]],"
KW-HR: ",BDEGENER[[#This Row],[KW-HORA]],"
VOLT.BATERIA: ",BDEGENER[[#This Row],[VOLTAJE DE BATERIA]],"
TEMPERATURA: ",BDEGENER[[#This Row],[TEMPERATURA DE AGUA]],"
PRES. ACEITE: ",BDEGENER[[#This Row],[PRESION DE ACEITE]])</f>
        <v xml:space="preserve">HORAS: 2487,9
KW-HR: 
VOLT.BATERIA: 
TEMPERATURA: 
PRES. ACEITE: </v>
      </c>
      <c r="AV343" s="761">
        <f>COUNTIFS(Q343:Q2343,"MANTENIMIENTO CORRECTIVO",Y343:Y2343,BDEGENER[[#This Row],[SERIE]])</f>
        <v>1</v>
      </c>
      <c r="AW343" s="761">
        <f>COUNTIFS(Q343:Q2343,"MANTENIMIENTO PREVENTIVO",Y343:Y2343,BDEGENER[[#This Row],[SERIE]])</f>
        <v>3</v>
      </c>
      <c r="AX34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43" s="683">
        <f>COUNTIFS(BDEGENER[SERIE],BDEGENER[[#This Row],[SERIE]],BDEGENER[TIPO DE SERVICIO],"MANTENIMIENTO PREVENTIVO")</f>
        <v>6</v>
      </c>
      <c r="AZ343" s="683" t="str">
        <f>CONCATENATE("MANTENIMIENTO PREVENTIVO N°",BDEGENER[[#This Row],[GA1]])</f>
        <v>MANTENIMIENTO PREVENTIVO N°6</v>
      </c>
      <c r="BA343" s="683" t="str">
        <f>IF(BDEGENER[[#This Row],[SERVICIO]]=BDEGENER[[#This Row],[GA2]],BDEGENER[[#This Row],[HORAS]],"0")</f>
        <v>0</v>
      </c>
      <c r="BB343" s="683">
        <f>SUMIF(BDEGENER[SERIE],BDEGENER[[#This Row],[SERIE]],BDEGENER[GA3])</f>
        <v>2885.1</v>
      </c>
      <c r="BC343" s="761" t="str">
        <f>CONCATENATE("MANT",COUNTIF($Y$7:Y343,Y343))</f>
        <v>MANT8</v>
      </c>
      <c r="BD343" s="683" t="str">
        <f>CONCATENATE(BDEGENER[[#This Row],[SERIE]],BDEGENER[[#This Row],[GA5]])</f>
        <v>3004370203MANT8</v>
      </c>
      <c r="BE343" s="683" t="str">
        <f>CONCATENATE(BDEGENER[[#This Row],[CODIGO PATRIMONIAL]],BDEGENER[[#This Row],[GA5]])</f>
        <v>SUR-GEG-0002MANT8</v>
      </c>
      <c r="BF343" s="683">
        <f>COUNTIF(BDEGENER[SERIE],BDEGENER[[#This Row],[SERIE]])</f>
        <v>14</v>
      </c>
      <c r="BG343" s="761" t="str">
        <f>CONCATENATE("F",COUNTIF($K$7:K343,K343))</f>
        <v>F1</v>
      </c>
      <c r="BH343" s="683" t="str">
        <f>CONCATENATE(BDEGENER[[#This Row],[FECHA DE SERVICIO]],BDEGENER[[#This Row],[N° DE REGISTROS DEL DIA]])</f>
        <v>44029F1</v>
      </c>
      <c r="BI343" s="684"/>
      <c r="BJ343" s="683" t="s">
        <v>1544</v>
      </c>
      <c r="BK343" s="736"/>
    </row>
    <row r="344" spans="2:63" ht="69" hidden="1" x14ac:dyDescent="0.3">
      <c r="B344" s="2"/>
      <c r="C344" s="2"/>
      <c r="D344" s="2"/>
      <c r="E344" s="2"/>
      <c r="F344" s="2"/>
      <c r="G344" s="2"/>
      <c r="H344" s="2"/>
      <c r="I344" s="2"/>
      <c r="J344" s="685"/>
      <c r="K344" s="682">
        <v>44029</v>
      </c>
      <c r="L344" s="683" t="s">
        <v>181</v>
      </c>
      <c r="M344" s="683" t="s">
        <v>1388</v>
      </c>
      <c r="N344" s="683" t="s">
        <v>1538</v>
      </c>
      <c r="O344" s="683">
        <v>4500816138</v>
      </c>
      <c r="P344" s="688" t="s">
        <v>2850</v>
      </c>
      <c r="Q344" s="683" t="s">
        <v>37</v>
      </c>
      <c r="R344" s="683" t="s">
        <v>1782</v>
      </c>
      <c r="S344" s="686" t="s">
        <v>2851</v>
      </c>
      <c r="T344" s="683" t="s">
        <v>2852</v>
      </c>
      <c r="U344" s="683" t="s">
        <v>2853</v>
      </c>
      <c r="V344" s="683" t="s">
        <v>149</v>
      </c>
      <c r="W344" s="683" t="s">
        <v>914</v>
      </c>
      <c r="X344" s="691" t="s">
        <v>918</v>
      </c>
      <c r="Y344" s="687">
        <v>3004428523</v>
      </c>
      <c r="Z344" s="692"/>
      <c r="AA344" s="683" t="s">
        <v>33</v>
      </c>
      <c r="AB344" s="683" t="s">
        <v>34</v>
      </c>
      <c r="AC344" s="683" t="s">
        <v>230</v>
      </c>
      <c r="AD344" s="683" t="s">
        <v>1123</v>
      </c>
      <c r="AE344" s="683">
        <v>60</v>
      </c>
      <c r="AF344" s="684">
        <v>1799.4</v>
      </c>
      <c r="AG344" s="683" t="s">
        <v>243</v>
      </c>
      <c r="AH344" s="683" t="s">
        <v>220</v>
      </c>
      <c r="AI344" s="683" t="s">
        <v>33</v>
      </c>
      <c r="AJ344" s="683">
        <v>3004426215</v>
      </c>
      <c r="AK344" s="683" t="s">
        <v>33</v>
      </c>
      <c r="AL344" s="683">
        <v>106301030</v>
      </c>
      <c r="AM344" s="683" t="s">
        <v>245</v>
      </c>
      <c r="AN344" s="683" t="s">
        <v>2854</v>
      </c>
      <c r="AO344" s="683" t="s">
        <v>2855</v>
      </c>
      <c r="AP344" s="683" t="s">
        <v>240</v>
      </c>
      <c r="AQ344" s="688" t="str">
        <f>CONCATENATE("REG-",BDEGENER[[#This Row],[FECHA DE SERVICIO]],"-",BDEGENER[[#This Row],[SERIE]],"-",BDEGENER[[#This Row],[HORAS]])</f>
        <v>REG-44029-3004428523-1799,4</v>
      </c>
      <c r="AR344" s="683" t="str">
        <f>CONCATENATE("MARCA: ",BDEGENER[[#This Row],[MARCA]],"
 MODELO: ",BDEGENER[[#This Row],[MODELO]])</f>
        <v>MARCA: GENERAC
 MODELO: PG090</v>
      </c>
      <c r="AS344" s="683" t="str">
        <f>CONCATENATE("MARCA: ",BDEGENER[[#This Row],[MARCA DE MOTOR]],"
SERIE: ",BDEGENER[[#This Row],[SERIE DE MOTOR]])</f>
        <v>MARCA: GENERAC
SERIE: 3004426215</v>
      </c>
      <c r="AT344" s="683" t="str">
        <f>CONCATENATE("MARCA: ",BDEGENER[[#This Row],[MARCA ALTERNADOR ]],"
SERIE: ",BDEGENER[[#This Row],[SERIE DE ALTERNADOR]])</f>
        <v>MARCA: GENERAC
SERIE: 106301030</v>
      </c>
      <c r="AU344" s="683" t="str">
        <f>CONCATENATE("HORAS: ",BDEGENER[[#This Row],[HORAS]],"
KW-HR: ",BDEGENER[[#This Row],[KW-HORA]],"
VOLT.BATERIA: ",BDEGENER[[#This Row],[VOLTAJE DE BATERIA]],"
TEMPERATURA: ",BDEGENER[[#This Row],[TEMPERATURA DE AGUA]],"
PRES. ACEITE: ",BDEGENER[[#This Row],[PRESION DE ACEITE]])</f>
        <v>HORAS: 1799,4
KW-HR: 60369,1
VOLT.BATERIA: 13.6 V
TEMPERATURA: 142 °F
PRES. ACEITE: 71 PSI</v>
      </c>
      <c r="AV344" s="683">
        <f>COUNTIFS(Q344:Q2344,"MANTENIMIENTO CORRECTIVO",Y344:Y2344,BDEGENER[[#This Row],[SERIE]])</f>
        <v>2</v>
      </c>
      <c r="AW344" s="683">
        <f>COUNTIFS(Q344:Q2344,"MANTENIMIENTO PREVENTIVO",Y344:Y2344,BDEGENER[[#This Row],[SERIE]])</f>
        <v>7</v>
      </c>
      <c r="AX34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44" s="683">
        <f>COUNTIFS(BDEGENER[SERIE],BDEGENER[[#This Row],[SERIE]],BDEGENER[TIPO DE SERVICIO],"MANTENIMIENTO PREVENTIVO")</f>
        <v>9</v>
      </c>
      <c r="AZ344" s="683" t="str">
        <f>CONCATENATE("MANTENIMIENTO PREVENTIVO N°",BDEGENER[[#This Row],[GA1]])</f>
        <v>MANTENIMIENTO PREVENTIVO N°9</v>
      </c>
      <c r="BA344" s="683" t="str">
        <f>IF(BDEGENER[[#This Row],[SERVICIO]]=BDEGENER[[#This Row],[GA2]],BDEGENER[[#This Row],[HORAS]],"0")</f>
        <v>0</v>
      </c>
      <c r="BB344" s="683">
        <f>SUMIF(BDEGENER[SERIE],BDEGENER[[#This Row],[SERIE]],BDEGENER[GA3])</f>
        <v>2439.9</v>
      </c>
      <c r="BC344" s="683" t="str">
        <f>CONCATENATE("MANT",COUNTIF($Y$7:Y344,Y344))</f>
        <v>MANT3</v>
      </c>
      <c r="BD344" s="683" t="str">
        <f>CONCATENATE(BDEGENER[[#This Row],[SERIE]],BDEGENER[[#This Row],[GA5]])</f>
        <v>3004428523MANT3</v>
      </c>
      <c r="BE344" s="683" t="str">
        <f>CONCATENATE(BDEGENER[[#This Row],[CODIGO PATRIMONIAL]],BDEGENER[[#This Row],[GA5]])</f>
        <v>MANT3</v>
      </c>
      <c r="BF344" s="683">
        <f>COUNTIF(BDEGENER[SERIE],BDEGENER[[#This Row],[SERIE]])</f>
        <v>14</v>
      </c>
      <c r="BG344" s="683" t="str">
        <f>CONCATENATE("F",COUNTIF($K$7:K344,K344))</f>
        <v>F2</v>
      </c>
      <c r="BH344" s="683" t="str">
        <f>CONCATENATE(BDEGENER[[#This Row],[FECHA DE SERVICIO]],BDEGENER[[#This Row],[N° DE REGISTROS DEL DIA]])</f>
        <v>44029F2</v>
      </c>
      <c r="BI344" s="684">
        <v>60369.1</v>
      </c>
      <c r="BJ344" s="683" t="s">
        <v>1544</v>
      </c>
      <c r="BK344" s="736"/>
    </row>
    <row r="345" spans="2:63" ht="69" hidden="1" x14ac:dyDescent="0.3">
      <c r="B345" s="2"/>
      <c r="C345" s="2"/>
      <c r="D345" s="2"/>
      <c r="E345" s="2"/>
      <c r="F345" s="2"/>
      <c r="G345" s="2"/>
      <c r="H345" s="2"/>
      <c r="I345" s="2"/>
      <c r="J345" s="685"/>
      <c r="K345" s="682">
        <v>44027</v>
      </c>
      <c r="L345" s="683" t="s">
        <v>561</v>
      </c>
      <c r="M345" s="683" t="s">
        <v>2554</v>
      </c>
      <c r="N345" s="683" t="s">
        <v>586</v>
      </c>
      <c r="O345" s="683"/>
      <c r="P345" s="688" t="s">
        <v>3050</v>
      </c>
      <c r="Q345" s="683" t="s">
        <v>37</v>
      </c>
      <c r="R345" s="683" t="s">
        <v>1782</v>
      </c>
      <c r="S345" s="686" t="s">
        <v>3052</v>
      </c>
      <c r="T345" s="683" t="s">
        <v>2870</v>
      </c>
      <c r="U345" s="683" t="s">
        <v>3051</v>
      </c>
      <c r="V345" s="683" t="s">
        <v>149</v>
      </c>
      <c r="W345" s="683" t="s">
        <v>914</v>
      </c>
      <c r="X345" s="691" t="s">
        <v>918</v>
      </c>
      <c r="Y345" s="687">
        <v>3003566701</v>
      </c>
      <c r="Z345" s="692" t="s">
        <v>2616</v>
      </c>
      <c r="AA345" s="683" t="s">
        <v>33</v>
      </c>
      <c r="AB345" s="683" t="s">
        <v>34</v>
      </c>
      <c r="AC345" s="683" t="s">
        <v>230</v>
      </c>
      <c r="AD345" s="683" t="s">
        <v>1123</v>
      </c>
      <c r="AE345" s="683">
        <v>60</v>
      </c>
      <c r="AF345" s="684">
        <v>4606.8</v>
      </c>
      <c r="AG345" s="683" t="s">
        <v>1413</v>
      </c>
      <c r="AH345" s="683" t="s">
        <v>220</v>
      </c>
      <c r="AI345" s="683" t="s">
        <v>33</v>
      </c>
      <c r="AJ345" s="683">
        <v>3003430313</v>
      </c>
      <c r="AK345" s="683" t="s">
        <v>33</v>
      </c>
      <c r="AL345" s="683"/>
      <c r="AM345" s="683" t="s">
        <v>1142</v>
      </c>
      <c r="AN345" s="683" t="s">
        <v>3053</v>
      </c>
      <c r="AO345" s="683" t="s">
        <v>247</v>
      </c>
      <c r="AP345" s="683" t="s">
        <v>240</v>
      </c>
      <c r="AQ345" s="688" t="str">
        <f>CONCATENATE("REG-",BDEGENER[[#This Row],[FECHA DE SERVICIO]],"-",BDEGENER[[#This Row],[SERIE]],"-",BDEGENER[[#This Row],[HORAS]])</f>
        <v>REG-44027-3003566701-4606,8</v>
      </c>
      <c r="AR345" s="683" t="str">
        <f>CONCATENATE("MARCA: ",BDEGENER[[#This Row],[MARCA]],"
 MODELO: ",BDEGENER[[#This Row],[MODELO]])</f>
        <v>MARCA: GENERAC
 MODELO: PG090</v>
      </c>
      <c r="AS345" s="683" t="str">
        <f>CONCATENATE("MARCA: ",BDEGENER[[#This Row],[MARCA DE MOTOR]],"
SERIE: ",BDEGENER[[#This Row],[SERIE DE MOTOR]])</f>
        <v>MARCA: GENERAC
SERIE: 3003430313</v>
      </c>
      <c r="AT345" s="683" t="str">
        <f>CONCATENATE("MARCA: ",BDEGENER[[#This Row],[MARCA ALTERNADOR ]],"
SERIE: ",BDEGENER[[#This Row],[SERIE DE ALTERNADOR]])</f>
        <v xml:space="preserve">MARCA: GENERAC
SERIE: </v>
      </c>
      <c r="AU345" s="683" t="str">
        <f>CONCATENATE("HORAS: ",BDEGENER[[#This Row],[HORAS]],"
KW-HR: ",BDEGENER[[#This Row],[KW-HORA]],"
VOLT.BATERIA: ",BDEGENER[[#This Row],[VOLTAJE DE BATERIA]],"
TEMPERATURA: ",BDEGENER[[#This Row],[TEMPERATURA DE AGUA]],"
PRES. ACEITE: ",BDEGENER[[#This Row],[PRESION DE ACEITE]])</f>
        <v>HORAS: 4606,8
KW-HR: 98630,4
VOLT.BATERIA: 14.4 V
TEMPERATURA: 132 °F
PRES. ACEITE: 55 PSI</v>
      </c>
      <c r="AV345" s="683">
        <f>COUNTIFS(Q345:Q2345,"MANTENIMIENTO CORRECTIVO",Y345:Y2345,BDEGENER[[#This Row],[SERIE]])</f>
        <v>0</v>
      </c>
      <c r="AW345" s="683">
        <f>COUNTIFS(Q345:Q2345,"MANTENIMIENTO PREVENTIVO",Y345:Y2345,BDEGENER[[#This Row],[SERIE]])</f>
        <v>6</v>
      </c>
      <c r="AX34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45" s="683">
        <f>COUNTIFS(BDEGENER[SERIE],BDEGENER[[#This Row],[SERIE]],BDEGENER[TIPO DE SERVICIO],"MANTENIMIENTO PREVENTIVO")</f>
        <v>9</v>
      </c>
      <c r="AZ345" s="683" t="str">
        <f>CONCATENATE("MANTENIMIENTO PREVENTIVO N°",BDEGENER[[#This Row],[GA1]])</f>
        <v>MANTENIMIENTO PREVENTIVO N°9</v>
      </c>
      <c r="BA345" s="683" t="str">
        <f>IF(BDEGENER[[#This Row],[SERVICIO]]=BDEGENER[[#This Row],[GA2]],BDEGENER[[#This Row],[HORAS]],"0")</f>
        <v>0</v>
      </c>
      <c r="BB345" s="683">
        <f>SUMIF(BDEGENER[SERIE],BDEGENER[[#This Row],[SERIE]],BDEGENER[GA3])</f>
        <v>5274.9</v>
      </c>
      <c r="BC345" s="683" t="str">
        <f>CONCATENATE("MANT",COUNTIF($Y$7:Y345,Y345))</f>
        <v>MANT5</v>
      </c>
      <c r="BD345" s="683" t="str">
        <f>CONCATENATE(BDEGENER[[#This Row],[SERIE]],BDEGENER[[#This Row],[GA5]])</f>
        <v>3003566701MANT5</v>
      </c>
      <c r="BE345" s="683" t="str">
        <f>CONCATENATE(BDEGENER[[#This Row],[CODIGO PATRIMONIAL]],BDEGENER[[#This Row],[GA5]])</f>
        <v>NOR-GEG-0018MANT5</v>
      </c>
      <c r="BF345" s="683">
        <f>COUNTIF(BDEGENER[SERIE],BDEGENER[[#This Row],[SERIE]])</f>
        <v>10</v>
      </c>
      <c r="BG345" s="683" t="str">
        <f>CONCATENATE("F",COUNTIF($K$7:K345,K345))</f>
        <v>F1</v>
      </c>
      <c r="BH345" s="683" t="str">
        <f>CONCATENATE(BDEGENER[[#This Row],[FECHA DE SERVICIO]],BDEGENER[[#This Row],[N° DE REGISTROS DEL DIA]])</f>
        <v>44027F1</v>
      </c>
      <c r="BI345" s="684">
        <v>98630.399999999994</v>
      </c>
      <c r="BJ345" s="683" t="s">
        <v>1544</v>
      </c>
      <c r="BK345" s="736"/>
    </row>
    <row r="346" spans="2:63" ht="69" hidden="1" x14ac:dyDescent="0.3">
      <c r="B346" s="2"/>
      <c r="C346" s="2"/>
      <c r="D346" s="2"/>
      <c r="E346" s="2"/>
      <c r="F346" s="2"/>
      <c r="G346" s="2"/>
      <c r="H346" s="2"/>
      <c r="I346" s="2"/>
      <c r="J346" s="685"/>
      <c r="K346" s="682">
        <v>44027</v>
      </c>
      <c r="L346" s="683" t="s">
        <v>181</v>
      </c>
      <c r="M346" s="683" t="s">
        <v>185</v>
      </c>
      <c r="N346" s="683" t="s">
        <v>183</v>
      </c>
      <c r="O346" s="683">
        <v>4500873022</v>
      </c>
      <c r="P346" s="683" t="s">
        <v>2811</v>
      </c>
      <c r="Q346" s="683" t="s">
        <v>37</v>
      </c>
      <c r="R346" s="683" t="s">
        <v>1782</v>
      </c>
      <c r="S346" s="686" t="s">
        <v>2812</v>
      </c>
      <c r="T346" s="683" t="s">
        <v>2813</v>
      </c>
      <c r="U346" s="683" t="s">
        <v>2278</v>
      </c>
      <c r="V346" s="683" t="s">
        <v>146</v>
      </c>
      <c r="W346" s="683" t="s">
        <v>914</v>
      </c>
      <c r="X346" s="691" t="s">
        <v>918</v>
      </c>
      <c r="Y346" s="687">
        <v>3004402506</v>
      </c>
      <c r="Z346" s="692"/>
      <c r="AA346" s="683" t="s">
        <v>33</v>
      </c>
      <c r="AB346" s="683" t="s">
        <v>34</v>
      </c>
      <c r="AC346" s="683" t="s">
        <v>230</v>
      </c>
      <c r="AD346" s="683" t="s">
        <v>1110</v>
      </c>
      <c r="AE346" s="683">
        <v>60</v>
      </c>
      <c r="AF346" s="684">
        <v>2248.6999999999998</v>
      </c>
      <c r="AG346" s="683" t="s">
        <v>243</v>
      </c>
      <c r="AH346" s="683" t="s">
        <v>220</v>
      </c>
      <c r="AI346" s="683" t="s">
        <v>33</v>
      </c>
      <c r="AJ346" s="683">
        <v>3004333866</v>
      </c>
      <c r="AK346" s="683" t="s">
        <v>33</v>
      </c>
      <c r="AL346" s="683">
        <v>1063100</v>
      </c>
      <c r="AM346" s="683" t="s">
        <v>1121</v>
      </c>
      <c r="AN346" s="683" t="s">
        <v>1352</v>
      </c>
      <c r="AO346" s="683" t="s">
        <v>1318</v>
      </c>
      <c r="AP346" s="683" t="s">
        <v>240</v>
      </c>
      <c r="AQ346" s="683" t="str">
        <f>CONCATENATE("REG-",BDEGENER[[#This Row],[FECHA DE SERVICIO]],"-",BDEGENER[[#This Row],[SERIE]],"-",BDEGENER[[#This Row],[HORAS]])</f>
        <v>REG-44027-3004402506-2248,7</v>
      </c>
      <c r="AR346" s="683" t="str">
        <f>CONCATENATE("MARCA: ",BDEGENER[[#This Row],[MARCA]],"
 MODELO: ",BDEGENER[[#This Row],[MODELO]])</f>
        <v>MARCA: GENERAC
 MODELO: PG090</v>
      </c>
      <c r="AS346" s="683" t="str">
        <f>CONCATENATE("MARCA: ",BDEGENER[[#This Row],[MARCA DE MOTOR]],"
SERIE: ",BDEGENER[[#This Row],[SERIE DE MOTOR]])</f>
        <v>MARCA: GENERAC
SERIE: 3004333866</v>
      </c>
      <c r="AT346" s="683" t="str">
        <f>CONCATENATE("MARCA: ",BDEGENER[[#This Row],[MARCA ALTERNADOR ]],"
SERIE: ",BDEGENER[[#This Row],[SERIE DE ALTERNADOR]])</f>
        <v>MARCA: GENERAC
SERIE: 1063100</v>
      </c>
      <c r="AU346" s="683" t="str">
        <f>CONCATENATE("HORAS: ",BDEGENER[[#This Row],[HORAS]],"
KW-HR: ",BDEGENER[[#This Row],[KW-HORA]],"
VOLT.BATERIA: ",BDEGENER[[#This Row],[VOLTAJE DE BATERIA]],"
TEMPERATURA: ",BDEGENER[[#This Row],[TEMPERATURA DE AGUA]],"
PRES. ACEITE: ",BDEGENER[[#This Row],[PRESION DE ACEITE]])</f>
        <v>HORAS: 2248,7
KW-HR: 52142,9
VOLT.BATERIA: 13.7 V
TEMPERATURA: 196 °F
PRES. ACEITE: 58 PSI</v>
      </c>
      <c r="AV346" s="761">
        <f>COUNTIFS(Q346:Q2346,"MANTENIMIENTO CORRECTIVO",Y346:Y2346,BDEGENER[[#This Row],[SERIE]])</f>
        <v>2</v>
      </c>
      <c r="AW346" s="761">
        <f>COUNTIFS(Q346:Q2346,"MANTENIMIENTO PREVENTIVO",Y346:Y2346,BDEGENER[[#This Row],[SERIE]])</f>
        <v>6</v>
      </c>
      <c r="AX34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46" s="683">
        <f>COUNTIFS(BDEGENER[SERIE],BDEGENER[[#This Row],[SERIE]],BDEGENER[TIPO DE SERVICIO],"MANTENIMIENTO PREVENTIVO")</f>
        <v>8</v>
      </c>
      <c r="AZ346" s="683" t="str">
        <f>CONCATENATE("MANTENIMIENTO PREVENTIVO N°",BDEGENER[[#This Row],[GA1]])</f>
        <v>MANTENIMIENTO PREVENTIVO N°8</v>
      </c>
      <c r="BA346" s="683" t="str">
        <f>IF(BDEGENER[[#This Row],[SERVICIO]]=BDEGENER[[#This Row],[GA2]],BDEGENER[[#This Row],[HORAS]],"0")</f>
        <v>0</v>
      </c>
      <c r="BB346" s="683">
        <f>SUMIF(BDEGENER[SERIE],BDEGENER[[#This Row],[SERIE]],BDEGENER[GA3])</f>
        <v>2907.9</v>
      </c>
      <c r="BC346" s="761" t="str">
        <f>CONCATENATE("MANT",COUNTIF($Y$7:Y346,Y346))</f>
        <v>MANT5</v>
      </c>
      <c r="BD346" s="683" t="str">
        <f>CONCATENATE(BDEGENER[[#This Row],[SERIE]],BDEGENER[[#This Row],[GA5]])</f>
        <v>3004402506MANT5</v>
      </c>
      <c r="BE346" s="683" t="str">
        <f>CONCATENATE(BDEGENER[[#This Row],[CODIGO PATRIMONIAL]],BDEGENER[[#This Row],[GA5]])</f>
        <v>MANT5</v>
      </c>
      <c r="BF346" s="683">
        <f>COUNTIF(BDEGENER[SERIE],BDEGENER[[#This Row],[SERIE]])</f>
        <v>14</v>
      </c>
      <c r="BG346" s="761" t="str">
        <f>CONCATENATE("F",COUNTIF($K$7:K346,K346))</f>
        <v>F2</v>
      </c>
      <c r="BH346" s="683" t="str">
        <f>CONCATENATE(BDEGENER[[#This Row],[FECHA DE SERVICIO]],BDEGENER[[#This Row],[N° DE REGISTROS DEL DIA]])</f>
        <v>44027F2</v>
      </c>
      <c r="BI346" s="684">
        <v>52142.9</v>
      </c>
      <c r="BJ346" s="683" t="s">
        <v>1544</v>
      </c>
      <c r="BK346" s="736"/>
    </row>
    <row r="347" spans="2:63" ht="69" hidden="1" x14ac:dyDescent="0.3">
      <c r="B347" s="2"/>
      <c r="C347" s="2"/>
      <c r="D347" s="2"/>
      <c r="E347" s="2"/>
      <c r="F347" s="2"/>
      <c r="G347" s="2"/>
      <c r="H347" s="2"/>
      <c r="I347" s="2"/>
      <c r="J347" s="685"/>
      <c r="K347" s="763">
        <v>44027</v>
      </c>
      <c r="L347" s="761" t="s">
        <v>181</v>
      </c>
      <c r="M347" s="761" t="s">
        <v>187</v>
      </c>
      <c r="N347" s="761" t="s">
        <v>183</v>
      </c>
      <c r="O347" s="761"/>
      <c r="P347" s="761"/>
      <c r="Q347" s="761" t="s">
        <v>108</v>
      </c>
      <c r="R347" s="761" t="s">
        <v>2808</v>
      </c>
      <c r="S347" s="765" t="s">
        <v>2809</v>
      </c>
      <c r="T347" s="761" t="s">
        <v>2810</v>
      </c>
      <c r="U347" s="761"/>
      <c r="V347" s="761" t="s">
        <v>146</v>
      </c>
      <c r="W347" s="761" t="s">
        <v>914</v>
      </c>
      <c r="X347" s="761" t="s">
        <v>918</v>
      </c>
      <c r="Y347" s="766">
        <v>3004327725</v>
      </c>
      <c r="Z347" s="761"/>
      <c r="AA347" s="761" t="s">
        <v>33</v>
      </c>
      <c r="AB347" s="761" t="s">
        <v>34</v>
      </c>
      <c r="AC347" s="761" t="s">
        <v>230</v>
      </c>
      <c r="AD347" s="761"/>
      <c r="AE347" s="761"/>
      <c r="AF347" s="764">
        <v>1607.4</v>
      </c>
      <c r="AG347" s="761" t="s">
        <v>243</v>
      </c>
      <c r="AH347" s="761" t="s">
        <v>220</v>
      </c>
      <c r="AI347" s="761" t="s">
        <v>33</v>
      </c>
      <c r="AJ347" s="761">
        <v>3004333865</v>
      </c>
      <c r="AK347" s="761" t="s">
        <v>33</v>
      </c>
      <c r="AL347" s="761">
        <v>1065020</v>
      </c>
      <c r="AM347" s="761"/>
      <c r="AN347" s="761"/>
      <c r="AO347" s="761"/>
      <c r="AP347" s="761" t="s">
        <v>557</v>
      </c>
      <c r="AQ347" s="769" t="str">
        <f>CONCATENATE("REG-",BDEGENER[[#This Row],[FECHA DE SERVICIO]],"-",BDEGENER[[#This Row],[SERIE]],"-",BDEGENER[[#This Row],[HORAS]])</f>
        <v>REG-44027-3004327725-1607,4</v>
      </c>
      <c r="AR347" s="761" t="str">
        <f>CONCATENATE("MARCA: ",BDEGENER[[#This Row],[MARCA]],"
 MODELO: ",BDEGENER[[#This Row],[MODELO]])</f>
        <v>MARCA: GENERAC
 MODELO: PG090</v>
      </c>
      <c r="AS347" s="761" t="str">
        <f>CONCATENATE("MARCA: ",BDEGENER[[#This Row],[MARCA DE MOTOR]],"
SERIE: ",BDEGENER[[#This Row],[SERIE DE MOTOR]])</f>
        <v>MARCA: GENERAC
SERIE: 3004333865</v>
      </c>
      <c r="AT347" s="761" t="str">
        <f>CONCATENATE("MARCA: ",BDEGENER[[#This Row],[MARCA ALTERNADOR ]],"
SERIE: ",BDEGENER[[#This Row],[SERIE DE ALTERNADOR]])</f>
        <v>MARCA: GENERAC
SERIE: 1065020</v>
      </c>
      <c r="AU347" s="761" t="str">
        <f>CONCATENATE("HORAS: ",BDEGENER[[#This Row],[HORAS]],"
KW-HR: ",BDEGENER[[#This Row],[KW-HORA]],"
VOLT.BATERIA: ",BDEGENER[[#This Row],[VOLTAJE DE BATERIA]],"
TEMPERATURA: ",BDEGENER[[#This Row],[TEMPERATURA DE AGUA]],"
PRES. ACEITE: ",BDEGENER[[#This Row],[PRESION DE ACEITE]])</f>
        <v xml:space="preserve">HORAS: 1607,4
KW-HR: 21564,6
VOLT.BATERIA: 
TEMPERATURA: 
PRES. ACEITE: </v>
      </c>
      <c r="AV347" s="683">
        <f>COUNTIFS(Q347:Q2347,"MANTENIMIENTO CORRECTIVO",Y347:Y2347,BDEGENER[[#This Row],[SERIE]])</f>
        <v>1</v>
      </c>
      <c r="AW347" s="683">
        <f>COUNTIFS(Q347:Q2347,"MANTENIMIENTO PREVENTIVO",Y347:Y2347,BDEGENER[[#This Row],[SERIE]])</f>
        <v>6</v>
      </c>
      <c r="AX347" s="761"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47" s="761">
        <f>COUNTIFS(BDEGENER[SERIE],BDEGENER[[#This Row],[SERIE]],BDEGENER[TIPO DE SERVICIO],"MANTENIMIENTO PREVENTIVO")</f>
        <v>6</v>
      </c>
      <c r="AZ347" s="761" t="str">
        <f>CONCATENATE("MANTENIMIENTO PREVENTIVO N°",BDEGENER[[#This Row],[GA1]])</f>
        <v>MANTENIMIENTO PREVENTIVO N°6</v>
      </c>
      <c r="BA347" s="761" t="str">
        <f>IF(BDEGENER[[#This Row],[SERVICIO]]=BDEGENER[[#This Row],[GA2]],BDEGENER[[#This Row],[HORAS]],"0")</f>
        <v>0</v>
      </c>
      <c r="BB347" s="761">
        <f>SUMIF(BDEGENER[SERIE],BDEGENER[[#This Row],[SERIE]],BDEGENER[GA3])</f>
        <v>1599.8</v>
      </c>
      <c r="BC347" s="683" t="str">
        <f>CONCATENATE("MANT",COUNTIF($Y$7:Y347,Y347))</f>
        <v>MANT5</v>
      </c>
      <c r="BD347" s="761" t="str">
        <f>CONCATENATE(BDEGENER[[#This Row],[SERIE]],BDEGENER[[#This Row],[GA5]])</f>
        <v>3004327725MANT5</v>
      </c>
      <c r="BE347" s="761" t="str">
        <f>CONCATENATE(BDEGENER[[#This Row],[CODIGO PATRIMONIAL]],BDEGENER[[#This Row],[GA5]])</f>
        <v>MANT5</v>
      </c>
      <c r="BF347" s="683">
        <f>COUNTIF(BDEGENER[SERIE],BDEGENER[[#This Row],[SERIE]])</f>
        <v>13</v>
      </c>
      <c r="BG347" s="683" t="str">
        <f>CONCATENATE("F",COUNTIF($K$7:K347,K347))</f>
        <v>F3</v>
      </c>
      <c r="BH347" s="683" t="str">
        <f>CONCATENATE(BDEGENER[[#This Row],[FECHA DE SERVICIO]],BDEGENER[[#This Row],[N° DE REGISTROS DEL DIA]])</f>
        <v>44027F3</v>
      </c>
      <c r="BI347" s="684">
        <v>21564.6</v>
      </c>
      <c r="BJ347" s="683" t="s">
        <v>1544</v>
      </c>
      <c r="BK347" s="736"/>
    </row>
    <row r="348" spans="2:63" ht="69" hidden="1" x14ac:dyDescent="0.3">
      <c r="B348" s="2"/>
      <c r="C348" s="2"/>
      <c r="D348" s="2"/>
      <c r="E348" s="2"/>
      <c r="F348" s="2"/>
      <c r="G348" s="2"/>
      <c r="H348" s="2"/>
      <c r="I348" s="2"/>
      <c r="J348" s="685"/>
      <c r="K348" s="682">
        <v>44026</v>
      </c>
      <c r="L348" s="683" t="s">
        <v>181</v>
      </c>
      <c r="M348" s="683" t="s">
        <v>2169</v>
      </c>
      <c r="N348" s="683" t="s">
        <v>2170</v>
      </c>
      <c r="O348" s="683">
        <v>4500926217</v>
      </c>
      <c r="P348" s="683"/>
      <c r="Q348" s="683" t="s">
        <v>37</v>
      </c>
      <c r="R348" s="683" t="s">
        <v>1782</v>
      </c>
      <c r="S348" s="686" t="s">
        <v>2947</v>
      </c>
      <c r="T348" s="683" t="s">
        <v>2546</v>
      </c>
      <c r="U348" s="683" t="s">
        <v>2404</v>
      </c>
      <c r="V348" s="683" t="s">
        <v>147</v>
      </c>
      <c r="W348" s="683" t="s">
        <v>914</v>
      </c>
      <c r="X348" s="691" t="s">
        <v>918</v>
      </c>
      <c r="Y348" s="687">
        <v>3005167422</v>
      </c>
      <c r="Z348" s="692" t="s">
        <v>159</v>
      </c>
      <c r="AA348" s="683" t="s">
        <v>33</v>
      </c>
      <c r="AB348" s="683" t="s">
        <v>2174</v>
      </c>
      <c r="AC348" s="683" t="s">
        <v>2175</v>
      </c>
      <c r="AD348" s="683" t="s">
        <v>1110</v>
      </c>
      <c r="AE348" s="683">
        <v>60</v>
      </c>
      <c r="AF348" s="684">
        <v>834.8</v>
      </c>
      <c r="AG348" s="683" t="s">
        <v>243</v>
      </c>
      <c r="AH348" s="683" t="s">
        <v>220</v>
      </c>
      <c r="AI348" s="683" t="s">
        <v>33</v>
      </c>
      <c r="AJ348" s="683" t="s">
        <v>2176</v>
      </c>
      <c r="AK348" s="683" t="s">
        <v>33</v>
      </c>
      <c r="AL348" s="683">
        <v>147951510</v>
      </c>
      <c r="AM348" s="683"/>
      <c r="AN348" s="683"/>
      <c r="AO348" s="683"/>
      <c r="AP348" s="683" t="s">
        <v>240</v>
      </c>
      <c r="AQ348" s="688" t="str">
        <f>CONCATENATE("REG-",BDEGENER[[#This Row],[FECHA DE SERVICIO]],"-",BDEGENER[[#This Row],[SERIE]],"-",BDEGENER[[#This Row],[HORAS]])</f>
        <v>REG-44026-3005167422-834,8</v>
      </c>
      <c r="AR348" s="683" t="str">
        <f>CONCATENATE("MARCA: ",BDEGENER[[#This Row],[MARCA]],"
 MODELO: ",BDEGENER[[#This Row],[MODELO]])</f>
        <v>MARCA: GENERAC
 MODELO: SG070</v>
      </c>
      <c r="AS348" s="683" t="str">
        <f>CONCATENATE("MARCA: ",BDEGENER[[#This Row],[MARCA DE MOTOR]],"
SERIE: ",BDEGENER[[#This Row],[SERIE DE MOTOR]])</f>
        <v>MARCA: GENERAC
SERIE: GP680AA-EH2A 250619</v>
      </c>
      <c r="AT348" s="683" t="str">
        <f>CONCATENATE("MARCA: ",BDEGENER[[#This Row],[MARCA ALTERNADOR ]],"
SERIE: ",BDEGENER[[#This Row],[SERIE DE ALTERNADOR]])</f>
        <v>MARCA: GENERAC
SERIE: 147951510</v>
      </c>
      <c r="AU348" s="683" t="str">
        <f>CONCATENATE("HORAS: ",BDEGENER[[#This Row],[HORAS]],"
KW-HR: ",BDEGENER[[#This Row],[KW-HORA]],"
VOLT.BATERIA: ",BDEGENER[[#This Row],[VOLTAJE DE BATERIA]],"
TEMPERATURA: ",BDEGENER[[#This Row],[TEMPERATURA DE AGUA]],"
PRES. ACEITE: ",BDEGENER[[#This Row],[PRESION DE ACEITE]])</f>
        <v xml:space="preserve">HORAS: 834,8
KW-HR: 
VOLT.BATERIA: 
TEMPERATURA: 
PRES. ACEITE: </v>
      </c>
      <c r="AV348" s="683">
        <f>COUNTIFS(Q348:Q2348,"MANTENIMIENTO CORRECTIVO",Y348:Y2348,BDEGENER[[#This Row],[SERIE]])</f>
        <v>0</v>
      </c>
      <c r="AW348" s="683">
        <f>COUNTIFS(Q348:Q2348,"MANTENIMIENTO PREVENTIVO",Y348:Y2348,BDEGENER[[#This Row],[SERIE]])</f>
        <v>3</v>
      </c>
      <c r="AX34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348" s="683">
        <f>COUNTIFS(BDEGENER[SERIE],BDEGENER[[#This Row],[SERIE]],BDEGENER[TIPO DE SERVICIO],"MANTENIMIENTO PREVENTIVO")</f>
        <v>6</v>
      </c>
      <c r="AZ348" s="683" t="str">
        <f>CONCATENATE("MANTENIMIENTO PREVENTIVO N°",BDEGENER[[#This Row],[GA1]])</f>
        <v>MANTENIMIENTO PREVENTIVO N°6</v>
      </c>
      <c r="BA348" s="683" t="str">
        <f>IF(BDEGENER[[#This Row],[SERVICIO]]=BDEGENER[[#This Row],[GA2]],BDEGENER[[#This Row],[HORAS]],"0")</f>
        <v>0</v>
      </c>
      <c r="BB348" s="683">
        <f>SUMIF(BDEGENER[SERIE],BDEGENER[[#This Row],[SERIE]],BDEGENER[GA3])</f>
        <v>1906.8</v>
      </c>
      <c r="BC348" s="683" t="str">
        <f>CONCATENATE("MANT",COUNTIF($Y$7:Y348,Y348))</f>
        <v>MANT4</v>
      </c>
      <c r="BD348" s="683" t="str">
        <f>CONCATENATE(BDEGENER[[#This Row],[SERIE]],BDEGENER[[#This Row],[GA5]])</f>
        <v>3005167422MANT4</v>
      </c>
      <c r="BE348" s="683" t="str">
        <f>CONCATENATE(BDEGENER[[#This Row],[CODIGO PATRIMONIAL]],BDEGENER[[#This Row],[GA5]])</f>
        <v>MANT4</v>
      </c>
      <c r="BF348" s="683">
        <f>COUNTIF(BDEGENER[SERIE],BDEGENER[[#This Row],[SERIE]])</f>
        <v>7</v>
      </c>
      <c r="BG348" s="683" t="str">
        <f>CONCATENATE("F",COUNTIF($K$7:K348,K348))</f>
        <v>F1</v>
      </c>
      <c r="BH348" s="683" t="str">
        <f>CONCATENATE(BDEGENER[[#This Row],[FECHA DE SERVICIO]],BDEGENER[[#This Row],[N° DE REGISTROS DEL DIA]])</f>
        <v>44026F1</v>
      </c>
      <c r="BI348" s="684"/>
      <c r="BJ348" s="683" t="s">
        <v>1544</v>
      </c>
      <c r="BK348" s="736"/>
    </row>
    <row r="349" spans="2:63" ht="69" hidden="1" x14ac:dyDescent="0.3">
      <c r="B349" s="2"/>
      <c r="C349" s="2"/>
      <c r="D349" s="2"/>
      <c r="E349" s="2"/>
      <c r="F349" s="2"/>
      <c r="G349" s="2"/>
      <c r="H349" s="2"/>
      <c r="I349" s="2"/>
      <c r="J349" s="685"/>
      <c r="K349" s="682">
        <v>44026</v>
      </c>
      <c r="L349" s="683" t="s">
        <v>181</v>
      </c>
      <c r="M349" s="683" t="s">
        <v>2179</v>
      </c>
      <c r="N349" s="683" t="s">
        <v>2170</v>
      </c>
      <c r="O349" s="683">
        <v>4500926217</v>
      </c>
      <c r="P349" s="688" t="s">
        <v>2946</v>
      </c>
      <c r="Q349" s="683" t="s">
        <v>37</v>
      </c>
      <c r="R349" s="683" t="s">
        <v>1782</v>
      </c>
      <c r="S349" s="686" t="s">
        <v>2947</v>
      </c>
      <c r="T349" s="683" t="s">
        <v>2948</v>
      </c>
      <c r="U349" s="683" t="s">
        <v>2404</v>
      </c>
      <c r="V349" s="683" t="s">
        <v>147</v>
      </c>
      <c r="W349" s="683" t="s">
        <v>914</v>
      </c>
      <c r="X349" s="691" t="s">
        <v>918</v>
      </c>
      <c r="Y349" s="687">
        <v>3005167425</v>
      </c>
      <c r="Z349" s="692" t="s">
        <v>159</v>
      </c>
      <c r="AA349" s="683" t="s">
        <v>33</v>
      </c>
      <c r="AB349" s="683" t="s">
        <v>2174</v>
      </c>
      <c r="AC349" s="683" t="s">
        <v>2175</v>
      </c>
      <c r="AD349" s="683" t="s">
        <v>1110</v>
      </c>
      <c r="AE349" s="683">
        <v>60.2</v>
      </c>
      <c r="AF349" s="684">
        <v>841.9</v>
      </c>
      <c r="AG349" s="683" t="s">
        <v>243</v>
      </c>
      <c r="AH349" s="683" t="s">
        <v>220</v>
      </c>
      <c r="AI349" s="683" t="s">
        <v>33</v>
      </c>
      <c r="AJ349" s="683" t="s">
        <v>2222</v>
      </c>
      <c r="AK349" s="683" t="s">
        <v>33</v>
      </c>
      <c r="AL349" s="683">
        <v>147951510</v>
      </c>
      <c r="AM349" s="683" t="s">
        <v>1121</v>
      </c>
      <c r="AN349" s="683" t="s">
        <v>1122</v>
      </c>
      <c r="AO349" s="683" t="s">
        <v>1367</v>
      </c>
      <c r="AP349" s="683" t="s">
        <v>240</v>
      </c>
      <c r="AQ349" s="688" t="str">
        <f>CONCATENATE("REG-",BDEGENER[[#This Row],[FECHA DE SERVICIO]],"-",BDEGENER[[#This Row],[SERIE]],"-",BDEGENER[[#This Row],[HORAS]])</f>
        <v>REG-44026-3005167425-841,9</v>
      </c>
      <c r="AR349" s="683" t="str">
        <f>CONCATENATE("MARCA: ",BDEGENER[[#This Row],[MARCA]],"
 MODELO: ",BDEGENER[[#This Row],[MODELO]])</f>
        <v>MARCA: GENERAC
 MODELO: SG070</v>
      </c>
      <c r="AS349" s="683" t="str">
        <f>CONCATENATE("MARCA: ",BDEGENER[[#This Row],[MARCA DE MOTOR]],"
SERIE: ",BDEGENER[[#This Row],[SERIE DE MOTOR]])</f>
        <v>MARCA: GENERAC
SERIE: GP680AA-EH2A 250618</v>
      </c>
      <c r="AT349" s="683" t="str">
        <f>CONCATENATE("MARCA: ",BDEGENER[[#This Row],[MARCA ALTERNADOR ]],"
SERIE: ",BDEGENER[[#This Row],[SERIE DE ALTERNADOR]])</f>
        <v>MARCA: GENERAC
SERIE: 147951510</v>
      </c>
      <c r="AU349" s="683" t="str">
        <f>CONCATENATE("HORAS: ",BDEGENER[[#This Row],[HORAS]],"
KW-HR: ",BDEGENER[[#This Row],[KW-HORA]],"
VOLT.BATERIA: ",BDEGENER[[#This Row],[VOLTAJE DE BATERIA]],"
TEMPERATURA: ",BDEGENER[[#This Row],[TEMPERATURA DE AGUA]],"
PRES. ACEITE: ",BDEGENER[[#This Row],[PRESION DE ACEITE]])</f>
        <v>HORAS: 841,9
KW-HR: 8736,1
VOLT.BATERIA: 13.7 V
TEMPERATURA: 195 °F
PRES. ACEITE: 72 PSI</v>
      </c>
      <c r="AV349" s="761">
        <f>COUNTIFS(Q349:Q2349,"MANTENIMIENTO CORRECTIVO",Y349:Y2349,BDEGENER[[#This Row],[SERIE]])</f>
        <v>0</v>
      </c>
      <c r="AW349" s="761">
        <f>COUNTIFS(Q349:Q2349,"MANTENIMIENTO PREVENTIVO",Y349:Y2349,BDEGENER[[#This Row],[SERIE]])</f>
        <v>3</v>
      </c>
      <c r="AX34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349" s="683">
        <f>COUNTIFS(BDEGENER[SERIE],BDEGENER[[#This Row],[SERIE]],BDEGENER[TIPO DE SERVICIO],"MANTENIMIENTO PREVENTIVO")</f>
        <v>6</v>
      </c>
      <c r="AZ349" s="683" t="str">
        <f>CONCATENATE("MANTENIMIENTO PREVENTIVO N°",BDEGENER[[#This Row],[GA1]])</f>
        <v>MANTENIMIENTO PREVENTIVO N°6</v>
      </c>
      <c r="BA349" s="683" t="str">
        <f>IF(BDEGENER[[#This Row],[SERVICIO]]=BDEGENER[[#This Row],[GA2]],BDEGENER[[#This Row],[HORAS]],"0")</f>
        <v>0</v>
      </c>
      <c r="BB349" s="683">
        <f>SUMIF(BDEGENER[SERIE],BDEGENER[[#This Row],[SERIE]],BDEGENER[GA3])</f>
        <v>1939.8</v>
      </c>
      <c r="BC349" s="761" t="str">
        <f>CONCATENATE("MANT",COUNTIF($Y$7:Y349,Y349))</f>
        <v>MANT4</v>
      </c>
      <c r="BD349" s="683" t="str">
        <f>CONCATENATE(BDEGENER[[#This Row],[SERIE]],BDEGENER[[#This Row],[GA5]])</f>
        <v>3005167425MANT4</v>
      </c>
      <c r="BE349" s="683" t="str">
        <f>CONCATENATE(BDEGENER[[#This Row],[CODIGO PATRIMONIAL]],BDEGENER[[#This Row],[GA5]])</f>
        <v>MANT4</v>
      </c>
      <c r="BF349" s="683">
        <f>COUNTIF(BDEGENER[SERIE],BDEGENER[[#This Row],[SERIE]])</f>
        <v>7</v>
      </c>
      <c r="BG349" s="761" t="str">
        <f>CONCATENATE("F",COUNTIF($K$7:K349,K349))</f>
        <v>F2</v>
      </c>
      <c r="BH349" s="683" t="str">
        <f>CONCATENATE(BDEGENER[[#This Row],[FECHA DE SERVICIO]],BDEGENER[[#This Row],[N° DE REGISTROS DEL DIA]])</f>
        <v>44026F2</v>
      </c>
      <c r="BI349" s="684">
        <v>8736.1</v>
      </c>
      <c r="BJ349" s="683" t="s">
        <v>1544</v>
      </c>
      <c r="BK349" s="736" t="s">
        <v>2902</v>
      </c>
    </row>
    <row r="350" spans="2:63" ht="69" hidden="1" x14ac:dyDescent="0.3">
      <c r="B350" s="2"/>
      <c r="C350" s="2"/>
      <c r="D350" s="2"/>
      <c r="E350" s="2"/>
      <c r="F350" s="2"/>
      <c r="G350" s="2"/>
      <c r="H350" s="2"/>
      <c r="I350" s="2"/>
      <c r="J350" s="685"/>
      <c r="K350" s="682">
        <v>44025</v>
      </c>
      <c r="L350" s="683" t="s">
        <v>248</v>
      </c>
      <c r="M350" s="683" t="s">
        <v>3084</v>
      </c>
      <c r="N350" s="683" t="s">
        <v>3085</v>
      </c>
      <c r="O350" s="683"/>
      <c r="P350" s="688" t="s">
        <v>3086</v>
      </c>
      <c r="Q350" s="683" t="s">
        <v>37</v>
      </c>
      <c r="R350" s="683" t="s">
        <v>1782</v>
      </c>
      <c r="S350" s="686" t="s">
        <v>3087</v>
      </c>
      <c r="T350" s="683" t="s">
        <v>3088</v>
      </c>
      <c r="U350" s="683" t="s">
        <v>2235</v>
      </c>
      <c r="V350" s="683" t="s">
        <v>147</v>
      </c>
      <c r="W350" s="683" t="s">
        <v>914</v>
      </c>
      <c r="X350" s="691" t="s">
        <v>917</v>
      </c>
      <c r="Y350" s="687" t="s">
        <v>1634</v>
      </c>
      <c r="Z350" s="692">
        <v>24994</v>
      </c>
      <c r="AA350" s="683" t="s">
        <v>33</v>
      </c>
      <c r="AB350" s="683" t="s">
        <v>500</v>
      </c>
      <c r="AC350" s="683" t="s">
        <v>853</v>
      </c>
      <c r="AD350" s="683" t="s">
        <v>1087</v>
      </c>
      <c r="AE350" s="683">
        <v>60.3</v>
      </c>
      <c r="AF350" s="684">
        <v>482.3</v>
      </c>
      <c r="AG350" s="683" t="s">
        <v>243</v>
      </c>
      <c r="AH350" s="683" t="s">
        <v>1635</v>
      </c>
      <c r="AI350" s="683" t="s">
        <v>1636</v>
      </c>
      <c r="AJ350" s="683" t="s">
        <v>1637</v>
      </c>
      <c r="AK350" s="683" t="s">
        <v>1686</v>
      </c>
      <c r="AL350" s="683">
        <v>2076161</v>
      </c>
      <c r="AM350" s="683" t="s">
        <v>1858</v>
      </c>
      <c r="AN350" s="683"/>
      <c r="AO350" s="683"/>
      <c r="AP350" s="683" t="s">
        <v>240</v>
      </c>
      <c r="AQ350" s="688" t="str">
        <f>CONCATENATE("REG-",BDEGENER[[#This Row],[FECHA DE SERVICIO]],"-",BDEGENER[[#This Row],[SERIE]],"-",BDEGENER[[#This Row],[HORAS]])</f>
        <v>REG-44025-PEE2626871-482,3</v>
      </c>
      <c r="AR350" s="683" t="str">
        <f>CONCATENATE("MARCA: ",BDEGENER[[#This Row],[MARCA]],"
 MODELO: ",BDEGENER[[#This Row],[MODELO]])</f>
        <v>MARCA: GENERAC
 MODELO: PMY20B</v>
      </c>
      <c r="AS350" s="683" t="str">
        <f>CONCATENATE("MARCA: ",BDEGENER[[#This Row],[MARCA DE MOTOR]],"
SERIE: ",BDEGENER[[#This Row],[SERIE DE MOTOR]])</f>
        <v>MARCA: PERKINS 404D-22G
SERIE: S923132D</v>
      </c>
      <c r="AT350" s="683" t="str">
        <f>CONCATENATE("MARCA: ",BDEGENER[[#This Row],[MARCA ALTERNADOR ]],"
SERIE: ",BDEGENER[[#This Row],[SERIE DE ALTERNADOR]])</f>
        <v>MARCA: MECCALTE ECP28M
SERIE: 2076161</v>
      </c>
      <c r="AU350" s="683" t="str">
        <f>CONCATENATE("HORAS: ",BDEGENER[[#This Row],[HORAS]],"
KW-HR: ",BDEGENER[[#This Row],[KW-HORA]],"
VOLT.BATERIA: ",BDEGENER[[#This Row],[VOLTAJE DE BATERIA]],"
TEMPERATURA: ",BDEGENER[[#This Row],[TEMPERATURA DE AGUA]],"
PRES. ACEITE: ",BDEGENER[[#This Row],[PRESION DE ACEITE]])</f>
        <v xml:space="preserve">HORAS: 482,3
KW-HR: 
VOLT.BATERIA: 14.1 V
TEMPERATURA: 
PRES. ACEITE: </v>
      </c>
      <c r="AV350" s="683">
        <f>COUNTIFS(Q350:Q2350,"MANTENIMIENTO CORRECTIVO",Y350:Y2350,BDEGENER[[#This Row],[SERIE]])</f>
        <v>0</v>
      </c>
      <c r="AW350" s="683">
        <f>COUNTIFS(Q350:Q2350,"MANTENIMIENTO PREVENTIVO",Y350:Y2350,BDEGENER[[#This Row],[SERIE]])</f>
        <v>2</v>
      </c>
      <c r="AX35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350" s="683">
        <f>COUNTIFS(BDEGENER[SERIE],BDEGENER[[#This Row],[SERIE]],BDEGENER[TIPO DE SERVICIO],"MANTENIMIENTO PREVENTIVO")</f>
        <v>2</v>
      </c>
      <c r="AZ350" s="683" t="str">
        <f>CONCATENATE("MANTENIMIENTO PREVENTIVO N°",BDEGENER[[#This Row],[GA1]])</f>
        <v>MANTENIMIENTO PREVENTIVO N°2</v>
      </c>
      <c r="BA350" s="683">
        <f>IF(BDEGENER[[#This Row],[SERVICIO]]=BDEGENER[[#This Row],[GA2]],BDEGENER[[#This Row],[HORAS]],"0")</f>
        <v>482.3</v>
      </c>
      <c r="BB350" s="683">
        <f>SUMIF(BDEGENER[SERIE],BDEGENER[[#This Row],[SERIE]],BDEGENER[GA3])</f>
        <v>482.3</v>
      </c>
      <c r="BC350" s="683" t="str">
        <f>CONCATENATE("MANT",COUNTIF($Y$7:Y350,Y350))</f>
        <v>MANT1</v>
      </c>
      <c r="BD350" s="683" t="str">
        <f>CONCATENATE(BDEGENER[[#This Row],[SERIE]],BDEGENER[[#This Row],[GA5]])</f>
        <v>PEE2626871MANT1</v>
      </c>
      <c r="BE350" s="683" t="str">
        <f>CONCATENATE(BDEGENER[[#This Row],[CODIGO PATRIMONIAL]],BDEGENER[[#This Row],[GA5]])</f>
        <v>24994MANT1</v>
      </c>
      <c r="BF350" s="683">
        <f>COUNTIF(BDEGENER[SERIE],BDEGENER[[#This Row],[SERIE]])</f>
        <v>4</v>
      </c>
      <c r="BG350" s="683" t="str">
        <f>CONCATENATE("F",COUNTIF($K$7:K350,K350))</f>
        <v>F1</v>
      </c>
      <c r="BH350" s="683" t="str">
        <f>CONCATENATE(BDEGENER[[#This Row],[FECHA DE SERVICIO]],BDEGENER[[#This Row],[N° DE REGISTROS DEL DIA]])</f>
        <v>44025F1</v>
      </c>
      <c r="BI350" s="684"/>
      <c r="BJ350" s="683" t="s">
        <v>1544</v>
      </c>
      <c r="BK350" s="736"/>
    </row>
    <row r="351" spans="2:63" ht="69" hidden="1" x14ac:dyDescent="0.3">
      <c r="B351" s="2"/>
      <c r="C351" s="2"/>
      <c r="D351" s="2"/>
      <c r="E351" s="2"/>
      <c r="F351" s="2"/>
      <c r="G351" s="2"/>
      <c r="H351" s="2"/>
      <c r="I351" s="2"/>
      <c r="J351" s="685"/>
      <c r="K351" s="682">
        <v>44023</v>
      </c>
      <c r="L351" s="683" t="s">
        <v>561</v>
      </c>
      <c r="M351" s="683" t="s">
        <v>567</v>
      </c>
      <c r="N351" s="683" t="s">
        <v>568</v>
      </c>
      <c r="O351" s="683"/>
      <c r="P351" s="688" t="s">
        <v>3034</v>
      </c>
      <c r="Q351" s="683" t="s">
        <v>107</v>
      </c>
      <c r="R351" s="683" t="s">
        <v>3035</v>
      </c>
      <c r="S351" s="686" t="s">
        <v>3036</v>
      </c>
      <c r="T351" s="683" t="s">
        <v>3037</v>
      </c>
      <c r="U351" s="683" t="s">
        <v>3038</v>
      </c>
      <c r="V351" s="683" t="s">
        <v>148</v>
      </c>
      <c r="W351" s="683" t="s">
        <v>914</v>
      </c>
      <c r="X351" s="691" t="s">
        <v>918</v>
      </c>
      <c r="Y351" s="687">
        <v>3003962766</v>
      </c>
      <c r="Z351" s="692" t="s">
        <v>2602</v>
      </c>
      <c r="AA351" s="683" t="s">
        <v>33</v>
      </c>
      <c r="AB351" s="683" t="s">
        <v>34</v>
      </c>
      <c r="AC351" s="683" t="s">
        <v>230</v>
      </c>
      <c r="AD351" s="683" t="s">
        <v>1123</v>
      </c>
      <c r="AE351" s="683">
        <v>60</v>
      </c>
      <c r="AF351" s="684">
        <v>2873.4</v>
      </c>
      <c r="AG351" s="683" t="s">
        <v>243</v>
      </c>
      <c r="AH351" s="683" t="s">
        <v>220</v>
      </c>
      <c r="AI351" s="683" t="s">
        <v>33</v>
      </c>
      <c r="AJ351" s="683">
        <v>3003966248</v>
      </c>
      <c r="AK351" s="683" t="s">
        <v>33</v>
      </c>
      <c r="AL351" s="683"/>
      <c r="AM351" s="683" t="s">
        <v>1377</v>
      </c>
      <c r="AN351" s="683" t="s">
        <v>1122</v>
      </c>
      <c r="AO351" s="683" t="s">
        <v>1095</v>
      </c>
      <c r="AP351" s="683" t="s">
        <v>240</v>
      </c>
      <c r="AQ351" s="688" t="str">
        <f>CONCATENATE("REG-",BDEGENER[[#This Row],[FECHA DE SERVICIO]],"-",BDEGENER[[#This Row],[SERIE]],"-",BDEGENER[[#This Row],[HORAS]])</f>
        <v>REG-44023-3003962766-2873,4</v>
      </c>
      <c r="AR351" s="683" t="str">
        <f>CONCATENATE("MARCA: ",BDEGENER[[#This Row],[MARCA]],"
 MODELO: ",BDEGENER[[#This Row],[MODELO]])</f>
        <v>MARCA: GENERAC
 MODELO: PG090</v>
      </c>
      <c r="AS351" s="683" t="str">
        <f>CONCATENATE("MARCA: ",BDEGENER[[#This Row],[MARCA DE MOTOR]],"
SERIE: ",BDEGENER[[#This Row],[SERIE DE MOTOR]])</f>
        <v>MARCA: GENERAC
SERIE: 3003966248</v>
      </c>
      <c r="AT351" s="683" t="str">
        <f>CONCATENATE("MARCA: ",BDEGENER[[#This Row],[MARCA ALTERNADOR ]],"
SERIE: ",BDEGENER[[#This Row],[SERIE DE ALTERNADOR]])</f>
        <v xml:space="preserve">MARCA: GENERAC
SERIE: </v>
      </c>
      <c r="AU351" s="683" t="str">
        <f>CONCATENATE("HORAS: ",BDEGENER[[#This Row],[HORAS]],"
KW-HR: ",BDEGENER[[#This Row],[KW-HORA]],"
VOLT.BATERIA: ",BDEGENER[[#This Row],[VOLTAJE DE BATERIA]],"
TEMPERATURA: ",BDEGENER[[#This Row],[TEMPERATURA DE AGUA]],"
PRES. ACEITE: ",BDEGENER[[#This Row],[PRESION DE ACEITE]])</f>
        <v>HORAS: 2873,4
KW-HR: 73026,5
VOLT.BATERIA: 13.8 V
TEMPERATURA: 195 °F
PRES. ACEITE: 54 PSI</v>
      </c>
      <c r="AV351" s="683">
        <f>COUNTIFS(Q351:Q2351,"MANTENIMIENTO CORRECTIVO",Y351:Y2351,BDEGENER[[#This Row],[SERIE]])</f>
        <v>2</v>
      </c>
      <c r="AW351" s="683">
        <f>COUNTIFS(Q351:Q2351,"MANTENIMIENTO PREVENTIVO",Y351:Y2351,BDEGENER[[#This Row],[SERIE]])</f>
        <v>5</v>
      </c>
      <c r="AX35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351" s="683">
        <f>COUNTIFS(BDEGENER[SERIE],BDEGENER[[#This Row],[SERIE]],BDEGENER[TIPO DE SERVICIO],"MANTENIMIENTO PREVENTIVO")</f>
        <v>9</v>
      </c>
      <c r="AZ351" s="683" t="str">
        <f>CONCATENATE("MANTENIMIENTO PREVENTIVO N°",BDEGENER[[#This Row],[GA1]])</f>
        <v>MANTENIMIENTO PREVENTIVO N°9</v>
      </c>
      <c r="BA351" s="683" t="str">
        <f>IF(BDEGENER[[#This Row],[SERVICIO]]=BDEGENER[[#This Row],[GA2]],BDEGENER[[#This Row],[HORAS]],"0")</f>
        <v>0</v>
      </c>
      <c r="BB351" s="683">
        <f>SUMIF(BDEGENER[SERIE],BDEGENER[[#This Row],[SERIE]],BDEGENER[GA3])</f>
        <v>4662.2</v>
      </c>
      <c r="BC351" s="683" t="str">
        <f>CONCATENATE("MANT",COUNTIF($Y$7:Y351,Y351))</f>
        <v>MANT8</v>
      </c>
      <c r="BD351" s="683" t="str">
        <f>CONCATENATE(BDEGENER[[#This Row],[SERIE]],BDEGENER[[#This Row],[GA5]])</f>
        <v>3003962766MANT8</v>
      </c>
      <c r="BE351" s="683" t="str">
        <f>CONCATENATE(BDEGENER[[#This Row],[CODIGO PATRIMONIAL]],BDEGENER[[#This Row],[GA5]])</f>
        <v>SUR-GEG-0006MANT8</v>
      </c>
      <c r="BF351" s="683">
        <f>COUNTIF(BDEGENER[SERIE],BDEGENER[[#This Row],[SERIE]])</f>
        <v>16</v>
      </c>
      <c r="BG351" s="683" t="str">
        <f>CONCATENATE("F",COUNTIF($K$7:K351,K351))</f>
        <v>F1</v>
      </c>
      <c r="BH351" s="683" t="str">
        <f>CONCATENATE(BDEGENER[[#This Row],[FECHA DE SERVICIO]],BDEGENER[[#This Row],[N° DE REGISTROS DEL DIA]])</f>
        <v>44023F1</v>
      </c>
      <c r="BI351" s="684">
        <v>73026.5</v>
      </c>
      <c r="BJ351" s="683" t="s">
        <v>1544</v>
      </c>
      <c r="BK351" s="736" t="s">
        <v>231</v>
      </c>
    </row>
    <row r="352" spans="2:63" ht="69" hidden="1" x14ac:dyDescent="0.3">
      <c r="B352" s="2"/>
      <c r="C352" s="2"/>
      <c r="D352" s="2"/>
      <c r="E352" s="2"/>
      <c r="F352" s="2"/>
      <c r="G352" s="2"/>
      <c r="H352" s="2"/>
      <c r="I352" s="2"/>
      <c r="J352" s="685"/>
      <c r="K352" s="682">
        <v>44021</v>
      </c>
      <c r="L352" s="683" t="s">
        <v>561</v>
      </c>
      <c r="M352" s="683" t="s">
        <v>583</v>
      </c>
      <c r="N352" s="683" t="s">
        <v>578</v>
      </c>
      <c r="O352" s="683"/>
      <c r="P352" s="688" t="s">
        <v>3152</v>
      </c>
      <c r="Q352" s="683" t="s">
        <v>37</v>
      </c>
      <c r="R352" s="683" t="s">
        <v>1782</v>
      </c>
      <c r="S352" s="686" t="s">
        <v>3155</v>
      </c>
      <c r="T352" s="683" t="s">
        <v>3156</v>
      </c>
      <c r="U352" s="683" t="s">
        <v>3153</v>
      </c>
      <c r="V352" s="683"/>
      <c r="W352" s="683" t="s">
        <v>913</v>
      </c>
      <c r="X352" s="691" t="s">
        <v>918</v>
      </c>
      <c r="Y352" s="687">
        <v>3003415539</v>
      </c>
      <c r="Z352" s="692" t="s">
        <v>2600</v>
      </c>
      <c r="AA352" s="683" t="s">
        <v>33</v>
      </c>
      <c r="AB352" s="683" t="s">
        <v>217</v>
      </c>
      <c r="AC352" s="683" t="s">
        <v>749</v>
      </c>
      <c r="AD352" s="683" t="s">
        <v>1123</v>
      </c>
      <c r="AE352" s="683">
        <v>60</v>
      </c>
      <c r="AF352" s="684">
        <v>5069.8999999999996</v>
      </c>
      <c r="AG352" s="683" t="s">
        <v>243</v>
      </c>
      <c r="AH352" s="683" t="s">
        <v>1803</v>
      </c>
      <c r="AI352" s="683" t="s">
        <v>2553</v>
      </c>
      <c r="AJ352" s="683"/>
      <c r="AK352" s="683" t="s">
        <v>33</v>
      </c>
      <c r="AL352" s="683"/>
      <c r="AM352" s="683" t="s">
        <v>3154</v>
      </c>
      <c r="AN352" s="683"/>
      <c r="AO352" s="683"/>
      <c r="AP352" s="683" t="s">
        <v>240</v>
      </c>
      <c r="AQ352" s="688" t="str">
        <f>CONCATENATE("REG-",BDEGENER[[#This Row],[FECHA DE SERVICIO]],"-",BDEGENER[[#This Row],[SERIE]],"-",BDEGENER[[#This Row],[HORAS]])</f>
        <v>REG-44021-3003415539-5069,9</v>
      </c>
      <c r="AR352" s="683" t="str">
        <f>CONCATENATE("MARCA: ",BDEGENER[[#This Row],[MARCA]],"
 MODELO: ",BDEGENER[[#This Row],[MODELO]])</f>
        <v>MARCA: GENERAC
 MODELO: RG022</v>
      </c>
      <c r="AS352" s="683" t="str">
        <f>CONCATENATE("MARCA: ",BDEGENER[[#This Row],[MARCA DE MOTOR]],"
SERIE: ",BDEGENER[[#This Row],[SERIE DE MOTOR]])</f>
        <v xml:space="preserve">MARCA: MITSUBISHI
SERIE: </v>
      </c>
      <c r="AT352" s="683" t="str">
        <f>CONCATENATE("MARCA: ",BDEGENER[[#This Row],[MARCA ALTERNADOR ]],"
SERIE: ",BDEGENER[[#This Row],[SERIE DE ALTERNADOR]])</f>
        <v xml:space="preserve">MARCA: GENERAC
SERIE: </v>
      </c>
      <c r="AU352" s="683" t="str">
        <f>CONCATENATE("HORAS: ",BDEGENER[[#This Row],[HORAS]],"
KW-HR: ",BDEGENER[[#This Row],[KW-HORA]],"
VOLT.BATERIA: ",BDEGENER[[#This Row],[VOLTAJE DE BATERIA]],"
TEMPERATURA: ",BDEGENER[[#This Row],[TEMPERATURA DE AGUA]],"
PRES. ACEITE: ",BDEGENER[[#This Row],[PRESION DE ACEITE]])</f>
        <v xml:space="preserve">HORAS: 5069,9
KW-HR: 
VOLT.BATERIA: 13,5 V
TEMPERATURA: 
PRES. ACEITE: </v>
      </c>
      <c r="AV352" s="761">
        <f>COUNTIFS(Q352:Q2352,"MANTENIMIENTO CORRECTIVO",Y352:Y2352,BDEGENER[[#This Row],[SERIE]])</f>
        <v>2</v>
      </c>
      <c r="AW352" s="761">
        <f>COUNTIFS(Q352:Q2352,"MANTENIMIENTO PREVENTIVO",Y352:Y2352,BDEGENER[[#This Row],[SERIE]])</f>
        <v>7</v>
      </c>
      <c r="AX35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52" s="683">
        <f>COUNTIFS(BDEGENER[SERIE],BDEGENER[[#This Row],[SERIE]],BDEGENER[TIPO DE SERVICIO],"MANTENIMIENTO PREVENTIVO")</f>
        <v>11</v>
      </c>
      <c r="AZ352" s="683" t="str">
        <f>CONCATENATE("MANTENIMIENTO PREVENTIVO N°",BDEGENER[[#This Row],[GA1]])</f>
        <v>MANTENIMIENTO PREVENTIVO N°11</v>
      </c>
      <c r="BA352" s="683" t="str">
        <f>IF(BDEGENER[[#This Row],[SERVICIO]]=BDEGENER[[#This Row],[GA2]],BDEGENER[[#This Row],[HORAS]],"0")</f>
        <v>0</v>
      </c>
      <c r="BB352" s="683">
        <f>SUMIF(BDEGENER[SERIE],BDEGENER[[#This Row],[SERIE]],BDEGENER[GA3])</f>
        <v>5881.6</v>
      </c>
      <c r="BC352" s="761" t="str">
        <f>CONCATENATE("MANT",COUNTIF($Y$7:Y352,Y352))</f>
        <v>MANT7</v>
      </c>
      <c r="BD352" s="683" t="str">
        <f>CONCATENATE(BDEGENER[[#This Row],[SERIE]],BDEGENER[[#This Row],[GA5]])</f>
        <v>3003415539MANT7</v>
      </c>
      <c r="BE352" s="683" t="str">
        <f>CONCATENATE(BDEGENER[[#This Row],[CODIGO PATRIMONIAL]],BDEGENER[[#This Row],[GA5]])</f>
        <v>SUR-GEG-0004MANT7</v>
      </c>
      <c r="BF352" s="683">
        <f>COUNTIF(BDEGENER[SERIE],BDEGENER[[#This Row],[SERIE]])</f>
        <v>16</v>
      </c>
      <c r="BG352" s="761" t="str">
        <f>CONCATENATE("F",COUNTIF($K$7:K352,K352))</f>
        <v>F1</v>
      </c>
      <c r="BH352" s="683" t="str">
        <f>CONCATENATE(BDEGENER[[#This Row],[FECHA DE SERVICIO]],BDEGENER[[#This Row],[N° DE REGISTROS DEL DIA]])</f>
        <v>44021F1</v>
      </c>
      <c r="BI352" s="684"/>
      <c r="BJ352" s="683" t="s">
        <v>1544</v>
      </c>
      <c r="BK352" s="736"/>
    </row>
    <row r="353" spans="2:63" ht="69" hidden="1" x14ac:dyDescent="0.3">
      <c r="B353" s="2"/>
      <c r="C353" s="2"/>
      <c r="D353" s="2"/>
      <c r="E353" s="2"/>
      <c r="F353" s="2"/>
      <c r="G353" s="2"/>
      <c r="H353" s="2"/>
      <c r="I353" s="2"/>
      <c r="J353" s="685"/>
      <c r="K353" s="682">
        <v>44021</v>
      </c>
      <c r="L353" s="683" t="s">
        <v>561</v>
      </c>
      <c r="M353" s="683" t="s">
        <v>582</v>
      </c>
      <c r="N353" s="683" t="s">
        <v>578</v>
      </c>
      <c r="O353" s="683"/>
      <c r="P353" s="688" t="s">
        <v>3148</v>
      </c>
      <c r="Q353" s="683" t="s">
        <v>37</v>
      </c>
      <c r="R353" s="683" t="s">
        <v>1782</v>
      </c>
      <c r="S353" s="686" t="s">
        <v>2991</v>
      </c>
      <c r="T353" s="683" t="s">
        <v>3151</v>
      </c>
      <c r="U353" s="683" t="s">
        <v>3149</v>
      </c>
      <c r="V353" s="683" t="s">
        <v>147</v>
      </c>
      <c r="W353" s="683" t="s">
        <v>913</v>
      </c>
      <c r="X353" s="691" t="s">
        <v>918</v>
      </c>
      <c r="Y353" s="687">
        <v>3003415544</v>
      </c>
      <c r="Z353" s="692" t="s">
        <v>2601</v>
      </c>
      <c r="AA353" s="683" t="s">
        <v>33</v>
      </c>
      <c r="AB353" s="683" t="s">
        <v>217</v>
      </c>
      <c r="AC353" s="683" t="s">
        <v>749</v>
      </c>
      <c r="AD353" s="683" t="s">
        <v>1123</v>
      </c>
      <c r="AE353" s="683">
        <v>60</v>
      </c>
      <c r="AF353" s="684">
        <v>4794.3</v>
      </c>
      <c r="AG353" s="683" t="s">
        <v>243</v>
      </c>
      <c r="AH353" s="683" t="s">
        <v>1803</v>
      </c>
      <c r="AI353" s="683" t="s">
        <v>2553</v>
      </c>
      <c r="AJ353" s="683"/>
      <c r="AK353" s="683" t="s">
        <v>33</v>
      </c>
      <c r="AL353" s="683"/>
      <c r="AM353" s="683" t="s">
        <v>3150</v>
      </c>
      <c r="AN353" s="683"/>
      <c r="AO353" s="683"/>
      <c r="AP353" s="683" t="s">
        <v>240</v>
      </c>
      <c r="AQ353" s="688" t="str">
        <f>CONCATENATE("REG-",BDEGENER[[#This Row],[FECHA DE SERVICIO]],"-",BDEGENER[[#This Row],[SERIE]],"-",BDEGENER[[#This Row],[HORAS]])</f>
        <v>REG-44021-3003415544-4794,3</v>
      </c>
      <c r="AR353" s="683" t="str">
        <f>CONCATENATE("MARCA: ",BDEGENER[[#This Row],[MARCA]],"
 MODELO: ",BDEGENER[[#This Row],[MODELO]])</f>
        <v>MARCA: GENERAC
 MODELO: RG022</v>
      </c>
      <c r="AS353" s="683" t="str">
        <f>CONCATENATE("MARCA: ",BDEGENER[[#This Row],[MARCA DE MOTOR]],"
SERIE: ",BDEGENER[[#This Row],[SERIE DE MOTOR]])</f>
        <v xml:space="preserve">MARCA: MITSUBISHI
SERIE: </v>
      </c>
      <c r="AT353" s="683" t="str">
        <f>CONCATENATE("MARCA: ",BDEGENER[[#This Row],[MARCA ALTERNADOR ]],"
SERIE: ",BDEGENER[[#This Row],[SERIE DE ALTERNADOR]])</f>
        <v xml:space="preserve">MARCA: GENERAC
SERIE: </v>
      </c>
      <c r="AU353" s="683" t="str">
        <f>CONCATENATE("HORAS: ",BDEGENER[[#This Row],[HORAS]],"
KW-HR: ",BDEGENER[[#This Row],[KW-HORA]],"
VOLT.BATERIA: ",BDEGENER[[#This Row],[VOLTAJE DE BATERIA]],"
TEMPERATURA: ",BDEGENER[[#This Row],[TEMPERATURA DE AGUA]],"
PRES. ACEITE: ",BDEGENER[[#This Row],[PRESION DE ACEITE]])</f>
        <v xml:space="preserve">HORAS: 4794,3
KW-HR: 
VOLT.BATERIA: 13,6 V
TEMPERATURA: 
PRES. ACEITE: </v>
      </c>
      <c r="AV353" s="683">
        <f>COUNTIFS(Q353:Q2353,"MANTENIMIENTO CORRECTIVO",Y353:Y2353,BDEGENER[[#This Row],[SERIE]])</f>
        <v>0</v>
      </c>
      <c r="AW353" s="683">
        <f>COUNTIFS(Q353:Q2353,"MANTENIMIENTO PREVENTIVO",Y353:Y2353,BDEGENER[[#This Row],[SERIE]])</f>
        <v>6</v>
      </c>
      <c r="AX35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53" s="683">
        <f>COUNTIFS(BDEGENER[SERIE],BDEGENER[[#This Row],[SERIE]],BDEGENER[TIPO DE SERVICIO],"MANTENIMIENTO PREVENTIVO")</f>
        <v>9</v>
      </c>
      <c r="AZ353" s="683" t="str">
        <f>CONCATENATE("MANTENIMIENTO PREVENTIVO N°",BDEGENER[[#This Row],[GA1]])</f>
        <v>MANTENIMIENTO PREVENTIVO N°9</v>
      </c>
      <c r="BA353" s="683" t="str">
        <f>IF(BDEGENER[[#This Row],[SERVICIO]]=BDEGENER[[#This Row],[GA2]],BDEGENER[[#This Row],[HORAS]],"0")</f>
        <v>0</v>
      </c>
      <c r="BB353" s="683">
        <f>SUMIF(BDEGENER[SERIE],BDEGENER[[#This Row],[SERIE]],BDEGENER[GA3])</f>
        <v>5449.4</v>
      </c>
      <c r="BC353" s="683" t="str">
        <f>CONCATENATE("MANT",COUNTIF($Y$7:Y353,Y353))</f>
        <v>MANT7</v>
      </c>
      <c r="BD353" s="683" t="str">
        <f>CONCATENATE(BDEGENER[[#This Row],[SERIE]],BDEGENER[[#This Row],[GA5]])</f>
        <v>3003415544MANT7</v>
      </c>
      <c r="BE353" s="683" t="str">
        <f>CONCATENATE(BDEGENER[[#This Row],[CODIGO PATRIMONIAL]],BDEGENER[[#This Row],[GA5]])</f>
        <v>SUR-GEG-0005MANT7</v>
      </c>
      <c r="BF353" s="683">
        <f>COUNTIF(BDEGENER[SERIE],BDEGENER[[#This Row],[SERIE]])</f>
        <v>13</v>
      </c>
      <c r="BG353" s="683" t="str">
        <f>CONCATENATE("F",COUNTIF($K$7:K353,K353))</f>
        <v>F2</v>
      </c>
      <c r="BH353" s="683" t="str">
        <f>CONCATENATE(BDEGENER[[#This Row],[FECHA DE SERVICIO]],BDEGENER[[#This Row],[N° DE REGISTROS DEL DIA]])</f>
        <v>44021F2</v>
      </c>
      <c r="BI353" s="684"/>
      <c r="BJ353" s="683" t="s">
        <v>1544</v>
      </c>
      <c r="BK353" s="736"/>
    </row>
    <row r="354" spans="2:63" ht="69" hidden="1" x14ac:dyDescent="0.3">
      <c r="B354" s="2"/>
      <c r="C354" s="2"/>
      <c r="D354" s="2"/>
      <c r="E354" s="2"/>
      <c r="F354" s="2"/>
      <c r="G354" s="2"/>
      <c r="H354" s="2"/>
      <c r="I354" s="2"/>
      <c r="J354" s="685"/>
      <c r="K354" s="682">
        <v>44021</v>
      </c>
      <c r="L354" s="683" t="s">
        <v>561</v>
      </c>
      <c r="M354" s="683" t="s">
        <v>2480</v>
      </c>
      <c r="N354" s="683" t="s">
        <v>2481</v>
      </c>
      <c r="O354" s="683"/>
      <c r="P354" s="683"/>
      <c r="Q354" s="683" t="s">
        <v>108</v>
      </c>
      <c r="R354" s="683" t="s">
        <v>3145</v>
      </c>
      <c r="S354" s="686" t="s">
        <v>3146</v>
      </c>
      <c r="T354" s="683" t="s">
        <v>3147</v>
      </c>
      <c r="U354" s="683"/>
      <c r="V354" s="683" t="s">
        <v>147</v>
      </c>
      <c r="W354" s="683" t="s">
        <v>913</v>
      </c>
      <c r="X354" s="691" t="s">
        <v>918</v>
      </c>
      <c r="Y354" s="687">
        <v>3004370195</v>
      </c>
      <c r="Z354" s="692" t="s">
        <v>2597</v>
      </c>
      <c r="AA354" s="683" t="s">
        <v>33</v>
      </c>
      <c r="AB354" s="683" t="s">
        <v>217</v>
      </c>
      <c r="AC354" s="683" t="s">
        <v>749</v>
      </c>
      <c r="AD354" s="683"/>
      <c r="AE354" s="683"/>
      <c r="AF354" s="684">
        <v>2614</v>
      </c>
      <c r="AG354" s="683" t="s">
        <v>243</v>
      </c>
      <c r="AH354" s="683" t="s">
        <v>1803</v>
      </c>
      <c r="AI354" s="683" t="s">
        <v>2553</v>
      </c>
      <c r="AJ354" s="683"/>
      <c r="AK354" s="683" t="s">
        <v>33</v>
      </c>
      <c r="AL354" s="683"/>
      <c r="AM354" s="683"/>
      <c r="AN354" s="683"/>
      <c r="AO354" s="683"/>
      <c r="AP354" s="683" t="s">
        <v>240</v>
      </c>
      <c r="AQ354" s="688" t="str">
        <f>CONCATENATE("REG-",BDEGENER[[#This Row],[FECHA DE SERVICIO]],"-",BDEGENER[[#This Row],[SERIE]],"-",BDEGENER[[#This Row],[HORAS]])</f>
        <v>REG-44021-3004370195-2614</v>
      </c>
      <c r="AR354" s="683" t="str">
        <f>CONCATENATE("MARCA: ",BDEGENER[[#This Row],[MARCA]],"
 MODELO: ",BDEGENER[[#This Row],[MODELO]])</f>
        <v>MARCA: GENERAC
 MODELO: RG022</v>
      </c>
      <c r="AS354" s="683" t="str">
        <f>CONCATENATE("MARCA: ",BDEGENER[[#This Row],[MARCA DE MOTOR]],"
SERIE: ",BDEGENER[[#This Row],[SERIE DE MOTOR]])</f>
        <v xml:space="preserve">MARCA: MITSUBISHI
SERIE: </v>
      </c>
      <c r="AT354" s="683" t="str">
        <f>CONCATENATE("MARCA: ",BDEGENER[[#This Row],[MARCA ALTERNADOR ]],"
SERIE: ",BDEGENER[[#This Row],[SERIE DE ALTERNADOR]])</f>
        <v xml:space="preserve">MARCA: GENERAC
SERIE: </v>
      </c>
      <c r="AU354" s="683" t="str">
        <f>CONCATENATE("HORAS: ",BDEGENER[[#This Row],[HORAS]],"
KW-HR: ",BDEGENER[[#This Row],[KW-HORA]],"
VOLT.BATERIA: ",BDEGENER[[#This Row],[VOLTAJE DE BATERIA]],"
TEMPERATURA: ",BDEGENER[[#This Row],[TEMPERATURA DE AGUA]],"
PRES. ACEITE: ",BDEGENER[[#This Row],[PRESION DE ACEITE]])</f>
        <v xml:space="preserve">HORAS: 2614
KW-HR: 
VOLT.BATERIA: 
TEMPERATURA: 
PRES. ACEITE: </v>
      </c>
      <c r="AV354" s="683">
        <f>COUNTIFS(Q354:Q2354,"MANTENIMIENTO CORRECTIVO",Y354:Y2354,BDEGENER[[#This Row],[SERIE]])</f>
        <v>1</v>
      </c>
      <c r="AW354" s="683">
        <f>COUNTIFS(Q354:Q2354,"MANTENIMIENTO PREVENTIVO",Y354:Y2354,BDEGENER[[#This Row],[SERIE]])</f>
        <v>4</v>
      </c>
      <c r="AX35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54" s="683">
        <f>COUNTIFS(BDEGENER[SERIE],BDEGENER[[#This Row],[SERIE]],BDEGENER[TIPO DE SERVICIO],"MANTENIMIENTO PREVENTIVO")</f>
        <v>7</v>
      </c>
      <c r="AZ354" s="683" t="str">
        <f>CONCATENATE("MANTENIMIENTO PREVENTIVO N°",BDEGENER[[#This Row],[GA1]])</f>
        <v>MANTENIMIENTO PREVENTIVO N°7</v>
      </c>
      <c r="BA354" s="683" t="str">
        <f>IF(BDEGENER[[#This Row],[SERVICIO]]=BDEGENER[[#This Row],[GA2]],BDEGENER[[#This Row],[HORAS]],"0")</f>
        <v>0</v>
      </c>
      <c r="BB354" s="683">
        <f>SUMIF(BDEGENER[SERIE],BDEGENER[[#This Row],[SERIE]],BDEGENER[GA3])</f>
        <v>3519.7</v>
      </c>
      <c r="BC354" s="683" t="str">
        <f>CONCATENATE("MANT",COUNTIF($Y$7:Y354,Y354))</f>
        <v>MANT6</v>
      </c>
      <c r="BD354" s="683" t="str">
        <f>CONCATENATE(BDEGENER[[#This Row],[SERIE]],BDEGENER[[#This Row],[GA5]])</f>
        <v>3004370195MANT6</v>
      </c>
      <c r="BE354" s="683" t="str">
        <f>CONCATENATE(BDEGENER[[#This Row],[CODIGO PATRIMONIAL]],BDEGENER[[#This Row],[GA5]])</f>
        <v>SUR-GEG-0001MANT6</v>
      </c>
      <c r="BF354" s="683">
        <f>COUNTIF(BDEGENER[SERIE],BDEGENER[[#This Row],[SERIE]])</f>
        <v>12</v>
      </c>
      <c r="BG354" s="683" t="str">
        <f>CONCATENATE("F",COUNTIF($K$7:K354,K354))</f>
        <v>F3</v>
      </c>
      <c r="BH354" s="683" t="str">
        <f>CONCATENATE(BDEGENER[[#This Row],[FECHA DE SERVICIO]],BDEGENER[[#This Row],[N° DE REGISTROS DEL DIA]])</f>
        <v>44021F3</v>
      </c>
      <c r="BI354" s="684"/>
      <c r="BJ354" s="683" t="s">
        <v>1544</v>
      </c>
      <c r="BK354" s="736"/>
    </row>
    <row r="355" spans="2:63" ht="69" hidden="1" x14ac:dyDescent="0.3">
      <c r="B355" s="2"/>
      <c r="C355" s="2"/>
      <c r="D355" s="2"/>
      <c r="E355" s="2"/>
      <c r="F355" s="2"/>
      <c r="G355" s="2"/>
      <c r="H355" s="2"/>
      <c r="I355" s="2"/>
      <c r="J355" s="685"/>
      <c r="K355" s="682">
        <v>44021</v>
      </c>
      <c r="L355" s="683" t="s">
        <v>561</v>
      </c>
      <c r="M355" s="683" t="s">
        <v>2890</v>
      </c>
      <c r="N355" s="683" t="s">
        <v>3093</v>
      </c>
      <c r="O355" s="683"/>
      <c r="P355" s="688" t="s">
        <v>3094</v>
      </c>
      <c r="Q355" s="683" t="s">
        <v>37</v>
      </c>
      <c r="R355" s="683" t="s">
        <v>1782</v>
      </c>
      <c r="S355" s="686" t="s">
        <v>3095</v>
      </c>
      <c r="T355" s="683" t="s">
        <v>3096</v>
      </c>
      <c r="U355" s="683" t="s">
        <v>2823</v>
      </c>
      <c r="V355" s="683" t="s">
        <v>147</v>
      </c>
      <c r="W355" s="683" t="s">
        <v>913</v>
      </c>
      <c r="X355" s="691" t="s">
        <v>918</v>
      </c>
      <c r="Y355" s="687">
        <v>3003415532</v>
      </c>
      <c r="Z355" s="692" t="s">
        <v>2606</v>
      </c>
      <c r="AA355" s="683" t="s">
        <v>33</v>
      </c>
      <c r="AB355" s="683" t="s">
        <v>217</v>
      </c>
      <c r="AC355" s="683" t="s">
        <v>749</v>
      </c>
      <c r="AD355" s="683" t="s">
        <v>1123</v>
      </c>
      <c r="AE355" s="683">
        <v>60</v>
      </c>
      <c r="AF355" s="684">
        <v>4097.7</v>
      </c>
      <c r="AG355" s="683" t="s">
        <v>243</v>
      </c>
      <c r="AH355" s="683" t="s">
        <v>1803</v>
      </c>
      <c r="AI355" s="683" t="s">
        <v>2553</v>
      </c>
      <c r="AJ355" s="683"/>
      <c r="AK355" s="683" t="s">
        <v>33</v>
      </c>
      <c r="AL355" s="683">
        <v>20180627</v>
      </c>
      <c r="AM355" s="683" t="s">
        <v>245</v>
      </c>
      <c r="AN355" s="683"/>
      <c r="AO355" s="683"/>
      <c r="AP355" s="683" t="s">
        <v>240</v>
      </c>
      <c r="AQ355" s="688" t="str">
        <f>CONCATENATE("REG-",BDEGENER[[#This Row],[FECHA DE SERVICIO]],"-",BDEGENER[[#This Row],[SERIE]],"-",BDEGENER[[#This Row],[HORAS]])</f>
        <v>REG-44021-3003415532-4097,7</v>
      </c>
      <c r="AR355" s="683" t="str">
        <f>CONCATENATE("MARCA: ",BDEGENER[[#This Row],[MARCA]],"
 MODELO: ",BDEGENER[[#This Row],[MODELO]])</f>
        <v>MARCA: GENERAC
 MODELO: RG022</v>
      </c>
      <c r="AS355" s="683" t="str">
        <f>CONCATENATE("MARCA: ",BDEGENER[[#This Row],[MARCA DE MOTOR]],"
SERIE: ",BDEGENER[[#This Row],[SERIE DE MOTOR]])</f>
        <v xml:space="preserve">MARCA: MITSUBISHI
SERIE: </v>
      </c>
      <c r="AT355" s="683" t="str">
        <f>CONCATENATE("MARCA: ",BDEGENER[[#This Row],[MARCA ALTERNADOR ]],"
SERIE: ",BDEGENER[[#This Row],[SERIE DE ALTERNADOR]])</f>
        <v>MARCA: GENERAC
SERIE: 20180627</v>
      </c>
      <c r="AU355" s="683" t="str">
        <f>CONCATENATE("HORAS: ",BDEGENER[[#This Row],[HORAS]],"
KW-HR: ",BDEGENER[[#This Row],[KW-HORA]],"
VOLT.BATERIA: ",BDEGENER[[#This Row],[VOLTAJE DE BATERIA]],"
TEMPERATURA: ",BDEGENER[[#This Row],[TEMPERATURA DE AGUA]],"
PRES. ACEITE: ",BDEGENER[[#This Row],[PRESION DE ACEITE]])</f>
        <v xml:space="preserve">HORAS: 4097,7
KW-HR: 
VOLT.BATERIA: 13.6 V
TEMPERATURA: 
PRES. ACEITE: </v>
      </c>
      <c r="AV355" s="761">
        <f>COUNTIFS(Q355:Q2355,"MANTENIMIENTO CORRECTIVO",Y355:Y2355,BDEGENER[[#This Row],[SERIE]])</f>
        <v>0</v>
      </c>
      <c r="AW355" s="761">
        <f>COUNTIFS(Q355:Q2355,"MANTENIMIENTO PREVENTIVO",Y355:Y2355,BDEGENER[[#This Row],[SERIE]])</f>
        <v>7</v>
      </c>
      <c r="AX35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N°7</v>
      </c>
      <c r="AY355" s="683">
        <f>COUNTIFS(BDEGENER[SERIE],BDEGENER[[#This Row],[SERIE]],BDEGENER[TIPO DE SERVICIO],"MANTENIMIENTO PREVENTIVO")</f>
        <v>14</v>
      </c>
      <c r="AZ355" s="683" t="str">
        <f>CONCATENATE("MANTENIMIENTO PREVENTIVO N°",BDEGENER[[#This Row],[GA1]])</f>
        <v>MANTENIMIENTO PREVENTIVO N°14</v>
      </c>
      <c r="BA355" s="683" t="str">
        <f>IF(BDEGENER[[#This Row],[SERVICIO]]=BDEGENER[[#This Row],[GA2]],BDEGENER[[#This Row],[HORAS]],"0")</f>
        <v>0</v>
      </c>
      <c r="BB355" s="683">
        <f>SUMIF(BDEGENER[SERIE],BDEGENER[[#This Row],[SERIE]],BDEGENER[GA3])</f>
        <v>5730.6</v>
      </c>
      <c r="BC355" s="761" t="str">
        <f>CONCATENATE("MANT",COUNTIF($Y$7:Y355,Y355))</f>
        <v>MANT8</v>
      </c>
      <c r="BD355" s="683" t="str">
        <f>CONCATENATE(BDEGENER[[#This Row],[SERIE]],BDEGENER[[#This Row],[GA5]])</f>
        <v>3003415532MANT8</v>
      </c>
      <c r="BE355" s="683" t="str">
        <f>CONCATENATE(BDEGENER[[#This Row],[CODIGO PATRIMONIAL]],BDEGENER[[#This Row],[GA5]])</f>
        <v>SUR-GEG-0010MANT8</v>
      </c>
      <c r="BF355" s="683">
        <f>COUNTIF(BDEGENER[SERIE],BDEGENER[[#This Row],[SERIE]])</f>
        <v>14</v>
      </c>
      <c r="BG355" s="761" t="str">
        <f>CONCATENATE("F",COUNTIF($K$7:K355,K355))</f>
        <v>F4</v>
      </c>
      <c r="BH355" s="683" t="str">
        <f>CONCATENATE(BDEGENER[[#This Row],[FECHA DE SERVICIO]],BDEGENER[[#This Row],[N° DE REGISTROS DEL DIA]])</f>
        <v>44021F4</v>
      </c>
      <c r="BI355" s="684"/>
      <c r="BJ355" s="683" t="s">
        <v>1544</v>
      </c>
      <c r="BK355" s="736"/>
    </row>
    <row r="356" spans="2:63" ht="69" hidden="1" x14ac:dyDescent="0.3">
      <c r="B356" s="2"/>
      <c r="C356" s="2"/>
      <c r="D356" s="2"/>
      <c r="E356" s="2"/>
      <c r="F356" s="2"/>
      <c r="G356" s="2"/>
      <c r="H356" s="2"/>
      <c r="I356" s="2"/>
      <c r="J356" s="685"/>
      <c r="K356" s="682">
        <v>44020</v>
      </c>
      <c r="L356" s="683" t="s">
        <v>561</v>
      </c>
      <c r="M356" s="683" t="s">
        <v>562</v>
      </c>
      <c r="N356" s="683" t="s">
        <v>566</v>
      </c>
      <c r="O356" s="683"/>
      <c r="P356" s="688" t="s">
        <v>3089</v>
      </c>
      <c r="Q356" s="683" t="s">
        <v>37</v>
      </c>
      <c r="R356" s="683" t="s">
        <v>1782</v>
      </c>
      <c r="S356" s="686" t="s">
        <v>3091</v>
      </c>
      <c r="T356" s="683" t="s">
        <v>3090</v>
      </c>
      <c r="U356" s="683" t="s">
        <v>2823</v>
      </c>
      <c r="V356" s="683" t="s">
        <v>147</v>
      </c>
      <c r="W356" s="683" t="s">
        <v>913</v>
      </c>
      <c r="X356" s="691" t="s">
        <v>918</v>
      </c>
      <c r="Y356" s="687">
        <v>3004555914</v>
      </c>
      <c r="Z356" s="692" t="s">
        <v>2611</v>
      </c>
      <c r="AA356" s="683" t="s">
        <v>33</v>
      </c>
      <c r="AB356" s="683" t="s">
        <v>217</v>
      </c>
      <c r="AC356" s="683" t="s">
        <v>749</v>
      </c>
      <c r="AD356" s="683" t="s">
        <v>1123</v>
      </c>
      <c r="AE356" s="683">
        <v>60.1</v>
      </c>
      <c r="AF356" s="684">
        <v>2405.6</v>
      </c>
      <c r="AG356" s="683" t="s">
        <v>243</v>
      </c>
      <c r="AH356" s="683" t="s">
        <v>1803</v>
      </c>
      <c r="AI356" s="683" t="s">
        <v>2553</v>
      </c>
      <c r="AJ356" s="683" t="s">
        <v>3092</v>
      </c>
      <c r="AK356" s="683" t="s">
        <v>33</v>
      </c>
      <c r="AL356" s="683">
        <v>20190506</v>
      </c>
      <c r="AM356" s="683" t="s">
        <v>1094</v>
      </c>
      <c r="AN356" s="683"/>
      <c r="AO356" s="683"/>
      <c r="AP356" s="683" t="s">
        <v>240</v>
      </c>
      <c r="AQ356" s="688" t="str">
        <f>CONCATENATE("REG-",BDEGENER[[#This Row],[FECHA DE SERVICIO]],"-",BDEGENER[[#This Row],[SERIE]],"-",BDEGENER[[#This Row],[HORAS]])</f>
        <v>REG-44020-3004555914-2405,6</v>
      </c>
      <c r="AR356" s="683" t="str">
        <f>CONCATENATE("MARCA: ",BDEGENER[[#This Row],[MARCA]],"
 MODELO: ",BDEGENER[[#This Row],[MODELO]])</f>
        <v>MARCA: GENERAC
 MODELO: RG022</v>
      </c>
      <c r="AS356" s="683" t="str">
        <f>CONCATENATE("MARCA: ",BDEGENER[[#This Row],[MARCA DE MOTOR]],"
SERIE: ",BDEGENER[[#This Row],[SERIE DE MOTOR]])</f>
        <v>MARCA: MITSUBISHI
SERIE: 4G6454M/SXP7947</v>
      </c>
      <c r="AT356" s="683" t="str">
        <f>CONCATENATE("MARCA: ",BDEGENER[[#This Row],[MARCA ALTERNADOR ]],"
SERIE: ",BDEGENER[[#This Row],[SERIE DE ALTERNADOR]])</f>
        <v>MARCA: GENERAC
SERIE: 20190506</v>
      </c>
      <c r="AU356" s="683" t="str">
        <f>CONCATENATE("HORAS: ",BDEGENER[[#This Row],[HORAS]],"
KW-HR: ",BDEGENER[[#This Row],[KW-HORA]],"
VOLT.BATERIA: ",BDEGENER[[#This Row],[VOLTAJE DE BATERIA]],"
TEMPERATURA: ",BDEGENER[[#This Row],[TEMPERATURA DE AGUA]],"
PRES. ACEITE: ",BDEGENER[[#This Row],[PRESION DE ACEITE]])</f>
        <v xml:space="preserve">HORAS: 2405,6
KW-HR: 
VOLT.BATERIA: 13.5 V
TEMPERATURA: 
PRES. ACEITE: </v>
      </c>
      <c r="AV356" s="683">
        <f>COUNTIFS(Q356:Q2356,"MANTENIMIENTO CORRECTIVO",Y356:Y2356,BDEGENER[[#This Row],[SERIE]])</f>
        <v>1</v>
      </c>
      <c r="AW356" s="683">
        <f>COUNTIFS(Q356:Q2356,"MANTENIMIENTO PREVENTIVO",Y356:Y2356,BDEGENER[[#This Row],[SERIE]])</f>
        <v>3</v>
      </c>
      <c r="AX35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356" s="683">
        <f>COUNTIFS(BDEGENER[SERIE],BDEGENER[[#This Row],[SERIE]],BDEGENER[TIPO DE SERVICIO],"MANTENIMIENTO PREVENTIVO")</f>
        <v>5</v>
      </c>
      <c r="AZ356" s="683" t="str">
        <f>CONCATENATE("MANTENIMIENTO PREVENTIVO N°",BDEGENER[[#This Row],[GA1]])</f>
        <v>MANTENIMIENTO PREVENTIVO N°5</v>
      </c>
      <c r="BA356" s="683" t="str">
        <f>IF(BDEGENER[[#This Row],[SERVICIO]]=BDEGENER[[#This Row],[GA2]],BDEGENER[[#This Row],[HORAS]],"0")</f>
        <v>0</v>
      </c>
      <c r="BB356" s="683">
        <f>SUMIF(BDEGENER[SERIE],BDEGENER[[#This Row],[SERIE]],BDEGENER[GA3])</f>
        <v>2894.4</v>
      </c>
      <c r="BC356" s="683" t="str">
        <f>CONCATENATE("MANT",COUNTIF($Y$7:Y356,Y356))</f>
        <v>MANT4</v>
      </c>
      <c r="BD356" s="683" t="str">
        <f>CONCATENATE(BDEGENER[[#This Row],[SERIE]],BDEGENER[[#This Row],[GA5]])</f>
        <v>3004555914MANT4</v>
      </c>
      <c r="BE356" s="683" t="str">
        <f>CONCATENATE(BDEGENER[[#This Row],[CODIGO PATRIMONIAL]],BDEGENER[[#This Row],[GA5]])</f>
        <v>SUR-GEG-0023MANT4</v>
      </c>
      <c r="BF356" s="683">
        <f>COUNTIF(BDEGENER[SERIE],BDEGENER[[#This Row],[SERIE]])</f>
        <v>11</v>
      </c>
      <c r="BG356" s="683" t="str">
        <f>CONCATENATE("F",COUNTIF($K$7:K356,K356))</f>
        <v>F1</v>
      </c>
      <c r="BH356" s="683" t="str">
        <f>CONCATENATE(BDEGENER[[#This Row],[FECHA DE SERVICIO]],BDEGENER[[#This Row],[N° DE REGISTROS DEL DIA]])</f>
        <v>44020F1</v>
      </c>
      <c r="BI356" s="684"/>
      <c r="BJ356" s="683" t="s">
        <v>1544</v>
      </c>
      <c r="BK356" s="736"/>
    </row>
    <row r="357" spans="2:63" ht="69" hidden="1" x14ac:dyDescent="0.3">
      <c r="B357" s="2"/>
      <c r="C357" s="2"/>
      <c r="D357" s="2"/>
      <c r="E357" s="2"/>
      <c r="F357" s="2"/>
      <c r="G357" s="2"/>
      <c r="H357" s="2"/>
      <c r="I357" s="2"/>
      <c r="J357" s="685"/>
      <c r="K357" s="682">
        <v>44020</v>
      </c>
      <c r="L357" s="683" t="s">
        <v>561</v>
      </c>
      <c r="M357" s="683" t="s">
        <v>2445</v>
      </c>
      <c r="N357" s="683" t="s">
        <v>2549</v>
      </c>
      <c r="O357" s="683"/>
      <c r="P357" s="688" t="s">
        <v>3054</v>
      </c>
      <c r="Q357" s="683" t="s">
        <v>37</v>
      </c>
      <c r="R357" s="683" t="s">
        <v>1782</v>
      </c>
      <c r="S357" s="686" t="s">
        <v>2947</v>
      </c>
      <c r="T357" s="683" t="s">
        <v>3055</v>
      </c>
      <c r="U357" s="683" t="s">
        <v>2951</v>
      </c>
      <c r="V357" s="683" t="s">
        <v>147</v>
      </c>
      <c r="W357" s="683" t="s">
        <v>913</v>
      </c>
      <c r="X357" s="691" t="s">
        <v>918</v>
      </c>
      <c r="Y357" s="687">
        <v>3004597773</v>
      </c>
      <c r="Z357" s="692" t="s">
        <v>2609</v>
      </c>
      <c r="AA357" s="683" t="s">
        <v>33</v>
      </c>
      <c r="AB357" s="683" t="s">
        <v>217</v>
      </c>
      <c r="AC357" s="683" t="s">
        <v>750</v>
      </c>
      <c r="AD357" s="683" t="s">
        <v>1123</v>
      </c>
      <c r="AE357" s="683">
        <v>60</v>
      </c>
      <c r="AF357" s="684">
        <v>2101.5</v>
      </c>
      <c r="AG357" s="683" t="s">
        <v>243</v>
      </c>
      <c r="AH357" s="683" t="s">
        <v>1803</v>
      </c>
      <c r="AI357" s="683" t="s">
        <v>2553</v>
      </c>
      <c r="AJ357" s="683" t="s">
        <v>3056</v>
      </c>
      <c r="AK357" s="683" t="s">
        <v>33</v>
      </c>
      <c r="AL357" s="683"/>
      <c r="AM357" s="683" t="s">
        <v>245</v>
      </c>
      <c r="AN357" s="683"/>
      <c r="AO357" s="683"/>
      <c r="AP357" s="683" t="s">
        <v>240</v>
      </c>
      <c r="AQ357" s="688" t="str">
        <f>CONCATENATE("REG-",BDEGENER[[#This Row],[FECHA DE SERVICIO]],"-",BDEGENER[[#This Row],[SERIE]],"-",BDEGENER[[#This Row],[HORAS]])</f>
        <v>REG-44020-3004597773-2101,5</v>
      </c>
      <c r="AR357" s="683" t="str">
        <f>CONCATENATE("MARCA: ",BDEGENER[[#This Row],[MARCA]],"
 MODELO: ",BDEGENER[[#This Row],[MODELO]])</f>
        <v>MARCA: GENERAC
 MODELO: RG022</v>
      </c>
      <c r="AS357" s="683" t="str">
        <f>CONCATENATE("MARCA: ",BDEGENER[[#This Row],[MARCA DE MOTOR]],"
SERIE: ",BDEGENER[[#This Row],[SERIE DE MOTOR]])</f>
        <v>MARCA: MITSUBISHI
SERIE: 466454M/SXQ4472</v>
      </c>
      <c r="AT357" s="683" t="str">
        <f>CONCATENATE("MARCA: ",BDEGENER[[#This Row],[MARCA ALTERNADOR ]],"
SERIE: ",BDEGENER[[#This Row],[SERIE DE ALTERNADOR]])</f>
        <v xml:space="preserve">MARCA: GENERAC
SERIE: </v>
      </c>
      <c r="AU357" s="683" t="str">
        <f>CONCATENATE("HORAS: ",BDEGENER[[#This Row],[HORAS]],"
KW-HR: ",BDEGENER[[#This Row],[KW-HORA]],"
VOLT.BATERIA: ",BDEGENER[[#This Row],[VOLTAJE DE BATERIA]],"
TEMPERATURA: ",BDEGENER[[#This Row],[TEMPERATURA DE AGUA]],"
PRES. ACEITE: ",BDEGENER[[#This Row],[PRESION DE ACEITE]])</f>
        <v xml:space="preserve">HORAS: 2101,5
KW-HR: 
VOLT.BATERIA: 13.6 V
TEMPERATURA: 
PRES. ACEITE: </v>
      </c>
      <c r="AV357" s="683">
        <f>COUNTIFS(Q357:Q2357,"MANTENIMIENTO CORRECTIVO",Y357:Y2357,BDEGENER[[#This Row],[SERIE]])</f>
        <v>0</v>
      </c>
      <c r="AW357" s="683">
        <f>COUNTIFS(Q357:Q2357,"MANTENIMIENTO PREVENTIVO",Y357:Y2357,BDEGENER[[#This Row],[SERIE]])</f>
        <v>6</v>
      </c>
      <c r="AX35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57" s="683">
        <f>COUNTIFS(BDEGENER[SERIE],BDEGENER[[#This Row],[SERIE]],BDEGENER[TIPO DE SERVICIO],"MANTENIMIENTO PREVENTIVO")</f>
        <v>9</v>
      </c>
      <c r="AZ357" s="683" t="str">
        <f>CONCATENATE("MANTENIMIENTO PREVENTIVO N°",BDEGENER[[#This Row],[GA1]])</f>
        <v>MANTENIMIENTO PREVENTIVO N°9</v>
      </c>
      <c r="BA357" s="683" t="str">
        <f>IF(BDEGENER[[#This Row],[SERVICIO]]=BDEGENER[[#This Row],[GA2]],BDEGENER[[#This Row],[HORAS]],"0")</f>
        <v>0</v>
      </c>
      <c r="BB357" s="683">
        <f>SUMIF(BDEGENER[SERIE],BDEGENER[[#This Row],[SERIE]],BDEGENER[GA3])</f>
        <v>3087.7</v>
      </c>
      <c r="BC357" s="683" t="str">
        <f>CONCATENATE("MANT",COUNTIF($Y$7:Y357,Y357))</f>
        <v>MANT4</v>
      </c>
      <c r="BD357" s="683" t="str">
        <f>CONCATENATE(BDEGENER[[#This Row],[SERIE]],BDEGENER[[#This Row],[GA5]])</f>
        <v>3004597773MANT4</v>
      </c>
      <c r="BE357" s="683" t="str">
        <f>CONCATENATE(BDEGENER[[#This Row],[CODIGO PATRIMONIAL]],BDEGENER[[#This Row],[GA5]])</f>
        <v>SUR-GEG-0013MANT4</v>
      </c>
      <c r="BF357" s="683">
        <f>COUNTIF(BDEGENER[SERIE],BDEGENER[[#This Row],[SERIE]])</f>
        <v>11</v>
      </c>
      <c r="BG357" s="683" t="str">
        <f>CONCATENATE("F",COUNTIF($K$7:K357,K357))</f>
        <v>F2</v>
      </c>
      <c r="BH357" s="683" t="str">
        <f>CONCATENATE(BDEGENER[[#This Row],[FECHA DE SERVICIO]],BDEGENER[[#This Row],[N° DE REGISTROS DEL DIA]])</f>
        <v>44020F2</v>
      </c>
      <c r="BI357" s="684"/>
      <c r="BJ357" s="683" t="s">
        <v>1544</v>
      </c>
      <c r="BK357" s="736"/>
    </row>
    <row r="358" spans="2:63" ht="69" hidden="1" x14ac:dyDescent="0.3">
      <c r="B358" s="2"/>
      <c r="C358" s="2"/>
      <c r="D358" s="2"/>
      <c r="E358" s="2"/>
      <c r="F358" s="2"/>
      <c r="G358" s="2"/>
      <c r="H358" s="2"/>
      <c r="I358" s="2"/>
      <c r="J358" s="685"/>
      <c r="K358" s="682">
        <v>44020</v>
      </c>
      <c r="L358" s="683" t="s">
        <v>561</v>
      </c>
      <c r="M358" s="683" t="s">
        <v>573</v>
      </c>
      <c r="N358" s="683" t="s">
        <v>574</v>
      </c>
      <c r="O358" s="683"/>
      <c r="P358" s="688" t="s">
        <v>3039</v>
      </c>
      <c r="Q358" s="683" t="s">
        <v>37</v>
      </c>
      <c r="R358" s="683" t="s">
        <v>1782</v>
      </c>
      <c r="S358" s="686" t="s">
        <v>3042</v>
      </c>
      <c r="T358" s="683" t="s">
        <v>3041</v>
      </c>
      <c r="U358" s="683" t="s">
        <v>3040</v>
      </c>
      <c r="V358" s="683" t="s">
        <v>147</v>
      </c>
      <c r="W358" s="683" t="s">
        <v>913</v>
      </c>
      <c r="X358" s="691" t="s">
        <v>918</v>
      </c>
      <c r="Y358" s="687">
        <v>3004555915</v>
      </c>
      <c r="Z358" s="692" t="s">
        <v>2610</v>
      </c>
      <c r="AA358" s="683" t="s">
        <v>33</v>
      </c>
      <c r="AB358" s="683" t="s">
        <v>217</v>
      </c>
      <c r="AC358" s="683" t="s">
        <v>749</v>
      </c>
      <c r="AD358" s="683" t="s">
        <v>2508</v>
      </c>
      <c r="AE358" s="683">
        <v>60</v>
      </c>
      <c r="AF358" s="684">
        <v>2743.6</v>
      </c>
      <c r="AG358" s="683" t="s">
        <v>243</v>
      </c>
      <c r="AH358" s="683" t="s">
        <v>1803</v>
      </c>
      <c r="AI358" s="683" t="s">
        <v>2553</v>
      </c>
      <c r="AJ358" s="683"/>
      <c r="AK358" s="683" t="s">
        <v>33</v>
      </c>
      <c r="AL358" s="683">
        <v>20190506</v>
      </c>
      <c r="AM358" s="683" t="s">
        <v>1193</v>
      </c>
      <c r="AN358" s="683"/>
      <c r="AO358" s="683"/>
      <c r="AP358" s="683" t="s">
        <v>240</v>
      </c>
      <c r="AQ358" s="688" t="str">
        <f>CONCATENATE("REG-",BDEGENER[[#This Row],[FECHA DE SERVICIO]],"-",BDEGENER[[#This Row],[SERIE]],"-",BDEGENER[[#This Row],[HORAS]])</f>
        <v>REG-44020-3004555915-2743,6</v>
      </c>
      <c r="AR358" s="683" t="str">
        <f>CONCATENATE("MARCA: ",BDEGENER[[#This Row],[MARCA]],"
 MODELO: ",BDEGENER[[#This Row],[MODELO]])</f>
        <v>MARCA: GENERAC
 MODELO: RG022</v>
      </c>
      <c r="AS358" s="683" t="str">
        <f>CONCATENATE("MARCA: ",BDEGENER[[#This Row],[MARCA DE MOTOR]],"
SERIE: ",BDEGENER[[#This Row],[SERIE DE MOTOR]])</f>
        <v xml:space="preserve">MARCA: MITSUBISHI
SERIE: </v>
      </c>
      <c r="AT358" s="683" t="str">
        <f>CONCATENATE("MARCA: ",BDEGENER[[#This Row],[MARCA ALTERNADOR ]],"
SERIE: ",BDEGENER[[#This Row],[SERIE DE ALTERNADOR]])</f>
        <v>MARCA: GENERAC
SERIE: 20190506</v>
      </c>
      <c r="AU358" s="683" t="str">
        <f>CONCATENATE("HORAS: ",BDEGENER[[#This Row],[HORAS]],"
KW-HR: ",BDEGENER[[#This Row],[KW-HORA]],"
VOLT.BATERIA: ",BDEGENER[[#This Row],[VOLTAJE DE BATERIA]],"
TEMPERATURA: ",BDEGENER[[#This Row],[TEMPERATURA DE AGUA]],"
PRES. ACEITE: ",BDEGENER[[#This Row],[PRESION DE ACEITE]])</f>
        <v xml:space="preserve">HORAS: 2743,6
KW-HR: 
VOLT.BATERIA: 13.1 V
TEMPERATURA: 
PRES. ACEITE: </v>
      </c>
      <c r="AV358" s="761">
        <f>COUNTIFS(Q358:Q2358,"MANTENIMIENTO CORRECTIVO",Y358:Y2358,BDEGENER[[#This Row],[SERIE]])</f>
        <v>0</v>
      </c>
      <c r="AW358" s="761">
        <f>COUNTIFS(Q358:Q2358,"MANTENIMIENTO PREVENTIVO",Y358:Y2358,BDEGENER[[#This Row],[SERIE]])</f>
        <v>4</v>
      </c>
      <c r="AX35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358" s="683">
        <f>COUNTIFS(BDEGENER[SERIE],BDEGENER[[#This Row],[SERIE]],BDEGENER[TIPO DE SERVICIO],"MANTENIMIENTO PREVENTIVO")</f>
        <v>7</v>
      </c>
      <c r="AZ358" s="683" t="str">
        <f>CONCATENATE("MANTENIMIENTO PREVENTIVO N°",BDEGENER[[#This Row],[GA1]])</f>
        <v>MANTENIMIENTO PREVENTIVO N°7</v>
      </c>
      <c r="BA358" s="683" t="str">
        <f>IF(BDEGENER[[#This Row],[SERVICIO]]=BDEGENER[[#This Row],[GA2]],BDEGENER[[#This Row],[HORAS]],"0")</f>
        <v>0</v>
      </c>
      <c r="BB358" s="683">
        <f>SUMIF(BDEGENER[SERIE],BDEGENER[[#This Row],[SERIE]],BDEGENER[GA3])</f>
        <v>3379.4</v>
      </c>
      <c r="BC358" s="761" t="str">
        <f>CONCATENATE("MANT",COUNTIF($Y$7:Y358,Y358))</f>
        <v>MANT5</v>
      </c>
      <c r="BD358" s="683" t="str">
        <f>CONCATENATE(BDEGENER[[#This Row],[SERIE]],BDEGENER[[#This Row],[GA5]])</f>
        <v>3004555915MANT5</v>
      </c>
      <c r="BE358" s="683" t="str">
        <f>CONCATENATE(BDEGENER[[#This Row],[CODIGO PATRIMONIAL]],BDEGENER[[#This Row],[GA5]])</f>
        <v>SUR-GEG-0022MANT5</v>
      </c>
      <c r="BF358" s="683">
        <f>COUNTIF(BDEGENER[SERIE],BDEGENER[[#This Row],[SERIE]])</f>
        <v>9</v>
      </c>
      <c r="BG358" s="761" t="str">
        <f>CONCATENATE("F",COUNTIF($K$7:K358,K358))</f>
        <v>F3</v>
      </c>
      <c r="BH358" s="683" t="str">
        <f>CONCATENATE(BDEGENER[[#This Row],[FECHA DE SERVICIO]],BDEGENER[[#This Row],[N° DE REGISTROS DEL DIA]])</f>
        <v>44020F3</v>
      </c>
      <c r="BI358" s="684"/>
      <c r="BJ358" s="683" t="s">
        <v>1544</v>
      </c>
      <c r="BK358" s="736"/>
    </row>
    <row r="359" spans="2:63" ht="69" hidden="1" x14ac:dyDescent="0.3">
      <c r="B359" s="2"/>
      <c r="C359" s="2"/>
      <c r="D359" s="2"/>
      <c r="E359" s="2"/>
      <c r="F359" s="2"/>
      <c r="G359" s="2"/>
      <c r="H359" s="2"/>
      <c r="I359" s="2"/>
      <c r="J359" s="685"/>
      <c r="K359" s="682">
        <v>44020</v>
      </c>
      <c r="L359" s="683" t="s">
        <v>561</v>
      </c>
      <c r="M359" s="683" t="s">
        <v>565</v>
      </c>
      <c r="N359" s="683" t="s">
        <v>566</v>
      </c>
      <c r="O359" s="683"/>
      <c r="P359" s="688" t="s">
        <v>2949</v>
      </c>
      <c r="Q359" s="683" t="s">
        <v>37</v>
      </c>
      <c r="R359" s="683" t="s">
        <v>1782</v>
      </c>
      <c r="S359" s="686" t="s">
        <v>2950</v>
      </c>
      <c r="T359" s="683" t="s">
        <v>2953</v>
      </c>
      <c r="U359" s="683" t="s">
        <v>2951</v>
      </c>
      <c r="V359" s="683" t="s">
        <v>147</v>
      </c>
      <c r="W359" s="683" t="s">
        <v>913</v>
      </c>
      <c r="X359" s="691" t="s">
        <v>918</v>
      </c>
      <c r="Y359" s="687">
        <v>3004370193</v>
      </c>
      <c r="Z359" s="692" t="s">
        <v>2599</v>
      </c>
      <c r="AA359" s="683" t="s">
        <v>33</v>
      </c>
      <c r="AB359" s="683" t="s">
        <v>217</v>
      </c>
      <c r="AC359" s="683" t="s">
        <v>749</v>
      </c>
      <c r="AD359" s="683" t="s">
        <v>1123</v>
      </c>
      <c r="AE359" s="683">
        <v>60</v>
      </c>
      <c r="AF359" s="684">
        <v>3137.5</v>
      </c>
      <c r="AG359" s="683" t="s">
        <v>243</v>
      </c>
      <c r="AH359" s="683" t="s">
        <v>1803</v>
      </c>
      <c r="AI359" s="683" t="s">
        <v>2553</v>
      </c>
      <c r="AJ359" s="683" t="s">
        <v>2952</v>
      </c>
      <c r="AK359" s="683" t="s">
        <v>33</v>
      </c>
      <c r="AL359" s="683">
        <v>20190304</v>
      </c>
      <c r="AM359" s="683" t="s">
        <v>245</v>
      </c>
      <c r="AN359" s="683"/>
      <c r="AO359" s="683"/>
      <c r="AP359" s="683" t="s">
        <v>240</v>
      </c>
      <c r="AQ359" s="688" t="str">
        <f>CONCATENATE("REG-",BDEGENER[[#This Row],[FECHA DE SERVICIO]],"-",BDEGENER[[#This Row],[SERIE]],"-",BDEGENER[[#This Row],[HORAS]])</f>
        <v>REG-44020-3004370193-3137,5</v>
      </c>
      <c r="AR359" s="683" t="str">
        <f>CONCATENATE("MARCA: ",BDEGENER[[#This Row],[MARCA]],"
 MODELO: ",BDEGENER[[#This Row],[MODELO]])</f>
        <v>MARCA: GENERAC
 MODELO: RG022</v>
      </c>
      <c r="AS359" s="683" t="str">
        <f>CONCATENATE("MARCA: ",BDEGENER[[#This Row],[MARCA DE MOTOR]],"
SERIE: ",BDEGENER[[#This Row],[SERIE DE MOTOR]])</f>
        <v>MARCA: MITSUBISHI
SERIE: 4G6451M/SXN3699</v>
      </c>
      <c r="AT359" s="683" t="str">
        <f>CONCATENATE("MARCA: ",BDEGENER[[#This Row],[MARCA ALTERNADOR ]],"
SERIE: ",BDEGENER[[#This Row],[SERIE DE ALTERNADOR]])</f>
        <v>MARCA: GENERAC
SERIE: 20190304</v>
      </c>
      <c r="AU359" s="683" t="str">
        <f>CONCATENATE("HORAS: ",BDEGENER[[#This Row],[HORAS]],"
KW-HR: ",BDEGENER[[#This Row],[KW-HORA]],"
VOLT.BATERIA: ",BDEGENER[[#This Row],[VOLTAJE DE BATERIA]],"
TEMPERATURA: ",BDEGENER[[#This Row],[TEMPERATURA DE AGUA]],"
PRES. ACEITE: ",BDEGENER[[#This Row],[PRESION DE ACEITE]])</f>
        <v xml:space="preserve">HORAS: 3137,5
KW-HR: 
VOLT.BATERIA: 13.6 V
TEMPERATURA: 
PRES. ACEITE: </v>
      </c>
      <c r="AV359" s="683">
        <f>COUNTIFS(Q359:Q2359,"MANTENIMIENTO CORRECTIVO",Y359:Y2359,BDEGENER[[#This Row],[SERIE]])</f>
        <v>2</v>
      </c>
      <c r="AW359" s="683">
        <f>COUNTIFS(Q359:Q2359,"MANTENIMIENTO PREVENTIVO",Y359:Y2359,BDEGENER[[#This Row],[SERIE]])</f>
        <v>6</v>
      </c>
      <c r="AX35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59" s="683">
        <f>COUNTIFS(BDEGENER[SERIE],BDEGENER[[#This Row],[SERIE]],BDEGENER[TIPO DE SERVICIO],"MANTENIMIENTO PREVENTIVO")</f>
        <v>9</v>
      </c>
      <c r="AZ359" s="683" t="str">
        <f>CONCATENATE("MANTENIMIENTO PREVENTIVO N°",BDEGENER[[#This Row],[GA1]])</f>
        <v>MANTENIMIENTO PREVENTIVO N°9</v>
      </c>
      <c r="BA359" s="683" t="str">
        <f>IF(BDEGENER[[#This Row],[SERVICIO]]=BDEGENER[[#This Row],[GA2]],BDEGENER[[#This Row],[HORAS]],"0")</f>
        <v>0</v>
      </c>
      <c r="BB359" s="683">
        <f>SUMIF(BDEGENER[SERIE],BDEGENER[[#This Row],[SERIE]],BDEGENER[GA3])</f>
        <v>3580.3</v>
      </c>
      <c r="BC359" s="683" t="str">
        <f>CONCATENATE("MANT",COUNTIF($Y$7:Y359,Y359))</f>
        <v>MANT7</v>
      </c>
      <c r="BD359" s="683" t="str">
        <f>CONCATENATE(BDEGENER[[#This Row],[SERIE]],BDEGENER[[#This Row],[GA5]])</f>
        <v>3004370193MANT7</v>
      </c>
      <c r="BE359" s="683" t="str">
        <f>CONCATENATE(BDEGENER[[#This Row],[CODIGO PATRIMONIAL]],BDEGENER[[#This Row],[GA5]])</f>
        <v>SUR-GEG-0003MANT7</v>
      </c>
      <c r="BF359" s="683">
        <f>COUNTIF(BDEGENER[SERIE],BDEGENER[[#This Row],[SERIE]])</f>
        <v>16</v>
      </c>
      <c r="BG359" s="683" t="str">
        <f>CONCATENATE("F",COUNTIF($K$7:K359,K359))</f>
        <v>F4</v>
      </c>
      <c r="BH359" s="683" t="str">
        <f>CONCATENATE(BDEGENER[[#This Row],[FECHA DE SERVICIO]],BDEGENER[[#This Row],[N° DE REGISTROS DEL DIA]])</f>
        <v>44020F4</v>
      </c>
      <c r="BI359" s="684"/>
      <c r="BJ359" s="683" t="s">
        <v>1544</v>
      </c>
      <c r="BK359" s="736"/>
    </row>
    <row r="360" spans="2:63" ht="69" hidden="1" x14ac:dyDescent="0.3">
      <c r="B360" s="2"/>
      <c r="C360" s="2"/>
      <c r="D360" s="2"/>
      <c r="E360" s="2"/>
      <c r="F360" s="2"/>
      <c r="G360" s="2"/>
      <c r="H360" s="2"/>
      <c r="I360" s="2"/>
      <c r="J360" s="685"/>
      <c r="K360" s="682">
        <v>44018</v>
      </c>
      <c r="L360" s="683" t="s">
        <v>181</v>
      </c>
      <c r="M360" s="683" t="s">
        <v>188</v>
      </c>
      <c r="N360" s="683" t="s">
        <v>183</v>
      </c>
      <c r="O360" s="683">
        <v>4500873022</v>
      </c>
      <c r="P360" s="683" t="s">
        <v>2802</v>
      </c>
      <c r="Q360" s="683" t="s">
        <v>37</v>
      </c>
      <c r="R360" s="683" t="s">
        <v>1782</v>
      </c>
      <c r="S360" s="686" t="s">
        <v>2172</v>
      </c>
      <c r="T360" s="683" t="s">
        <v>2804</v>
      </c>
      <c r="U360" s="683" t="s">
        <v>2488</v>
      </c>
      <c r="V360" s="683" t="s">
        <v>146</v>
      </c>
      <c r="W360" s="683" t="s">
        <v>914</v>
      </c>
      <c r="X360" s="691" t="s">
        <v>918</v>
      </c>
      <c r="Y360" s="687">
        <v>3004381437</v>
      </c>
      <c r="Z360" s="692"/>
      <c r="AA360" s="683" t="s">
        <v>33</v>
      </c>
      <c r="AB360" s="683" t="s">
        <v>34</v>
      </c>
      <c r="AC360" s="683" t="s">
        <v>230</v>
      </c>
      <c r="AD360" s="683" t="s">
        <v>1110</v>
      </c>
      <c r="AE360" s="683">
        <v>60</v>
      </c>
      <c r="AF360" s="684">
        <v>1721.6</v>
      </c>
      <c r="AG360" s="683" t="s">
        <v>243</v>
      </c>
      <c r="AH360" s="683" t="s">
        <v>220</v>
      </c>
      <c r="AI360" s="683" t="s">
        <v>33</v>
      </c>
      <c r="AJ360" s="683">
        <v>3004346804</v>
      </c>
      <c r="AK360" s="683" t="s">
        <v>33</v>
      </c>
      <c r="AL360" s="683">
        <v>10630963</v>
      </c>
      <c r="AM360" s="683" t="s">
        <v>1121</v>
      </c>
      <c r="AN360" s="683" t="s">
        <v>1352</v>
      </c>
      <c r="AO360" s="683" t="s">
        <v>1166</v>
      </c>
      <c r="AP360" s="683" t="s">
        <v>240</v>
      </c>
      <c r="AQ360" s="688" t="str">
        <f>CONCATENATE("REG-",BDEGENER[[#This Row],[FECHA DE SERVICIO]],"-",BDEGENER[[#This Row],[SERIE]],"-",BDEGENER[[#This Row],[HORAS]])</f>
        <v>REG-44018-3004381437-1721,6</v>
      </c>
      <c r="AR360" s="683" t="str">
        <f>CONCATENATE("MARCA: ",BDEGENER[[#This Row],[MARCA]],"
 MODELO: ",BDEGENER[[#This Row],[MODELO]])</f>
        <v>MARCA: GENERAC
 MODELO: PG090</v>
      </c>
      <c r="AS360" s="683" t="str">
        <f>CONCATENATE("MARCA: ",BDEGENER[[#This Row],[MARCA DE MOTOR]],"
SERIE: ",BDEGENER[[#This Row],[SERIE DE MOTOR]])</f>
        <v>MARCA: GENERAC
SERIE: 3004346804</v>
      </c>
      <c r="AT360" s="683" t="str">
        <f>CONCATENATE("MARCA: ",BDEGENER[[#This Row],[MARCA ALTERNADOR ]],"
SERIE: ",BDEGENER[[#This Row],[SERIE DE ALTERNADOR]])</f>
        <v>MARCA: GENERAC
SERIE: 10630963</v>
      </c>
      <c r="AU360" s="683" t="str">
        <f>CONCATENATE("HORAS: ",BDEGENER[[#This Row],[HORAS]],"
KW-HR: ",BDEGENER[[#This Row],[KW-HORA]],"
VOLT.BATERIA: ",BDEGENER[[#This Row],[VOLTAJE DE BATERIA]],"
TEMPERATURA: ",BDEGENER[[#This Row],[TEMPERATURA DE AGUA]],"
PRES. ACEITE: ",BDEGENER[[#This Row],[PRESION DE ACEITE]])</f>
        <v>HORAS: 1721,6
KW-HR: 31969,7
VOLT.BATERIA: 13.7 V
TEMPERATURA: 196 °F
PRES. ACEITE: 57 PSI</v>
      </c>
      <c r="AV360" s="683">
        <f>COUNTIFS(Q360:Q2360,"MANTENIMIENTO CORRECTIVO",Y360:Y2360,BDEGENER[[#This Row],[SERIE]])</f>
        <v>2</v>
      </c>
      <c r="AW360" s="683">
        <f>COUNTIFS(Q360:Q2360,"MANTENIMIENTO PREVENTIVO",Y360:Y2360,BDEGENER[[#This Row],[SERIE]])</f>
        <v>6</v>
      </c>
      <c r="AX36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60" s="683">
        <f>COUNTIFS(BDEGENER[SERIE],BDEGENER[[#This Row],[SERIE]],BDEGENER[TIPO DE SERVICIO],"MANTENIMIENTO PREVENTIVO")</f>
        <v>8</v>
      </c>
      <c r="AZ360" s="683" t="str">
        <f>CONCATENATE("MANTENIMIENTO PREVENTIVO N°",BDEGENER[[#This Row],[GA1]])</f>
        <v>MANTENIMIENTO PREVENTIVO N°8</v>
      </c>
      <c r="BA360" s="683" t="str">
        <f>IF(BDEGENER[[#This Row],[SERVICIO]]=BDEGENER[[#This Row],[GA2]],BDEGENER[[#This Row],[HORAS]],"0")</f>
        <v>0</v>
      </c>
      <c r="BB360" s="683">
        <f>SUMIF(BDEGENER[SERIE],BDEGENER[[#This Row],[SERIE]],BDEGENER[GA3])</f>
        <v>2359.6</v>
      </c>
      <c r="BC360" s="683" t="str">
        <f>CONCATENATE("MANT",COUNTIF($Y$7:Y360,Y360))</f>
        <v>MANT4</v>
      </c>
      <c r="BD360" s="683" t="str">
        <f>CONCATENATE(BDEGENER[[#This Row],[SERIE]],BDEGENER[[#This Row],[GA5]])</f>
        <v>3004381437MANT4</v>
      </c>
      <c r="BE360" s="683" t="str">
        <f>CONCATENATE(BDEGENER[[#This Row],[CODIGO PATRIMONIAL]],BDEGENER[[#This Row],[GA5]])</f>
        <v>MANT4</v>
      </c>
      <c r="BF360" s="683">
        <f>COUNTIF(BDEGENER[SERIE],BDEGENER[[#This Row],[SERIE]])</f>
        <v>12</v>
      </c>
      <c r="BG360" s="683" t="str">
        <f>CONCATENATE("F",COUNTIF($K$7:K360,K360))</f>
        <v>F1</v>
      </c>
      <c r="BH360" s="683" t="str">
        <f>CONCATENATE(BDEGENER[[#This Row],[FECHA DE SERVICIO]],BDEGENER[[#This Row],[N° DE REGISTROS DEL DIA]])</f>
        <v>44018F1</v>
      </c>
      <c r="BI360" s="684">
        <v>31969.7</v>
      </c>
      <c r="BJ360" s="683" t="s">
        <v>1544</v>
      </c>
      <c r="BK360" s="736"/>
    </row>
    <row r="361" spans="2:63" ht="69" hidden="1" x14ac:dyDescent="0.3">
      <c r="B361" s="2"/>
      <c r="C361" s="2"/>
      <c r="D361" s="2"/>
      <c r="E361" s="2"/>
      <c r="F361" s="2"/>
      <c r="G361" s="2"/>
      <c r="H361" s="2"/>
      <c r="I361" s="2"/>
      <c r="J361" s="685"/>
      <c r="K361" s="682">
        <v>44018</v>
      </c>
      <c r="L361" s="683" t="s">
        <v>181</v>
      </c>
      <c r="M361" s="683" t="s">
        <v>188</v>
      </c>
      <c r="N361" s="683" t="s">
        <v>183</v>
      </c>
      <c r="O361" s="683">
        <v>4500873022</v>
      </c>
      <c r="P361" s="683" t="s">
        <v>2802</v>
      </c>
      <c r="Q361" s="683" t="s">
        <v>37</v>
      </c>
      <c r="R361" s="683" t="s">
        <v>1782</v>
      </c>
      <c r="S361" s="686" t="s">
        <v>2172</v>
      </c>
      <c r="T361" s="683" t="s">
        <v>2804</v>
      </c>
      <c r="U361" s="683" t="s">
        <v>2488</v>
      </c>
      <c r="V361" s="683" t="s">
        <v>146</v>
      </c>
      <c r="W361" s="683" t="s">
        <v>914</v>
      </c>
      <c r="X361" s="691" t="s">
        <v>918</v>
      </c>
      <c r="Y361" s="687">
        <v>3004235514</v>
      </c>
      <c r="Z361" s="692"/>
      <c r="AA361" s="683" t="s">
        <v>33</v>
      </c>
      <c r="AB361" s="683" t="s">
        <v>34</v>
      </c>
      <c r="AC361" s="683" t="s">
        <v>230</v>
      </c>
      <c r="AD361" s="683" t="s">
        <v>1110</v>
      </c>
      <c r="AE361" s="683">
        <v>60</v>
      </c>
      <c r="AF361" s="684">
        <v>1809.9</v>
      </c>
      <c r="AG361" s="683" t="s">
        <v>243</v>
      </c>
      <c r="AH361" s="683" t="s">
        <v>220</v>
      </c>
      <c r="AI361" s="683" t="s">
        <v>33</v>
      </c>
      <c r="AJ361" s="683">
        <v>3003266420</v>
      </c>
      <c r="AK361" s="683" t="s">
        <v>33</v>
      </c>
      <c r="AL361" s="683">
        <v>1630250</v>
      </c>
      <c r="AM361" s="683" t="s">
        <v>1121</v>
      </c>
      <c r="AN361" s="683" t="s">
        <v>1122</v>
      </c>
      <c r="AO361" s="683" t="s">
        <v>1349</v>
      </c>
      <c r="AP361" s="683" t="s">
        <v>240</v>
      </c>
      <c r="AQ361" s="683" t="str">
        <f>CONCATENATE("REG-",BDEGENER[[#This Row],[FECHA DE SERVICIO]],"-",BDEGENER[[#This Row],[SERIE]],"-",BDEGENER[[#This Row],[HORAS]])</f>
        <v>REG-44018-3004235514-1809,9</v>
      </c>
      <c r="AR361" s="683" t="str">
        <f>CONCATENATE("MARCA: ",BDEGENER[[#This Row],[MARCA]],"
 MODELO: ",BDEGENER[[#This Row],[MODELO]])</f>
        <v>MARCA: GENERAC
 MODELO: PG090</v>
      </c>
      <c r="AS361" s="683" t="str">
        <f>CONCATENATE("MARCA: ",BDEGENER[[#This Row],[MARCA DE MOTOR]],"
SERIE: ",BDEGENER[[#This Row],[SERIE DE MOTOR]])</f>
        <v>MARCA: GENERAC
SERIE: 3003266420</v>
      </c>
      <c r="AT361" s="683" t="str">
        <f>CONCATENATE("MARCA: ",BDEGENER[[#This Row],[MARCA ALTERNADOR ]],"
SERIE: ",BDEGENER[[#This Row],[SERIE DE ALTERNADOR]])</f>
        <v>MARCA: GENERAC
SERIE: 1630250</v>
      </c>
      <c r="AU361" s="683" t="str">
        <f>CONCATENATE("HORAS: ",BDEGENER[[#This Row],[HORAS]],"
KW-HR: ",BDEGENER[[#This Row],[KW-HORA]],"
VOLT.BATERIA: ",BDEGENER[[#This Row],[VOLTAJE DE BATERIA]],"
TEMPERATURA: ",BDEGENER[[#This Row],[TEMPERATURA DE AGUA]],"
PRES. ACEITE: ",BDEGENER[[#This Row],[PRESION DE ACEITE]])</f>
        <v>HORAS: 1809,9
KW-HR: 40495,6
VOLT.BATERIA: 13.7 V
TEMPERATURA: 195 °F
PRES. ACEITE: 56 PSI</v>
      </c>
      <c r="AV361" s="761">
        <f>COUNTIFS(Q361:Q2361,"MANTENIMIENTO CORRECTIVO",Y361:Y2361,BDEGENER[[#This Row],[SERIE]])</f>
        <v>1</v>
      </c>
      <c r="AW361" s="761">
        <f>COUNTIFS(Q361:Q2361,"MANTENIMIENTO PREVENTIVO",Y361:Y2361,BDEGENER[[#This Row],[SERIE]])</f>
        <v>6</v>
      </c>
      <c r="AX36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61" s="683">
        <f>COUNTIFS(BDEGENER[SERIE],BDEGENER[[#This Row],[SERIE]],BDEGENER[TIPO DE SERVICIO],"MANTENIMIENTO PREVENTIVO")</f>
        <v>7</v>
      </c>
      <c r="AZ361" s="683" t="str">
        <f>CONCATENATE("MANTENIMIENTO PREVENTIVO N°",BDEGENER[[#This Row],[GA1]])</f>
        <v>MANTENIMIENTO PREVENTIVO N°7</v>
      </c>
      <c r="BA361" s="683" t="str">
        <f>IF(BDEGENER[[#This Row],[SERVICIO]]=BDEGENER[[#This Row],[GA2]],BDEGENER[[#This Row],[HORAS]],"0")</f>
        <v>0</v>
      </c>
      <c r="BB361" s="683">
        <f>SUMIF(BDEGENER[SERIE],BDEGENER[[#This Row],[SERIE]],BDEGENER[GA3])</f>
        <v>2044.9</v>
      </c>
      <c r="BC361" s="761" t="str">
        <f>CONCATENATE("MANT",COUNTIF($Y$7:Y361,Y361))</f>
        <v>MANT3</v>
      </c>
      <c r="BD361" s="683" t="str">
        <f>CONCATENATE(BDEGENER[[#This Row],[SERIE]],BDEGENER[[#This Row],[GA5]])</f>
        <v>3004235514MANT3</v>
      </c>
      <c r="BE361" s="683" t="str">
        <f>CONCATENATE(BDEGENER[[#This Row],[CODIGO PATRIMONIAL]],BDEGENER[[#This Row],[GA5]])</f>
        <v>MANT3</v>
      </c>
      <c r="BF361" s="683">
        <f>COUNTIF(BDEGENER[SERIE],BDEGENER[[#This Row],[SERIE]])</f>
        <v>10</v>
      </c>
      <c r="BG361" s="761" t="str">
        <f>CONCATENATE("F",COUNTIF($K$7:K361,K361))</f>
        <v>F2</v>
      </c>
      <c r="BH361" s="683" t="str">
        <f>CONCATENATE(BDEGENER[[#This Row],[FECHA DE SERVICIO]],BDEGENER[[#This Row],[N° DE REGISTROS DEL DIA]])</f>
        <v>44018F2</v>
      </c>
      <c r="BI361" s="684">
        <v>40495.599999999999</v>
      </c>
      <c r="BJ361" s="683" t="s">
        <v>1544</v>
      </c>
      <c r="BK361" s="736"/>
    </row>
    <row r="362" spans="2:63" ht="69" hidden="1" x14ac:dyDescent="0.3">
      <c r="B362" s="2"/>
      <c r="C362" s="2"/>
      <c r="D362" s="2"/>
      <c r="E362" s="2"/>
      <c r="F362" s="2"/>
      <c r="G362" s="2"/>
      <c r="H362" s="2"/>
      <c r="I362" s="2"/>
      <c r="J362" s="685"/>
      <c r="K362" s="682">
        <v>44018</v>
      </c>
      <c r="L362" s="683" t="s">
        <v>181</v>
      </c>
      <c r="M362" s="683" t="s">
        <v>188</v>
      </c>
      <c r="N362" s="683" t="s">
        <v>183</v>
      </c>
      <c r="O362" s="683">
        <v>4500873022</v>
      </c>
      <c r="P362" s="683" t="s">
        <v>2802</v>
      </c>
      <c r="Q362" s="683" t="s">
        <v>37</v>
      </c>
      <c r="R362" s="683" t="s">
        <v>1782</v>
      </c>
      <c r="S362" s="686" t="s">
        <v>2172</v>
      </c>
      <c r="T362" s="683" t="s">
        <v>2803</v>
      </c>
      <c r="U362" s="683" t="s">
        <v>2488</v>
      </c>
      <c r="V362" s="683" t="s">
        <v>146</v>
      </c>
      <c r="W362" s="683" t="s">
        <v>914</v>
      </c>
      <c r="X362" s="691" t="s">
        <v>918</v>
      </c>
      <c r="Y362" s="687">
        <v>3004337388</v>
      </c>
      <c r="Z362" s="692"/>
      <c r="AA362" s="683" t="s">
        <v>33</v>
      </c>
      <c r="AB362" s="683" t="s">
        <v>34</v>
      </c>
      <c r="AC362" s="683" t="s">
        <v>230</v>
      </c>
      <c r="AD362" s="683" t="s">
        <v>1110</v>
      </c>
      <c r="AE362" s="683">
        <v>60</v>
      </c>
      <c r="AF362" s="684">
        <v>1821.2</v>
      </c>
      <c r="AG362" s="683" t="s">
        <v>243</v>
      </c>
      <c r="AH362" s="683" t="s">
        <v>220</v>
      </c>
      <c r="AI362" s="683" t="s">
        <v>33</v>
      </c>
      <c r="AJ362" s="683">
        <v>3004346829</v>
      </c>
      <c r="AK362" s="683" t="s">
        <v>33</v>
      </c>
      <c r="AL362" s="683">
        <v>10630871</v>
      </c>
      <c r="AM362" s="683" t="s">
        <v>1121</v>
      </c>
      <c r="AN362" s="683" t="s">
        <v>1122</v>
      </c>
      <c r="AO362" s="683" t="s">
        <v>1166</v>
      </c>
      <c r="AP362" s="683" t="s">
        <v>240</v>
      </c>
      <c r="AQ362" s="683" t="str">
        <f>CONCATENATE("REG-",BDEGENER[[#This Row],[FECHA DE SERVICIO]],"-",BDEGENER[[#This Row],[SERIE]],"-",BDEGENER[[#This Row],[HORAS]])</f>
        <v>REG-44018-3004337388-1821,2</v>
      </c>
      <c r="AR362" s="683" t="str">
        <f>CONCATENATE("MARCA: ",BDEGENER[[#This Row],[MARCA]],"
 MODELO: ",BDEGENER[[#This Row],[MODELO]])</f>
        <v>MARCA: GENERAC
 MODELO: PG090</v>
      </c>
      <c r="AS362" s="683" t="str">
        <f>CONCATENATE("MARCA: ",BDEGENER[[#This Row],[MARCA DE MOTOR]],"
SERIE: ",BDEGENER[[#This Row],[SERIE DE MOTOR]])</f>
        <v>MARCA: GENERAC
SERIE: 3004346829</v>
      </c>
      <c r="AT362" s="683" t="str">
        <f>CONCATENATE("MARCA: ",BDEGENER[[#This Row],[MARCA ALTERNADOR ]],"
SERIE: ",BDEGENER[[#This Row],[SERIE DE ALTERNADOR]])</f>
        <v>MARCA: GENERAC
SERIE: 10630871</v>
      </c>
      <c r="AU362" s="683" t="str">
        <f>CONCATENATE("HORAS: ",BDEGENER[[#This Row],[HORAS]],"
KW-HR: ",BDEGENER[[#This Row],[KW-HORA]],"
VOLT.BATERIA: ",BDEGENER[[#This Row],[VOLTAJE DE BATERIA]],"
TEMPERATURA: ",BDEGENER[[#This Row],[TEMPERATURA DE AGUA]],"
PRES. ACEITE: ",BDEGENER[[#This Row],[PRESION DE ACEITE]])</f>
        <v>HORAS: 1821,2
KW-HR: 30656,8
VOLT.BATERIA: 13.7 V
TEMPERATURA: 195 °F
PRES. ACEITE: 57 PSI</v>
      </c>
      <c r="AV362" s="683">
        <f>COUNTIFS(Q362:Q2362,"MANTENIMIENTO CORRECTIVO",Y362:Y2362,BDEGENER[[#This Row],[SERIE]])</f>
        <v>2</v>
      </c>
      <c r="AW362" s="683">
        <f>COUNTIFS(Q362:Q2362,"MANTENIMIENTO PREVENTIVO",Y362:Y2362,BDEGENER[[#This Row],[SERIE]])</f>
        <v>6</v>
      </c>
      <c r="AX36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62" s="683">
        <f>COUNTIFS(BDEGENER[SERIE],BDEGENER[[#This Row],[SERIE]],BDEGENER[TIPO DE SERVICIO],"MANTENIMIENTO PREVENTIVO")</f>
        <v>7</v>
      </c>
      <c r="AZ362" s="683" t="str">
        <f>CONCATENATE("MANTENIMIENTO PREVENTIVO N°",BDEGENER[[#This Row],[GA1]])</f>
        <v>MANTENIMIENTO PREVENTIVO N°7</v>
      </c>
      <c r="BA362" s="683" t="str">
        <f>IF(BDEGENER[[#This Row],[SERVICIO]]=BDEGENER[[#This Row],[GA2]],BDEGENER[[#This Row],[HORAS]],"0")</f>
        <v>0</v>
      </c>
      <c r="BB362" s="683">
        <f>SUMIF(BDEGENER[SERIE],BDEGENER[[#This Row],[SERIE]],BDEGENER[GA3])</f>
        <v>2129.8000000000002</v>
      </c>
      <c r="BC362" s="683" t="str">
        <f>CONCATENATE("MANT",COUNTIF($Y$7:Y362,Y362))</f>
        <v>MANT5</v>
      </c>
      <c r="BD362" s="683" t="str">
        <f>CONCATENATE(BDEGENER[[#This Row],[SERIE]],BDEGENER[[#This Row],[GA5]])</f>
        <v>3004337388MANT5</v>
      </c>
      <c r="BE362" s="683" t="str">
        <f>CONCATENATE(BDEGENER[[#This Row],[CODIGO PATRIMONIAL]],BDEGENER[[#This Row],[GA5]])</f>
        <v>MANT5</v>
      </c>
      <c r="BF362" s="683">
        <f>COUNTIF(BDEGENER[SERIE],BDEGENER[[#This Row],[SERIE]])</f>
        <v>14</v>
      </c>
      <c r="BG362" s="683" t="str">
        <f>CONCATENATE("F",COUNTIF($K$7:K362,K362))</f>
        <v>F3</v>
      </c>
      <c r="BH362" s="683" t="str">
        <f>CONCATENATE(BDEGENER[[#This Row],[FECHA DE SERVICIO]],BDEGENER[[#This Row],[N° DE REGISTROS DEL DIA]])</f>
        <v>44018F3</v>
      </c>
      <c r="BI362" s="684">
        <v>30656.799999999999</v>
      </c>
      <c r="BJ362" s="683" t="s">
        <v>1544</v>
      </c>
      <c r="BK362" s="736"/>
    </row>
    <row r="363" spans="2:63" ht="69" hidden="1" x14ac:dyDescent="0.3">
      <c r="B363" s="2"/>
      <c r="C363" s="2"/>
      <c r="D363" s="2"/>
      <c r="E363" s="2"/>
      <c r="F363" s="2"/>
      <c r="G363" s="2"/>
      <c r="H363" s="2"/>
      <c r="I363" s="2"/>
      <c r="J363" s="685"/>
      <c r="K363" s="682">
        <v>44015</v>
      </c>
      <c r="L363" s="683" t="s">
        <v>181</v>
      </c>
      <c r="M363" s="683" t="s">
        <v>185</v>
      </c>
      <c r="N363" s="683" t="s">
        <v>183</v>
      </c>
      <c r="O363" s="683"/>
      <c r="P363" s="683"/>
      <c r="Q363" s="683" t="s">
        <v>108</v>
      </c>
      <c r="R363" s="683" t="s">
        <v>2805</v>
      </c>
      <c r="S363" s="686" t="s">
        <v>2806</v>
      </c>
      <c r="T363" s="683" t="s">
        <v>2807</v>
      </c>
      <c r="U363" s="683"/>
      <c r="V363" s="683" t="s">
        <v>146</v>
      </c>
      <c r="W363" s="683" t="s">
        <v>914</v>
      </c>
      <c r="X363" s="691" t="s">
        <v>918</v>
      </c>
      <c r="Y363" s="687">
        <v>3004290366</v>
      </c>
      <c r="Z363" s="692"/>
      <c r="AA363" s="683" t="s">
        <v>33</v>
      </c>
      <c r="AB363" s="683" t="s">
        <v>34</v>
      </c>
      <c r="AC363" s="683" t="s">
        <v>230</v>
      </c>
      <c r="AD363" s="683"/>
      <c r="AE363" s="683"/>
      <c r="AF363" s="684">
        <v>2535.3000000000002</v>
      </c>
      <c r="AG363" s="683" t="s">
        <v>243</v>
      </c>
      <c r="AH363" s="683" t="s">
        <v>220</v>
      </c>
      <c r="AI363" s="683" t="s">
        <v>33</v>
      </c>
      <c r="AJ363" s="683">
        <v>3004295604</v>
      </c>
      <c r="AK363" s="683" t="s">
        <v>33</v>
      </c>
      <c r="AL363" s="683">
        <v>10631290</v>
      </c>
      <c r="AM363" s="683"/>
      <c r="AN363" s="683"/>
      <c r="AO363" s="683"/>
      <c r="AP363" s="683" t="s">
        <v>557</v>
      </c>
      <c r="AQ363" s="688" t="str">
        <f>CONCATENATE("REG-",BDEGENER[[#This Row],[FECHA DE SERVICIO]],"-",BDEGENER[[#This Row],[SERIE]],"-",BDEGENER[[#This Row],[HORAS]])</f>
        <v>REG-44015-3004290366-2535,3</v>
      </c>
      <c r="AR363" s="683" t="str">
        <f>CONCATENATE("MARCA: ",BDEGENER[[#This Row],[MARCA]],"
 MODELO: ",BDEGENER[[#This Row],[MODELO]])</f>
        <v>MARCA: GENERAC
 MODELO: PG090</v>
      </c>
      <c r="AS363" s="683" t="str">
        <f>CONCATENATE("MARCA: ",BDEGENER[[#This Row],[MARCA DE MOTOR]],"
SERIE: ",BDEGENER[[#This Row],[SERIE DE MOTOR]])</f>
        <v>MARCA: GENERAC
SERIE: 3004295604</v>
      </c>
      <c r="AT363" s="683" t="str">
        <f>CONCATENATE("MARCA: ",BDEGENER[[#This Row],[MARCA ALTERNADOR ]],"
SERIE: ",BDEGENER[[#This Row],[SERIE DE ALTERNADOR]])</f>
        <v>MARCA: GENERAC
SERIE: 10631290</v>
      </c>
      <c r="AU363" s="683" t="str">
        <f>CONCATENATE("HORAS: ",BDEGENER[[#This Row],[HORAS]],"
KW-HR: ",BDEGENER[[#This Row],[KW-HORA]],"
VOLT.BATERIA: ",BDEGENER[[#This Row],[VOLTAJE DE BATERIA]],"
TEMPERATURA: ",BDEGENER[[#This Row],[TEMPERATURA DE AGUA]],"
PRES. ACEITE: ",BDEGENER[[#This Row],[PRESION DE ACEITE]])</f>
        <v xml:space="preserve">HORAS: 2535,3
KW-HR: 27764,9
VOLT.BATERIA: 
TEMPERATURA: 
PRES. ACEITE: </v>
      </c>
      <c r="AV363" s="683">
        <f>COUNTIFS(Q363:Q2363,"MANTENIMIENTO CORRECTIVO",Y363:Y2363,BDEGENER[[#This Row],[SERIE]])</f>
        <v>2</v>
      </c>
      <c r="AW363" s="683">
        <f>COUNTIFS(Q363:Q2363,"MANTENIMIENTO PREVENTIVO",Y363:Y2363,BDEGENER[[#This Row],[SERIE]])</f>
        <v>6</v>
      </c>
      <c r="AX36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63" s="683">
        <f>COUNTIFS(BDEGENER[SERIE],BDEGENER[[#This Row],[SERIE]],BDEGENER[TIPO DE SERVICIO],"MANTENIMIENTO PREVENTIVO")</f>
        <v>7</v>
      </c>
      <c r="AZ363" s="683" t="str">
        <f>CONCATENATE("MANTENIMIENTO PREVENTIVO N°",BDEGENER[[#This Row],[GA1]])</f>
        <v>MANTENIMIENTO PREVENTIVO N°7</v>
      </c>
      <c r="BA363" s="683" t="str">
        <f>IF(BDEGENER[[#This Row],[SERVICIO]]=BDEGENER[[#This Row],[GA2]],BDEGENER[[#This Row],[HORAS]],"0")</f>
        <v>0</v>
      </c>
      <c r="BB363" s="683">
        <f>SUMIF(BDEGENER[SERIE],BDEGENER[[#This Row],[SERIE]],BDEGENER[GA3])</f>
        <v>2629.6</v>
      </c>
      <c r="BC363" s="683" t="str">
        <f>CONCATENATE("MANT",COUNTIF($Y$7:Y363,Y363))</f>
        <v>MANT4</v>
      </c>
      <c r="BD363" s="683" t="str">
        <f>CONCATENATE(BDEGENER[[#This Row],[SERIE]],BDEGENER[[#This Row],[GA5]])</f>
        <v>3004290366MANT4</v>
      </c>
      <c r="BE363" s="683" t="str">
        <f>CONCATENATE(BDEGENER[[#This Row],[CODIGO PATRIMONIAL]],BDEGENER[[#This Row],[GA5]])</f>
        <v>MANT4</v>
      </c>
      <c r="BF363" s="683">
        <f>COUNTIF(BDEGENER[SERIE],BDEGENER[[#This Row],[SERIE]])</f>
        <v>14</v>
      </c>
      <c r="BG363" s="683" t="str">
        <f>CONCATENATE("F",COUNTIF($K$7:K363,K363))</f>
        <v>F1</v>
      </c>
      <c r="BH363" s="683" t="str">
        <f>CONCATENATE(BDEGENER[[#This Row],[FECHA DE SERVICIO]],BDEGENER[[#This Row],[N° DE REGISTROS DEL DIA]])</f>
        <v>44015F1</v>
      </c>
      <c r="BI363" s="684">
        <v>27764.9</v>
      </c>
      <c r="BJ363" s="683" t="s">
        <v>1544</v>
      </c>
      <c r="BK363" s="736"/>
    </row>
    <row r="364" spans="2:63" ht="69" hidden="1" x14ac:dyDescent="0.3">
      <c r="B364" s="2"/>
      <c r="C364" s="2"/>
      <c r="D364" s="2"/>
      <c r="E364" s="2"/>
      <c r="F364" s="2"/>
      <c r="G364" s="2"/>
      <c r="H364" s="2"/>
      <c r="I364" s="2"/>
      <c r="J364" s="685"/>
      <c r="K364" s="682">
        <v>44013</v>
      </c>
      <c r="L364" s="683" t="s">
        <v>181</v>
      </c>
      <c r="M364" s="683" t="s">
        <v>187</v>
      </c>
      <c r="N364" s="683" t="s">
        <v>183</v>
      </c>
      <c r="O364" s="683">
        <v>4500873022</v>
      </c>
      <c r="P364" s="683" t="s">
        <v>2798</v>
      </c>
      <c r="Q364" s="683" t="s">
        <v>37</v>
      </c>
      <c r="R364" s="683" t="s">
        <v>2801</v>
      </c>
      <c r="S364" s="686" t="s">
        <v>2799</v>
      </c>
      <c r="T364" s="683" t="s">
        <v>2800</v>
      </c>
      <c r="U364" s="683" t="s">
        <v>2488</v>
      </c>
      <c r="V364" s="683" t="s">
        <v>146</v>
      </c>
      <c r="W364" s="683" t="s">
        <v>914</v>
      </c>
      <c r="X364" s="691" t="s">
        <v>918</v>
      </c>
      <c r="Y364" s="687">
        <v>3004214491</v>
      </c>
      <c r="Z364" s="692"/>
      <c r="AA364" s="683" t="s">
        <v>33</v>
      </c>
      <c r="AB364" s="683" t="s">
        <v>34</v>
      </c>
      <c r="AC364" s="683" t="s">
        <v>230</v>
      </c>
      <c r="AD364" s="683" t="s">
        <v>1110</v>
      </c>
      <c r="AE364" s="683">
        <v>60</v>
      </c>
      <c r="AF364" s="684">
        <v>1714.4</v>
      </c>
      <c r="AG364" s="683" t="s">
        <v>243</v>
      </c>
      <c r="AH364" s="683" t="s">
        <v>244</v>
      </c>
      <c r="AI364" s="683" t="s">
        <v>33</v>
      </c>
      <c r="AJ364" s="683">
        <v>3004133600</v>
      </c>
      <c r="AK364" s="683" t="s">
        <v>33</v>
      </c>
      <c r="AL364" s="683">
        <v>1063014</v>
      </c>
      <c r="AM364" s="683" t="s">
        <v>1121</v>
      </c>
      <c r="AN364" s="683" t="s">
        <v>1352</v>
      </c>
      <c r="AO364" s="683" t="s">
        <v>1166</v>
      </c>
      <c r="AP364" s="683" t="s">
        <v>240</v>
      </c>
      <c r="AQ364" s="683" t="str">
        <f>CONCATENATE("REG-",BDEGENER[[#This Row],[FECHA DE SERVICIO]],"-",BDEGENER[[#This Row],[SERIE]],"-",BDEGENER[[#This Row],[HORAS]])</f>
        <v>REG-44013-3004214491-1714,4</v>
      </c>
      <c r="AR364" s="683" t="str">
        <f>CONCATENATE("MARCA: ",BDEGENER[[#This Row],[MARCA]],"
 MODELO: ",BDEGENER[[#This Row],[MODELO]])</f>
        <v>MARCA: GENERAC
 MODELO: PG090</v>
      </c>
      <c r="AS364" s="683" t="str">
        <f>CONCATENATE("MARCA: ",BDEGENER[[#This Row],[MARCA DE MOTOR]],"
SERIE: ",BDEGENER[[#This Row],[SERIE DE MOTOR]])</f>
        <v>MARCA: GENERAC
SERIE: 3004133600</v>
      </c>
      <c r="AT364" s="683" t="str">
        <f>CONCATENATE("MARCA: ",BDEGENER[[#This Row],[MARCA ALTERNADOR ]],"
SERIE: ",BDEGENER[[#This Row],[SERIE DE ALTERNADOR]])</f>
        <v>MARCA: GENERAC
SERIE: 1063014</v>
      </c>
      <c r="AU364" s="683" t="str">
        <f>CONCATENATE("HORAS: ",BDEGENER[[#This Row],[HORAS]],"
KW-HR: ",BDEGENER[[#This Row],[KW-HORA]],"
VOLT.BATERIA: ",BDEGENER[[#This Row],[VOLTAJE DE BATERIA]],"
TEMPERATURA: ",BDEGENER[[#This Row],[TEMPERATURA DE AGUA]],"
PRES. ACEITE: ",BDEGENER[[#This Row],[PRESION DE ACEITE]])</f>
        <v>HORAS: 1714,4
KW-HR: 23694,8
VOLT.BATERIA: 13.7 V
TEMPERATURA: 196 °F
PRES. ACEITE: 57 PSI</v>
      </c>
      <c r="AV364" s="761">
        <f>COUNTIFS(Q364:Q2364,"MANTENIMIENTO CORRECTIVO",Y364:Y2364,BDEGENER[[#This Row],[SERIE]])</f>
        <v>4</v>
      </c>
      <c r="AW364" s="761">
        <f>COUNTIFS(Q364:Q2364,"MANTENIMIENTO PREVENTIVO",Y364:Y2364,BDEGENER[[#This Row],[SERIE]])</f>
        <v>6</v>
      </c>
      <c r="AX36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64" s="683">
        <f>COUNTIFS(BDEGENER[SERIE],BDEGENER[[#This Row],[SERIE]],BDEGENER[TIPO DE SERVICIO],"MANTENIMIENTO PREVENTIVO")</f>
        <v>9</v>
      </c>
      <c r="AZ364" s="683" t="str">
        <f>CONCATENATE("MANTENIMIENTO PREVENTIVO N°",BDEGENER[[#This Row],[GA1]])</f>
        <v>MANTENIMIENTO PREVENTIVO N°9</v>
      </c>
      <c r="BA364" s="683" t="str">
        <f>IF(BDEGENER[[#This Row],[SERVICIO]]=BDEGENER[[#This Row],[GA2]],BDEGENER[[#This Row],[HORAS]],"0")</f>
        <v>0</v>
      </c>
      <c r="BB364" s="683">
        <f>SUMIF(BDEGENER[SERIE],BDEGENER[[#This Row],[SERIE]],BDEGENER[GA3])</f>
        <v>2751</v>
      </c>
      <c r="BC364" s="761" t="str">
        <f>CONCATENATE("MANT",COUNTIF($Y$7:Y364,Y364))</f>
        <v>MANT8</v>
      </c>
      <c r="BD364" s="683" t="str">
        <f>CONCATENATE(BDEGENER[[#This Row],[SERIE]],BDEGENER[[#This Row],[GA5]])</f>
        <v>3004214491MANT8</v>
      </c>
      <c r="BE364" s="683" t="str">
        <f>CONCATENATE(BDEGENER[[#This Row],[CODIGO PATRIMONIAL]],BDEGENER[[#This Row],[GA5]])</f>
        <v>MANT8</v>
      </c>
      <c r="BF364" s="683">
        <f>COUNTIF(BDEGENER[SERIE],BDEGENER[[#This Row],[SERIE]])</f>
        <v>18</v>
      </c>
      <c r="BG364" s="761" t="str">
        <f>CONCATENATE("F",COUNTIF($K$7:K364,K364))</f>
        <v>F1</v>
      </c>
      <c r="BH364" s="683" t="str">
        <f>CONCATENATE(BDEGENER[[#This Row],[FECHA DE SERVICIO]],BDEGENER[[#This Row],[N° DE REGISTROS DEL DIA]])</f>
        <v>44013F1</v>
      </c>
      <c r="BI364" s="684">
        <v>23694.799999999999</v>
      </c>
      <c r="BJ364" s="683" t="s">
        <v>1544</v>
      </c>
      <c r="BK364" s="736"/>
    </row>
    <row r="365" spans="2:63" ht="69" hidden="1" x14ac:dyDescent="0.3">
      <c r="B365" s="2"/>
      <c r="C365" s="2"/>
      <c r="D365" s="2"/>
      <c r="E365" s="2"/>
      <c r="F365" s="2"/>
      <c r="G365" s="2"/>
      <c r="H365" s="2"/>
      <c r="I365" s="2"/>
      <c r="J365" s="685"/>
      <c r="K365" s="682">
        <v>44013</v>
      </c>
      <c r="L365" s="683" t="s">
        <v>181</v>
      </c>
      <c r="M365" s="683" t="s">
        <v>187</v>
      </c>
      <c r="N365" s="683" t="s">
        <v>183</v>
      </c>
      <c r="O365" s="683">
        <v>4500873022</v>
      </c>
      <c r="P365" s="683" t="s">
        <v>2798</v>
      </c>
      <c r="Q365" s="683" t="s">
        <v>37</v>
      </c>
      <c r="R365" s="683" t="s">
        <v>2801</v>
      </c>
      <c r="S365" s="686" t="s">
        <v>2799</v>
      </c>
      <c r="T365" s="683" t="s">
        <v>2800</v>
      </c>
      <c r="U365" s="683" t="s">
        <v>2488</v>
      </c>
      <c r="V365" s="683" t="s">
        <v>146</v>
      </c>
      <c r="W365" s="683" t="s">
        <v>914</v>
      </c>
      <c r="X365" s="691" t="s">
        <v>918</v>
      </c>
      <c r="Y365" s="687">
        <v>3004327725</v>
      </c>
      <c r="Z365" s="692"/>
      <c r="AA365" s="683" t="s">
        <v>33</v>
      </c>
      <c r="AB365" s="683" t="s">
        <v>34</v>
      </c>
      <c r="AC365" s="683" t="s">
        <v>230</v>
      </c>
      <c r="AD365" s="683" t="s">
        <v>1110</v>
      </c>
      <c r="AE365" s="683">
        <v>60</v>
      </c>
      <c r="AF365" s="684">
        <v>1599.8</v>
      </c>
      <c r="AG365" s="683" t="s">
        <v>243</v>
      </c>
      <c r="AH365" s="683" t="s">
        <v>220</v>
      </c>
      <c r="AI365" s="683" t="s">
        <v>33</v>
      </c>
      <c r="AJ365" s="683">
        <v>3004333865</v>
      </c>
      <c r="AK365" s="683" t="s">
        <v>33</v>
      </c>
      <c r="AL365" s="683">
        <v>1065020</v>
      </c>
      <c r="AM365" s="683" t="s">
        <v>1377</v>
      </c>
      <c r="AN365" s="683" t="s">
        <v>1505</v>
      </c>
      <c r="AO365" s="683" t="s">
        <v>1349</v>
      </c>
      <c r="AP365" s="683" t="s">
        <v>240</v>
      </c>
      <c r="AQ365" s="683" t="str">
        <f>CONCATENATE("REG-",BDEGENER[[#This Row],[FECHA DE SERVICIO]],"-",BDEGENER[[#This Row],[SERIE]],"-",BDEGENER[[#This Row],[HORAS]])</f>
        <v>REG-44013-3004327725-1599,8</v>
      </c>
      <c r="AR365" s="683" t="str">
        <f>CONCATENATE("MARCA: ",BDEGENER[[#This Row],[MARCA]],"
 MODELO: ",BDEGENER[[#This Row],[MODELO]])</f>
        <v>MARCA: GENERAC
 MODELO: PG090</v>
      </c>
      <c r="AS365" s="683" t="str">
        <f>CONCATENATE("MARCA: ",BDEGENER[[#This Row],[MARCA DE MOTOR]],"
SERIE: ",BDEGENER[[#This Row],[SERIE DE MOTOR]])</f>
        <v>MARCA: GENERAC
SERIE: 3004333865</v>
      </c>
      <c r="AT365" s="683" t="str">
        <f>CONCATENATE("MARCA: ",BDEGENER[[#This Row],[MARCA ALTERNADOR ]],"
SERIE: ",BDEGENER[[#This Row],[SERIE DE ALTERNADOR]])</f>
        <v>MARCA: GENERAC
SERIE: 1065020</v>
      </c>
      <c r="AU365" s="683" t="str">
        <f>CONCATENATE("HORAS: ",BDEGENER[[#This Row],[HORAS]],"
KW-HR: ",BDEGENER[[#This Row],[KW-HORA]],"
VOLT.BATERIA: ",BDEGENER[[#This Row],[VOLTAJE DE BATERIA]],"
TEMPERATURA: ",BDEGENER[[#This Row],[TEMPERATURA DE AGUA]],"
PRES. ACEITE: ",BDEGENER[[#This Row],[PRESION DE ACEITE]])</f>
        <v>HORAS: 1599,8
KW-HR: 21483,9
VOLT.BATERIA: 13.8 V
TEMPERATURA: 194 °F
PRES. ACEITE: 56 PSI</v>
      </c>
      <c r="AV365" s="683">
        <f>COUNTIFS(Q365:Q2365,"MANTENIMIENTO CORRECTIVO",Y365:Y2365,BDEGENER[[#This Row],[SERIE]])</f>
        <v>1</v>
      </c>
      <c r="AW365" s="683">
        <f>COUNTIFS(Q365:Q2365,"MANTENIMIENTO PREVENTIVO",Y365:Y2365,BDEGENER[[#This Row],[SERIE]])</f>
        <v>6</v>
      </c>
      <c r="AX36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65" s="683">
        <f>COUNTIFS(BDEGENER[SERIE],BDEGENER[[#This Row],[SERIE]],BDEGENER[TIPO DE SERVICIO],"MANTENIMIENTO PREVENTIVO")</f>
        <v>6</v>
      </c>
      <c r="AZ365" s="683" t="str">
        <f>CONCATENATE("MANTENIMIENTO PREVENTIVO N°",BDEGENER[[#This Row],[GA1]])</f>
        <v>MANTENIMIENTO PREVENTIVO N°6</v>
      </c>
      <c r="BA365" s="683">
        <f>IF(BDEGENER[[#This Row],[SERVICIO]]=BDEGENER[[#This Row],[GA2]],BDEGENER[[#This Row],[HORAS]],"0")</f>
        <v>1599.8</v>
      </c>
      <c r="BB365" s="683">
        <f>SUMIF(BDEGENER[SERIE],BDEGENER[[#This Row],[SERIE]],BDEGENER[GA3])</f>
        <v>1599.8</v>
      </c>
      <c r="BC365" s="683" t="str">
        <f>CONCATENATE("MANT",COUNTIF($Y$7:Y365,Y365))</f>
        <v>MANT6</v>
      </c>
      <c r="BD365" s="683" t="str">
        <f>CONCATENATE(BDEGENER[[#This Row],[SERIE]],BDEGENER[[#This Row],[GA5]])</f>
        <v>3004327725MANT6</v>
      </c>
      <c r="BE365" s="683" t="str">
        <f>CONCATENATE(BDEGENER[[#This Row],[CODIGO PATRIMONIAL]],BDEGENER[[#This Row],[GA5]])</f>
        <v>MANT6</v>
      </c>
      <c r="BF365" s="683">
        <f>COUNTIF(BDEGENER[SERIE],BDEGENER[[#This Row],[SERIE]])</f>
        <v>13</v>
      </c>
      <c r="BG365" s="683" t="str">
        <f>CONCATENATE("F",COUNTIF($K$7:K365,K365))</f>
        <v>F2</v>
      </c>
      <c r="BH365" s="683" t="str">
        <f>CONCATENATE(BDEGENER[[#This Row],[FECHA DE SERVICIO]],BDEGENER[[#This Row],[N° DE REGISTROS DEL DIA]])</f>
        <v>44013F2</v>
      </c>
      <c r="BI365" s="684">
        <v>21483.9</v>
      </c>
      <c r="BJ365" s="683" t="s">
        <v>1544</v>
      </c>
      <c r="BK365" s="736"/>
    </row>
    <row r="366" spans="2:63" ht="69" hidden="1" x14ac:dyDescent="0.3">
      <c r="B366" s="2"/>
      <c r="C366" s="2"/>
      <c r="D366" s="2"/>
      <c r="E366" s="2"/>
      <c r="F366" s="2"/>
      <c r="G366" s="2"/>
      <c r="H366" s="2"/>
      <c r="I366" s="2"/>
      <c r="J366" s="685"/>
      <c r="K366" s="682">
        <v>44012</v>
      </c>
      <c r="L366" s="683" t="s">
        <v>248</v>
      </c>
      <c r="M366" s="683" t="s">
        <v>2078</v>
      </c>
      <c r="N366" s="683" t="s">
        <v>1319</v>
      </c>
      <c r="O366" s="683"/>
      <c r="P366" s="688" t="s">
        <v>2908</v>
      </c>
      <c r="Q366" s="683" t="s">
        <v>37</v>
      </c>
      <c r="R366" s="683" t="s">
        <v>1782</v>
      </c>
      <c r="S366" s="686" t="s">
        <v>2899</v>
      </c>
      <c r="T366" s="683" t="s">
        <v>2905</v>
      </c>
      <c r="U366" s="683" t="s">
        <v>2901</v>
      </c>
      <c r="V366" s="683" t="s">
        <v>149</v>
      </c>
      <c r="W366" s="683" t="s">
        <v>914</v>
      </c>
      <c r="X366" s="691" t="s">
        <v>918</v>
      </c>
      <c r="Y366" s="687">
        <v>3005005010</v>
      </c>
      <c r="Z366" s="692">
        <v>24547</v>
      </c>
      <c r="AA366" s="683" t="s">
        <v>33</v>
      </c>
      <c r="AB366" s="683" t="s">
        <v>34</v>
      </c>
      <c r="AC366" s="683" t="s">
        <v>230</v>
      </c>
      <c r="AD366" s="683" t="s">
        <v>1123</v>
      </c>
      <c r="AE366" s="683">
        <v>60</v>
      </c>
      <c r="AF366" s="684">
        <v>1756.5</v>
      </c>
      <c r="AG366" s="683" t="s">
        <v>243</v>
      </c>
      <c r="AH366" s="683" t="s">
        <v>220</v>
      </c>
      <c r="AI366" s="683" t="s">
        <v>33</v>
      </c>
      <c r="AJ366" s="683">
        <v>3005065416</v>
      </c>
      <c r="AK366" s="683" t="s">
        <v>33</v>
      </c>
      <c r="AL366" s="683">
        <v>139546230</v>
      </c>
      <c r="AM366" s="683" t="s">
        <v>1142</v>
      </c>
      <c r="AN366" s="683" t="s">
        <v>2909</v>
      </c>
      <c r="AO366" s="683" t="s">
        <v>1144</v>
      </c>
      <c r="AP366" s="683" t="s">
        <v>240</v>
      </c>
      <c r="AQ366" s="688" t="str">
        <f>CONCATENATE("REG-",BDEGENER[[#This Row],[FECHA DE SERVICIO]],"-",BDEGENER[[#This Row],[SERIE]],"-",BDEGENER[[#This Row],[HORAS]])</f>
        <v>REG-44012-3005005010-1756,5</v>
      </c>
      <c r="AR366" s="683" t="str">
        <f>CONCATENATE("MARCA: ",BDEGENER[[#This Row],[MARCA]],"
 MODELO: ",BDEGENER[[#This Row],[MODELO]])</f>
        <v>MARCA: GENERAC
 MODELO: PG090</v>
      </c>
      <c r="AS366" s="683" t="str">
        <f>CONCATENATE("MARCA: ",BDEGENER[[#This Row],[MARCA DE MOTOR]],"
SERIE: ",BDEGENER[[#This Row],[SERIE DE MOTOR]])</f>
        <v>MARCA: GENERAC
SERIE: 3005065416</v>
      </c>
      <c r="AT366" s="683" t="str">
        <f>CONCATENATE("MARCA: ",BDEGENER[[#This Row],[MARCA ALTERNADOR ]],"
SERIE: ",BDEGENER[[#This Row],[SERIE DE ALTERNADOR]])</f>
        <v>MARCA: GENERAC
SERIE: 139546230</v>
      </c>
      <c r="AU366" s="683" t="str">
        <f>CONCATENATE("HORAS: ",BDEGENER[[#This Row],[HORAS]],"
KW-HR: ",BDEGENER[[#This Row],[KW-HORA]],"
VOLT.BATERIA: ",BDEGENER[[#This Row],[VOLTAJE DE BATERIA]],"
TEMPERATURA: ",BDEGENER[[#This Row],[TEMPERATURA DE AGUA]],"
PRES. ACEITE: ",BDEGENER[[#This Row],[PRESION DE ACEITE]])</f>
        <v>HORAS: 1756,5
KW-HR: 57185,4
VOLT.BATERIA: 14.4 V
TEMPERATURA: 203 °C
PRES. ACEITE: 59 PSI</v>
      </c>
      <c r="AV366" s="683">
        <f>COUNTIFS(Q366:Q2366,"MANTENIMIENTO CORRECTIVO",Y366:Y2366,BDEGENER[[#This Row],[SERIE]])</f>
        <v>0</v>
      </c>
      <c r="AW366" s="683">
        <f>COUNTIFS(Q366:Q2366,"MANTENIMIENTO PREVENTIVO",Y366:Y2366,BDEGENER[[#This Row],[SERIE]])</f>
        <v>6</v>
      </c>
      <c r="AX36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66" s="683">
        <f>COUNTIFS(BDEGENER[SERIE],BDEGENER[[#This Row],[SERIE]],BDEGENER[TIPO DE SERVICIO],"MANTENIMIENTO PREVENTIVO")</f>
        <v>9</v>
      </c>
      <c r="AZ366" s="683" t="str">
        <f>CONCATENATE("MANTENIMIENTO PREVENTIVO N°",BDEGENER[[#This Row],[GA1]])</f>
        <v>MANTENIMIENTO PREVENTIVO N°9</v>
      </c>
      <c r="BA366" s="683" t="str">
        <f>IF(BDEGENER[[#This Row],[SERVICIO]]=BDEGENER[[#This Row],[GA2]],BDEGENER[[#This Row],[HORAS]],"0")</f>
        <v>0</v>
      </c>
      <c r="BB366" s="683">
        <f>SUMIF(BDEGENER[SERIE],BDEGENER[[#This Row],[SERIE]],BDEGENER[GA3])</f>
        <v>2557.3000000000002</v>
      </c>
      <c r="BC366" s="683" t="str">
        <f>CONCATENATE("MANT",COUNTIF($Y$7:Y366,Y366))</f>
        <v>MANT7</v>
      </c>
      <c r="BD366" s="683" t="str">
        <f>CONCATENATE(BDEGENER[[#This Row],[SERIE]],BDEGENER[[#This Row],[GA5]])</f>
        <v>3005005010MANT7</v>
      </c>
      <c r="BE366" s="683" t="str">
        <f>CONCATENATE(BDEGENER[[#This Row],[CODIGO PATRIMONIAL]],BDEGENER[[#This Row],[GA5]])</f>
        <v>24547MANT7</v>
      </c>
      <c r="BF366" s="683">
        <f>COUNTIF(BDEGENER[SERIE],BDEGENER[[#This Row],[SERIE]])</f>
        <v>14</v>
      </c>
      <c r="BG366" s="683" t="str">
        <f>CONCATENATE("F",COUNTIF($K$7:K366,K366))</f>
        <v>F1</v>
      </c>
      <c r="BH366" s="683" t="str">
        <f>CONCATENATE(BDEGENER[[#This Row],[FECHA DE SERVICIO]],BDEGENER[[#This Row],[N° DE REGISTROS DEL DIA]])</f>
        <v>44012F1</v>
      </c>
      <c r="BI366" s="684">
        <v>57185.4</v>
      </c>
      <c r="BJ366" s="683" t="s">
        <v>1544</v>
      </c>
      <c r="BK366" s="736" t="s">
        <v>2860</v>
      </c>
    </row>
    <row r="367" spans="2:63" ht="69" hidden="1" x14ac:dyDescent="0.3">
      <c r="B367" s="2"/>
      <c r="C367" s="2"/>
      <c r="D367" s="2"/>
      <c r="E367" s="2"/>
      <c r="F367" s="2"/>
      <c r="G367" s="2"/>
      <c r="H367" s="2"/>
      <c r="I367" s="2"/>
      <c r="J367" s="685"/>
      <c r="K367" s="682">
        <v>44012</v>
      </c>
      <c r="L367" s="683" t="s">
        <v>248</v>
      </c>
      <c r="M367" s="683" t="s">
        <v>2186</v>
      </c>
      <c r="N367" s="683" t="s">
        <v>2187</v>
      </c>
      <c r="O367" s="683"/>
      <c r="P367" s="688" t="s">
        <v>2904</v>
      </c>
      <c r="Q367" s="683" t="s">
        <v>37</v>
      </c>
      <c r="R367" s="683" t="s">
        <v>1782</v>
      </c>
      <c r="S367" s="686" t="s">
        <v>2899</v>
      </c>
      <c r="T367" s="683" t="s">
        <v>2906</v>
      </c>
      <c r="U367" s="683" t="s">
        <v>2901</v>
      </c>
      <c r="V367" s="683" t="s">
        <v>149</v>
      </c>
      <c r="W367" s="683" t="s">
        <v>914</v>
      </c>
      <c r="X367" s="691" t="s">
        <v>918</v>
      </c>
      <c r="Y367" s="687">
        <v>3005005007</v>
      </c>
      <c r="Z367" s="692">
        <v>24546</v>
      </c>
      <c r="AA367" s="683" t="s">
        <v>33</v>
      </c>
      <c r="AB367" s="683" t="s">
        <v>34</v>
      </c>
      <c r="AC367" s="683" t="s">
        <v>230</v>
      </c>
      <c r="AD367" s="683" t="s">
        <v>1123</v>
      </c>
      <c r="AE367" s="683">
        <v>60</v>
      </c>
      <c r="AF367" s="684">
        <v>1497.7</v>
      </c>
      <c r="AG367" s="683" t="s">
        <v>243</v>
      </c>
      <c r="AH367" s="683" t="s">
        <v>220</v>
      </c>
      <c r="AI367" s="683" t="s">
        <v>33</v>
      </c>
      <c r="AJ367" s="683">
        <v>3005065920</v>
      </c>
      <c r="AK367" s="683" t="s">
        <v>33</v>
      </c>
      <c r="AL367" s="683">
        <v>139546230</v>
      </c>
      <c r="AM367" s="683" t="s">
        <v>1094</v>
      </c>
      <c r="AN367" s="683" t="s">
        <v>1505</v>
      </c>
      <c r="AO367" s="683" t="s">
        <v>2907</v>
      </c>
      <c r="AP367" s="683" t="s">
        <v>240</v>
      </c>
      <c r="AQ367" s="688" t="str">
        <f>CONCATENATE("REG-",BDEGENER[[#This Row],[FECHA DE SERVICIO]],"-",BDEGENER[[#This Row],[SERIE]],"-",BDEGENER[[#This Row],[HORAS]])</f>
        <v>REG-44012-3005005007-1497,7</v>
      </c>
      <c r="AR367" s="683" t="str">
        <f>CONCATENATE("MARCA: ",BDEGENER[[#This Row],[MARCA]],"
 MODELO: ",BDEGENER[[#This Row],[MODELO]])</f>
        <v>MARCA: GENERAC
 MODELO: PG090</v>
      </c>
      <c r="AS367" s="683" t="str">
        <f>CONCATENATE("MARCA: ",BDEGENER[[#This Row],[MARCA DE MOTOR]],"
SERIE: ",BDEGENER[[#This Row],[SERIE DE MOTOR]])</f>
        <v>MARCA: GENERAC
SERIE: 3005065920</v>
      </c>
      <c r="AT367" s="683" t="str">
        <f>CONCATENATE("MARCA: ",BDEGENER[[#This Row],[MARCA ALTERNADOR ]],"
SERIE: ",BDEGENER[[#This Row],[SERIE DE ALTERNADOR]])</f>
        <v>MARCA: GENERAC
SERIE: 139546230</v>
      </c>
      <c r="AU367" s="683" t="str">
        <f>CONCATENATE("HORAS: ",BDEGENER[[#This Row],[HORAS]],"
KW-HR: ",BDEGENER[[#This Row],[KW-HORA]],"
VOLT.BATERIA: ",BDEGENER[[#This Row],[VOLTAJE DE BATERIA]],"
TEMPERATURA: ",BDEGENER[[#This Row],[TEMPERATURA DE AGUA]],"
PRES. ACEITE: ",BDEGENER[[#This Row],[PRESION DE ACEITE]])</f>
        <v>HORAS: 1497,7
KW-HR: 49867,1
VOLT.BATERIA: 13.5 V
TEMPERATURA: 194 °F
PRES. ACEITE: 39 PSI</v>
      </c>
      <c r="AV367" s="761">
        <f>COUNTIFS(Q367:Q2367,"MANTENIMIENTO CORRECTIVO",Y367:Y2367,BDEGENER[[#This Row],[SERIE]])</f>
        <v>1</v>
      </c>
      <c r="AW367" s="761">
        <f>COUNTIFS(Q367:Q2367,"MANTENIMIENTO PREVENTIVO",Y367:Y2367,BDEGENER[[#This Row],[SERIE]])</f>
        <v>5</v>
      </c>
      <c r="AX36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67" s="683">
        <f>COUNTIFS(BDEGENER[SERIE],BDEGENER[[#This Row],[SERIE]],BDEGENER[TIPO DE SERVICIO],"MANTENIMIENTO PREVENTIVO")</f>
        <v>7</v>
      </c>
      <c r="AZ367" s="683" t="str">
        <f>CONCATENATE("MANTENIMIENTO PREVENTIVO N°",BDEGENER[[#This Row],[GA1]])</f>
        <v>MANTENIMIENTO PREVENTIVO N°7</v>
      </c>
      <c r="BA367" s="683" t="str">
        <f>IF(BDEGENER[[#This Row],[SERVICIO]]=BDEGENER[[#This Row],[GA2]],BDEGENER[[#This Row],[HORAS]],"0")</f>
        <v>0</v>
      </c>
      <c r="BB367" s="683">
        <f>SUMIF(BDEGENER[SERIE],BDEGENER[[#This Row],[SERIE]],BDEGENER[GA3])</f>
        <v>2333.3000000000002</v>
      </c>
      <c r="BC367" s="761" t="str">
        <f>CONCATENATE("MANT",COUNTIF($Y$7:Y367,Y367))</f>
        <v>MANT3</v>
      </c>
      <c r="BD367" s="683" t="str">
        <f>CONCATENATE(BDEGENER[[#This Row],[SERIE]],BDEGENER[[#This Row],[GA5]])</f>
        <v>3005005007MANT3</v>
      </c>
      <c r="BE367" s="683" t="str">
        <f>CONCATENATE(BDEGENER[[#This Row],[CODIGO PATRIMONIAL]],BDEGENER[[#This Row],[GA5]])</f>
        <v>24546MANT3</v>
      </c>
      <c r="BF367" s="683">
        <f>COUNTIF(BDEGENER[SERIE],BDEGENER[[#This Row],[SERIE]])</f>
        <v>11</v>
      </c>
      <c r="BG367" s="761" t="str">
        <f>CONCATENATE("F",COUNTIF($K$7:K367,K367))</f>
        <v>F2</v>
      </c>
      <c r="BH367" s="683" t="str">
        <f>CONCATENATE(BDEGENER[[#This Row],[FECHA DE SERVICIO]],BDEGENER[[#This Row],[N° DE REGISTROS DEL DIA]])</f>
        <v>44012F2</v>
      </c>
      <c r="BI367" s="684">
        <v>49867.1</v>
      </c>
      <c r="BJ367" s="683" t="s">
        <v>1544</v>
      </c>
      <c r="BK367" s="736" t="s">
        <v>1968</v>
      </c>
    </row>
    <row r="368" spans="2:63" ht="69" hidden="1" x14ac:dyDescent="0.3">
      <c r="B368" s="2"/>
      <c r="C368" s="2"/>
      <c r="D368" s="2"/>
      <c r="E368" s="2"/>
      <c r="F368" s="2"/>
      <c r="G368" s="2"/>
      <c r="H368" s="2"/>
      <c r="I368" s="2"/>
      <c r="J368" s="685"/>
      <c r="K368" s="682">
        <v>44012</v>
      </c>
      <c r="L368" s="683" t="s">
        <v>248</v>
      </c>
      <c r="M368" s="683" t="s">
        <v>1224</v>
      </c>
      <c r="N368" s="683" t="s">
        <v>1319</v>
      </c>
      <c r="O368" s="683"/>
      <c r="P368" s="688" t="s">
        <v>2898</v>
      </c>
      <c r="Q368" s="683" t="s">
        <v>37</v>
      </c>
      <c r="R368" s="683" t="s">
        <v>1782</v>
      </c>
      <c r="S368" s="686" t="s">
        <v>2899</v>
      </c>
      <c r="T368" s="683" t="s">
        <v>2900</v>
      </c>
      <c r="U368" s="683" t="s">
        <v>2901</v>
      </c>
      <c r="V368" s="683" t="s">
        <v>149</v>
      </c>
      <c r="W368" s="683" t="s">
        <v>914</v>
      </c>
      <c r="X368" s="691" t="s">
        <v>918</v>
      </c>
      <c r="Y368" s="687">
        <v>3004999911</v>
      </c>
      <c r="Z368" s="692">
        <v>24543</v>
      </c>
      <c r="AA368" s="683" t="s">
        <v>33</v>
      </c>
      <c r="AB368" s="683" t="s">
        <v>1728</v>
      </c>
      <c r="AC368" s="683" t="s">
        <v>528</v>
      </c>
      <c r="AD368" s="683" t="s">
        <v>1123</v>
      </c>
      <c r="AE368" s="683">
        <v>60</v>
      </c>
      <c r="AF368" s="684">
        <v>1783.1</v>
      </c>
      <c r="AG368" s="683" t="s">
        <v>243</v>
      </c>
      <c r="AH368" s="683" t="s">
        <v>220</v>
      </c>
      <c r="AI368" s="683" t="s">
        <v>1495</v>
      </c>
      <c r="AJ368" s="683" t="s">
        <v>1496</v>
      </c>
      <c r="AK368" s="683" t="s">
        <v>33</v>
      </c>
      <c r="AL368" s="683">
        <v>139546230</v>
      </c>
      <c r="AM368" s="683" t="s">
        <v>245</v>
      </c>
      <c r="AN368" s="683" t="s">
        <v>2903</v>
      </c>
      <c r="AO368" s="683" t="s">
        <v>1365</v>
      </c>
      <c r="AP368" s="683" t="s">
        <v>240</v>
      </c>
      <c r="AQ368" s="688" t="str">
        <f>CONCATENATE("REG-",BDEGENER[[#This Row],[FECHA DE SERVICIO]],"-",BDEGENER[[#This Row],[SERIE]],"-",BDEGENER[[#This Row],[HORAS]])</f>
        <v>REG-44012-3004999911-1783,1</v>
      </c>
      <c r="AR368" s="683" t="str">
        <f>CONCATENATE("MARCA: ",BDEGENER[[#This Row],[MARCA]],"
 MODELO: ",BDEGENER[[#This Row],[MODELO]])</f>
        <v>MARCA: GENERAC
 MODELO: PG054</v>
      </c>
      <c r="AS368" s="683" t="str">
        <f>CONCATENATE("MARCA: ",BDEGENER[[#This Row],[MARCA DE MOTOR]],"
SERIE: ",BDEGENER[[#This Row],[SERIE DE MOTOR]])</f>
        <v>MARCA: FORD
SERIE: GP680AA</v>
      </c>
      <c r="AT368" s="683" t="str">
        <f>CONCATENATE("MARCA: ",BDEGENER[[#This Row],[MARCA ALTERNADOR ]],"
SERIE: ",BDEGENER[[#This Row],[SERIE DE ALTERNADOR]])</f>
        <v>MARCA: GENERAC
SERIE: 139546230</v>
      </c>
      <c r="AU368" s="683" t="str">
        <f>CONCATENATE("HORAS: ",BDEGENER[[#This Row],[HORAS]],"
KW-HR: ",BDEGENER[[#This Row],[KW-HORA]],"
VOLT.BATERIA: ",BDEGENER[[#This Row],[VOLTAJE DE BATERIA]],"
TEMPERATURA: ",BDEGENER[[#This Row],[TEMPERATURA DE AGUA]],"
PRES. ACEITE: ",BDEGENER[[#This Row],[PRESION DE ACEITE]])</f>
        <v>HORAS: 1783,1
KW-HR: 42436
VOLT.BATERIA: 13.6 V
TEMPERATURA: 191 °F
PRES. ACEITE: 70 PSI</v>
      </c>
      <c r="AV368" s="683">
        <f>COUNTIFS(Q368:Q2368,"MANTENIMIENTO CORRECTIVO",Y368:Y2368,BDEGENER[[#This Row],[SERIE]])</f>
        <v>0</v>
      </c>
      <c r="AW368" s="683">
        <f>COUNTIFS(Q368:Q2368,"MANTENIMIENTO PREVENTIVO",Y368:Y2368,BDEGENER[[#This Row],[SERIE]])</f>
        <v>6</v>
      </c>
      <c r="AX36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68" s="683">
        <f>COUNTIFS(BDEGENER[SERIE],BDEGENER[[#This Row],[SERIE]],BDEGENER[TIPO DE SERVICIO],"MANTENIMIENTO PREVENTIVO")</f>
        <v>12</v>
      </c>
      <c r="AZ368" s="683" t="str">
        <f>CONCATENATE("MANTENIMIENTO PREVENTIVO N°",BDEGENER[[#This Row],[GA1]])</f>
        <v>MANTENIMIENTO PREVENTIVO N°12</v>
      </c>
      <c r="BA368" s="683" t="str">
        <f>IF(BDEGENER[[#This Row],[SERVICIO]]=BDEGENER[[#This Row],[GA2]],BDEGENER[[#This Row],[HORAS]],"0")</f>
        <v>0</v>
      </c>
      <c r="BB368" s="683">
        <f>SUMIF(BDEGENER[SERIE],BDEGENER[[#This Row],[SERIE]],BDEGENER[GA3])</f>
        <v>3510.8</v>
      </c>
      <c r="BC368" s="683" t="str">
        <f>CONCATENATE("MANT",COUNTIF($Y$7:Y368,Y368))</f>
        <v>MANT7</v>
      </c>
      <c r="BD368" s="683" t="str">
        <f>CONCATENATE(BDEGENER[[#This Row],[SERIE]],BDEGENER[[#This Row],[GA5]])</f>
        <v>3004999911MANT7</v>
      </c>
      <c r="BE368" s="683" t="str">
        <f>CONCATENATE(BDEGENER[[#This Row],[CODIGO PATRIMONIAL]],BDEGENER[[#This Row],[GA5]])</f>
        <v>24543MANT7</v>
      </c>
      <c r="BF368" s="683">
        <f>COUNTIF(BDEGENER[SERIE],BDEGENER[[#This Row],[SERIE]])</f>
        <v>14</v>
      </c>
      <c r="BG368" s="683" t="str">
        <f>CONCATENATE("F",COUNTIF($K$7:K368,K368))</f>
        <v>F3</v>
      </c>
      <c r="BH368" s="683" t="str">
        <f>CONCATENATE(BDEGENER[[#This Row],[FECHA DE SERVICIO]],BDEGENER[[#This Row],[N° DE REGISTROS DEL DIA]])</f>
        <v>44012F3</v>
      </c>
      <c r="BI368" s="684">
        <v>42436</v>
      </c>
      <c r="BJ368" s="683" t="s">
        <v>1544</v>
      </c>
      <c r="BK368" s="736" t="s">
        <v>2902</v>
      </c>
    </row>
    <row r="369" spans="2:63" ht="69" hidden="1" x14ac:dyDescent="0.3">
      <c r="B369" s="2"/>
      <c r="C369" s="2"/>
      <c r="D369" s="2"/>
      <c r="E369" s="2"/>
      <c r="F369" s="2"/>
      <c r="G369" s="2"/>
      <c r="H369" s="2"/>
      <c r="I369" s="2"/>
      <c r="J369" s="685"/>
      <c r="K369" s="682">
        <v>44009</v>
      </c>
      <c r="L369" s="683" t="s">
        <v>561</v>
      </c>
      <c r="M369" s="683" t="s">
        <v>2453</v>
      </c>
      <c r="N369" s="683" t="s">
        <v>584</v>
      </c>
      <c r="O369" s="683"/>
      <c r="P369" s="688" t="s">
        <v>2825</v>
      </c>
      <c r="Q369" s="683" t="s">
        <v>37</v>
      </c>
      <c r="R369" s="683" t="s">
        <v>1782</v>
      </c>
      <c r="S369" s="686" t="s">
        <v>2821</v>
      </c>
      <c r="T369" s="683" t="s">
        <v>2546</v>
      </c>
      <c r="U369" s="683" t="s">
        <v>2278</v>
      </c>
      <c r="V369" s="683" t="s">
        <v>147</v>
      </c>
      <c r="W369" s="683" t="s">
        <v>914</v>
      </c>
      <c r="X369" s="691" t="s">
        <v>918</v>
      </c>
      <c r="Y369" s="687">
        <v>3003566703</v>
      </c>
      <c r="Z369" s="692" t="s">
        <v>2615</v>
      </c>
      <c r="AA369" s="683" t="s">
        <v>33</v>
      </c>
      <c r="AB369" s="683" t="s">
        <v>34</v>
      </c>
      <c r="AC369" s="683" t="s">
        <v>230</v>
      </c>
      <c r="AD369" s="683" t="s">
        <v>1123</v>
      </c>
      <c r="AE369" s="683">
        <v>60</v>
      </c>
      <c r="AF369" s="684">
        <v>4927</v>
      </c>
      <c r="AG369" s="683" t="s">
        <v>243</v>
      </c>
      <c r="AH369" s="683" t="s">
        <v>220</v>
      </c>
      <c r="AI369" s="683" t="s">
        <v>33</v>
      </c>
      <c r="AJ369" s="683">
        <v>3003412041</v>
      </c>
      <c r="AK369" s="683" t="s">
        <v>33</v>
      </c>
      <c r="AL369" s="683">
        <v>811745</v>
      </c>
      <c r="AM369" s="683" t="s">
        <v>245</v>
      </c>
      <c r="AN369" s="683" t="s">
        <v>2826</v>
      </c>
      <c r="AO369" s="683" t="s">
        <v>1427</v>
      </c>
      <c r="AP369" s="683" t="s">
        <v>240</v>
      </c>
      <c r="AQ369" s="688" t="str">
        <f>CONCATENATE("REG-",BDEGENER[[#This Row],[FECHA DE SERVICIO]],"-",BDEGENER[[#This Row],[SERIE]],"-",BDEGENER[[#This Row],[HORAS]])</f>
        <v>REG-44009-3003566703-4927</v>
      </c>
      <c r="AR369" s="683" t="str">
        <f>CONCATENATE("MARCA: ",BDEGENER[[#This Row],[MARCA]],"
 MODELO: ",BDEGENER[[#This Row],[MODELO]])</f>
        <v>MARCA: GENERAC
 MODELO: PG090</v>
      </c>
      <c r="AS369" s="683" t="str">
        <f>CONCATENATE("MARCA: ",BDEGENER[[#This Row],[MARCA DE MOTOR]],"
SERIE: ",BDEGENER[[#This Row],[SERIE DE MOTOR]])</f>
        <v>MARCA: GENERAC
SERIE: 3003412041</v>
      </c>
      <c r="AT369" s="683" t="str">
        <f>CONCATENATE("MARCA: ",BDEGENER[[#This Row],[MARCA ALTERNADOR ]],"
SERIE: ",BDEGENER[[#This Row],[SERIE DE ALTERNADOR]])</f>
        <v>MARCA: GENERAC
SERIE: 811745</v>
      </c>
      <c r="AU369" s="683" t="str">
        <f>CONCATENATE("HORAS: ",BDEGENER[[#This Row],[HORAS]],"
KW-HR: ",BDEGENER[[#This Row],[KW-HORA]],"
VOLT.BATERIA: ",BDEGENER[[#This Row],[VOLTAJE DE BATERIA]],"
TEMPERATURA: ",BDEGENER[[#This Row],[TEMPERATURA DE AGUA]],"
PRES. ACEITE: ",BDEGENER[[#This Row],[PRESION DE ACEITE]])</f>
        <v>HORAS: 4927
KW-HR: 39436,3
VOLT.BATERIA: 13.6 V
TEMPERATURA: 175 °F
PRES. ACEITE: 60 PSI</v>
      </c>
      <c r="AV369" s="683">
        <f>COUNTIFS(Q369:Q2369,"MANTENIMIENTO CORRECTIVO",Y369:Y2369,BDEGENER[[#This Row],[SERIE]])</f>
        <v>0</v>
      </c>
      <c r="AW369" s="683">
        <f>COUNTIFS(Q369:Q2369,"MANTENIMIENTO PREVENTIVO",Y369:Y2369,BDEGENER[[#This Row],[SERIE]])</f>
        <v>4</v>
      </c>
      <c r="AX36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369" s="683">
        <f>COUNTIFS(BDEGENER[SERIE],BDEGENER[[#This Row],[SERIE]],BDEGENER[TIPO DE SERVICIO],"MANTENIMIENTO PREVENTIVO")</f>
        <v>8</v>
      </c>
      <c r="AZ369" s="683" t="str">
        <f>CONCATENATE("MANTENIMIENTO PREVENTIVO N°",BDEGENER[[#This Row],[GA1]])</f>
        <v>MANTENIMIENTO PREVENTIVO N°8</v>
      </c>
      <c r="BA369" s="683" t="str">
        <f>IF(BDEGENER[[#This Row],[SERVICIO]]=BDEGENER[[#This Row],[GA2]],BDEGENER[[#This Row],[HORAS]],"0")</f>
        <v>0</v>
      </c>
      <c r="BB369" s="683">
        <f>SUMIF(BDEGENER[SERIE],BDEGENER[[#This Row],[SERIE]],BDEGENER[GA3])</f>
        <v>6396.5</v>
      </c>
      <c r="BC369" s="683" t="str">
        <f>CONCATENATE("MANT",COUNTIF($Y$7:Y369,Y369))</f>
        <v>MANT7</v>
      </c>
      <c r="BD369" s="683" t="str">
        <f>CONCATENATE(BDEGENER[[#This Row],[SERIE]],BDEGENER[[#This Row],[GA5]])</f>
        <v>3003566703MANT7</v>
      </c>
      <c r="BE369" s="683" t="str">
        <f>CONCATENATE(BDEGENER[[#This Row],[CODIGO PATRIMONIAL]],BDEGENER[[#This Row],[GA5]])</f>
        <v>NOR-GEG-0017MANT7</v>
      </c>
      <c r="BF369" s="683">
        <f>COUNTIF(BDEGENER[SERIE],BDEGENER[[#This Row],[SERIE]])</f>
        <v>11</v>
      </c>
      <c r="BG369" s="683" t="str">
        <f>CONCATENATE("F",COUNTIF($K$7:K369,K369))</f>
        <v>F1</v>
      </c>
      <c r="BH369" s="683" t="str">
        <f>CONCATENATE(BDEGENER[[#This Row],[FECHA DE SERVICIO]],BDEGENER[[#This Row],[N° DE REGISTROS DEL DIA]])</f>
        <v>44009F1</v>
      </c>
      <c r="BI369" s="684">
        <v>39436.300000000003</v>
      </c>
      <c r="BJ369" s="683" t="s">
        <v>1544</v>
      </c>
      <c r="BK369" s="736"/>
    </row>
    <row r="370" spans="2:63" ht="69" hidden="1" x14ac:dyDescent="0.3">
      <c r="B370" s="2"/>
      <c r="C370" s="2"/>
      <c r="D370" s="2"/>
      <c r="E370" s="2"/>
      <c r="F370" s="2"/>
      <c r="G370" s="2"/>
      <c r="H370" s="2"/>
      <c r="I370" s="2"/>
      <c r="J370" s="685"/>
      <c r="K370" s="682">
        <v>44008</v>
      </c>
      <c r="L370" s="683" t="s">
        <v>181</v>
      </c>
      <c r="M370" s="683" t="s">
        <v>2673</v>
      </c>
      <c r="N370" s="683" t="s">
        <v>2685</v>
      </c>
      <c r="O370" s="683"/>
      <c r="P370" s="683"/>
      <c r="Q370" s="683" t="s">
        <v>109</v>
      </c>
      <c r="R370" s="683" t="s">
        <v>2838</v>
      </c>
      <c r="S370" s="686" t="s">
        <v>2835</v>
      </c>
      <c r="T370" s="683" t="s">
        <v>2839</v>
      </c>
      <c r="U370" s="683"/>
      <c r="V370" s="683" t="s">
        <v>149</v>
      </c>
      <c r="W370" s="683" t="s">
        <v>914</v>
      </c>
      <c r="X370" s="691" t="s">
        <v>918</v>
      </c>
      <c r="Y370" s="687">
        <v>2117417</v>
      </c>
      <c r="Z370" s="692" t="s">
        <v>2675</v>
      </c>
      <c r="AA370" s="683" t="s">
        <v>33</v>
      </c>
      <c r="AB370" s="683" t="s">
        <v>159</v>
      </c>
      <c r="AC370" s="683" t="s">
        <v>159</v>
      </c>
      <c r="AD370" s="683" t="s">
        <v>1416</v>
      </c>
      <c r="AE370" s="683">
        <v>60</v>
      </c>
      <c r="AF370" s="684">
        <v>3503.4</v>
      </c>
      <c r="AG370" s="683" t="s">
        <v>243</v>
      </c>
      <c r="AH370" s="683" t="s">
        <v>220</v>
      </c>
      <c r="AI370" s="683" t="s">
        <v>33</v>
      </c>
      <c r="AJ370" s="683"/>
      <c r="AK370" s="683" t="s">
        <v>33</v>
      </c>
      <c r="AL370" s="683" t="s">
        <v>159</v>
      </c>
      <c r="AM370" s="683"/>
      <c r="AN370" s="683" t="s">
        <v>2556</v>
      </c>
      <c r="AO370" s="683" t="s">
        <v>2834</v>
      </c>
      <c r="AP370" s="683" t="s">
        <v>240</v>
      </c>
      <c r="AQ370" s="688" t="str">
        <f>CONCATENATE("REG-",BDEGENER[[#This Row],[FECHA DE SERVICIO]],"-",BDEGENER[[#This Row],[SERIE]],"-",BDEGENER[[#This Row],[HORAS]])</f>
        <v>REG-44008-2117417-3503,4</v>
      </c>
      <c r="AR370" s="683" t="str">
        <f>CONCATENATE("MARCA: ",BDEGENER[[#This Row],[MARCA]],"
 MODELO: ",BDEGENER[[#This Row],[MODELO]])</f>
        <v xml:space="preserve">MARCA: GENERAC
 MODELO: </v>
      </c>
      <c r="AS370" s="683" t="str">
        <f>CONCATENATE("MARCA: ",BDEGENER[[#This Row],[MARCA DE MOTOR]],"
SERIE: ",BDEGENER[[#This Row],[SERIE DE MOTOR]])</f>
        <v xml:space="preserve">MARCA: GENERAC
SERIE: </v>
      </c>
      <c r="AT370" s="683" t="str">
        <f>CONCATENATE("MARCA: ",BDEGENER[[#This Row],[MARCA ALTERNADOR ]],"
SERIE: ",BDEGENER[[#This Row],[SERIE DE ALTERNADOR]])</f>
        <v xml:space="preserve">MARCA: GENERAC
SERIE: </v>
      </c>
      <c r="AU370" s="683" t="str">
        <f>CONCATENATE("HORAS: ",BDEGENER[[#This Row],[HORAS]],"
KW-HR: ",BDEGENER[[#This Row],[KW-HORA]],"
VOLT.BATERIA: ",BDEGENER[[#This Row],[VOLTAJE DE BATERIA]],"
TEMPERATURA: ",BDEGENER[[#This Row],[TEMPERATURA DE AGUA]],"
PRES. ACEITE: ",BDEGENER[[#This Row],[PRESION DE ACEITE]])</f>
        <v>HORAS: 3503,4
KW-HR: 63482,6
VOLT.BATERIA: 
TEMPERATURA: 159 °F
PRES. ACEITE: 90 PSI</v>
      </c>
      <c r="AV370" s="761">
        <f>COUNTIFS(Q370:Q2370,"MANTENIMIENTO CORRECTIVO",Y370:Y2370,BDEGENER[[#This Row],[SERIE]])</f>
        <v>1</v>
      </c>
      <c r="AW370" s="761">
        <f>COUNTIFS(Q370:Q2370,"MANTENIMIENTO PREVENTIVO",Y370:Y2370,BDEGENER[[#This Row],[SERIE]])</f>
        <v>0</v>
      </c>
      <c r="AX37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370" s="683">
        <f>COUNTIFS(BDEGENER[SERIE],BDEGENER[[#This Row],[SERIE]],BDEGENER[TIPO DE SERVICIO],"MANTENIMIENTO PREVENTIVO")</f>
        <v>0</v>
      </c>
      <c r="AZ370" s="683" t="str">
        <f>CONCATENATE("MANTENIMIENTO PREVENTIVO N°",BDEGENER[[#This Row],[GA1]])</f>
        <v>MANTENIMIENTO PREVENTIVO N°0</v>
      </c>
      <c r="BA370" s="683" t="str">
        <f>IF(BDEGENER[[#This Row],[SERVICIO]]=BDEGENER[[#This Row],[GA2]],BDEGENER[[#This Row],[HORAS]],"0")</f>
        <v>0</v>
      </c>
      <c r="BB370" s="683">
        <f>SUMIF(BDEGENER[SERIE],BDEGENER[[#This Row],[SERIE]],BDEGENER[GA3])</f>
        <v>0</v>
      </c>
      <c r="BC370" s="761" t="str">
        <f>CONCATENATE("MANT",COUNTIF($Y$7:Y370,Y370))</f>
        <v>MANT1</v>
      </c>
      <c r="BD370" s="683" t="str">
        <f>CONCATENATE(BDEGENER[[#This Row],[SERIE]],BDEGENER[[#This Row],[GA5]])</f>
        <v>2117417MANT1</v>
      </c>
      <c r="BE370" s="683" t="str">
        <f>CONCATENATE(BDEGENER[[#This Row],[CODIGO PATRIMONIAL]],BDEGENER[[#This Row],[GA5]])</f>
        <v>GEGA111MANT1</v>
      </c>
      <c r="BF370" s="683">
        <f>COUNTIF(BDEGENER[SERIE],BDEGENER[[#This Row],[SERIE]])</f>
        <v>2</v>
      </c>
      <c r="BG370" s="761" t="str">
        <f>CONCATENATE("F",COUNTIF($K$7:K370,K370))</f>
        <v>F1</v>
      </c>
      <c r="BH370" s="683" t="str">
        <f>CONCATENATE(BDEGENER[[#This Row],[FECHA DE SERVICIO]],BDEGENER[[#This Row],[N° DE REGISTROS DEL DIA]])</f>
        <v>44008F1</v>
      </c>
      <c r="BI370" s="684">
        <v>63482.6</v>
      </c>
      <c r="BJ370" s="683" t="s">
        <v>1544</v>
      </c>
      <c r="BK370" s="736"/>
    </row>
    <row r="371" spans="2:63" ht="69" hidden="1" x14ac:dyDescent="0.3">
      <c r="B371" s="2"/>
      <c r="C371" s="2"/>
      <c r="D371" s="2"/>
      <c r="E371" s="2"/>
      <c r="F371" s="2"/>
      <c r="G371" s="2"/>
      <c r="H371" s="2"/>
      <c r="I371" s="2"/>
      <c r="J371" s="685"/>
      <c r="K371" s="682">
        <v>44008</v>
      </c>
      <c r="L371" s="683" t="s">
        <v>181</v>
      </c>
      <c r="M371" s="683" t="s">
        <v>2673</v>
      </c>
      <c r="N371" s="683" t="s">
        <v>2685</v>
      </c>
      <c r="O371" s="683"/>
      <c r="P371" s="683"/>
      <c r="Q371" s="683" t="s">
        <v>109</v>
      </c>
      <c r="R371" s="683" t="s">
        <v>2836</v>
      </c>
      <c r="S371" s="686" t="s">
        <v>2835</v>
      </c>
      <c r="T371" s="683" t="s">
        <v>2837</v>
      </c>
      <c r="U371" s="683"/>
      <c r="V371" s="683" t="s">
        <v>149</v>
      </c>
      <c r="W371" s="683" t="s">
        <v>914</v>
      </c>
      <c r="X371" s="691" t="s">
        <v>918</v>
      </c>
      <c r="Y371" s="687">
        <v>2117413</v>
      </c>
      <c r="Z371" s="692" t="s">
        <v>225</v>
      </c>
      <c r="AA371" s="683" t="s">
        <v>33</v>
      </c>
      <c r="AB371" s="683" t="s">
        <v>159</v>
      </c>
      <c r="AC371" s="683" t="s">
        <v>159</v>
      </c>
      <c r="AD371" s="683" t="s">
        <v>1087</v>
      </c>
      <c r="AE371" s="683">
        <v>59.9</v>
      </c>
      <c r="AF371" s="684">
        <v>2628.3</v>
      </c>
      <c r="AG371" s="683" t="s">
        <v>243</v>
      </c>
      <c r="AH371" s="683" t="s">
        <v>220</v>
      </c>
      <c r="AI371" s="683" t="s">
        <v>33</v>
      </c>
      <c r="AJ371" s="683" t="s">
        <v>159</v>
      </c>
      <c r="AK371" s="683" t="s">
        <v>33</v>
      </c>
      <c r="AL371" s="683" t="s">
        <v>159</v>
      </c>
      <c r="AM371" s="683"/>
      <c r="AN371" s="683" t="s">
        <v>1833</v>
      </c>
      <c r="AO371" s="683" t="s">
        <v>2834</v>
      </c>
      <c r="AP371" s="683" t="s">
        <v>240</v>
      </c>
      <c r="AQ371" s="688" t="str">
        <f>CONCATENATE("REG-",BDEGENER[[#This Row],[FECHA DE SERVICIO]],"-",BDEGENER[[#This Row],[SERIE]],"-",BDEGENER[[#This Row],[HORAS]])</f>
        <v>REG-44008-2117413-2628,3</v>
      </c>
      <c r="AR371" s="683" t="str">
        <f>CONCATENATE("MARCA: ",BDEGENER[[#This Row],[MARCA]],"
 MODELO: ",BDEGENER[[#This Row],[MODELO]])</f>
        <v xml:space="preserve">MARCA: GENERAC
 MODELO: </v>
      </c>
      <c r="AS371" s="683" t="str">
        <f>CONCATENATE("MARCA: ",BDEGENER[[#This Row],[MARCA DE MOTOR]],"
SERIE: ",BDEGENER[[#This Row],[SERIE DE MOTOR]])</f>
        <v xml:space="preserve">MARCA: GENERAC
SERIE: </v>
      </c>
      <c r="AT371" s="683" t="str">
        <f>CONCATENATE("MARCA: ",BDEGENER[[#This Row],[MARCA ALTERNADOR ]],"
SERIE: ",BDEGENER[[#This Row],[SERIE DE ALTERNADOR]])</f>
        <v xml:space="preserve">MARCA: GENERAC
SERIE: </v>
      </c>
      <c r="AU371" s="683" t="str">
        <f>CONCATENATE("HORAS: ",BDEGENER[[#This Row],[HORAS]],"
KW-HR: ",BDEGENER[[#This Row],[KW-HORA]],"
VOLT.BATERIA: ",BDEGENER[[#This Row],[VOLTAJE DE BATERIA]],"
TEMPERATURA: ",BDEGENER[[#This Row],[TEMPERATURA DE AGUA]],"
PRES. ACEITE: ",BDEGENER[[#This Row],[PRESION DE ACEITE]])</f>
        <v>HORAS: 2628,3
KW-HR: 25231,9
VOLT.BATERIA: 
TEMPERATURA: 177 °F
PRES. ACEITE: 90 PSI</v>
      </c>
      <c r="AV371" s="683">
        <f>COUNTIFS(Q371:Q2371,"MANTENIMIENTO CORRECTIVO",Y371:Y2371,BDEGENER[[#This Row],[SERIE]])</f>
        <v>1</v>
      </c>
      <c r="AW371" s="683">
        <f>COUNTIFS(Q371:Q2371,"MANTENIMIENTO PREVENTIVO",Y371:Y2371,BDEGENER[[#This Row],[SERIE]])</f>
        <v>0</v>
      </c>
      <c r="AX37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371" s="683">
        <f>COUNTIFS(BDEGENER[SERIE],BDEGENER[[#This Row],[SERIE]],BDEGENER[TIPO DE SERVICIO],"MANTENIMIENTO PREVENTIVO")</f>
        <v>0</v>
      </c>
      <c r="AZ371" s="683" t="str">
        <f>CONCATENATE("MANTENIMIENTO PREVENTIVO N°",BDEGENER[[#This Row],[GA1]])</f>
        <v>MANTENIMIENTO PREVENTIVO N°0</v>
      </c>
      <c r="BA371" s="683" t="str">
        <f>IF(BDEGENER[[#This Row],[SERVICIO]]=BDEGENER[[#This Row],[GA2]],BDEGENER[[#This Row],[HORAS]],"0")</f>
        <v>0</v>
      </c>
      <c r="BB371" s="683">
        <f>SUMIF(BDEGENER[SERIE],BDEGENER[[#This Row],[SERIE]],BDEGENER[GA3])</f>
        <v>0</v>
      </c>
      <c r="BC371" s="683" t="str">
        <f>CONCATENATE("MANT",COUNTIF($Y$7:Y371,Y371))</f>
        <v>MANT1</v>
      </c>
      <c r="BD371" s="683" t="str">
        <f>CONCATENATE(BDEGENER[[#This Row],[SERIE]],BDEGENER[[#This Row],[GA5]])</f>
        <v>2117413MANT1</v>
      </c>
      <c r="BE371" s="683" t="str">
        <f>CONCATENATE(BDEGENER[[#This Row],[CODIGO PATRIMONIAL]],BDEGENER[[#This Row],[GA5]])</f>
        <v>GEGA115MANT1</v>
      </c>
      <c r="BF371" s="683">
        <f>COUNTIF(BDEGENER[SERIE],BDEGENER[[#This Row],[SERIE]])</f>
        <v>2</v>
      </c>
      <c r="BG371" s="683" t="str">
        <f>CONCATENATE("F",COUNTIF($K$7:K371,K371))</f>
        <v>F2</v>
      </c>
      <c r="BH371" s="683" t="str">
        <f>CONCATENATE(BDEGENER[[#This Row],[FECHA DE SERVICIO]],BDEGENER[[#This Row],[N° DE REGISTROS DEL DIA]])</f>
        <v>44008F2</v>
      </c>
      <c r="BI371" s="684">
        <v>25231.9</v>
      </c>
      <c r="BJ371" s="683" t="s">
        <v>1544</v>
      </c>
      <c r="BK371" s="736"/>
    </row>
    <row r="372" spans="2:63" ht="69" hidden="1" x14ac:dyDescent="0.3">
      <c r="B372" s="2"/>
      <c r="C372" s="2"/>
      <c r="D372" s="2"/>
      <c r="E372" s="2"/>
      <c r="F372" s="2"/>
      <c r="G372" s="2"/>
      <c r="H372" s="2"/>
      <c r="I372" s="2"/>
      <c r="J372" s="685"/>
      <c r="K372" s="682">
        <v>44008</v>
      </c>
      <c r="L372" s="683" t="s">
        <v>561</v>
      </c>
      <c r="M372" s="683" t="s">
        <v>2450</v>
      </c>
      <c r="N372" s="683" t="s">
        <v>584</v>
      </c>
      <c r="O372" s="683"/>
      <c r="P372" s="688" t="s">
        <v>2820</v>
      </c>
      <c r="Q372" s="683" t="s">
        <v>37</v>
      </c>
      <c r="R372" s="683" t="s">
        <v>1782</v>
      </c>
      <c r="S372" s="686" t="s">
        <v>2821</v>
      </c>
      <c r="T372" s="683" t="s">
        <v>2822</v>
      </c>
      <c r="U372" s="683" t="s">
        <v>2823</v>
      </c>
      <c r="V372" s="683" t="s">
        <v>147</v>
      </c>
      <c r="W372" s="683" t="s">
        <v>913</v>
      </c>
      <c r="X372" s="691" t="s">
        <v>918</v>
      </c>
      <c r="Y372" s="687">
        <v>3003987064</v>
      </c>
      <c r="Z372" s="692" t="s">
        <v>2614</v>
      </c>
      <c r="AA372" s="683" t="s">
        <v>33</v>
      </c>
      <c r="AB372" s="683" t="s">
        <v>217</v>
      </c>
      <c r="AC372" s="683" t="s">
        <v>749</v>
      </c>
      <c r="AD372" s="683" t="s">
        <v>1123</v>
      </c>
      <c r="AE372" s="683">
        <v>60</v>
      </c>
      <c r="AF372" s="684">
        <v>4043.9</v>
      </c>
      <c r="AG372" s="683" t="s">
        <v>243</v>
      </c>
      <c r="AH372" s="683" t="s">
        <v>1803</v>
      </c>
      <c r="AI372" s="683" t="s">
        <v>2553</v>
      </c>
      <c r="AJ372" s="683" t="s">
        <v>2824</v>
      </c>
      <c r="AK372" s="683" t="s">
        <v>33</v>
      </c>
      <c r="AL372" s="683">
        <v>20181125</v>
      </c>
      <c r="AM372" s="683" t="s">
        <v>245</v>
      </c>
      <c r="AN372" s="683" t="s">
        <v>2118</v>
      </c>
      <c r="AO372" s="683" t="s">
        <v>247</v>
      </c>
      <c r="AP372" s="683" t="s">
        <v>240</v>
      </c>
      <c r="AQ372" s="688" t="str">
        <f>CONCATENATE("REG-",BDEGENER[[#This Row],[FECHA DE SERVICIO]],"-",BDEGENER[[#This Row],[SERIE]],"-",BDEGENER[[#This Row],[HORAS]])</f>
        <v>REG-44008-3003987064-4043,9</v>
      </c>
      <c r="AR372" s="683" t="str">
        <f>CONCATENATE("MARCA: ",BDEGENER[[#This Row],[MARCA]],"
 MODELO: ",BDEGENER[[#This Row],[MODELO]])</f>
        <v>MARCA: GENERAC
 MODELO: RG022</v>
      </c>
      <c r="AS372" s="683" t="str">
        <f>CONCATENATE("MARCA: ",BDEGENER[[#This Row],[MARCA DE MOTOR]],"
SERIE: ",BDEGENER[[#This Row],[SERIE DE MOTOR]])</f>
        <v>MARCA: MITSUBISHI
SERIE: 4B6454M/SXJ7539</v>
      </c>
      <c r="AT372" s="683" t="str">
        <f>CONCATENATE("MARCA: ",BDEGENER[[#This Row],[MARCA ALTERNADOR ]],"
SERIE: ",BDEGENER[[#This Row],[SERIE DE ALTERNADOR]])</f>
        <v>MARCA: GENERAC
SERIE: 20181125</v>
      </c>
      <c r="AU372" s="683" t="str">
        <f>CONCATENATE("HORAS: ",BDEGENER[[#This Row],[HORAS]],"
KW-HR: ",BDEGENER[[#This Row],[KW-HORA]],"
VOLT.BATERIA: ",BDEGENER[[#This Row],[VOLTAJE DE BATERIA]],"
TEMPERATURA: ",BDEGENER[[#This Row],[TEMPERATURA DE AGUA]],"
PRES. ACEITE: ",BDEGENER[[#This Row],[PRESION DE ACEITE]])</f>
        <v>HORAS: 4043,9
KW-HR: 
VOLT.BATERIA: 13.6 V
TEMPERATURA: 192 °F
PRES. ACEITE: 55 PSI</v>
      </c>
      <c r="AV372" s="683">
        <f>COUNTIFS(Q372:Q2372,"MANTENIMIENTO CORRECTIVO",Y372:Y2372,BDEGENER[[#This Row],[SERIE]])</f>
        <v>0</v>
      </c>
      <c r="AW372" s="683">
        <f>COUNTIFS(Q372:Q2372,"MANTENIMIENTO PREVENTIVO",Y372:Y2372,BDEGENER[[#This Row],[SERIE]])</f>
        <v>5</v>
      </c>
      <c r="AX37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72" s="683">
        <f>COUNTIFS(BDEGENER[SERIE],BDEGENER[[#This Row],[SERIE]],BDEGENER[TIPO DE SERVICIO],"MANTENIMIENTO PREVENTIVO")</f>
        <v>11</v>
      </c>
      <c r="AZ372" s="683" t="str">
        <f>CONCATENATE("MANTENIMIENTO PREVENTIVO N°",BDEGENER[[#This Row],[GA1]])</f>
        <v>MANTENIMIENTO PREVENTIVO N°11</v>
      </c>
      <c r="BA372" s="683" t="str">
        <f>IF(BDEGENER[[#This Row],[SERVICIO]]=BDEGENER[[#This Row],[GA2]],BDEGENER[[#This Row],[HORAS]],"0")</f>
        <v>0</v>
      </c>
      <c r="BB372" s="683">
        <f>SUMIF(BDEGENER[SERIE],BDEGENER[[#This Row],[SERIE]],BDEGENER[GA3])</f>
        <v>6420.8</v>
      </c>
      <c r="BC372" s="683" t="str">
        <f>CONCATENATE("MANT",COUNTIF($Y$7:Y372,Y372))</f>
        <v>MANT8</v>
      </c>
      <c r="BD372" s="683" t="str">
        <f>CONCATENATE(BDEGENER[[#This Row],[SERIE]],BDEGENER[[#This Row],[GA5]])</f>
        <v>3003987064MANT8</v>
      </c>
      <c r="BE372" s="683" t="str">
        <f>CONCATENATE(BDEGENER[[#This Row],[CODIGO PATRIMONIAL]],BDEGENER[[#This Row],[GA5]])</f>
        <v>NOR-GEG-0016MANT8</v>
      </c>
      <c r="BF372" s="683">
        <f>COUNTIF(BDEGENER[SERIE],BDEGENER[[#This Row],[SERIE]])</f>
        <v>12</v>
      </c>
      <c r="BG372" s="683" t="str">
        <f>CONCATENATE("F",COUNTIF($K$7:K372,K372))</f>
        <v>F3</v>
      </c>
      <c r="BH372" s="683" t="str">
        <f>CONCATENATE(BDEGENER[[#This Row],[FECHA DE SERVICIO]],BDEGENER[[#This Row],[N° DE REGISTROS DEL DIA]])</f>
        <v>44008F3</v>
      </c>
      <c r="BI372" s="684"/>
      <c r="BJ372" s="683" t="s">
        <v>1544</v>
      </c>
      <c r="BK372" s="736"/>
    </row>
    <row r="373" spans="2:63" ht="69" hidden="1" x14ac:dyDescent="0.3">
      <c r="B373" s="2"/>
      <c r="C373" s="2"/>
      <c r="D373" s="2"/>
      <c r="E373" s="2"/>
      <c r="F373" s="2"/>
      <c r="G373" s="2"/>
      <c r="H373" s="2"/>
      <c r="I373" s="2"/>
      <c r="J373" s="685"/>
      <c r="K373" s="682">
        <v>44008</v>
      </c>
      <c r="L373" s="683" t="s">
        <v>561</v>
      </c>
      <c r="M373" s="683" t="s">
        <v>2451</v>
      </c>
      <c r="N373" s="683" t="s">
        <v>584</v>
      </c>
      <c r="O373" s="683"/>
      <c r="P373" s="688" t="s">
        <v>2817</v>
      </c>
      <c r="Q373" s="683" t="s">
        <v>37</v>
      </c>
      <c r="R373" s="683" t="s">
        <v>1782</v>
      </c>
      <c r="S373" s="686" t="s">
        <v>2814</v>
      </c>
      <c r="T373" s="683" t="s">
        <v>2815</v>
      </c>
      <c r="U373" s="683" t="s">
        <v>2484</v>
      </c>
      <c r="V373" s="683" t="s">
        <v>147</v>
      </c>
      <c r="W373" s="683" t="s">
        <v>913</v>
      </c>
      <c r="X373" s="691" t="s">
        <v>918</v>
      </c>
      <c r="Y373" s="687">
        <v>3003940357</v>
      </c>
      <c r="Z373" s="692" t="s">
        <v>2612</v>
      </c>
      <c r="AA373" s="683" t="s">
        <v>33</v>
      </c>
      <c r="AB373" s="683" t="s">
        <v>217</v>
      </c>
      <c r="AC373" s="683" t="s">
        <v>749</v>
      </c>
      <c r="AD373" s="683" t="s">
        <v>1416</v>
      </c>
      <c r="AE373" s="683">
        <v>60</v>
      </c>
      <c r="AF373" s="684">
        <v>3993.1</v>
      </c>
      <c r="AG373" s="683" t="s">
        <v>243</v>
      </c>
      <c r="AH373" s="683" t="s">
        <v>1803</v>
      </c>
      <c r="AI373" s="683" t="s">
        <v>2553</v>
      </c>
      <c r="AJ373" s="683" t="s">
        <v>2816</v>
      </c>
      <c r="AK373" s="683" t="s">
        <v>33</v>
      </c>
      <c r="AL373" s="683">
        <v>20181104</v>
      </c>
      <c r="AM373" s="683" t="s">
        <v>1094</v>
      </c>
      <c r="AN373" s="683" t="s">
        <v>1348</v>
      </c>
      <c r="AO373" s="683" t="s">
        <v>1354</v>
      </c>
      <c r="AP373" s="683" t="s">
        <v>240</v>
      </c>
      <c r="AQ373" s="744" t="str">
        <f>CONCATENATE("REG-",BDEGENER[[#This Row],[FECHA DE SERVICIO]],"-",BDEGENER[[#This Row],[SERIE]],"-",BDEGENER[[#This Row],[HORAS]])</f>
        <v>REG-44008-3003940357-3993,1</v>
      </c>
      <c r="AR373" s="683" t="str">
        <f>CONCATENATE("MARCA: ",BDEGENER[[#This Row],[MARCA]],"
 MODELO: ",BDEGENER[[#This Row],[MODELO]])</f>
        <v>MARCA: GENERAC
 MODELO: RG022</v>
      </c>
      <c r="AS373" s="683" t="str">
        <f>CONCATENATE("MARCA: ",BDEGENER[[#This Row],[MARCA DE MOTOR]],"
SERIE: ",BDEGENER[[#This Row],[SERIE DE MOTOR]])</f>
        <v>MARCA: MITSUBISHI
SERIE: 4G6454M/SXG1014</v>
      </c>
      <c r="AT373" s="683" t="str">
        <f>CONCATENATE("MARCA: ",BDEGENER[[#This Row],[MARCA ALTERNADOR ]],"
SERIE: ",BDEGENER[[#This Row],[SERIE DE ALTERNADOR]])</f>
        <v>MARCA: GENERAC
SERIE: 20181104</v>
      </c>
      <c r="AU373" s="683" t="str">
        <f>CONCATENATE("HORAS: ",BDEGENER[[#This Row],[HORAS]],"
KW-HR: ",BDEGENER[[#This Row],[KW-HORA]],"
VOLT.BATERIA: ",BDEGENER[[#This Row],[VOLTAJE DE BATERIA]],"
TEMPERATURA: ",BDEGENER[[#This Row],[TEMPERATURA DE AGUA]],"
PRES. ACEITE: ",BDEGENER[[#This Row],[PRESION DE ACEITE]])</f>
        <v>HORAS: 3993,1
KW-HR: 
VOLT.BATERIA: 13.5 V
TEMPERATURA: 193 °F
PRES. ACEITE: 63 PSI</v>
      </c>
      <c r="AV373" s="761">
        <f>COUNTIFS(Q373:Q2373,"MANTENIMIENTO CORRECTIVO",Y373:Y2373,BDEGENER[[#This Row],[SERIE]])</f>
        <v>0</v>
      </c>
      <c r="AW373" s="761">
        <f>COUNTIFS(Q373:Q2373,"MANTENIMIENTO PREVENTIVO",Y373:Y2373,BDEGENER[[#This Row],[SERIE]])</f>
        <v>6</v>
      </c>
      <c r="AX37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73" s="683">
        <f>COUNTIFS(BDEGENER[SERIE],BDEGENER[[#This Row],[SERIE]],BDEGENER[TIPO DE SERVICIO],"MANTENIMIENTO PREVENTIVO")</f>
        <v>12</v>
      </c>
      <c r="AZ373" s="683" t="str">
        <f>CONCATENATE("MANTENIMIENTO PREVENTIVO N°",BDEGENER[[#This Row],[GA1]])</f>
        <v>MANTENIMIENTO PREVENTIVO N°12</v>
      </c>
      <c r="BA373" s="683" t="str">
        <f>IF(BDEGENER[[#This Row],[SERVICIO]]=BDEGENER[[#This Row],[GA2]],BDEGENER[[#This Row],[HORAS]],"0")</f>
        <v>0</v>
      </c>
      <c r="BB373" s="683">
        <f>SUMIF(BDEGENER[SERIE],BDEGENER[[#This Row],[SERIE]],BDEGENER[GA3])</f>
        <v>6263.3</v>
      </c>
      <c r="BC373" s="761" t="str">
        <f>CONCATENATE("MANT",COUNTIF($Y$7:Y373,Y373))</f>
        <v>MANT10</v>
      </c>
      <c r="BD373" s="683" t="str">
        <f>CONCATENATE(BDEGENER[[#This Row],[SERIE]],BDEGENER[[#This Row],[GA5]])</f>
        <v>3003940357MANT10</v>
      </c>
      <c r="BE373" s="683" t="str">
        <f>CONCATENATE(BDEGENER[[#This Row],[CODIGO PATRIMONIAL]],BDEGENER[[#This Row],[GA5]])</f>
        <v>NOR-GEG-0014MANT10</v>
      </c>
      <c r="BF373" s="683">
        <f>COUNTIF(BDEGENER[SERIE],BDEGENER[[#This Row],[SERIE]])</f>
        <v>16</v>
      </c>
      <c r="BG373" s="761" t="str">
        <f>CONCATENATE("F",COUNTIF($K$7:K373,K373))</f>
        <v>F4</v>
      </c>
      <c r="BH373" s="683" t="str">
        <f>CONCATENATE(BDEGENER[[#This Row],[FECHA DE SERVICIO]],BDEGENER[[#This Row],[N° DE REGISTROS DEL DIA]])</f>
        <v>44008F4</v>
      </c>
      <c r="BI373" s="684"/>
      <c r="BJ373" s="683" t="s">
        <v>1544</v>
      </c>
      <c r="BK373" s="736"/>
    </row>
    <row r="374" spans="2:63" ht="69" hidden="1" x14ac:dyDescent="0.3">
      <c r="B374" s="2"/>
      <c r="C374" s="2"/>
      <c r="D374" s="2"/>
      <c r="E374" s="2"/>
      <c r="F374" s="2"/>
      <c r="G374" s="2"/>
      <c r="H374" s="2"/>
      <c r="I374" s="2"/>
      <c r="J374" s="685"/>
      <c r="K374" s="682">
        <v>44008</v>
      </c>
      <c r="L374" s="683" t="s">
        <v>181</v>
      </c>
      <c r="M374" s="683" t="s">
        <v>185</v>
      </c>
      <c r="N374" s="683" t="s">
        <v>183</v>
      </c>
      <c r="O374" s="683">
        <v>4500873022</v>
      </c>
      <c r="P374" s="683" t="s">
        <v>2786</v>
      </c>
      <c r="Q374" s="683" t="s">
        <v>37</v>
      </c>
      <c r="R374" s="683" t="s">
        <v>1782</v>
      </c>
      <c r="S374" s="686" t="s">
        <v>2785</v>
      </c>
      <c r="T374" s="683" t="s">
        <v>2787</v>
      </c>
      <c r="U374" s="683" t="s">
        <v>2488</v>
      </c>
      <c r="V374" s="683" t="s">
        <v>146</v>
      </c>
      <c r="W374" s="683" t="s">
        <v>914</v>
      </c>
      <c r="X374" s="691" t="s">
        <v>918</v>
      </c>
      <c r="Y374" s="687">
        <v>3004290365</v>
      </c>
      <c r="Z374" s="692"/>
      <c r="AA374" s="683" t="s">
        <v>33</v>
      </c>
      <c r="AB374" s="683" t="s">
        <v>34</v>
      </c>
      <c r="AC374" s="683" t="s">
        <v>230</v>
      </c>
      <c r="AD374" s="683" t="s">
        <v>1110</v>
      </c>
      <c r="AE374" s="683">
        <v>60</v>
      </c>
      <c r="AF374" s="684">
        <v>1700.2</v>
      </c>
      <c r="AG374" s="683" t="s">
        <v>243</v>
      </c>
      <c r="AH374" s="683" t="s">
        <v>220</v>
      </c>
      <c r="AI374" s="683" t="s">
        <v>33</v>
      </c>
      <c r="AJ374" s="683">
        <v>3004301039</v>
      </c>
      <c r="AK374" s="683" t="s">
        <v>33</v>
      </c>
      <c r="AL374" s="683">
        <v>1063018</v>
      </c>
      <c r="AM374" s="683" t="s">
        <v>1121</v>
      </c>
      <c r="AN374" s="683" t="s">
        <v>1348</v>
      </c>
      <c r="AO374" s="683" t="s">
        <v>1166</v>
      </c>
      <c r="AP374" s="683" t="s">
        <v>240</v>
      </c>
      <c r="AQ374" s="683" t="str">
        <f>CONCATENATE("REG-",BDEGENER[[#This Row],[FECHA DE SERVICIO]],"-",BDEGENER[[#This Row],[SERIE]],"-",BDEGENER[[#This Row],[HORAS]])</f>
        <v>REG-44008-3004290365-1700,2</v>
      </c>
      <c r="AR374" s="683" t="str">
        <f>CONCATENATE("MARCA: ",BDEGENER[[#This Row],[MARCA]],"
 MODELO: ",BDEGENER[[#This Row],[MODELO]])</f>
        <v>MARCA: GENERAC
 MODELO: PG090</v>
      </c>
      <c r="AS374" s="683" t="str">
        <f>CONCATENATE("MARCA: ",BDEGENER[[#This Row],[MARCA DE MOTOR]],"
SERIE: ",BDEGENER[[#This Row],[SERIE DE MOTOR]])</f>
        <v>MARCA: GENERAC
SERIE: 3004301039</v>
      </c>
      <c r="AT374" s="683" t="str">
        <f>CONCATENATE("MARCA: ",BDEGENER[[#This Row],[MARCA ALTERNADOR ]],"
SERIE: ",BDEGENER[[#This Row],[SERIE DE ALTERNADOR]])</f>
        <v>MARCA: GENERAC
SERIE: 1063018</v>
      </c>
      <c r="AU374" s="683" t="str">
        <f>CONCATENATE("HORAS: ",BDEGENER[[#This Row],[HORAS]],"
KW-HR: ",BDEGENER[[#This Row],[KW-HORA]],"
VOLT.BATERIA: ",BDEGENER[[#This Row],[VOLTAJE DE BATERIA]],"
TEMPERATURA: ",BDEGENER[[#This Row],[TEMPERATURA DE AGUA]],"
PRES. ACEITE: ",BDEGENER[[#This Row],[PRESION DE ACEITE]])</f>
        <v>HORAS: 1700,2
KW-HR: 41655,9
VOLT.BATERIA: 13.7 V
TEMPERATURA: 193 °F
PRES. ACEITE: 57 PSI</v>
      </c>
      <c r="AV374" s="683">
        <f>COUNTIFS(Q374:Q2374,"MANTENIMIENTO CORRECTIVO",Y374:Y2374,BDEGENER[[#This Row],[SERIE]])</f>
        <v>5</v>
      </c>
      <c r="AW374" s="683">
        <f>COUNTIFS(Q374:Q2374,"MANTENIMIENTO PREVENTIVO",Y374:Y2374,BDEGENER[[#This Row],[SERIE]])</f>
        <v>5</v>
      </c>
      <c r="AX37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74" s="683">
        <f>COUNTIFS(BDEGENER[SERIE],BDEGENER[[#This Row],[SERIE]],BDEGENER[TIPO DE SERVICIO],"MANTENIMIENTO PREVENTIVO")</f>
        <v>5</v>
      </c>
      <c r="AZ374" s="683" t="str">
        <f>CONCATENATE("MANTENIMIENTO PREVENTIVO N°",BDEGENER[[#This Row],[GA1]])</f>
        <v>MANTENIMIENTO PREVENTIVO N°5</v>
      </c>
      <c r="BA374" s="683">
        <f>IF(BDEGENER[[#This Row],[SERVICIO]]=BDEGENER[[#This Row],[GA2]],BDEGENER[[#This Row],[HORAS]],"0")</f>
        <v>1700.2</v>
      </c>
      <c r="BB374" s="683">
        <f>SUMIF(BDEGENER[SERIE],BDEGENER[[#This Row],[SERIE]],BDEGENER[GA3])</f>
        <v>1700.2</v>
      </c>
      <c r="BC374" s="683" t="str">
        <f>CONCATENATE("MANT",COUNTIF($Y$7:Y374,Y374))</f>
        <v>MANT5</v>
      </c>
      <c r="BD374" s="683" t="str">
        <f>CONCATENATE(BDEGENER[[#This Row],[SERIE]],BDEGENER[[#This Row],[GA5]])</f>
        <v>3004290365MANT5</v>
      </c>
      <c r="BE374" s="683" t="str">
        <f>CONCATENATE(BDEGENER[[#This Row],[CODIGO PATRIMONIAL]],BDEGENER[[#This Row],[GA5]])</f>
        <v>MANT5</v>
      </c>
      <c r="BF374" s="683">
        <f>COUNTIF(BDEGENER[SERIE],BDEGENER[[#This Row],[SERIE]])</f>
        <v>15</v>
      </c>
      <c r="BG374" s="683" t="str">
        <f>CONCATENATE("F",COUNTIF($K$7:K374,K374))</f>
        <v>F5</v>
      </c>
      <c r="BH374" s="683" t="str">
        <f>CONCATENATE(BDEGENER[[#This Row],[FECHA DE SERVICIO]],BDEGENER[[#This Row],[N° DE REGISTROS DEL DIA]])</f>
        <v>44008F5</v>
      </c>
      <c r="BI374" s="684">
        <v>41655.9</v>
      </c>
      <c r="BJ374" s="683" t="s">
        <v>1544</v>
      </c>
      <c r="BK374" s="736" t="s">
        <v>2788</v>
      </c>
    </row>
    <row r="375" spans="2:63" ht="69" hidden="1" x14ac:dyDescent="0.3">
      <c r="B375" s="2"/>
      <c r="C375" s="2"/>
      <c r="D375" s="2"/>
      <c r="E375" s="2"/>
      <c r="F375" s="2"/>
      <c r="G375" s="2"/>
      <c r="H375" s="2"/>
      <c r="I375" s="2"/>
      <c r="J375" s="685"/>
      <c r="K375" s="682">
        <v>44008</v>
      </c>
      <c r="L375" s="683" t="s">
        <v>561</v>
      </c>
      <c r="M375" s="683" t="s">
        <v>588</v>
      </c>
      <c r="N375" s="683" t="s">
        <v>589</v>
      </c>
      <c r="O375" s="683"/>
      <c r="P375" s="688" t="s">
        <v>2790</v>
      </c>
      <c r="Q375" s="683" t="s">
        <v>37</v>
      </c>
      <c r="R375" s="683" t="s">
        <v>1782</v>
      </c>
      <c r="S375" s="686" t="s">
        <v>2793</v>
      </c>
      <c r="T375" s="683" t="s">
        <v>2792</v>
      </c>
      <c r="U375" s="683" t="s">
        <v>124</v>
      </c>
      <c r="V375" s="683" t="s">
        <v>147</v>
      </c>
      <c r="W375" s="683" t="s">
        <v>914</v>
      </c>
      <c r="X375" s="691" t="s">
        <v>918</v>
      </c>
      <c r="Y375" s="687">
        <v>3003566699</v>
      </c>
      <c r="Z375" s="692" t="s">
        <v>2619</v>
      </c>
      <c r="AA375" s="683" t="s">
        <v>33</v>
      </c>
      <c r="AB375" s="683" t="s">
        <v>34</v>
      </c>
      <c r="AC375" s="683" t="s">
        <v>230</v>
      </c>
      <c r="AD375" s="683" t="s">
        <v>1123</v>
      </c>
      <c r="AE375" s="683">
        <v>60.2</v>
      </c>
      <c r="AF375" s="684">
        <v>5688.4</v>
      </c>
      <c r="AG375" s="683" t="s">
        <v>243</v>
      </c>
      <c r="AH375" s="683" t="s">
        <v>244</v>
      </c>
      <c r="AI375" s="683" t="s">
        <v>33</v>
      </c>
      <c r="AJ375" s="683">
        <v>3003412044</v>
      </c>
      <c r="AK375" s="683" t="s">
        <v>33</v>
      </c>
      <c r="AL375" s="683">
        <v>811745</v>
      </c>
      <c r="AM375" s="683" t="s">
        <v>245</v>
      </c>
      <c r="AN375" s="683" t="s">
        <v>2791</v>
      </c>
      <c r="AO375" s="683" t="s">
        <v>1140</v>
      </c>
      <c r="AP375" s="683" t="s">
        <v>240</v>
      </c>
      <c r="AQ375" s="688" t="str">
        <f>CONCATENATE("REG-",BDEGENER[[#This Row],[FECHA DE SERVICIO]],"-",BDEGENER[[#This Row],[SERIE]],"-",BDEGENER[[#This Row],[HORAS]])</f>
        <v>REG-44008-3003566699-5688,4</v>
      </c>
      <c r="AR375" s="683" t="str">
        <f>CONCATENATE("MARCA: ",BDEGENER[[#This Row],[MARCA]],"
 MODELO: ",BDEGENER[[#This Row],[MODELO]])</f>
        <v>MARCA: GENERAC
 MODELO: PG090</v>
      </c>
      <c r="AS375" s="683" t="str">
        <f>CONCATENATE("MARCA: ",BDEGENER[[#This Row],[MARCA DE MOTOR]],"
SERIE: ",BDEGENER[[#This Row],[SERIE DE MOTOR]])</f>
        <v>MARCA: GENERAC
SERIE: 3003412044</v>
      </c>
      <c r="AT375" s="683" t="str">
        <f>CONCATENATE("MARCA: ",BDEGENER[[#This Row],[MARCA ALTERNADOR ]],"
SERIE: ",BDEGENER[[#This Row],[SERIE DE ALTERNADOR]])</f>
        <v>MARCA: GENERAC
SERIE: 811745</v>
      </c>
      <c r="AU375" s="683" t="str">
        <f>CONCATENATE("HORAS: ",BDEGENER[[#This Row],[HORAS]],"
KW-HR: ",BDEGENER[[#This Row],[KW-HORA]],"
VOLT.BATERIA: ",BDEGENER[[#This Row],[VOLTAJE DE BATERIA]],"
TEMPERATURA: ",BDEGENER[[#This Row],[TEMPERATURA DE AGUA]],"
PRES. ACEITE: ",BDEGENER[[#This Row],[PRESION DE ACEITE]])</f>
        <v>HORAS: 5688,4
KW-HR: 127400,5
VOLT.BATERIA: 13.6 V
TEMPERATURA: 165 °F
PRES. ACEITE: 50 PSI</v>
      </c>
      <c r="AV375" s="683">
        <f>COUNTIFS(Q375:Q2375,"MANTENIMIENTO CORRECTIVO",Y375:Y2375,BDEGENER[[#This Row],[SERIE]])</f>
        <v>3</v>
      </c>
      <c r="AW375" s="683">
        <f>COUNTIFS(Q375:Q2375,"MANTENIMIENTO PREVENTIVO",Y375:Y2375,BDEGENER[[#This Row],[SERIE]])</f>
        <v>5</v>
      </c>
      <c r="AX37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75" s="683">
        <f>COUNTIFS(BDEGENER[SERIE],BDEGENER[[#This Row],[SERIE]],BDEGENER[TIPO DE SERVICIO],"MANTENIMIENTO PREVENTIVO")</f>
        <v>12</v>
      </c>
      <c r="AZ375" s="683" t="str">
        <f>CONCATENATE("MANTENIMIENTO PREVENTIVO N°",BDEGENER[[#This Row],[GA1]])</f>
        <v>MANTENIMIENTO PREVENTIVO N°12</v>
      </c>
      <c r="BA375" s="683" t="str">
        <f>IF(BDEGENER[[#This Row],[SERVICIO]]=BDEGENER[[#This Row],[GA2]],BDEGENER[[#This Row],[HORAS]],"0")</f>
        <v>0</v>
      </c>
      <c r="BB375" s="683">
        <f>SUMIF(BDEGENER[SERIE],BDEGENER[[#This Row],[SERIE]],BDEGENER[GA3])</f>
        <v>8154.7</v>
      </c>
      <c r="BC375" s="683" t="str">
        <f>CONCATENATE("MANT",COUNTIF($Y$7:Y375,Y375))</f>
        <v>MANT9</v>
      </c>
      <c r="BD375" s="683" t="str">
        <f>CONCATENATE(BDEGENER[[#This Row],[SERIE]],BDEGENER[[#This Row],[GA5]])</f>
        <v>3003566699MANT9</v>
      </c>
      <c r="BE375" s="683" t="str">
        <f>CONCATENATE(BDEGENER[[#This Row],[CODIGO PATRIMONIAL]],BDEGENER[[#This Row],[GA5]])</f>
        <v>NOR-GEG-0021MANT9</v>
      </c>
      <c r="BF375" s="683">
        <f>COUNTIF(BDEGENER[SERIE],BDEGENER[[#This Row],[SERIE]])</f>
        <v>17</v>
      </c>
      <c r="BG375" s="683" t="str">
        <f>CONCATENATE("F",COUNTIF($K$7:K375,K375))</f>
        <v>F6</v>
      </c>
      <c r="BH375" s="683" t="str">
        <f>CONCATENATE(BDEGENER[[#This Row],[FECHA DE SERVICIO]],BDEGENER[[#This Row],[N° DE REGISTROS DEL DIA]])</f>
        <v>44008F6</v>
      </c>
      <c r="BI375" s="684">
        <v>127400.5</v>
      </c>
      <c r="BJ375" s="683" t="s">
        <v>1544</v>
      </c>
      <c r="BK375" s="736" t="s">
        <v>2267</v>
      </c>
    </row>
    <row r="376" spans="2:63" ht="69" hidden="1" x14ac:dyDescent="0.3">
      <c r="B376" s="2"/>
      <c r="C376" s="2"/>
      <c r="D376" s="2"/>
      <c r="E376" s="2"/>
      <c r="F376" s="2"/>
      <c r="G376" s="2"/>
      <c r="H376" s="2"/>
      <c r="I376" s="2"/>
      <c r="J376" s="685"/>
      <c r="K376" s="682">
        <v>44008</v>
      </c>
      <c r="L376" s="683" t="s">
        <v>181</v>
      </c>
      <c r="M376" s="683" t="s">
        <v>185</v>
      </c>
      <c r="N376" s="683" t="s">
        <v>183</v>
      </c>
      <c r="O376" s="683">
        <v>4500873022</v>
      </c>
      <c r="P376" s="683" t="s">
        <v>2786</v>
      </c>
      <c r="Q376" s="683" t="s">
        <v>37</v>
      </c>
      <c r="R376" s="683" t="s">
        <v>1782</v>
      </c>
      <c r="S376" s="686" t="s">
        <v>2789</v>
      </c>
      <c r="T376" s="683" t="s">
        <v>2787</v>
      </c>
      <c r="U376" s="683" t="s">
        <v>2488</v>
      </c>
      <c r="V376" s="683" t="s">
        <v>146</v>
      </c>
      <c r="W376" s="683" t="s">
        <v>914</v>
      </c>
      <c r="X376" s="691" t="s">
        <v>918</v>
      </c>
      <c r="Y376" s="687">
        <v>3004290368</v>
      </c>
      <c r="Z376" s="692"/>
      <c r="AA376" s="683" t="s">
        <v>33</v>
      </c>
      <c r="AB376" s="683" t="s">
        <v>34</v>
      </c>
      <c r="AC376" s="683" t="s">
        <v>230</v>
      </c>
      <c r="AD376" s="683" t="s">
        <v>1110</v>
      </c>
      <c r="AE376" s="683">
        <v>60</v>
      </c>
      <c r="AF376" s="684">
        <v>2259.3000000000002</v>
      </c>
      <c r="AG376" s="683" t="s">
        <v>243</v>
      </c>
      <c r="AH376" s="683" t="s">
        <v>220</v>
      </c>
      <c r="AI376" s="683" t="s">
        <v>33</v>
      </c>
      <c r="AJ376" s="683">
        <v>3004034816</v>
      </c>
      <c r="AK376" s="683" t="s">
        <v>33</v>
      </c>
      <c r="AL376" s="683">
        <v>106312930</v>
      </c>
      <c r="AM376" s="683" t="s">
        <v>1121</v>
      </c>
      <c r="AN376" s="683" t="s">
        <v>1352</v>
      </c>
      <c r="AO376" s="683" t="s">
        <v>1166</v>
      </c>
      <c r="AP376" s="683" t="s">
        <v>240</v>
      </c>
      <c r="AQ376" s="683" t="str">
        <f>CONCATENATE("REG-",BDEGENER[[#This Row],[FECHA DE SERVICIO]],"-",BDEGENER[[#This Row],[SERIE]],"-",BDEGENER[[#This Row],[HORAS]])</f>
        <v>REG-44008-3004290368-2259,3</v>
      </c>
      <c r="AR376" s="683" t="str">
        <f>CONCATENATE("MARCA: ",BDEGENER[[#This Row],[MARCA]],"
 MODELO: ",BDEGENER[[#This Row],[MODELO]])</f>
        <v>MARCA: GENERAC
 MODELO: PG090</v>
      </c>
      <c r="AS376" s="683" t="str">
        <f>CONCATENATE("MARCA: ",BDEGENER[[#This Row],[MARCA DE MOTOR]],"
SERIE: ",BDEGENER[[#This Row],[SERIE DE MOTOR]])</f>
        <v>MARCA: GENERAC
SERIE: 3004034816</v>
      </c>
      <c r="AT376" s="683" t="str">
        <f>CONCATENATE("MARCA: ",BDEGENER[[#This Row],[MARCA ALTERNADOR ]],"
SERIE: ",BDEGENER[[#This Row],[SERIE DE ALTERNADOR]])</f>
        <v>MARCA: GENERAC
SERIE: 106312930</v>
      </c>
      <c r="AU376" s="683" t="str">
        <f>CONCATENATE("HORAS: ",BDEGENER[[#This Row],[HORAS]],"
KW-HR: ",BDEGENER[[#This Row],[KW-HORA]],"
VOLT.BATERIA: ",BDEGENER[[#This Row],[VOLTAJE DE BATERIA]],"
TEMPERATURA: ",BDEGENER[[#This Row],[TEMPERATURA DE AGUA]],"
PRES. ACEITE: ",BDEGENER[[#This Row],[PRESION DE ACEITE]])</f>
        <v>HORAS: 2259,3
KW-HR: 22865,3
VOLT.BATERIA: 13.7 V
TEMPERATURA: 196 °F
PRES. ACEITE: 57 PSI</v>
      </c>
      <c r="AV376" s="761">
        <f>COUNTIFS(Q376:Q2376,"MANTENIMIENTO CORRECTIVO",Y376:Y2376,BDEGENER[[#This Row],[SERIE]])</f>
        <v>3</v>
      </c>
      <c r="AW376" s="761">
        <f>COUNTIFS(Q376:Q2376,"MANTENIMIENTO PREVENTIVO",Y376:Y2376,BDEGENER[[#This Row],[SERIE]])</f>
        <v>6</v>
      </c>
      <c r="AX37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76" s="683">
        <f>COUNTIFS(BDEGENER[SERIE],BDEGENER[[#This Row],[SERIE]],BDEGENER[TIPO DE SERVICIO],"MANTENIMIENTO PREVENTIVO")</f>
        <v>6</v>
      </c>
      <c r="AZ376" s="683" t="str">
        <f>CONCATENATE("MANTENIMIENTO PREVENTIVO N°",BDEGENER[[#This Row],[GA1]])</f>
        <v>MANTENIMIENTO PREVENTIVO N°6</v>
      </c>
      <c r="BA376" s="683">
        <f>IF(BDEGENER[[#This Row],[SERVICIO]]=BDEGENER[[#This Row],[GA2]],BDEGENER[[#This Row],[HORAS]],"0")</f>
        <v>2259.3000000000002</v>
      </c>
      <c r="BB376" s="683">
        <f>SUMIF(BDEGENER[SERIE],BDEGENER[[#This Row],[SERIE]],BDEGENER[GA3])</f>
        <v>2259.3000000000002</v>
      </c>
      <c r="BC376" s="761" t="str">
        <f>CONCATENATE("MANT",COUNTIF($Y$7:Y376,Y376))</f>
        <v>MANT5</v>
      </c>
      <c r="BD376" s="683" t="str">
        <f>CONCATENATE(BDEGENER[[#This Row],[SERIE]],BDEGENER[[#This Row],[GA5]])</f>
        <v>3004290368MANT5</v>
      </c>
      <c r="BE376" s="683" t="str">
        <f>CONCATENATE(BDEGENER[[#This Row],[CODIGO PATRIMONIAL]],BDEGENER[[#This Row],[GA5]])</f>
        <v>MANT5</v>
      </c>
      <c r="BF376" s="683">
        <f>COUNTIF(BDEGENER[SERIE],BDEGENER[[#This Row],[SERIE]])</f>
        <v>15</v>
      </c>
      <c r="BG376" s="761" t="str">
        <f>CONCATENATE("F",COUNTIF($K$7:K376,K376))</f>
        <v>F7</v>
      </c>
      <c r="BH376" s="683" t="str">
        <f>CONCATENATE(BDEGENER[[#This Row],[FECHA DE SERVICIO]],BDEGENER[[#This Row],[N° DE REGISTROS DEL DIA]])</f>
        <v>44008F7</v>
      </c>
      <c r="BI376" s="684">
        <v>22865.3</v>
      </c>
      <c r="BJ376" s="683" t="s">
        <v>1544</v>
      </c>
      <c r="BK376" s="736" t="s">
        <v>2261</v>
      </c>
    </row>
    <row r="377" spans="2:63" ht="69" hidden="1" x14ac:dyDescent="0.3">
      <c r="B377" s="2"/>
      <c r="C377" s="2"/>
      <c r="D377" s="2"/>
      <c r="E377" s="2"/>
      <c r="F377" s="2"/>
      <c r="G377" s="2"/>
      <c r="H377" s="2"/>
      <c r="I377" s="2"/>
      <c r="J377" s="685"/>
      <c r="K377" s="682">
        <v>44008</v>
      </c>
      <c r="L377" s="683" t="s">
        <v>181</v>
      </c>
      <c r="M377" s="683" t="s">
        <v>182</v>
      </c>
      <c r="N377" s="683" t="s">
        <v>183</v>
      </c>
      <c r="O377" s="683">
        <v>4500873022</v>
      </c>
      <c r="P377" s="683" t="s">
        <v>2784</v>
      </c>
      <c r="Q377" s="683" t="s">
        <v>37</v>
      </c>
      <c r="R377" s="683" t="s">
        <v>1782</v>
      </c>
      <c r="S377" s="686" t="s">
        <v>2785</v>
      </c>
      <c r="T377" s="683" t="s">
        <v>2963</v>
      </c>
      <c r="U377" s="683" t="s">
        <v>2488</v>
      </c>
      <c r="V377" s="683" t="s">
        <v>146</v>
      </c>
      <c r="W377" s="683" t="s">
        <v>914</v>
      </c>
      <c r="X377" s="691" t="s">
        <v>918</v>
      </c>
      <c r="Y377" s="687">
        <v>3004256777</v>
      </c>
      <c r="Z377" s="692"/>
      <c r="AA377" s="683" t="s">
        <v>33</v>
      </c>
      <c r="AB377" s="683" t="s">
        <v>34</v>
      </c>
      <c r="AC377" s="683" t="s">
        <v>230</v>
      </c>
      <c r="AD377" s="683" t="s">
        <v>1110</v>
      </c>
      <c r="AE377" s="683">
        <v>60</v>
      </c>
      <c r="AF377" s="684">
        <v>1525.2</v>
      </c>
      <c r="AG377" s="683" t="s">
        <v>243</v>
      </c>
      <c r="AH377" s="683" t="s">
        <v>220</v>
      </c>
      <c r="AI377" s="683" t="s">
        <v>33</v>
      </c>
      <c r="AJ377" s="683">
        <v>3003930235</v>
      </c>
      <c r="AK377" s="683" t="s">
        <v>33</v>
      </c>
      <c r="AL377" s="683">
        <v>10630250</v>
      </c>
      <c r="AM377" s="683" t="s">
        <v>1121</v>
      </c>
      <c r="AN377" s="683" t="s">
        <v>1348</v>
      </c>
      <c r="AO377" s="683" t="s">
        <v>1166</v>
      </c>
      <c r="AP377" s="683" t="s">
        <v>240</v>
      </c>
      <c r="AQ377" s="683" t="str">
        <f>CONCATENATE("REG-",BDEGENER[[#This Row],[FECHA DE SERVICIO]],"-",BDEGENER[[#This Row],[SERIE]],"-",BDEGENER[[#This Row],[HORAS]])</f>
        <v>REG-44008-3004256777-1525,2</v>
      </c>
      <c r="AR377" s="683" t="str">
        <f>CONCATENATE("MARCA: ",BDEGENER[[#This Row],[MARCA]],"
 MODELO: ",BDEGENER[[#This Row],[MODELO]])</f>
        <v>MARCA: GENERAC
 MODELO: PG090</v>
      </c>
      <c r="AS377" s="683" t="str">
        <f>CONCATENATE("MARCA: ",BDEGENER[[#This Row],[MARCA DE MOTOR]],"
SERIE: ",BDEGENER[[#This Row],[SERIE DE MOTOR]])</f>
        <v>MARCA: GENERAC
SERIE: 3003930235</v>
      </c>
      <c r="AT377" s="683" t="str">
        <f>CONCATENATE("MARCA: ",BDEGENER[[#This Row],[MARCA ALTERNADOR ]],"
SERIE: ",BDEGENER[[#This Row],[SERIE DE ALTERNADOR]])</f>
        <v>MARCA: GENERAC
SERIE: 10630250</v>
      </c>
      <c r="AU377" s="683" t="str">
        <f>CONCATENATE("HORAS: ",BDEGENER[[#This Row],[HORAS]],"
KW-HR: ",BDEGENER[[#This Row],[KW-HORA]],"
VOLT.BATERIA: ",BDEGENER[[#This Row],[VOLTAJE DE BATERIA]],"
TEMPERATURA: ",BDEGENER[[#This Row],[TEMPERATURA DE AGUA]],"
PRES. ACEITE: ",BDEGENER[[#This Row],[PRESION DE ACEITE]])</f>
        <v>HORAS: 1525,2
KW-HR: 37383,7
VOLT.BATERIA: 13.7 V
TEMPERATURA: 193 °F
PRES. ACEITE: 57 PSI</v>
      </c>
      <c r="AV377" s="683">
        <f>COUNTIFS(Q377:Q2377,"MANTENIMIENTO CORRECTIVO",Y377:Y2377,BDEGENER[[#This Row],[SERIE]])</f>
        <v>4</v>
      </c>
      <c r="AW377" s="683">
        <f>COUNTIFS(Q377:Q2377,"MANTENIMIENTO PREVENTIVO",Y377:Y2377,BDEGENER[[#This Row],[SERIE]])</f>
        <v>5</v>
      </c>
      <c r="AX37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77" s="683">
        <f>COUNTIFS(BDEGENER[SERIE],BDEGENER[[#This Row],[SERIE]],BDEGENER[TIPO DE SERVICIO],"MANTENIMIENTO PREVENTIVO")</f>
        <v>9</v>
      </c>
      <c r="AZ377" s="683" t="str">
        <f>CONCATENATE("MANTENIMIENTO PREVENTIVO N°",BDEGENER[[#This Row],[GA1]])</f>
        <v>MANTENIMIENTO PREVENTIVO N°9</v>
      </c>
      <c r="BA377" s="683" t="str">
        <f>IF(BDEGENER[[#This Row],[SERVICIO]]=BDEGENER[[#This Row],[GA2]],BDEGENER[[#This Row],[HORAS]],"0")</f>
        <v>0</v>
      </c>
      <c r="BB377" s="683">
        <f>SUMIF(BDEGENER[SERIE],BDEGENER[[#This Row],[SERIE]],BDEGENER[GA3])</f>
        <v>2804.7</v>
      </c>
      <c r="BC377" s="683" t="str">
        <f>CONCATENATE("MANT",COUNTIF($Y$7:Y377,Y377))</f>
        <v>MANT7</v>
      </c>
      <c r="BD377" s="683" t="str">
        <f>CONCATENATE(BDEGENER[[#This Row],[SERIE]],BDEGENER[[#This Row],[GA5]])</f>
        <v>3004256777MANT7</v>
      </c>
      <c r="BE377" s="683" t="str">
        <f>CONCATENATE(BDEGENER[[#This Row],[CODIGO PATRIMONIAL]],BDEGENER[[#This Row],[GA5]])</f>
        <v>MANT7</v>
      </c>
      <c r="BF377" s="683">
        <f>COUNTIF(BDEGENER[SERIE],BDEGENER[[#This Row],[SERIE]])</f>
        <v>16</v>
      </c>
      <c r="BG377" s="683" t="str">
        <f>CONCATENATE("F",COUNTIF($K$7:K377,K377))</f>
        <v>F8</v>
      </c>
      <c r="BH377" s="683" t="str">
        <f>CONCATENATE(BDEGENER[[#This Row],[FECHA DE SERVICIO]],BDEGENER[[#This Row],[N° DE REGISTROS DEL DIA]])</f>
        <v>44008F8</v>
      </c>
      <c r="BI377" s="684">
        <v>37383.699999999997</v>
      </c>
      <c r="BJ377" s="683" t="s">
        <v>1544</v>
      </c>
      <c r="BK377" s="736"/>
    </row>
    <row r="378" spans="2:63" ht="69" hidden="1" x14ac:dyDescent="0.3">
      <c r="B378" s="2"/>
      <c r="C378" s="2"/>
      <c r="D378" s="2"/>
      <c r="E378" s="2"/>
      <c r="F378" s="2"/>
      <c r="G378" s="2"/>
      <c r="H378" s="2"/>
      <c r="I378" s="2"/>
      <c r="J378" s="685"/>
      <c r="K378" s="682">
        <v>44007</v>
      </c>
      <c r="L378" s="683" t="s">
        <v>181</v>
      </c>
      <c r="M378" s="683" t="s">
        <v>184</v>
      </c>
      <c r="N378" s="683" t="s">
        <v>183</v>
      </c>
      <c r="O378" s="683">
        <v>4500873022</v>
      </c>
      <c r="P378" s="688" t="s">
        <v>2783</v>
      </c>
      <c r="Q378" s="683" t="s">
        <v>37</v>
      </c>
      <c r="R378" s="683" t="s">
        <v>1782</v>
      </c>
      <c r="S378" s="686" t="s">
        <v>2172</v>
      </c>
      <c r="T378" s="683" t="s">
        <v>2964</v>
      </c>
      <c r="U378" s="683" t="s">
        <v>2488</v>
      </c>
      <c r="V378" s="683" t="s">
        <v>146</v>
      </c>
      <c r="W378" s="683" t="s">
        <v>914</v>
      </c>
      <c r="X378" s="691" t="s">
        <v>918</v>
      </c>
      <c r="Y378" s="687">
        <v>3004336197</v>
      </c>
      <c r="Z378" s="692"/>
      <c r="AA378" s="683" t="s">
        <v>33</v>
      </c>
      <c r="AB378" s="683" t="s">
        <v>34</v>
      </c>
      <c r="AC378" s="683" t="s">
        <v>230</v>
      </c>
      <c r="AD378" s="683" t="s">
        <v>1110</v>
      </c>
      <c r="AE378" s="683">
        <v>60</v>
      </c>
      <c r="AF378" s="684">
        <v>1674.6</v>
      </c>
      <c r="AG378" s="683" t="s">
        <v>243</v>
      </c>
      <c r="AH378" s="683" t="s">
        <v>220</v>
      </c>
      <c r="AI378" s="683" t="s">
        <v>33</v>
      </c>
      <c r="AJ378" s="683">
        <v>3004309062</v>
      </c>
      <c r="AK378" s="683" t="s">
        <v>33</v>
      </c>
      <c r="AL378" s="683">
        <v>10650720</v>
      </c>
      <c r="AM378" s="683" t="s">
        <v>1121</v>
      </c>
      <c r="AN378" s="683" t="s">
        <v>1505</v>
      </c>
      <c r="AO378" s="683" t="s">
        <v>1166</v>
      </c>
      <c r="AP378" s="683" t="s">
        <v>240</v>
      </c>
      <c r="AQ378" s="688" t="str">
        <f>CONCATENATE("REG-",BDEGENER[[#This Row],[FECHA DE SERVICIO]],"-",BDEGENER[[#This Row],[SERIE]],"-",BDEGENER[[#This Row],[HORAS]])</f>
        <v>REG-44007-3004336197-1674,6</v>
      </c>
      <c r="AR378" s="683" t="str">
        <f>CONCATENATE("MARCA: ",BDEGENER[[#This Row],[MARCA]],"
 MODELO: ",BDEGENER[[#This Row],[MODELO]])</f>
        <v>MARCA: GENERAC
 MODELO: PG090</v>
      </c>
      <c r="AS378" s="683" t="str">
        <f>CONCATENATE("MARCA: ",BDEGENER[[#This Row],[MARCA DE MOTOR]],"
SERIE: ",BDEGENER[[#This Row],[SERIE DE MOTOR]])</f>
        <v>MARCA: GENERAC
SERIE: 3004309062</v>
      </c>
      <c r="AT378" s="683" t="str">
        <f>CONCATENATE("MARCA: ",BDEGENER[[#This Row],[MARCA ALTERNADOR ]],"
SERIE: ",BDEGENER[[#This Row],[SERIE DE ALTERNADOR]])</f>
        <v>MARCA: GENERAC
SERIE: 10650720</v>
      </c>
      <c r="AU378" s="683" t="str">
        <f>CONCATENATE("HORAS: ",BDEGENER[[#This Row],[HORAS]],"
KW-HR: ",BDEGENER[[#This Row],[KW-HORA]],"
VOLT.BATERIA: ",BDEGENER[[#This Row],[VOLTAJE DE BATERIA]],"
TEMPERATURA: ",BDEGENER[[#This Row],[TEMPERATURA DE AGUA]],"
PRES. ACEITE: ",BDEGENER[[#This Row],[PRESION DE ACEITE]])</f>
        <v>HORAS: 1674,6
KW-HR: 38614,4
VOLT.BATERIA: 13.7 V
TEMPERATURA: 194 °F
PRES. ACEITE: 57 PSI</v>
      </c>
      <c r="AV378" s="683">
        <f>COUNTIFS(Q378:Q2378,"MANTENIMIENTO CORRECTIVO",Y378:Y2378,BDEGENER[[#This Row],[SERIE]])</f>
        <v>4</v>
      </c>
      <c r="AW378" s="683">
        <f>COUNTIFS(Q378:Q2378,"MANTENIMIENTO PREVENTIVO",Y378:Y2378,BDEGENER[[#This Row],[SERIE]])</f>
        <v>6</v>
      </c>
      <c r="AX37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78" s="683">
        <f>COUNTIFS(BDEGENER[SERIE],BDEGENER[[#This Row],[SERIE]],BDEGENER[TIPO DE SERVICIO],"MANTENIMIENTO PREVENTIVO")</f>
        <v>9</v>
      </c>
      <c r="AZ378" s="683" t="str">
        <f>CONCATENATE("MANTENIMIENTO PREVENTIVO N°",BDEGENER[[#This Row],[GA1]])</f>
        <v>MANTENIMIENTO PREVENTIVO N°9</v>
      </c>
      <c r="BA378" s="683" t="str">
        <f>IF(BDEGENER[[#This Row],[SERVICIO]]=BDEGENER[[#This Row],[GA2]],BDEGENER[[#This Row],[HORAS]],"0")</f>
        <v>0</v>
      </c>
      <c r="BB378" s="683">
        <f>SUMIF(BDEGENER[SERIE],BDEGENER[[#This Row],[SERIE]],BDEGENER[GA3])</f>
        <v>2922.3</v>
      </c>
      <c r="BC378" s="683" t="str">
        <f>CONCATENATE("MANT",COUNTIF($Y$7:Y378,Y378))</f>
        <v>MANT6</v>
      </c>
      <c r="BD378" s="683" t="str">
        <f>CONCATENATE(BDEGENER[[#This Row],[SERIE]],BDEGENER[[#This Row],[GA5]])</f>
        <v>3004336197MANT6</v>
      </c>
      <c r="BE378" s="683" t="str">
        <f>CONCATENATE(BDEGENER[[#This Row],[CODIGO PATRIMONIAL]],BDEGENER[[#This Row],[GA5]])</f>
        <v>MANT6</v>
      </c>
      <c r="BF378" s="683">
        <f>COUNTIF(BDEGENER[SERIE],BDEGENER[[#This Row],[SERIE]])</f>
        <v>17</v>
      </c>
      <c r="BG378" s="683" t="str">
        <f>CONCATENATE("F",COUNTIF($K$7:K378,K378))</f>
        <v>F1</v>
      </c>
      <c r="BH378" s="683" t="str">
        <f>CONCATENATE(BDEGENER[[#This Row],[FECHA DE SERVICIO]],BDEGENER[[#This Row],[N° DE REGISTROS DEL DIA]])</f>
        <v>44007F1</v>
      </c>
      <c r="BI378" s="684">
        <v>38614.400000000001</v>
      </c>
      <c r="BJ378" s="683" t="s">
        <v>1544</v>
      </c>
      <c r="BK378" s="736"/>
    </row>
    <row r="379" spans="2:63" ht="69" hidden="1" x14ac:dyDescent="0.3">
      <c r="B379" s="2"/>
      <c r="C379" s="2"/>
      <c r="D379" s="2"/>
      <c r="E379" s="2"/>
      <c r="F379" s="2"/>
      <c r="G379" s="2"/>
      <c r="H379" s="2"/>
      <c r="I379" s="2"/>
      <c r="J379" s="685"/>
      <c r="K379" s="682">
        <v>44007</v>
      </c>
      <c r="L379" s="683" t="s">
        <v>181</v>
      </c>
      <c r="M379" s="683" t="s">
        <v>184</v>
      </c>
      <c r="N379" s="683" t="s">
        <v>183</v>
      </c>
      <c r="O379" s="683">
        <v>4500873022</v>
      </c>
      <c r="P379" s="683" t="s">
        <v>2783</v>
      </c>
      <c r="Q379" s="683" t="s">
        <v>37</v>
      </c>
      <c r="R379" s="683" t="s">
        <v>1782</v>
      </c>
      <c r="S379" s="686" t="s">
        <v>2172</v>
      </c>
      <c r="T379" s="683" t="s">
        <v>2964</v>
      </c>
      <c r="U379" s="683" t="s">
        <v>2488</v>
      </c>
      <c r="V379" s="683" t="s">
        <v>146</v>
      </c>
      <c r="W379" s="683" t="s">
        <v>914</v>
      </c>
      <c r="X379" s="691" t="s">
        <v>918</v>
      </c>
      <c r="Y379" s="687">
        <v>3004227749</v>
      </c>
      <c r="Z379" s="692"/>
      <c r="AA379" s="683" t="s">
        <v>33</v>
      </c>
      <c r="AB379" s="683" t="s">
        <v>34</v>
      </c>
      <c r="AC379" s="683" t="s">
        <v>230</v>
      </c>
      <c r="AD379" s="683" t="s">
        <v>1110</v>
      </c>
      <c r="AE379" s="683">
        <v>60</v>
      </c>
      <c r="AF379" s="684">
        <v>1613.9</v>
      </c>
      <c r="AG379" s="683" t="s">
        <v>243</v>
      </c>
      <c r="AH379" s="683" t="s">
        <v>220</v>
      </c>
      <c r="AI379" s="683" t="s">
        <v>33</v>
      </c>
      <c r="AJ379" s="683">
        <v>3004231901</v>
      </c>
      <c r="AK379" s="683" t="s">
        <v>33</v>
      </c>
      <c r="AL379" s="683">
        <v>10630140</v>
      </c>
      <c r="AM379" s="683" t="s">
        <v>1121</v>
      </c>
      <c r="AN379" s="683" t="s">
        <v>1352</v>
      </c>
      <c r="AO379" s="683" t="s">
        <v>1349</v>
      </c>
      <c r="AP379" s="683" t="s">
        <v>240</v>
      </c>
      <c r="AQ379" s="683" t="str">
        <f>CONCATENATE("REG-",BDEGENER[[#This Row],[FECHA DE SERVICIO]],"-",BDEGENER[[#This Row],[SERIE]],"-",BDEGENER[[#This Row],[HORAS]])</f>
        <v>REG-44007-3004227749-1613,9</v>
      </c>
      <c r="AR379" s="683" t="str">
        <f>CONCATENATE("MARCA: ",BDEGENER[[#This Row],[MARCA]],"
 MODELO: ",BDEGENER[[#This Row],[MODELO]])</f>
        <v>MARCA: GENERAC
 MODELO: PG090</v>
      </c>
      <c r="AS379" s="683" t="str">
        <f>CONCATENATE("MARCA: ",BDEGENER[[#This Row],[MARCA DE MOTOR]],"
SERIE: ",BDEGENER[[#This Row],[SERIE DE MOTOR]])</f>
        <v>MARCA: GENERAC
SERIE: 3004231901</v>
      </c>
      <c r="AT379" s="683" t="str">
        <f>CONCATENATE("MARCA: ",BDEGENER[[#This Row],[MARCA ALTERNADOR ]],"
SERIE: ",BDEGENER[[#This Row],[SERIE DE ALTERNADOR]])</f>
        <v>MARCA: GENERAC
SERIE: 10630140</v>
      </c>
      <c r="AU379" s="683" t="str">
        <f>CONCATENATE("HORAS: ",BDEGENER[[#This Row],[HORAS]],"
KW-HR: ",BDEGENER[[#This Row],[KW-HORA]],"
VOLT.BATERIA: ",BDEGENER[[#This Row],[VOLTAJE DE BATERIA]],"
TEMPERATURA: ",BDEGENER[[#This Row],[TEMPERATURA DE AGUA]],"
PRES. ACEITE: ",BDEGENER[[#This Row],[PRESION DE ACEITE]])</f>
        <v>HORAS: 1613,9
KW-HR: 41328,8
VOLT.BATERIA: 13.7 V
TEMPERATURA: 196 °F
PRES. ACEITE: 56 PSI</v>
      </c>
      <c r="AV379" s="761">
        <f>COUNTIFS(Q379:Q2379,"MANTENIMIENTO CORRECTIVO",Y379:Y2379,BDEGENER[[#This Row],[SERIE]])</f>
        <v>3</v>
      </c>
      <c r="AW379" s="761">
        <f>COUNTIFS(Q379:Q2379,"MANTENIMIENTO PREVENTIVO",Y379:Y2379,BDEGENER[[#This Row],[SERIE]])</f>
        <v>6</v>
      </c>
      <c r="AX37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79" s="683">
        <f>COUNTIFS(BDEGENER[SERIE],BDEGENER[[#This Row],[SERIE]],BDEGENER[TIPO DE SERVICIO],"MANTENIMIENTO PREVENTIVO")</f>
        <v>8</v>
      </c>
      <c r="AZ379" s="683" t="str">
        <f>CONCATENATE("MANTENIMIENTO PREVENTIVO N°",BDEGENER[[#This Row],[GA1]])</f>
        <v>MANTENIMIENTO PREVENTIVO N°8</v>
      </c>
      <c r="BA379" s="683" t="str">
        <f>IF(BDEGENER[[#This Row],[SERVICIO]]=BDEGENER[[#This Row],[GA2]],BDEGENER[[#This Row],[HORAS]],"0")</f>
        <v>0</v>
      </c>
      <c r="BB379" s="683">
        <f>SUMIF(BDEGENER[SERIE],BDEGENER[[#This Row],[SERIE]],BDEGENER[GA3])</f>
        <v>2404.1999999999998</v>
      </c>
      <c r="BC379" s="761" t="str">
        <f>CONCATENATE("MANT",COUNTIF($Y$7:Y379,Y379))</f>
        <v>MANT5</v>
      </c>
      <c r="BD379" s="683" t="str">
        <f>CONCATENATE(BDEGENER[[#This Row],[SERIE]],BDEGENER[[#This Row],[GA5]])</f>
        <v>3004227749MANT5</v>
      </c>
      <c r="BE379" s="683" t="str">
        <f>CONCATENATE(BDEGENER[[#This Row],[CODIGO PATRIMONIAL]],BDEGENER[[#This Row],[GA5]])</f>
        <v>MANT5</v>
      </c>
      <c r="BF379" s="683">
        <f>COUNTIF(BDEGENER[SERIE],BDEGENER[[#This Row],[SERIE]])</f>
        <v>16</v>
      </c>
      <c r="BG379" s="761" t="str">
        <f>CONCATENATE("F",COUNTIF($K$7:K379,K379))</f>
        <v>F2</v>
      </c>
      <c r="BH379" s="683" t="str">
        <f>CONCATENATE(BDEGENER[[#This Row],[FECHA DE SERVICIO]],BDEGENER[[#This Row],[N° DE REGISTROS DEL DIA]])</f>
        <v>44007F2</v>
      </c>
      <c r="BI379" s="684">
        <v>41328.800000000003</v>
      </c>
      <c r="BJ379" s="683" t="s">
        <v>1544</v>
      </c>
      <c r="BK379" s="736"/>
    </row>
    <row r="380" spans="2:63" ht="69" hidden="1" x14ac:dyDescent="0.3">
      <c r="B380" s="2"/>
      <c r="C380" s="2"/>
      <c r="D380" s="2"/>
      <c r="E380" s="2"/>
      <c r="F380" s="2"/>
      <c r="G380" s="2"/>
      <c r="H380" s="2"/>
      <c r="I380" s="2"/>
      <c r="J380" s="685"/>
      <c r="K380" s="682">
        <v>44005</v>
      </c>
      <c r="L380" s="683" t="s">
        <v>181</v>
      </c>
      <c r="M380" s="683" t="s">
        <v>187</v>
      </c>
      <c r="N380" s="683" t="s">
        <v>183</v>
      </c>
      <c r="O380" s="683">
        <v>4500873022</v>
      </c>
      <c r="P380" s="683" t="s">
        <v>2757</v>
      </c>
      <c r="Q380" s="683" t="s">
        <v>37</v>
      </c>
      <c r="R380" s="683" t="s">
        <v>1782</v>
      </c>
      <c r="S380" s="686" t="s">
        <v>2758</v>
      </c>
      <c r="T380" s="683" t="s">
        <v>2759</v>
      </c>
      <c r="U380" s="683" t="s">
        <v>124</v>
      </c>
      <c r="V380" s="683" t="s">
        <v>146</v>
      </c>
      <c r="W380" s="683" t="s">
        <v>914</v>
      </c>
      <c r="X380" s="691" t="s">
        <v>918</v>
      </c>
      <c r="Y380" s="687">
        <v>3004418790</v>
      </c>
      <c r="Z380" s="692"/>
      <c r="AA380" s="683" t="s">
        <v>33</v>
      </c>
      <c r="AB380" s="683" t="s">
        <v>34</v>
      </c>
      <c r="AC380" s="683" t="s">
        <v>230</v>
      </c>
      <c r="AD380" s="683" t="s">
        <v>1110</v>
      </c>
      <c r="AE380" s="683">
        <v>60</v>
      </c>
      <c r="AF380" s="684">
        <v>1600.7</v>
      </c>
      <c r="AG380" s="683" t="s">
        <v>243</v>
      </c>
      <c r="AH380" s="683" t="s">
        <v>220</v>
      </c>
      <c r="AI380" s="683" t="s">
        <v>33</v>
      </c>
      <c r="AJ380" s="683">
        <v>3005413982</v>
      </c>
      <c r="AK380" s="683" t="s">
        <v>33</v>
      </c>
      <c r="AL380" s="683">
        <v>107745310</v>
      </c>
      <c r="AM380" s="683" t="s">
        <v>1377</v>
      </c>
      <c r="AN380" s="683" t="s">
        <v>1505</v>
      </c>
      <c r="AO380" s="683" t="s">
        <v>1166</v>
      </c>
      <c r="AP380" s="683" t="s">
        <v>240</v>
      </c>
      <c r="AQ380" s="688" t="str">
        <f>CONCATENATE("REG-",BDEGENER[[#This Row],[FECHA DE SERVICIO]],"-",BDEGENER[[#This Row],[SERIE]],"-",BDEGENER[[#This Row],[HORAS]])</f>
        <v>REG-44005-3004418790-1600,7</v>
      </c>
      <c r="AR380" s="683" t="str">
        <f>CONCATENATE("MARCA: ",BDEGENER[[#This Row],[MARCA]],"
 MODELO: ",BDEGENER[[#This Row],[MODELO]])</f>
        <v>MARCA: GENERAC
 MODELO: PG090</v>
      </c>
      <c r="AS380" s="683" t="str">
        <f>CONCATENATE("MARCA: ",BDEGENER[[#This Row],[MARCA DE MOTOR]],"
SERIE: ",BDEGENER[[#This Row],[SERIE DE MOTOR]])</f>
        <v>MARCA: GENERAC
SERIE: 3005413982</v>
      </c>
      <c r="AT380" s="683" t="str">
        <f>CONCATENATE("MARCA: ",BDEGENER[[#This Row],[MARCA ALTERNADOR ]],"
SERIE: ",BDEGENER[[#This Row],[SERIE DE ALTERNADOR]])</f>
        <v>MARCA: GENERAC
SERIE: 107745310</v>
      </c>
      <c r="AU380" s="683" t="str">
        <f>CONCATENATE("HORAS: ",BDEGENER[[#This Row],[HORAS]],"
KW-HR: ",BDEGENER[[#This Row],[KW-HORA]],"
VOLT.BATERIA: ",BDEGENER[[#This Row],[VOLTAJE DE BATERIA]],"
TEMPERATURA: ",BDEGENER[[#This Row],[TEMPERATURA DE AGUA]],"
PRES. ACEITE: ",BDEGENER[[#This Row],[PRESION DE ACEITE]])</f>
        <v>HORAS: 1600,7
KW-HR: 29878,3
VOLT.BATERIA: 13.8 V
TEMPERATURA: 194 °F
PRES. ACEITE: 57 PSI</v>
      </c>
      <c r="AV380" s="683">
        <f>COUNTIFS(Q380:Q2380,"MANTENIMIENTO CORRECTIVO",Y380:Y2380,BDEGENER[[#This Row],[SERIE]])</f>
        <v>1</v>
      </c>
      <c r="AW380" s="683">
        <f>COUNTIFS(Q380:Q2380,"MANTENIMIENTO PREVENTIVO",Y380:Y2380,BDEGENER[[#This Row],[SERIE]])</f>
        <v>5</v>
      </c>
      <c r="AX38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80" s="683">
        <f>COUNTIFS(BDEGENER[SERIE],BDEGENER[[#This Row],[SERIE]],BDEGENER[TIPO DE SERVICIO],"MANTENIMIENTO PREVENTIVO")</f>
        <v>8</v>
      </c>
      <c r="AZ380" s="683" t="str">
        <f>CONCATENATE("MANTENIMIENTO PREVENTIVO N°",BDEGENER[[#This Row],[GA1]])</f>
        <v>MANTENIMIENTO PREVENTIVO N°8</v>
      </c>
      <c r="BA380" s="683" t="str">
        <f>IF(BDEGENER[[#This Row],[SERVICIO]]=BDEGENER[[#This Row],[GA2]],BDEGENER[[#This Row],[HORAS]],"0")</f>
        <v>0</v>
      </c>
      <c r="BB380" s="683">
        <f>SUMIF(BDEGENER[SERIE],BDEGENER[[#This Row],[SERIE]],BDEGENER[GA3])</f>
        <v>2579.3000000000002</v>
      </c>
      <c r="BC380" s="683" t="str">
        <f>CONCATENATE("MANT",COUNTIF($Y$7:Y380,Y380))</f>
        <v>MANT6</v>
      </c>
      <c r="BD380" s="683" t="str">
        <f>CONCATENATE(BDEGENER[[#This Row],[SERIE]],BDEGENER[[#This Row],[GA5]])</f>
        <v>3004418790MANT6</v>
      </c>
      <c r="BE380" s="683" t="str">
        <f>CONCATENATE(BDEGENER[[#This Row],[CODIGO PATRIMONIAL]],BDEGENER[[#This Row],[GA5]])</f>
        <v>MANT6</v>
      </c>
      <c r="BF380" s="683">
        <f>COUNTIF(BDEGENER[SERIE],BDEGENER[[#This Row],[SERIE]])</f>
        <v>14</v>
      </c>
      <c r="BG380" s="683" t="str">
        <f>CONCATENATE("F",COUNTIF($K$7:K380,K380))</f>
        <v>F1</v>
      </c>
      <c r="BH380" s="683" t="str">
        <f>CONCATENATE(BDEGENER[[#This Row],[FECHA DE SERVICIO]],BDEGENER[[#This Row],[N° DE REGISTROS DEL DIA]])</f>
        <v>44005F1</v>
      </c>
      <c r="BI380" s="684">
        <v>29878.3</v>
      </c>
      <c r="BJ380" s="683" t="s">
        <v>1544</v>
      </c>
      <c r="BK380" s="736" t="s">
        <v>788</v>
      </c>
    </row>
    <row r="381" spans="2:63" ht="69" hidden="1" x14ac:dyDescent="0.3">
      <c r="B381" s="2"/>
      <c r="C381" s="2"/>
      <c r="D381" s="2"/>
      <c r="E381" s="2"/>
      <c r="F381" s="2"/>
      <c r="G381" s="2"/>
      <c r="H381" s="2"/>
      <c r="I381" s="2"/>
      <c r="J381" s="685"/>
      <c r="K381" s="682">
        <v>44004</v>
      </c>
      <c r="L381" s="683" t="s">
        <v>181</v>
      </c>
      <c r="M381" s="683" t="s">
        <v>187</v>
      </c>
      <c r="N381" s="683" t="s">
        <v>183</v>
      </c>
      <c r="O381" s="683">
        <v>4500873022</v>
      </c>
      <c r="P381" s="683" t="s">
        <v>2737</v>
      </c>
      <c r="Q381" s="683" t="s">
        <v>37</v>
      </c>
      <c r="R381" s="683" t="s">
        <v>1782</v>
      </c>
      <c r="S381" s="686" t="s">
        <v>2199</v>
      </c>
      <c r="T381" s="683" t="s">
        <v>2739</v>
      </c>
      <c r="U381" s="683" t="s">
        <v>2738</v>
      </c>
      <c r="V381" s="683" t="s">
        <v>146</v>
      </c>
      <c r="W381" s="683" t="s">
        <v>914</v>
      </c>
      <c r="X381" s="691" t="s">
        <v>918</v>
      </c>
      <c r="Y381" s="687">
        <v>3004337428</v>
      </c>
      <c r="Z381" s="692"/>
      <c r="AA381" s="683" t="s">
        <v>33</v>
      </c>
      <c r="AB381" s="683" t="s">
        <v>34</v>
      </c>
      <c r="AC381" s="683" t="s">
        <v>230</v>
      </c>
      <c r="AD381" s="683" t="s">
        <v>1110</v>
      </c>
      <c r="AE381" s="683">
        <v>60</v>
      </c>
      <c r="AF381" s="684">
        <v>913.9</v>
      </c>
      <c r="AG381" s="683" t="s">
        <v>243</v>
      </c>
      <c r="AH381" s="683" t="s">
        <v>220</v>
      </c>
      <c r="AI381" s="683" t="s">
        <v>33</v>
      </c>
      <c r="AJ381" s="683">
        <v>3004333869</v>
      </c>
      <c r="AK381" s="683" t="s">
        <v>33</v>
      </c>
      <c r="AL381" s="683">
        <v>10630350</v>
      </c>
      <c r="AM381" s="683" t="s">
        <v>1377</v>
      </c>
      <c r="AN381" s="683" t="s">
        <v>1143</v>
      </c>
      <c r="AO381" s="683" t="s">
        <v>1166</v>
      </c>
      <c r="AP381" s="683" t="s">
        <v>240</v>
      </c>
      <c r="AQ381" s="688" t="str">
        <f>CONCATENATE("REG-",BDEGENER[[#This Row],[FECHA DE SERVICIO]],"-",BDEGENER[[#This Row],[SERIE]],"-",BDEGENER[[#This Row],[HORAS]])</f>
        <v>REG-44004-3004337428-913,9</v>
      </c>
      <c r="AR381" s="683" t="str">
        <f>CONCATENATE("MARCA: ",BDEGENER[[#This Row],[MARCA]],"
 MODELO: ",BDEGENER[[#This Row],[MODELO]])</f>
        <v>MARCA: GENERAC
 MODELO: PG090</v>
      </c>
      <c r="AS381" s="683" t="str">
        <f>CONCATENATE("MARCA: ",BDEGENER[[#This Row],[MARCA DE MOTOR]],"
SERIE: ",BDEGENER[[#This Row],[SERIE DE MOTOR]])</f>
        <v>MARCA: GENERAC
SERIE: 3004333869</v>
      </c>
      <c r="AT381" s="683" t="str">
        <f>CONCATENATE("MARCA: ",BDEGENER[[#This Row],[MARCA ALTERNADOR ]],"
SERIE: ",BDEGENER[[#This Row],[SERIE DE ALTERNADOR]])</f>
        <v>MARCA: GENERAC
SERIE: 10630350</v>
      </c>
      <c r="AU381" s="683" t="str">
        <f>CONCATENATE("HORAS: ",BDEGENER[[#This Row],[HORAS]],"
KW-HR: ",BDEGENER[[#This Row],[KW-HORA]],"
VOLT.BATERIA: ",BDEGENER[[#This Row],[VOLTAJE DE BATERIA]],"
TEMPERATURA: ",BDEGENER[[#This Row],[TEMPERATURA DE AGUA]],"
PRES. ACEITE: ",BDEGENER[[#This Row],[PRESION DE ACEITE]])</f>
        <v>HORAS: 913,9
KW-HR: 25158,9
VOLT.BATERIA: 13.8 V
TEMPERATURA: 197 °F
PRES. ACEITE: 57 PSI</v>
      </c>
      <c r="AV381" s="683">
        <f>COUNTIFS(Q381:Q2381,"MANTENIMIENTO CORRECTIVO",Y381:Y2381,BDEGENER[[#This Row],[SERIE]])</f>
        <v>1</v>
      </c>
      <c r="AW381" s="683">
        <f>COUNTIFS(Q381:Q2381,"MANTENIMIENTO PREVENTIVO",Y381:Y2381,BDEGENER[[#This Row],[SERIE]])</f>
        <v>4</v>
      </c>
      <c r="AX38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381" s="683">
        <f>COUNTIFS(BDEGENER[SERIE],BDEGENER[[#This Row],[SERIE]],BDEGENER[TIPO DE SERVICIO],"MANTENIMIENTO PREVENTIVO")</f>
        <v>6</v>
      </c>
      <c r="AZ381" s="683" t="str">
        <f>CONCATENATE("MANTENIMIENTO PREVENTIVO N°",BDEGENER[[#This Row],[GA1]])</f>
        <v>MANTENIMIENTO PREVENTIVO N°6</v>
      </c>
      <c r="BA381" s="683" t="str">
        <f>IF(BDEGENER[[#This Row],[SERVICIO]]=BDEGENER[[#This Row],[GA2]],BDEGENER[[#This Row],[HORAS]],"0")</f>
        <v>0</v>
      </c>
      <c r="BB381" s="683">
        <f>SUMIF(BDEGENER[SERIE],BDEGENER[[#This Row],[SERIE]],BDEGENER[GA3])</f>
        <v>1586.2</v>
      </c>
      <c r="BC381" s="683" t="str">
        <f>CONCATENATE("MANT",COUNTIF($Y$7:Y381,Y381))</f>
        <v>MANT4</v>
      </c>
      <c r="BD381" s="683" t="str">
        <f>CONCATENATE(BDEGENER[[#This Row],[SERIE]],BDEGENER[[#This Row],[GA5]])</f>
        <v>3004337428MANT4</v>
      </c>
      <c r="BE381" s="683" t="str">
        <f>CONCATENATE(BDEGENER[[#This Row],[CODIGO PATRIMONIAL]],BDEGENER[[#This Row],[GA5]])</f>
        <v>MANT4</v>
      </c>
      <c r="BF381" s="683">
        <f>COUNTIF(BDEGENER[SERIE],BDEGENER[[#This Row],[SERIE]])</f>
        <v>9</v>
      </c>
      <c r="BG381" s="683" t="str">
        <f>CONCATENATE("F",COUNTIF($K$7:K381,K381))</f>
        <v>F1</v>
      </c>
      <c r="BH381" s="683" t="str">
        <f>CONCATENATE(BDEGENER[[#This Row],[FECHA DE SERVICIO]],BDEGENER[[#This Row],[N° DE REGISTROS DEL DIA]])</f>
        <v>44004F1</v>
      </c>
      <c r="BI381" s="684">
        <v>25158.9</v>
      </c>
      <c r="BJ381" s="683" t="s">
        <v>1544</v>
      </c>
      <c r="BK381" s="736" t="s">
        <v>2740</v>
      </c>
    </row>
    <row r="382" spans="2:63" ht="69" hidden="1" x14ac:dyDescent="0.3">
      <c r="B382" s="2"/>
      <c r="C382" s="2"/>
      <c r="D382" s="2"/>
      <c r="E382" s="2"/>
      <c r="F382" s="2"/>
      <c r="G382" s="2"/>
      <c r="H382" s="2"/>
      <c r="I382" s="2"/>
      <c r="J382" s="685"/>
      <c r="K382" s="682">
        <v>44002</v>
      </c>
      <c r="L382" s="683" t="s">
        <v>181</v>
      </c>
      <c r="M382" s="683" t="s">
        <v>184</v>
      </c>
      <c r="N382" s="683" t="s">
        <v>183</v>
      </c>
      <c r="O382" s="683">
        <v>4500873022</v>
      </c>
      <c r="P382" s="683" t="s">
        <v>2702</v>
      </c>
      <c r="Q382" s="683" t="s">
        <v>37</v>
      </c>
      <c r="R382" s="683" t="s">
        <v>1782</v>
      </c>
      <c r="S382" s="686" t="s">
        <v>2140</v>
      </c>
      <c r="T382" s="683" t="s">
        <v>2703</v>
      </c>
      <c r="U382" s="683" t="s">
        <v>124</v>
      </c>
      <c r="V382" s="683" t="s">
        <v>146</v>
      </c>
      <c r="W382" s="683" t="s">
        <v>914</v>
      </c>
      <c r="X382" s="691" t="s">
        <v>918</v>
      </c>
      <c r="Y382" s="687">
        <v>3004402508</v>
      </c>
      <c r="Z382" s="692"/>
      <c r="AA382" s="683" t="s">
        <v>33</v>
      </c>
      <c r="AB382" s="683" t="s">
        <v>34</v>
      </c>
      <c r="AC382" s="683" t="s">
        <v>230</v>
      </c>
      <c r="AD382" s="683" t="s">
        <v>1110</v>
      </c>
      <c r="AE382" s="683">
        <v>60</v>
      </c>
      <c r="AF382" s="684">
        <v>1308.8</v>
      </c>
      <c r="AG382" s="683" t="s">
        <v>243</v>
      </c>
      <c r="AH382" s="683" t="s">
        <v>220</v>
      </c>
      <c r="AI382" s="683" t="s">
        <v>33</v>
      </c>
      <c r="AJ382" s="683">
        <v>3004425773</v>
      </c>
      <c r="AK382" s="683" t="s">
        <v>33</v>
      </c>
      <c r="AL382" s="683">
        <v>106310050</v>
      </c>
      <c r="AM382" s="683" t="s">
        <v>1121</v>
      </c>
      <c r="AN382" s="683" t="s">
        <v>1505</v>
      </c>
      <c r="AO382" s="683" t="s">
        <v>1166</v>
      </c>
      <c r="AP382" s="683" t="s">
        <v>240</v>
      </c>
      <c r="AQ382" s="683" t="str">
        <f>CONCATENATE("REG-",BDEGENER[[#This Row],[FECHA DE SERVICIO]],"-",BDEGENER[[#This Row],[SERIE]],"-",BDEGENER[[#This Row],[HORAS]])</f>
        <v>REG-44002-3004402508-1308,8</v>
      </c>
      <c r="AR382" s="683" t="str">
        <f>CONCATENATE("MARCA: ",BDEGENER[[#This Row],[MARCA]],"
 MODELO: ",BDEGENER[[#This Row],[MODELO]])</f>
        <v>MARCA: GENERAC
 MODELO: PG090</v>
      </c>
      <c r="AS382" s="683" t="str">
        <f>CONCATENATE("MARCA: ",BDEGENER[[#This Row],[MARCA DE MOTOR]],"
SERIE: ",BDEGENER[[#This Row],[SERIE DE MOTOR]])</f>
        <v>MARCA: GENERAC
SERIE: 3004425773</v>
      </c>
      <c r="AT382" s="683" t="str">
        <f>CONCATENATE("MARCA: ",BDEGENER[[#This Row],[MARCA ALTERNADOR ]],"
SERIE: ",BDEGENER[[#This Row],[SERIE DE ALTERNADOR]])</f>
        <v>MARCA: GENERAC
SERIE: 106310050</v>
      </c>
      <c r="AU382" s="683" t="str">
        <f>CONCATENATE("HORAS: ",BDEGENER[[#This Row],[HORAS]],"
KW-HR: ",BDEGENER[[#This Row],[KW-HORA]],"
VOLT.BATERIA: ",BDEGENER[[#This Row],[VOLTAJE DE BATERIA]],"
TEMPERATURA: ",BDEGENER[[#This Row],[TEMPERATURA DE AGUA]],"
PRES. ACEITE: ",BDEGENER[[#This Row],[PRESION DE ACEITE]])</f>
        <v>HORAS: 1308,8
KW-HR: 19457,2
VOLT.BATERIA: 13.7 V
TEMPERATURA: 194 °F
PRES. ACEITE: 57 PSI</v>
      </c>
      <c r="AV382" s="761">
        <f>COUNTIFS(Q382:Q2382,"MANTENIMIENTO CORRECTIVO",Y382:Y2382,BDEGENER[[#This Row],[SERIE]])</f>
        <v>3</v>
      </c>
      <c r="AW382" s="761">
        <f>COUNTIFS(Q382:Q2382,"MANTENIMIENTO PREVENTIVO",Y382:Y2382,BDEGENER[[#This Row],[SERIE]])</f>
        <v>5</v>
      </c>
      <c r="AX38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82" s="683">
        <f>COUNTIFS(BDEGENER[SERIE],BDEGENER[[#This Row],[SERIE]],BDEGENER[TIPO DE SERVICIO],"MANTENIMIENTO PREVENTIVO")</f>
        <v>8</v>
      </c>
      <c r="AZ382" s="683" t="str">
        <f>CONCATENATE("MANTENIMIENTO PREVENTIVO N°",BDEGENER[[#This Row],[GA1]])</f>
        <v>MANTENIMIENTO PREVENTIVO N°8</v>
      </c>
      <c r="BA382" s="683" t="str">
        <f>IF(BDEGENER[[#This Row],[SERVICIO]]=BDEGENER[[#This Row],[GA2]],BDEGENER[[#This Row],[HORAS]],"0")</f>
        <v>0</v>
      </c>
      <c r="BB382" s="683">
        <f>SUMIF(BDEGENER[SERIE],BDEGENER[[#This Row],[SERIE]],BDEGENER[GA3])</f>
        <v>2186.3000000000002</v>
      </c>
      <c r="BC382" s="761" t="str">
        <f>CONCATENATE("MANT",COUNTIF($Y$7:Y382,Y382))</f>
        <v>MANT6</v>
      </c>
      <c r="BD382" s="683" t="str">
        <f>CONCATENATE(BDEGENER[[#This Row],[SERIE]],BDEGENER[[#This Row],[GA5]])</f>
        <v>3004402508MANT6</v>
      </c>
      <c r="BE382" s="683" t="str">
        <f>CONCATENATE(BDEGENER[[#This Row],[CODIGO PATRIMONIAL]],BDEGENER[[#This Row],[GA5]])</f>
        <v>MANT6</v>
      </c>
      <c r="BF382" s="683">
        <f>COUNTIF(BDEGENER[SERIE],BDEGENER[[#This Row],[SERIE]])</f>
        <v>15</v>
      </c>
      <c r="BG382" s="761" t="str">
        <f>CONCATENATE("F",COUNTIF($K$7:K382,K382))</f>
        <v>F1</v>
      </c>
      <c r="BH382" s="683" t="str">
        <f>CONCATENATE(BDEGENER[[#This Row],[FECHA DE SERVICIO]],BDEGENER[[#This Row],[N° DE REGISTROS DEL DIA]])</f>
        <v>44002F1</v>
      </c>
      <c r="BI382" s="684">
        <v>19457.2</v>
      </c>
      <c r="BJ382" s="683" t="s">
        <v>1544</v>
      </c>
      <c r="BK382" s="736"/>
    </row>
    <row r="383" spans="2:63" ht="69" hidden="1" x14ac:dyDescent="0.3">
      <c r="B383" s="2"/>
      <c r="C383" s="2"/>
      <c r="D383" s="2"/>
      <c r="E383" s="2"/>
      <c r="F383" s="2"/>
      <c r="G383" s="2"/>
      <c r="H383" s="2"/>
      <c r="I383" s="2"/>
      <c r="J383" s="685"/>
      <c r="K383" s="682">
        <v>44002</v>
      </c>
      <c r="L383" s="683" t="s">
        <v>1545</v>
      </c>
      <c r="M383" s="683" t="s">
        <v>2748</v>
      </c>
      <c r="N383" s="683" t="s">
        <v>2749</v>
      </c>
      <c r="O383" s="683"/>
      <c r="P383" s="683"/>
      <c r="Q383" s="683" t="s">
        <v>107</v>
      </c>
      <c r="R383" s="683" t="s">
        <v>1782</v>
      </c>
      <c r="S383" s="686" t="s">
        <v>2755</v>
      </c>
      <c r="T383" s="683" t="s">
        <v>3503</v>
      </c>
      <c r="U383" s="683" t="s">
        <v>2756</v>
      </c>
      <c r="V383" s="683" t="s">
        <v>146</v>
      </c>
      <c r="W383" s="683" t="s">
        <v>2743</v>
      </c>
      <c r="X383" s="691" t="s">
        <v>2741</v>
      </c>
      <c r="Y383" s="687" t="s">
        <v>2742</v>
      </c>
      <c r="Z383" s="692" t="s">
        <v>159</v>
      </c>
      <c r="AA383" s="683" t="s">
        <v>1495</v>
      </c>
      <c r="AB383" s="683" t="s">
        <v>2744</v>
      </c>
      <c r="AC383" s="683" t="s">
        <v>2745</v>
      </c>
      <c r="AD383" s="683"/>
      <c r="AE383" s="683"/>
      <c r="AF383" s="684">
        <v>137912</v>
      </c>
      <c r="AG383" s="683" t="s">
        <v>243</v>
      </c>
      <c r="AH383" s="683" t="s">
        <v>159</v>
      </c>
      <c r="AI383" s="683" t="s">
        <v>1495</v>
      </c>
      <c r="AJ383" s="683" t="s">
        <v>159</v>
      </c>
      <c r="AK383" s="683" t="s">
        <v>2746</v>
      </c>
      <c r="AL383" s="683" t="s">
        <v>2747</v>
      </c>
      <c r="AM383" s="683"/>
      <c r="AN383" s="683"/>
      <c r="AO383" s="683"/>
      <c r="AP383" s="683" t="s">
        <v>240</v>
      </c>
      <c r="AQ383" s="683" t="str">
        <f>CONCATENATE("REG-",BDEGENER[[#This Row],[FECHA DE SERVICIO]],"-",BDEGENER[[#This Row],[SERIE]],"-",BDEGENER[[#This Row],[HORAS]])</f>
        <v>REG-44002-D4Y-534-137912</v>
      </c>
      <c r="AR383" s="683" t="str">
        <f>CONCATENATE("MARCA: ",BDEGENER[[#This Row],[MARCA]],"
 MODELO: ",BDEGENER[[#This Row],[MODELO]])</f>
        <v>MARCA: FORD
 MODELO: ECOSPORT</v>
      </c>
      <c r="AS383" s="683" t="str">
        <f>CONCATENATE("MARCA: ",BDEGENER[[#This Row],[MARCA DE MOTOR]],"
SERIE: ",BDEGENER[[#This Row],[SERIE DE MOTOR]])</f>
        <v xml:space="preserve">MARCA: FORD
SERIE: </v>
      </c>
      <c r="AT383" s="683" t="str">
        <f>CONCATENATE("MARCA: ",BDEGENER[[#This Row],[MARCA ALTERNADOR ]],"
SERIE: ",BDEGENER[[#This Row],[SERIE DE ALTERNADOR]])</f>
        <v>MARCA: CHASIS FORD
SERIE: 9BFZE1GF358634864</v>
      </c>
      <c r="AU383" s="683" t="str">
        <f>CONCATENATE("HORAS: ",BDEGENER[[#This Row],[HORAS]],"
KW-HR: ",BDEGENER[[#This Row],[KW-HORA]],"
VOLT.BATERIA: ",BDEGENER[[#This Row],[VOLTAJE DE BATERIA]],"
TEMPERATURA: ",BDEGENER[[#This Row],[TEMPERATURA DE AGUA]],"
PRES. ACEITE: ",BDEGENER[[#This Row],[PRESION DE ACEITE]])</f>
        <v xml:space="preserve">HORAS: 137912
KW-HR: 
VOLT.BATERIA: 
TEMPERATURA: 
PRES. ACEITE: </v>
      </c>
      <c r="AV383" s="683">
        <f>COUNTIFS(Q383:Q2383,"MANTENIMIENTO CORRECTIVO",Y383:Y2383,BDEGENER[[#This Row],[SERIE]])</f>
        <v>3</v>
      </c>
      <c r="AW383" s="683">
        <f>COUNTIFS(Q383:Q2383,"MANTENIMIENTO PREVENTIVO",Y383:Y2383,BDEGENER[[#This Row],[SERIE]])</f>
        <v>2</v>
      </c>
      <c r="AX38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383" s="683">
        <f>COUNTIFS(BDEGENER[SERIE],BDEGENER[[#This Row],[SERIE]],BDEGENER[TIPO DE SERVICIO],"MANTENIMIENTO PREVENTIVO")</f>
        <v>3</v>
      </c>
      <c r="AZ383" s="683" t="str">
        <f>CONCATENATE("MANTENIMIENTO PREVENTIVO N°",BDEGENER[[#This Row],[GA1]])</f>
        <v>MANTENIMIENTO PREVENTIVO N°3</v>
      </c>
      <c r="BA383" s="683" t="str">
        <f>IF(BDEGENER[[#This Row],[SERVICIO]]=BDEGENER[[#This Row],[GA2]],BDEGENER[[#This Row],[HORAS]],"0")</f>
        <v>0</v>
      </c>
      <c r="BB383" s="683">
        <f>SUMIF(BDEGENER[SERIE],BDEGENER[[#This Row],[SERIE]],BDEGENER[GA3])</f>
        <v>141510</v>
      </c>
      <c r="BC383" s="683" t="str">
        <f>CONCATENATE("MANT",COUNTIF($Y$7:Y383,Y383))</f>
        <v>MANT2</v>
      </c>
      <c r="BD383" s="683" t="str">
        <f>CONCATENATE(BDEGENER[[#This Row],[SERIE]],BDEGENER[[#This Row],[GA5]])</f>
        <v>D4Y-534MANT2</v>
      </c>
      <c r="BE383" s="683" t="str">
        <f>CONCATENATE(BDEGENER[[#This Row],[CODIGO PATRIMONIAL]],BDEGENER[[#This Row],[GA5]])</f>
        <v>MANT2</v>
      </c>
      <c r="BF383" s="683">
        <f>COUNTIF(BDEGENER[SERIE],BDEGENER[[#This Row],[SERIE]])</f>
        <v>6</v>
      </c>
      <c r="BG383" s="683" t="str">
        <f>CONCATENATE("F",COUNTIF($K$7:K383,K383))</f>
        <v>F2</v>
      </c>
      <c r="BH383" s="683" t="str">
        <f>CONCATENATE(BDEGENER[[#This Row],[FECHA DE SERVICIO]],BDEGENER[[#This Row],[N° DE REGISTROS DEL DIA]])</f>
        <v>44002F2</v>
      </c>
      <c r="BI383" s="684"/>
      <c r="BJ383" s="683" t="s">
        <v>1545</v>
      </c>
      <c r="BK383" s="736"/>
    </row>
    <row r="384" spans="2:63" ht="69" hidden="1" x14ac:dyDescent="0.3">
      <c r="B384" s="2"/>
      <c r="C384" s="2"/>
      <c r="D384" s="2"/>
      <c r="E384" s="2"/>
      <c r="F384" s="2"/>
      <c r="G384" s="2"/>
      <c r="H384" s="2"/>
      <c r="I384" s="2"/>
      <c r="J384" s="685"/>
      <c r="K384" s="682">
        <v>44002</v>
      </c>
      <c r="L384" s="683" t="s">
        <v>561</v>
      </c>
      <c r="M384" s="683" t="s">
        <v>567</v>
      </c>
      <c r="N384" s="683" t="s">
        <v>568</v>
      </c>
      <c r="O384" s="683"/>
      <c r="P384" s="688" t="s">
        <v>2730</v>
      </c>
      <c r="Q384" s="683" t="s">
        <v>37</v>
      </c>
      <c r="R384" s="683" t="s">
        <v>1782</v>
      </c>
      <c r="S384" s="686" t="s">
        <v>2731</v>
      </c>
      <c r="T384" s="683" t="s">
        <v>2733</v>
      </c>
      <c r="U384" s="683" t="s">
        <v>2732</v>
      </c>
      <c r="V384" s="683" t="s">
        <v>149</v>
      </c>
      <c r="W384" s="683" t="s">
        <v>914</v>
      </c>
      <c r="X384" s="691" t="s">
        <v>918</v>
      </c>
      <c r="Y384" s="687">
        <v>3003962766</v>
      </c>
      <c r="Z384" s="692" t="s">
        <v>2602</v>
      </c>
      <c r="AA384" s="683" t="s">
        <v>33</v>
      </c>
      <c r="AB384" s="683" t="s">
        <v>34</v>
      </c>
      <c r="AC384" s="683" t="s">
        <v>230</v>
      </c>
      <c r="AD384" s="683" t="s">
        <v>1123</v>
      </c>
      <c r="AE384" s="683">
        <v>60</v>
      </c>
      <c r="AF384" s="684">
        <v>2748.4</v>
      </c>
      <c r="AG384" s="683" t="s">
        <v>243</v>
      </c>
      <c r="AH384" s="683" t="s">
        <v>220</v>
      </c>
      <c r="AI384" s="683" t="s">
        <v>33</v>
      </c>
      <c r="AJ384" s="683"/>
      <c r="AK384" s="683" t="s">
        <v>33</v>
      </c>
      <c r="AL384" s="683"/>
      <c r="AM384" s="683" t="s">
        <v>1121</v>
      </c>
      <c r="AN384" s="683" t="s">
        <v>1833</v>
      </c>
      <c r="AO384" s="683" t="s">
        <v>1158</v>
      </c>
      <c r="AP384" s="683" t="s">
        <v>240</v>
      </c>
      <c r="AQ384" s="688" t="str">
        <f>CONCATENATE("REG-",BDEGENER[[#This Row],[FECHA DE SERVICIO]],"-",BDEGENER[[#This Row],[SERIE]],"-",BDEGENER[[#This Row],[HORAS]])</f>
        <v>REG-44002-3003962766-2748,4</v>
      </c>
      <c r="AR384" s="683" t="str">
        <f>CONCATENATE("MARCA: ",BDEGENER[[#This Row],[MARCA]],"
 MODELO: ",BDEGENER[[#This Row],[MODELO]])</f>
        <v>MARCA: GENERAC
 MODELO: PG090</v>
      </c>
      <c r="AS384" s="683" t="str">
        <f>CONCATENATE("MARCA: ",BDEGENER[[#This Row],[MARCA DE MOTOR]],"
SERIE: ",BDEGENER[[#This Row],[SERIE DE MOTOR]])</f>
        <v xml:space="preserve">MARCA: GENERAC
SERIE: </v>
      </c>
      <c r="AT384" s="683" t="str">
        <f>CONCATENATE("MARCA: ",BDEGENER[[#This Row],[MARCA ALTERNADOR ]],"
SERIE: ",BDEGENER[[#This Row],[SERIE DE ALTERNADOR]])</f>
        <v xml:space="preserve">MARCA: GENERAC
SERIE: </v>
      </c>
      <c r="AU384" s="683" t="str">
        <f>CONCATENATE("HORAS: ",BDEGENER[[#This Row],[HORAS]],"
KW-HR: ",BDEGENER[[#This Row],[KW-HORA]],"
VOLT.BATERIA: ",BDEGENER[[#This Row],[VOLTAJE DE BATERIA]],"
TEMPERATURA: ",BDEGENER[[#This Row],[TEMPERATURA DE AGUA]],"
PRES. ACEITE: ",BDEGENER[[#This Row],[PRESION DE ACEITE]])</f>
        <v>HORAS: 2748,4
KW-HR: 72488,4
VOLT.BATERIA: 13.7 V
TEMPERATURA: 177 °F
PRES. ACEITE: 53 PSI</v>
      </c>
      <c r="AV384" s="683">
        <f>COUNTIFS(Q384:Q2384,"MANTENIMIENTO CORRECTIVO",Y384:Y2384,BDEGENER[[#This Row],[SERIE]])</f>
        <v>1</v>
      </c>
      <c r="AW384" s="683">
        <f>COUNTIFS(Q384:Q2384,"MANTENIMIENTO PREVENTIVO",Y384:Y2384,BDEGENER[[#This Row],[SERIE]])</f>
        <v>5</v>
      </c>
      <c r="AX38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84" s="683">
        <f>COUNTIFS(BDEGENER[SERIE],BDEGENER[[#This Row],[SERIE]],BDEGENER[TIPO DE SERVICIO],"MANTENIMIENTO PREVENTIVO")</f>
        <v>9</v>
      </c>
      <c r="AZ384" s="683" t="str">
        <f>CONCATENATE("MANTENIMIENTO PREVENTIVO N°",BDEGENER[[#This Row],[GA1]])</f>
        <v>MANTENIMIENTO PREVENTIVO N°9</v>
      </c>
      <c r="BA384" s="683" t="str">
        <f>IF(BDEGENER[[#This Row],[SERVICIO]]=BDEGENER[[#This Row],[GA2]],BDEGENER[[#This Row],[HORAS]],"0")</f>
        <v>0</v>
      </c>
      <c r="BB384" s="683">
        <f>SUMIF(BDEGENER[SERIE],BDEGENER[[#This Row],[SERIE]],BDEGENER[GA3])</f>
        <v>4662.2</v>
      </c>
      <c r="BC384" s="683" t="str">
        <f>CONCATENATE("MANT",COUNTIF($Y$7:Y384,Y384))</f>
        <v>MANT9</v>
      </c>
      <c r="BD384" s="683" t="str">
        <f>CONCATENATE(BDEGENER[[#This Row],[SERIE]],BDEGENER[[#This Row],[GA5]])</f>
        <v>3003962766MANT9</v>
      </c>
      <c r="BE384" s="683" t="str">
        <f>CONCATENATE(BDEGENER[[#This Row],[CODIGO PATRIMONIAL]],BDEGENER[[#This Row],[GA5]])</f>
        <v>SUR-GEG-0006MANT9</v>
      </c>
      <c r="BF384" s="683">
        <f>COUNTIF(BDEGENER[SERIE],BDEGENER[[#This Row],[SERIE]])</f>
        <v>16</v>
      </c>
      <c r="BG384" s="683" t="str">
        <f>CONCATENATE("F",COUNTIF($K$7:K384,K384))</f>
        <v>F3</v>
      </c>
      <c r="BH384" s="683" t="str">
        <f>CONCATENATE(BDEGENER[[#This Row],[FECHA DE SERVICIO]],BDEGENER[[#This Row],[N° DE REGISTROS DEL DIA]])</f>
        <v>44002F3</v>
      </c>
      <c r="BI384" s="684">
        <v>72488.399999999994</v>
      </c>
      <c r="BJ384" s="683" t="s">
        <v>1544</v>
      </c>
      <c r="BK384" s="736" t="s">
        <v>749</v>
      </c>
    </row>
    <row r="385" spans="2:63" ht="69" hidden="1" x14ac:dyDescent="0.3">
      <c r="B385" s="2"/>
      <c r="C385" s="2"/>
      <c r="D385" s="2"/>
      <c r="E385" s="2"/>
      <c r="F385" s="2"/>
      <c r="G385" s="2"/>
      <c r="H385" s="2"/>
      <c r="I385" s="2"/>
      <c r="J385" s="685"/>
      <c r="K385" s="682">
        <v>44001</v>
      </c>
      <c r="L385" s="683" t="s">
        <v>791</v>
      </c>
      <c r="M385" s="683" t="s">
        <v>3356</v>
      </c>
      <c r="N385" s="683" t="s">
        <v>792</v>
      </c>
      <c r="O385" s="683"/>
      <c r="P385" s="683"/>
      <c r="Q385" s="683" t="s">
        <v>37</v>
      </c>
      <c r="R385" s="683" t="s">
        <v>1782</v>
      </c>
      <c r="S385" s="686" t="s">
        <v>3374</v>
      </c>
      <c r="T385" s="683" t="s">
        <v>3375</v>
      </c>
      <c r="U385" s="683" t="s">
        <v>3376</v>
      </c>
      <c r="V385" s="683" t="s">
        <v>150</v>
      </c>
      <c r="W385" s="683" t="s">
        <v>914</v>
      </c>
      <c r="X385" s="691" t="s">
        <v>917</v>
      </c>
      <c r="Y385" s="687" t="s">
        <v>3367</v>
      </c>
      <c r="Z385" s="692"/>
      <c r="AA385" s="683" t="s">
        <v>840</v>
      </c>
      <c r="AB385" s="683" t="s">
        <v>3361</v>
      </c>
      <c r="AC385" s="683" t="s">
        <v>851</v>
      </c>
      <c r="AD385" s="683" t="s">
        <v>1200</v>
      </c>
      <c r="AE385" s="683">
        <v>63</v>
      </c>
      <c r="AF385" s="684">
        <v>308.10000000000002</v>
      </c>
      <c r="AG385" s="683"/>
      <c r="AH385" s="683" t="s">
        <v>3368</v>
      </c>
      <c r="AI385" s="683" t="s">
        <v>844</v>
      </c>
      <c r="AJ385" s="683" t="s">
        <v>859</v>
      </c>
      <c r="AK385" s="683" t="s">
        <v>1923</v>
      </c>
      <c r="AL385" s="683" t="s">
        <v>3355</v>
      </c>
      <c r="AM385" s="683"/>
      <c r="AN385" s="683"/>
      <c r="AO385" s="683" t="s">
        <v>3240</v>
      </c>
      <c r="AP385" s="683" t="s">
        <v>240</v>
      </c>
      <c r="AQ385" s="688" t="str">
        <f>CONCATENATE("REG-",BDEGENER[[#This Row],[FECHA DE SERVICIO]],"-",BDEGENER[[#This Row],[SERIE]],"-",BDEGENER[[#This Row],[HORAS]])</f>
        <v>REG-44001-A5245J-001-308,1</v>
      </c>
      <c r="AR385" s="683" t="str">
        <f>CONCATENATE("MARCA: ",BDEGENER[[#This Row],[MARCA]],"
 MODELO: ",BDEGENER[[#This Row],[MODELO]])</f>
        <v>MARCA: FG - WILSON
 MODELO: PG-90</v>
      </c>
      <c r="AS385" s="683" t="str">
        <f>CONCATENATE("MARCA: ",BDEGENER[[#This Row],[MARCA DE MOTOR]],"
SERIE: ",BDEGENER[[#This Row],[SERIE DE MOTOR]])</f>
        <v>MARCA: PERKINS
SERIE: U613189</v>
      </c>
      <c r="AT385" s="683" t="str">
        <f>CONCATENATE("MARCA: ",BDEGENER[[#This Row],[MARCA ALTERNADOR ]],"
SERIE: ",BDEGENER[[#This Row],[SERIE DE ALTERNADOR]])</f>
        <v>MARCA: FG WILSON
SERIE: A5245J/001</v>
      </c>
      <c r="AU385" s="683" t="str">
        <f>CONCATENATE("HORAS: ",BDEGENER[[#This Row],[HORAS]],"
KW-HR: ",BDEGENER[[#This Row],[KW-HORA]],"
VOLT.BATERIA: ",BDEGENER[[#This Row],[VOLTAJE DE BATERIA]],"
TEMPERATURA: ",BDEGENER[[#This Row],[TEMPERATURA DE AGUA]],"
PRES. ACEITE: ",BDEGENER[[#This Row],[PRESION DE ACEITE]])</f>
        <v>HORAS: 308,1
KW-HR: 
VOLT.BATERIA: 
TEMPERATURA: 
PRES. ACEITE: 85 PSI</v>
      </c>
      <c r="AV385" s="761">
        <f>COUNTIFS(Q385:Q2385,"MANTENIMIENTO CORRECTIVO",Y385:Y2385,BDEGENER[[#This Row],[SERIE]])</f>
        <v>0</v>
      </c>
      <c r="AW385" s="761">
        <f>COUNTIFS(Q385:Q2385,"MANTENIMIENTO PREVENTIVO",Y385:Y2385,BDEGENER[[#This Row],[SERIE]])</f>
        <v>6</v>
      </c>
      <c r="AX38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385" s="683">
        <f>COUNTIFS(BDEGENER[SERIE],BDEGENER[[#This Row],[SERIE]],BDEGENER[TIPO DE SERVICIO],"MANTENIMIENTO PREVENTIVO")</f>
        <v>6</v>
      </c>
      <c r="AZ385" s="683" t="str">
        <f>CONCATENATE("MANTENIMIENTO PREVENTIVO N°",BDEGENER[[#This Row],[GA1]])</f>
        <v>MANTENIMIENTO PREVENTIVO N°6</v>
      </c>
      <c r="BA385" s="683">
        <f>IF(BDEGENER[[#This Row],[SERVICIO]]=BDEGENER[[#This Row],[GA2]],BDEGENER[[#This Row],[HORAS]],"0")</f>
        <v>308.10000000000002</v>
      </c>
      <c r="BB385" s="683">
        <f>SUMIF(BDEGENER[SERIE],BDEGENER[[#This Row],[SERIE]],BDEGENER[GA3])</f>
        <v>308.10000000000002</v>
      </c>
      <c r="BC385" s="761" t="str">
        <f>CONCATENATE("MANT",COUNTIF($Y$7:Y385,Y385))</f>
        <v>MANT2</v>
      </c>
      <c r="BD385" s="683" t="str">
        <f>CONCATENATE(BDEGENER[[#This Row],[SERIE]],BDEGENER[[#This Row],[GA5]])</f>
        <v>A5245J-001MANT2</v>
      </c>
      <c r="BE385" s="683" t="str">
        <f>CONCATENATE(BDEGENER[[#This Row],[CODIGO PATRIMONIAL]],BDEGENER[[#This Row],[GA5]])</f>
        <v>MANT2</v>
      </c>
      <c r="BF385" s="683">
        <f>COUNTIF(BDEGENER[SERIE],BDEGENER[[#This Row],[SERIE]])</f>
        <v>7</v>
      </c>
      <c r="BG385" s="761" t="str">
        <f>CONCATENATE("F",COUNTIF($K$7:K385,K385))</f>
        <v>F1</v>
      </c>
      <c r="BH385" s="683" t="str">
        <f>CONCATENATE(BDEGENER[[#This Row],[FECHA DE SERVICIO]],BDEGENER[[#This Row],[N° DE REGISTROS DEL DIA]])</f>
        <v>44001F1</v>
      </c>
      <c r="BI385" s="684"/>
      <c r="BJ385" s="683" t="s">
        <v>1544</v>
      </c>
      <c r="BK385" s="736"/>
    </row>
    <row r="386" spans="2:63" ht="69" hidden="1" x14ac:dyDescent="0.3">
      <c r="B386" s="2"/>
      <c r="C386" s="2"/>
      <c r="D386" s="2"/>
      <c r="E386" s="2"/>
      <c r="F386" s="2"/>
      <c r="G386" s="2"/>
      <c r="H386" s="2"/>
      <c r="I386" s="2"/>
      <c r="J386" s="685"/>
      <c r="K386" s="682">
        <v>44000</v>
      </c>
      <c r="L386" s="683" t="s">
        <v>561</v>
      </c>
      <c r="M386" s="683" t="s">
        <v>565</v>
      </c>
      <c r="N386" s="683" t="s">
        <v>566</v>
      </c>
      <c r="O386" s="683"/>
      <c r="P386" s="683"/>
      <c r="Q386" s="683" t="s">
        <v>37</v>
      </c>
      <c r="R386" s="683" t="s">
        <v>1782</v>
      </c>
      <c r="S386" s="686" t="s">
        <v>2700</v>
      </c>
      <c r="T386" s="683" t="s">
        <v>2701</v>
      </c>
      <c r="U386" s="683"/>
      <c r="V386" s="683"/>
      <c r="W386" s="683" t="s">
        <v>913</v>
      </c>
      <c r="X386" s="691" t="s">
        <v>918</v>
      </c>
      <c r="Y386" s="687">
        <v>3004370193</v>
      </c>
      <c r="Z386" s="692" t="s">
        <v>2599</v>
      </c>
      <c r="AA386" s="683" t="s">
        <v>33</v>
      </c>
      <c r="AB386" s="683" t="s">
        <v>217</v>
      </c>
      <c r="AC386" s="683" t="s">
        <v>749</v>
      </c>
      <c r="AD386" s="683" t="s">
        <v>1123</v>
      </c>
      <c r="AE386" s="683">
        <v>60</v>
      </c>
      <c r="AF386" s="684">
        <v>2750.8</v>
      </c>
      <c r="AG386" s="683" t="s">
        <v>243</v>
      </c>
      <c r="AH386" s="683" t="s">
        <v>1803</v>
      </c>
      <c r="AI386" s="683" t="s">
        <v>2553</v>
      </c>
      <c r="AJ386" s="683"/>
      <c r="AK386" s="683" t="s">
        <v>33</v>
      </c>
      <c r="AL386" s="683"/>
      <c r="AM386" s="683" t="s">
        <v>245</v>
      </c>
      <c r="AN386" s="683"/>
      <c r="AO386" s="683"/>
      <c r="AP386" s="683" t="s">
        <v>240</v>
      </c>
      <c r="AQ386" s="688" t="str">
        <f>CONCATENATE("REG-",BDEGENER[[#This Row],[FECHA DE SERVICIO]],"-",BDEGENER[[#This Row],[SERIE]],"-",BDEGENER[[#This Row],[HORAS]])</f>
        <v>REG-44000-3004370193-2750,8</v>
      </c>
      <c r="AR386" s="683" t="str">
        <f>CONCATENATE("MARCA: ",BDEGENER[[#This Row],[MARCA]],"
 MODELO: ",BDEGENER[[#This Row],[MODELO]])</f>
        <v>MARCA: GENERAC
 MODELO: RG022</v>
      </c>
      <c r="AS386" s="683" t="str">
        <f>CONCATENATE("MARCA: ",BDEGENER[[#This Row],[MARCA DE MOTOR]],"
SERIE: ",BDEGENER[[#This Row],[SERIE DE MOTOR]])</f>
        <v xml:space="preserve">MARCA: MITSUBISHI
SERIE: </v>
      </c>
      <c r="AT386" s="683" t="str">
        <f>CONCATENATE("MARCA: ",BDEGENER[[#This Row],[MARCA ALTERNADOR ]],"
SERIE: ",BDEGENER[[#This Row],[SERIE DE ALTERNADOR]])</f>
        <v xml:space="preserve">MARCA: GENERAC
SERIE: </v>
      </c>
      <c r="AU386" s="683" t="str">
        <f>CONCATENATE("HORAS: ",BDEGENER[[#This Row],[HORAS]],"
KW-HR: ",BDEGENER[[#This Row],[KW-HORA]],"
VOLT.BATERIA: ",BDEGENER[[#This Row],[VOLTAJE DE BATERIA]],"
TEMPERATURA: ",BDEGENER[[#This Row],[TEMPERATURA DE AGUA]],"
PRES. ACEITE: ",BDEGENER[[#This Row],[PRESION DE ACEITE]])</f>
        <v xml:space="preserve">HORAS: 2750,8
KW-HR: 
VOLT.BATERIA: 13.6 V
TEMPERATURA: 
PRES. ACEITE: </v>
      </c>
      <c r="AV386" s="683">
        <f>COUNTIFS(Q386:Q2386,"MANTENIMIENTO CORRECTIVO",Y386:Y2386,BDEGENER[[#This Row],[SERIE]])</f>
        <v>2</v>
      </c>
      <c r="AW386" s="683">
        <f>COUNTIFS(Q386:Q2386,"MANTENIMIENTO PREVENTIVO",Y386:Y2386,BDEGENER[[#This Row],[SERIE]])</f>
        <v>5</v>
      </c>
      <c r="AX38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86" s="683">
        <f>COUNTIFS(BDEGENER[SERIE],BDEGENER[[#This Row],[SERIE]],BDEGENER[TIPO DE SERVICIO],"MANTENIMIENTO PREVENTIVO")</f>
        <v>9</v>
      </c>
      <c r="AZ386" s="683" t="str">
        <f>CONCATENATE("MANTENIMIENTO PREVENTIVO N°",BDEGENER[[#This Row],[GA1]])</f>
        <v>MANTENIMIENTO PREVENTIVO N°9</v>
      </c>
      <c r="BA386" s="683" t="str">
        <f>IF(BDEGENER[[#This Row],[SERVICIO]]=BDEGENER[[#This Row],[GA2]],BDEGENER[[#This Row],[HORAS]],"0")</f>
        <v>0</v>
      </c>
      <c r="BB386" s="683">
        <f>SUMIF(BDEGENER[SERIE],BDEGENER[[#This Row],[SERIE]],BDEGENER[GA3])</f>
        <v>3580.3</v>
      </c>
      <c r="BC386" s="683" t="str">
        <f>CONCATENATE("MANT",COUNTIF($Y$7:Y386,Y386))</f>
        <v>MANT8</v>
      </c>
      <c r="BD386" s="683" t="str">
        <f>CONCATENATE(BDEGENER[[#This Row],[SERIE]],BDEGENER[[#This Row],[GA5]])</f>
        <v>3004370193MANT8</v>
      </c>
      <c r="BE386" s="683" t="str">
        <f>CONCATENATE(BDEGENER[[#This Row],[CODIGO PATRIMONIAL]],BDEGENER[[#This Row],[GA5]])</f>
        <v>SUR-GEG-0003MANT8</v>
      </c>
      <c r="BF386" s="683">
        <f>COUNTIF(BDEGENER[SERIE],BDEGENER[[#This Row],[SERIE]])</f>
        <v>16</v>
      </c>
      <c r="BG386" s="683" t="str">
        <f>CONCATENATE("F",COUNTIF($K$7:K386,K386))</f>
        <v>F1</v>
      </c>
      <c r="BH386" s="683" t="str">
        <f>CONCATENATE(BDEGENER[[#This Row],[FECHA DE SERVICIO]],BDEGENER[[#This Row],[N° DE REGISTROS DEL DIA]])</f>
        <v>44000F1</v>
      </c>
      <c r="BI386" s="684"/>
      <c r="BJ386" s="683" t="s">
        <v>1544</v>
      </c>
      <c r="BK386" s="736"/>
    </row>
    <row r="387" spans="2:63" ht="69" hidden="1" x14ac:dyDescent="0.3">
      <c r="B387" s="2"/>
      <c r="C387" s="2"/>
      <c r="D387" s="2"/>
      <c r="E387" s="2"/>
      <c r="F387" s="2"/>
      <c r="G387" s="2"/>
      <c r="H387" s="2"/>
      <c r="I387" s="2"/>
      <c r="J387" s="685"/>
      <c r="K387" s="682">
        <v>44000</v>
      </c>
      <c r="L387" s="683" t="s">
        <v>561</v>
      </c>
      <c r="M387" s="683" t="s">
        <v>562</v>
      </c>
      <c r="N387" s="683" t="s">
        <v>566</v>
      </c>
      <c r="O387" s="683"/>
      <c r="P387" s="688" t="s">
        <v>2696</v>
      </c>
      <c r="Q387" s="683" t="s">
        <v>37</v>
      </c>
      <c r="R387" s="683" t="s">
        <v>1782</v>
      </c>
      <c r="S387" s="686" t="s">
        <v>2699</v>
      </c>
      <c r="T387" s="683" t="s">
        <v>2698</v>
      </c>
      <c r="U387" s="683" t="s">
        <v>2697</v>
      </c>
      <c r="V387" s="683" t="s">
        <v>148</v>
      </c>
      <c r="W387" s="683" t="s">
        <v>913</v>
      </c>
      <c r="X387" s="691" t="s">
        <v>918</v>
      </c>
      <c r="Y387" s="687">
        <v>3004555914</v>
      </c>
      <c r="Z387" s="692" t="s">
        <v>2611</v>
      </c>
      <c r="AA387" s="683" t="s">
        <v>33</v>
      </c>
      <c r="AB387" s="683" t="s">
        <v>217</v>
      </c>
      <c r="AC387" s="683" t="s">
        <v>749</v>
      </c>
      <c r="AD387" s="683" t="s">
        <v>1123</v>
      </c>
      <c r="AE387" s="683">
        <v>60</v>
      </c>
      <c r="AF387" s="684">
        <v>2078.9</v>
      </c>
      <c r="AG387" s="683" t="s">
        <v>243</v>
      </c>
      <c r="AH387" s="683" t="s">
        <v>1803</v>
      </c>
      <c r="AI387" s="683" t="s">
        <v>2553</v>
      </c>
      <c r="AJ387" s="683"/>
      <c r="AK387" s="683" t="s">
        <v>33</v>
      </c>
      <c r="AL387" s="683"/>
      <c r="AM387" s="683" t="s">
        <v>245</v>
      </c>
      <c r="AN387" s="683"/>
      <c r="AO387" s="683"/>
      <c r="AP387" s="683" t="s">
        <v>240</v>
      </c>
      <c r="AQ387" s="688" t="str">
        <f>CONCATENATE("REG-",BDEGENER[[#This Row],[FECHA DE SERVICIO]],"-",BDEGENER[[#This Row],[SERIE]],"-",BDEGENER[[#This Row],[HORAS]])</f>
        <v>REG-44000-3004555914-2078,9</v>
      </c>
      <c r="AR387" s="683" t="str">
        <f>CONCATENATE("MARCA: ",BDEGENER[[#This Row],[MARCA]],"
 MODELO: ",BDEGENER[[#This Row],[MODELO]])</f>
        <v>MARCA: GENERAC
 MODELO: RG022</v>
      </c>
      <c r="AS387" s="683" t="str">
        <f>CONCATENATE("MARCA: ",BDEGENER[[#This Row],[MARCA DE MOTOR]],"
SERIE: ",BDEGENER[[#This Row],[SERIE DE MOTOR]])</f>
        <v xml:space="preserve">MARCA: MITSUBISHI
SERIE: </v>
      </c>
      <c r="AT387" s="683" t="str">
        <f>CONCATENATE("MARCA: ",BDEGENER[[#This Row],[MARCA ALTERNADOR ]],"
SERIE: ",BDEGENER[[#This Row],[SERIE DE ALTERNADOR]])</f>
        <v xml:space="preserve">MARCA: GENERAC
SERIE: </v>
      </c>
      <c r="AU387" s="683" t="str">
        <f>CONCATENATE("HORAS: ",BDEGENER[[#This Row],[HORAS]],"
KW-HR: ",BDEGENER[[#This Row],[KW-HORA]],"
VOLT.BATERIA: ",BDEGENER[[#This Row],[VOLTAJE DE BATERIA]],"
TEMPERATURA: ",BDEGENER[[#This Row],[TEMPERATURA DE AGUA]],"
PRES. ACEITE: ",BDEGENER[[#This Row],[PRESION DE ACEITE]])</f>
        <v xml:space="preserve">HORAS: 2078,9
KW-HR: 
VOLT.BATERIA: 13.6 V
TEMPERATURA: 
PRES. ACEITE: </v>
      </c>
      <c r="AV387" s="683">
        <f>COUNTIFS(Q387:Q2387,"MANTENIMIENTO CORRECTIVO",Y387:Y2387,BDEGENER[[#This Row],[SERIE]])</f>
        <v>1</v>
      </c>
      <c r="AW387" s="683">
        <f>COUNTIFS(Q387:Q2387,"MANTENIMIENTO PREVENTIVO",Y387:Y2387,BDEGENER[[#This Row],[SERIE]])</f>
        <v>2</v>
      </c>
      <c r="AX38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387" s="683">
        <f>COUNTIFS(BDEGENER[SERIE],BDEGENER[[#This Row],[SERIE]],BDEGENER[TIPO DE SERVICIO],"MANTENIMIENTO PREVENTIVO")</f>
        <v>5</v>
      </c>
      <c r="AZ387" s="683" t="str">
        <f>CONCATENATE("MANTENIMIENTO PREVENTIVO N°",BDEGENER[[#This Row],[GA1]])</f>
        <v>MANTENIMIENTO PREVENTIVO N°5</v>
      </c>
      <c r="BA387" s="683" t="str">
        <f>IF(BDEGENER[[#This Row],[SERVICIO]]=BDEGENER[[#This Row],[GA2]],BDEGENER[[#This Row],[HORAS]],"0")</f>
        <v>0</v>
      </c>
      <c r="BB387" s="683">
        <f>SUMIF(BDEGENER[SERIE],BDEGENER[[#This Row],[SERIE]],BDEGENER[GA3])</f>
        <v>2894.4</v>
      </c>
      <c r="BC387" s="683" t="str">
        <f>CONCATENATE("MANT",COUNTIF($Y$7:Y387,Y387))</f>
        <v>MANT5</v>
      </c>
      <c r="BD387" s="683" t="str">
        <f>CONCATENATE(BDEGENER[[#This Row],[SERIE]],BDEGENER[[#This Row],[GA5]])</f>
        <v>3004555914MANT5</v>
      </c>
      <c r="BE387" s="683" t="str">
        <f>CONCATENATE(BDEGENER[[#This Row],[CODIGO PATRIMONIAL]],BDEGENER[[#This Row],[GA5]])</f>
        <v>SUR-GEG-0023MANT5</v>
      </c>
      <c r="BF387" s="683">
        <f>COUNTIF(BDEGENER[SERIE],BDEGENER[[#This Row],[SERIE]])</f>
        <v>11</v>
      </c>
      <c r="BG387" s="683" t="str">
        <f>CONCATENATE("F",COUNTIF($K$7:K387,K387))</f>
        <v>F2</v>
      </c>
      <c r="BH387" s="683" t="str">
        <f>CONCATENATE(BDEGENER[[#This Row],[FECHA DE SERVICIO]],BDEGENER[[#This Row],[N° DE REGISTROS DEL DIA]])</f>
        <v>44000F2</v>
      </c>
      <c r="BI387" s="684"/>
      <c r="BJ387" s="683" t="s">
        <v>1544</v>
      </c>
      <c r="BK387" s="736"/>
    </row>
    <row r="388" spans="2:63" ht="69" hidden="1" x14ac:dyDescent="0.3">
      <c r="B388" s="2"/>
      <c r="C388" s="2"/>
      <c r="D388" s="2"/>
      <c r="E388" s="2"/>
      <c r="F388" s="2"/>
      <c r="G388" s="2"/>
      <c r="H388" s="2"/>
      <c r="I388" s="2"/>
      <c r="J388" s="685"/>
      <c r="K388" s="682">
        <v>43999</v>
      </c>
      <c r="L388" s="683" t="s">
        <v>181</v>
      </c>
      <c r="M388" s="683" t="s">
        <v>1388</v>
      </c>
      <c r="N388" s="683" t="s">
        <v>1538</v>
      </c>
      <c r="O388" s="683"/>
      <c r="P388" s="688" t="s">
        <v>2691</v>
      </c>
      <c r="Q388" s="683" t="s">
        <v>107</v>
      </c>
      <c r="R388" s="683" t="s">
        <v>1782</v>
      </c>
      <c r="S388" s="686" t="s">
        <v>2692</v>
      </c>
      <c r="T388" s="683" t="s">
        <v>2693</v>
      </c>
      <c r="U388" s="683" t="s">
        <v>2694</v>
      </c>
      <c r="V388" s="683" t="s">
        <v>148</v>
      </c>
      <c r="W388" s="683" t="s">
        <v>914</v>
      </c>
      <c r="X388" s="691" t="s">
        <v>918</v>
      </c>
      <c r="Y388" s="687">
        <v>3004428523</v>
      </c>
      <c r="Z388" s="692"/>
      <c r="AA388" s="683" t="s">
        <v>33</v>
      </c>
      <c r="AB388" s="683" t="s">
        <v>34</v>
      </c>
      <c r="AC388" s="683" t="s">
        <v>230</v>
      </c>
      <c r="AD388" s="683" t="s">
        <v>1123</v>
      </c>
      <c r="AE388" s="683">
        <v>60</v>
      </c>
      <c r="AF388" s="684">
        <v>1515.8</v>
      </c>
      <c r="AG388" s="683" t="s">
        <v>243</v>
      </c>
      <c r="AH388" s="683" t="s">
        <v>220</v>
      </c>
      <c r="AI388" s="683" t="s">
        <v>33</v>
      </c>
      <c r="AJ388" s="683">
        <v>3004426215</v>
      </c>
      <c r="AK388" s="683" t="s">
        <v>33</v>
      </c>
      <c r="AL388" s="683">
        <v>106301030</v>
      </c>
      <c r="AM388" s="683" t="s">
        <v>1121</v>
      </c>
      <c r="AN388" s="683" t="s">
        <v>2695</v>
      </c>
      <c r="AO388" s="683" t="s">
        <v>1427</v>
      </c>
      <c r="AP388" s="683" t="s">
        <v>240</v>
      </c>
      <c r="AQ388" s="9" t="str">
        <f>CONCATENATE("REG-",BDEGENER[[#This Row],[FECHA DE SERVICIO]],"-",BDEGENER[[#This Row],[SERIE]],"-",BDEGENER[[#This Row],[HORAS]])</f>
        <v>REG-43999-3004428523-1515,8</v>
      </c>
      <c r="AR388" s="683" t="str">
        <f>CONCATENATE("MARCA: ",BDEGENER[[#This Row],[MARCA]],"
 MODELO: ",BDEGENER[[#This Row],[MODELO]])</f>
        <v>MARCA: GENERAC
 MODELO: PG090</v>
      </c>
      <c r="AS388" s="683" t="str">
        <f>CONCATENATE("MARCA: ",BDEGENER[[#This Row],[MARCA DE MOTOR]],"
SERIE: ",BDEGENER[[#This Row],[SERIE DE MOTOR]])</f>
        <v>MARCA: GENERAC
SERIE: 3004426215</v>
      </c>
      <c r="AT388" s="683" t="str">
        <f>CONCATENATE("MARCA: ",BDEGENER[[#This Row],[MARCA ALTERNADOR ]],"
SERIE: ",BDEGENER[[#This Row],[SERIE DE ALTERNADOR]])</f>
        <v>MARCA: GENERAC
SERIE: 106301030</v>
      </c>
      <c r="AU388" s="683" t="str">
        <f>CONCATENATE("HORAS: ",BDEGENER[[#This Row],[HORAS]],"
KW-HR: ",BDEGENER[[#This Row],[KW-HORA]],"
VOLT.BATERIA: ",BDEGENER[[#This Row],[VOLTAJE DE BATERIA]],"
TEMPERATURA: ",BDEGENER[[#This Row],[TEMPERATURA DE AGUA]],"
PRES. ACEITE: ",BDEGENER[[#This Row],[PRESION DE ACEITE]])</f>
        <v>HORAS: 1515,8
KW-HR: 50992,2
VOLT.BATERIA: 13.7 V
TEMPERATURA: 184 °F
PRES. ACEITE: 60 PSI</v>
      </c>
      <c r="AV388" s="761">
        <f>COUNTIFS(Q388:Q2388,"MANTENIMIENTO CORRECTIVO",Y388:Y2388,BDEGENER[[#This Row],[SERIE]])</f>
        <v>2</v>
      </c>
      <c r="AW388" s="761">
        <f>COUNTIFS(Q388:Q2388,"MANTENIMIENTO PREVENTIVO",Y388:Y2388,BDEGENER[[#This Row],[SERIE]])</f>
        <v>6</v>
      </c>
      <c r="AX38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388" s="683">
        <f>COUNTIFS(BDEGENER[SERIE],BDEGENER[[#This Row],[SERIE]],BDEGENER[TIPO DE SERVICIO],"MANTENIMIENTO PREVENTIVO")</f>
        <v>9</v>
      </c>
      <c r="AZ388" s="683" t="str">
        <f>CONCATENATE("MANTENIMIENTO PREVENTIVO N°",BDEGENER[[#This Row],[GA1]])</f>
        <v>MANTENIMIENTO PREVENTIVO N°9</v>
      </c>
      <c r="BA388" s="683" t="str">
        <f>IF(BDEGENER[[#This Row],[SERVICIO]]=BDEGENER[[#This Row],[GA2]],BDEGENER[[#This Row],[HORAS]],"0")</f>
        <v>0</v>
      </c>
      <c r="BB388" s="683">
        <f>SUMIF(BDEGENER[SERIE],BDEGENER[[#This Row],[SERIE]],BDEGENER[GA3])</f>
        <v>2439.9</v>
      </c>
      <c r="BC388" s="761" t="str">
        <f>CONCATENATE("MANT",COUNTIF($Y$7:Y388,Y388))</f>
        <v>MANT4</v>
      </c>
      <c r="BD388" s="683" t="str">
        <f>CONCATENATE(BDEGENER[[#This Row],[SERIE]],BDEGENER[[#This Row],[GA5]])</f>
        <v>3004428523MANT4</v>
      </c>
      <c r="BE388" s="683" t="str">
        <f>CONCATENATE(BDEGENER[[#This Row],[CODIGO PATRIMONIAL]],BDEGENER[[#This Row],[GA5]])</f>
        <v>MANT4</v>
      </c>
      <c r="BF388" s="683">
        <f>COUNTIF(BDEGENER[SERIE],BDEGENER[[#This Row],[SERIE]])</f>
        <v>14</v>
      </c>
      <c r="BG388" s="761" t="str">
        <f>CONCATENATE("F",COUNTIF($K$7:K388,K388))</f>
        <v>F1</v>
      </c>
      <c r="BH388" s="683" t="str">
        <f>CONCATENATE(BDEGENER[[#This Row],[FECHA DE SERVICIO]],BDEGENER[[#This Row],[N° DE REGISTROS DEL DIA]])</f>
        <v>43999F1</v>
      </c>
      <c r="BI388" s="684">
        <v>50992.2</v>
      </c>
      <c r="BJ388" s="683" t="s">
        <v>1544</v>
      </c>
      <c r="BK388" s="736"/>
    </row>
    <row r="389" spans="2:63" ht="69" hidden="1" x14ac:dyDescent="0.3">
      <c r="B389" s="2"/>
      <c r="C389" s="2"/>
      <c r="D389" s="2"/>
      <c r="E389" s="2"/>
      <c r="F389" s="2"/>
      <c r="G389" s="2"/>
      <c r="H389" s="2"/>
      <c r="I389" s="2"/>
      <c r="J389" s="685"/>
      <c r="K389" s="682">
        <v>43998</v>
      </c>
      <c r="L389" s="683" t="s">
        <v>1545</v>
      </c>
      <c r="M389" s="683" t="s">
        <v>1395</v>
      </c>
      <c r="N389" s="683" t="s">
        <v>1547</v>
      </c>
      <c r="O389" s="683"/>
      <c r="P389" s="683"/>
      <c r="Q389" s="683" t="s">
        <v>107</v>
      </c>
      <c r="R389" s="683" t="s">
        <v>1782</v>
      </c>
      <c r="S389" s="686" t="s">
        <v>3331</v>
      </c>
      <c r="T389" s="683" t="s">
        <v>3322</v>
      </c>
      <c r="U389" s="683" t="s">
        <v>3332</v>
      </c>
      <c r="V389" s="683" t="s">
        <v>479</v>
      </c>
      <c r="W389" s="683" t="s">
        <v>2743</v>
      </c>
      <c r="X389" s="691" t="s">
        <v>2741</v>
      </c>
      <c r="Y389" s="687" t="s">
        <v>3320</v>
      </c>
      <c r="Z389" s="692" t="s">
        <v>159</v>
      </c>
      <c r="AA389" s="683" t="s">
        <v>867</v>
      </c>
      <c r="AB389" s="683" t="s">
        <v>3321</v>
      </c>
      <c r="AC389" s="683" t="s">
        <v>159</v>
      </c>
      <c r="AD389" s="683"/>
      <c r="AE389" s="683"/>
      <c r="AF389" s="684">
        <v>290185</v>
      </c>
      <c r="AG389" s="683" t="s">
        <v>159</v>
      </c>
      <c r="AH389" s="683" t="s">
        <v>159</v>
      </c>
      <c r="AI389" s="683" t="s">
        <v>867</v>
      </c>
      <c r="AJ389" s="683" t="s">
        <v>159</v>
      </c>
      <c r="AK389" s="683" t="s">
        <v>159</v>
      </c>
      <c r="AL389" s="683" t="s">
        <v>159</v>
      </c>
      <c r="AM389" s="683"/>
      <c r="AN389" s="683"/>
      <c r="AO389" s="683"/>
      <c r="AP389" s="683" t="s">
        <v>240</v>
      </c>
      <c r="AQ389" s="683" t="str">
        <f>CONCATENATE("REG-",BDEGENER[[#This Row],[FECHA DE SERVICIO]],"-",BDEGENER[[#This Row],[SERIE]],"-",BDEGENER[[#This Row],[HORAS]])</f>
        <v>REG-43998-C7A-736-290185</v>
      </c>
      <c r="AR389" s="683" t="str">
        <f>CONCATENATE("MARCA: ",BDEGENER[[#This Row],[MARCA]],"
 MODELO: ",BDEGENER[[#This Row],[MODELO]])</f>
        <v>MARCA: NISSAN
 MODELO: FRONTIER</v>
      </c>
      <c r="AS389" s="683" t="str">
        <f>CONCATENATE("MARCA: ",BDEGENER[[#This Row],[MARCA DE MOTOR]],"
SERIE: ",BDEGENER[[#This Row],[SERIE DE MOTOR]])</f>
        <v xml:space="preserve">MARCA: NISSAN
SERIE: </v>
      </c>
      <c r="AT389" s="683" t="str">
        <f>CONCATENATE("MARCA: ",BDEGENER[[#This Row],[MARCA ALTERNADOR ]],"
SERIE: ",BDEGENER[[#This Row],[SERIE DE ALTERNADOR]])</f>
        <v xml:space="preserve">MARCA: 
SERIE: </v>
      </c>
      <c r="AU389" s="683" t="str">
        <f>CONCATENATE("HORAS: ",BDEGENER[[#This Row],[HORAS]],"
KW-HR: ",BDEGENER[[#This Row],[KW-HORA]],"
VOLT.BATERIA: ",BDEGENER[[#This Row],[VOLTAJE DE BATERIA]],"
TEMPERATURA: ",BDEGENER[[#This Row],[TEMPERATURA DE AGUA]],"
PRES. ACEITE: ",BDEGENER[[#This Row],[PRESION DE ACEITE]])</f>
        <v xml:space="preserve">HORAS: 290185
KW-HR: 
VOLT.BATERIA: 
TEMPERATURA: 
PRES. ACEITE: </v>
      </c>
      <c r="AV389" s="683">
        <f>COUNTIFS(Q389:Q2389,"MANTENIMIENTO CORRECTIVO",Y389:Y2389,BDEGENER[[#This Row],[SERIE]])</f>
        <v>5</v>
      </c>
      <c r="AW389" s="683">
        <f>COUNTIFS(Q389:Q2389,"MANTENIMIENTO PREVENTIVO",Y389:Y2389,BDEGENER[[#This Row],[SERIE]])</f>
        <v>3</v>
      </c>
      <c r="AX38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N°5</v>
      </c>
      <c r="AY389" s="683">
        <f>COUNTIFS(BDEGENER[SERIE],BDEGENER[[#This Row],[SERIE]],BDEGENER[TIPO DE SERVICIO],"MANTENIMIENTO PREVENTIVO")</f>
        <v>3</v>
      </c>
      <c r="AZ389" s="683" t="str">
        <f>CONCATENATE("MANTENIMIENTO PREVENTIVO N°",BDEGENER[[#This Row],[GA1]])</f>
        <v>MANTENIMIENTO PREVENTIVO N°3</v>
      </c>
      <c r="BA389" s="683" t="str">
        <f>IF(BDEGENER[[#This Row],[SERVICIO]]=BDEGENER[[#This Row],[GA2]],BDEGENER[[#This Row],[HORAS]],"0")</f>
        <v>0</v>
      </c>
      <c r="BB389" s="683">
        <f>SUMIF(BDEGENER[SERIE],BDEGENER[[#This Row],[SERIE]],BDEGENER[GA3])</f>
        <v>287150</v>
      </c>
      <c r="BC389" s="683" t="str">
        <f>CONCATENATE("MANT",COUNTIF($Y$7:Y389,Y389))</f>
        <v>MANT1</v>
      </c>
      <c r="BD389" s="683" t="str">
        <f>CONCATENATE(BDEGENER[[#This Row],[SERIE]],BDEGENER[[#This Row],[GA5]])</f>
        <v>C7A-736MANT1</v>
      </c>
      <c r="BE389" s="683" t="str">
        <f>CONCATENATE(BDEGENER[[#This Row],[CODIGO PATRIMONIAL]],BDEGENER[[#This Row],[GA5]])</f>
        <v>MANT1</v>
      </c>
      <c r="BF389" s="683">
        <f>COUNTIF(BDEGENER[SERIE],BDEGENER[[#This Row],[SERIE]])</f>
        <v>8</v>
      </c>
      <c r="BG389" s="683" t="str">
        <f>CONCATENATE("F",COUNTIF($K$7:K389,K389))</f>
        <v>F1</v>
      </c>
      <c r="BH389" s="683" t="str">
        <f>CONCATENATE(BDEGENER[[#This Row],[FECHA DE SERVICIO]],BDEGENER[[#This Row],[N° DE REGISTROS DEL DIA]])</f>
        <v>43998F1</v>
      </c>
      <c r="BI389" s="684"/>
      <c r="BJ389" s="683" t="s">
        <v>1544</v>
      </c>
      <c r="BK389" s="736"/>
    </row>
    <row r="390" spans="2:63" ht="69" hidden="1" x14ac:dyDescent="0.3">
      <c r="B390" s="2"/>
      <c r="C390" s="2"/>
      <c r="D390" s="2"/>
      <c r="E390" s="2"/>
      <c r="F390" s="2"/>
      <c r="G390" s="2"/>
      <c r="H390" s="2"/>
      <c r="I390" s="2"/>
      <c r="J390" s="685"/>
      <c r="K390" s="682">
        <v>43998</v>
      </c>
      <c r="L390" s="683" t="s">
        <v>561</v>
      </c>
      <c r="M390" s="683" t="s">
        <v>2592</v>
      </c>
      <c r="N390" s="683" t="s">
        <v>586</v>
      </c>
      <c r="O390" s="683"/>
      <c r="P390" s="688" t="s">
        <v>2687</v>
      </c>
      <c r="Q390" s="683" t="s">
        <v>107</v>
      </c>
      <c r="R390" s="683" t="s">
        <v>1782</v>
      </c>
      <c r="S390" s="686" t="s">
        <v>2690</v>
      </c>
      <c r="T390" s="683" t="s">
        <v>2688</v>
      </c>
      <c r="U390" s="683" t="s">
        <v>2689</v>
      </c>
      <c r="V390" s="683" t="s">
        <v>149</v>
      </c>
      <c r="W390" s="683" t="s">
        <v>914</v>
      </c>
      <c r="X390" s="691" t="s">
        <v>918</v>
      </c>
      <c r="Y390" s="687">
        <v>3003963150</v>
      </c>
      <c r="Z390" s="692" t="s">
        <v>2618</v>
      </c>
      <c r="AA390" s="683" t="s">
        <v>33</v>
      </c>
      <c r="AB390" s="683" t="s">
        <v>34</v>
      </c>
      <c r="AC390" s="683" t="s">
        <v>230</v>
      </c>
      <c r="AD390" s="683" t="s">
        <v>1123</v>
      </c>
      <c r="AE390" s="683">
        <v>60.1</v>
      </c>
      <c r="AF390" s="684">
        <v>3839.7</v>
      </c>
      <c r="AG390" s="683" t="s">
        <v>243</v>
      </c>
      <c r="AH390" s="683" t="s">
        <v>220</v>
      </c>
      <c r="AI390" s="683" t="s">
        <v>33</v>
      </c>
      <c r="AJ390" s="683">
        <v>3003966249</v>
      </c>
      <c r="AK390" s="683" t="s">
        <v>33</v>
      </c>
      <c r="AL390" s="683">
        <v>91787210</v>
      </c>
      <c r="AM390" s="683" t="s">
        <v>1858</v>
      </c>
      <c r="AN390" s="683" t="s">
        <v>1122</v>
      </c>
      <c r="AO390" s="683" t="s">
        <v>247</v>
      </c>
      <c r="AP390" s="683" t="s">
        <v>240</v>
      </c>
      <c r="AQ390" s="688" t="str">
        <f>CONCATENATE("REG-",BDEGENER[[#This Row],[FECHA DE SERVICIO]],"-",BDEGENER[[#This Row],[SERIE]],"-",BDEGENER[[#This Row],[HORAS]])</f>
        <v>REG-43998-3003963150-3839,7</v>
      </c>
      <c r="AR390" s="683" t="str">
        <f>CONCATENATE("MARCA: ",BDEGENER[[#This Row],[MARCA]],"
 MODELO: ",BDEGENER[[#This Row],[MODELO]])</f>
        <v>MARCA: GENERAC
 MODELO: PG090</v>
      </c>
      <c r="AS390" s="683" t="str">
        <f>CONCATENATE("MARCA: ",BDEGENER[[#This Row],[MARCA DE MOTOR]],"
SERIE: ",BDEGENER[[#This Row],[SERIE DE MOTOR]])</f>
        <v>MARCA: GENERAC
SERIE: 3003966249</v>
      </c>
      <c r="AT390" s="683" t="str">
        <f>CONCATENATE("MARCA: ",BDEGENER[[#This Row],[MARCA ALTERNADOR ]],"
SERIE: ",BDEGENER[[#This Row],[SERIE DE ALTERNADOR]])</f>
        <v>MARCA: GENERAC
SERIE: 91787210</v>
      </c>
      <c r="AU390" s="683" t="str">
        <f>CONCATENATE("HORAS: ",BDEGENER[[#This Row],[HORAS]],"
KW-HR: ",BDEGENER[[#This Row],[KW-HORA]],"
VOLT.BATERIA: ",BDEGENER[[#This Row],[VOLTAJE DE BATERIA]],"
TEMPERATURA: ",BDEGENER[[#This Row],[TEMPERATURA DE AGUA]],"
PRES. ACEITE: ",BDEGENER[[#This Row],[PRESION DE ACEITE]])</f>
        <v>HORAS: 3839,7
KW-HR: 96474,2
VOLT.BATERIA: 14.1 V
TEMPERATURA: 195 °F
PRES. ACEITE: 55 PSI</v>
      </c>
      <c r="AV390" s="683">
        <f>COUNTIFS(Q390:Q2390,"MANTENIMIENTO CORRECTIVO",Y390:Y2390,BDEGENER[[#This Row],[SERIE]])</f>
        <v>2</v>
      </c>
      <c r="AW390" s="683">
        <f>COUNTIFS(Q390:Q2390,"MANTENIMIENTO PREVENTIVO",Y390:Y2390,BDEGENER[[#This Row],[SERIE]])</f>
        <v>4</v>
      </c>
      <c r="AX39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390" s="683">
        <f>COUNTIFS(BDEGENER[SERIE],BDEGENER[[#This Row],[SERIE]],BDEGENER[TIPO DE SERVICIO],"MANTENIMIENTO PREVENTIVO")</f>
        <v>7</v>
      </c>
      <c r="AZ390" s="683" t="str">
        <f>CONCATENATE("MANTENIMIENTO PREVENTIVO N°",BDEGENER[[#This Row],[GA1]])</f>
        <v>MANTENIMIENTO PREVENTIVO N°7</v>
      </c>
      <c r="BA390" s="683" t="str">
        <f>IF(BDEGENER[[#This Row],[SERVICIO]]=BDEGENER[[#This Row],[GA2]],BDEGENER[[#This Row],[HORAS]],"0")</f>
        <v>0</v>
      </c>
      <c r="BB390" s="683">
        <f>SUMIF(BDEGENER[SERIE],BDEGENER[[#This Row],[SERIE]],BDEGENER[GA3])</f>
        <v>4620.5</v>
      </c>
      <c r="BC390" s="683" t="str">
        <f>CONCATENATE("MANT",COUNTIF($Y$7:Y390,Y390))</f>
        <v>MANT6</v>
      </c>
      <c r="BD390" s="683" t="str">
        <f>CONCATENATE(BDEGENER[[#This Row],[SERIE]],BDEGENER[[#This Row],[GA5]])</f>
        <v>3003963150MANT6</v>
      </c>
      <c r="BE390" s="683" t="str">
        <f>CONCATENATE(BDEGENER[[#This Row],[CODIGO PATRIMONIAL]],BDEGENER[[#This Row],[GA5]])</f>
        <v>NOR-GEG-0020MANT6</v>
      </c>
      <c r="BF390" s="683">
        <f>COUNTIF(BDEGENER[SERIE],BDEGENER[[#This Row],[SERIE]])</f>
        <v>13</v>
      </c>
      <c r="BG390" s="683" t="str">
        <f>CONCATENATE("F",COUNTIF($K$7:K390,K390))</f>
        <v>F2</v>
      </c>
      <c r="BH390" s="683" t="str">
        <f>CONCATENATE(BDEGENER[[#This Row],[FECHA DE SERVICIO]],BDEGENER[[#This Row],[N° DE REGISTROS DEL DIA]])</f>
        <v>43998F2</v>
      </c>
      <c r="BI390" s="684">
        <v>96474.2</v>
      </c>
      <c r="BJ390" s="683" t="s">
        <v>1544</v>
      </c>
      <c r="BK390" s="736" t="s">
        <v>2267</v>
      </c>
    </row>
    <row r="391" spans="2:63" ht="69" hidden="1" x14ac:dyDescent="0.3">
      <c r="B391" s="2"/>
      <c r="C391" s="2"/>
      <c r="D391" s="2"/>
      <c r="E391" s="2"/>
      <c r="F391" s="2"/>
      <c r="G391" s="2"/>
      <c r="H391" s="2"/>
      <c r="I391" s="2"/>
      <c r="J391" s="685"/>
      <c r="K391" s="682">
        <v>43998</v>
      </c>
      <c r="L391" s="683" t="s">
        <v>181</v>
      </c>
      <c r="M391" s="683" t="s">
        <v>2673</v>
      </c>
      <c r="N391" s="683" t="s">
        <v>2685</v>
      </c>
      <c r="O391" s="683"/>
      <c r="P391" s="688" t="s">
        <v>2686</v>
      </c>
      <c r="Q391" s="683" t="s">
        <v>107</v>
      </c>
      <c r="R391" s="683" t="s">
        <v>2676</v>
      </c>
      <c r="S391" s="686" t="s">
        <v>2682</v>
      </c>
      <c r="T391" s="683" t="s">
        <v>2678</v>
      </c>
      <c r="U391" s="683" t="s">
        <v>2683</v>
      </c>
      <c r="V391" s="683" t="s">
        <v>149</v>
      </c>
      <c r="W391" s="683" t="s">
        <v>914</v>
      </c>
      <c r="X391" s="691" t="s">
        <v>918</v>
      </c>
      <c r="Y391" s="687">
        <v>2117413</v>
      </c>
      <c r="Z391" s="692" t="s">
        <v>225</v>
      </c>
      <c r="AA391" s="683" t="s">
        <v>33</v>
      </c>
      <c r="AB391" s="683" t="s">
        <v>159</v>
      </c>
      <c r="AC391" s="683" t="s">
        <v>159</v>
      </c>
      <c r="AD391" s="683"/>
      <c r="AE391" s="683"/>
      <c r="AF391" s="684" t="s">
        <v>177</v>
      </c>
      <c r="AG391" s="683" t="s">
        <v>159</v>
      </c>
      <c r="AH391" s="683" t="s">
        <v>220</v>
      </c>
      <c r="AI391" s="683" t="s">
        <v>33</v>
      </c>
      <c r="AJ391" s="683" t="s">
        <v>159</v>
      </c>
      <c r="AK391" s="683" t="s">
        <v>33</v>
      </c>
      <c r="AL391" s="683" t="s">
        <v>159</v>
      </c>
      <c r="AM391" s="683"/>
      <c r="AN391" s="683"/>
      <c r="AO391" s="683"/>
      <c r="AP391" s="683" t="s">
        <v>557</v>
      </c>
      <c r="AQ391" s="688" t="str">
        <f>CONCATENATE("REG-",BDEGENER[[#This Row],[FECHA DE SERVICIO]],"-",BDEGENER[[#This Row],[SERIE]],"-",BDEGENER[[#This Row],[HORAS]])</f>
        <v>REG-43998-2117413-NR</v>
      </c>
      <c r="AR391" s="683" t="str">
        <f>CONCATENATE("MARCA: ",BDEGENER[[#This Row],[MARCA]],"
 MODELO: ",BDEGENER[[#This Row],[MODELO]])</f>
        <v xml:space="preserve">MARCA: GENERAC
 MODELO: </v>
      </c>
      <c r="AS391" s="683" t="str">
        <f>CONCATENATE("MARCA: ",BDEGENER[[#This Row],[MARCA DE MOTOR]],"
SERIE: ",BDEGENER[[#This Row],[SERIE DE MOTOR]])</f>
        <v xml:space="preserve">MARCA: GENERAC
SERIE: </v>
      </c>
      <c r="AT391" s="683" t="str">
        <f>CONCATENATE("MARCA: ",BDEGENER[[#This Row],[MARCA ALTERNADOR ]],"
SERIE: ",BDEGENER[[#This Row],[SERIE DE ALTERNADOR]])</f>
        <v xml:space="preserve">MARCA: GENERAC
SERIE: </v>
      </c>
      <c r="AU391" s="683"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391" s="761">
        <f>COUNTIFS(Q391:Q2391,"MANTENIMIENTO CORRECTIVO",Y391:Y2391,BDEGENER[[#This Row],[SERIE]])</f>
        <v>1</v>
      </c>
      <c r="AW391" s="761">
        <f>COUNTIFS(Q391:Q2391,"MANTENIMIENTO PREVENTIVO",Y391:Y2391,BDEGENER[[#This Row],[SERIE]])</f>
        <v>0</v>
      </c>
      <c r="AX39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391" s="683">
        <f>COUNTIFS(BDEGENER[SERIE],BDEGENER[[#This Row],[SERIE]],BDEGENER[TIPO DE SERVICIO],"MANTENIMIENTO PREVENTIVO")</f>
        <v>0</v>
      </c>
      <c r="AZ391" s="683" t="str">
        <f>CONCATENATE("MANTENIMIENTO PREVENTIVO N°",BDEGENER[[#This Row],[GA1]])</f>
        <v>MANTENIMIENTO PREVENTIVO N°0</v>
      </c>
      <c r="BA391" s="683" t="str">
        <f>IF(BDEGENER[[#This Row],[SERVICIO]]=BDEGENER[[#This Row],[GA2]],BDEGENER[[#This Row],[HORAS]],"0")</f>
        <v>0</v>
      </c>
      <c r="BB391" s="683">
        <f>SUMIF(BDEGENER[SERIE],BDEGENER[[#This Row],[SERIE]],BDEGENER[GA3])</f>
        <v>0</v>
      </c>
      <c r="BC391" s="761" t="str">
        <f>CONCATENATE("MANT",COUNTIF($Y$7:Y391,Y391))</f>
        <v>MANT2</v>
      </c>
      <c r="BD391" s="683" t="str">
        <f>CONCATENATE(BDEGENER[[#This Row],[SERIE]],BDEGENER[[#This Row],[GA5]])</f>
        <v>2117413MANT2</v>
      </c>
      <c r="BE391" s="683" t="str">
        <f>CONCATENATE(BDEGENER[[#This Row],[CODIGO PATRIMONIAL]],BDEGENER[[#This Row],[GA5]])</f>
        <v>GEGA115MANT2</v>
      </c>
      <c r="BF391" s="683">
        <f>COUNTIF(BDEGENER[SERIE],BDEGENER[[#This Row],[SERIE]])</f>
        <v>2</v>
      </c>
      <c r="BG391" s="761" t="str">
        <f>CONCATENATE("F",COUNTIF($K$7:K391,K391))</f>
        <v>F3</v>
      </c>
      <c r="BH391" s="683" t="str">
        <f>CONCATENATE(BDEGENER[[#This Row],[FECHA DE SERVICIO]],BDEGENER[[#This Row],[N° DE REGISTROS DEL DIA]])</f>
        <v>43998F3</v>
      </c>
      <c r="BI391" s="684"/>
      <c r="BJ391" s="683" t="s">
        <v>1544</v>
      </c>
      <c r="BK391" s="736"/>
    </row>
    <row r="392" spans="2:63" ht="69" hidden="1" x14ac:dyDescent="0.3">
      <c r="B392" s="2"/>
      <c r="C392" s="2"/>
      <c r="D392" s="2"/>
      <c r="E392" s="2"/>
      <c r="F392" s="2"/>
      <c r="G392" s="2"/>
      <c r="H392" s="2"/>
      <c r="I392" s="2"/>
      <c r="J392" s="685"/>
      <c r="K392" s="682">
        <v>43998</v>
      </c>
      <c r="L392" s="683" t="s">
        <v>181</v>
      </c>
      <c r="M392" s="683" t="s">
        <v>2673</v>
      </c>
      <c r="N392" s="683" t="s">
        <v>2685</v>
      </c>
      <c r="O392" s="683"/>
      <c r="P392" s="688" t="s">
        <v>2686</v>
      </c>
      <c r="Q392" s="683" t="s">
        <v>107</v>
      </c>
      <c r="R392" s="683" t="s">
        <v>2676</v>
      </c>
      <c r="S392" s="686" t="s">
        <v>2680</v>
      </c>
      <c r="T392" s="683" t="s">
        <v>2678</v>
      </c>
      <c r="U392" s="683" t="s">
        <v>2681</v>
      </c>
      <c r="V392" s="683" t="s">
        <v>149</v>
      </c>
      <c r="W392" s="683" t="s">
        <v>914</v>
      </c>
      <c r="X392" s="691" t="s">
        <v>918</v>
      </c>
      <c r="Y392" s="687" t="s">
        <v>2674</v>
      </c>
      <c r="Z392" s="692" t="s">
        <v>2674</v>
      </c>
      <c r="AA392" s="683" t="s">
        <v>33</v>
      </c>
      <c r="AB392" s="683" t="s">
        <v>159</v>
      </c>
      <c r="AC392" s="683" t="s">
        <v>159</v>
      </c>
      <c r="AD392" s="683"/>
      <c r="AE392" s="683"/>
      <c r="AF392" s="684" t="s">
        <v>177</v>
      </c>
      <c r="AG392" s="683" t="s">
        <v>159</v>
      </c>
      <c r="AH392" s="683" t="s">
        <v>159</v>
      </c>
      <c r="AI392" s="683" t="s">
        <v>159</v>
      </c>
      <c r="AJ392" s="683" t="s">
        <v>159</v>
      </c>
      <c r="AK392" s="683" t="s">
        <v>159</v>
      </c>
      <c r="AL392" s="683" t="s">
        <v>159</v>
      </c>
      <c r="AM392" s="683"/>
      <c r="AN392" s="683"/>
      <c r="AO392" s="683"/>
      <c r="AP392" s="683" t="s">
        <v>557</v>
      </c>
      <c r="AQ392" s="688" t="str">
        <f>CONCATENATE("REG-",BDEGENER[[#This Row],[FECHA DE SERVICIO]],"-",BDEGENER[[#This Row],[SERIE]],"-",BDEGENER[[#This Row],[HORAS]])</f>
        <v>REG-43998-GEGA112-NR</v>
      </c>
      <c r="AR392" s="683" t="str">
        <f>CONCATENATE("MARCA: ",BDEGENER[[#This Row],[MARCA]],"
 MODELO: ",BDEGENER[[#This Row],[MODELO]])</f>
        <v xml:space="preserve">MARCA: GENERAC
 MODELO: </v>
      </c>
      <c r="AS392" s="683" t="str">
        <f>CONCATENATE("MARCA: ",BDEGENER[[#This Row],[MARCA DE MOTOR]],"
SERIE: ",BDEGENER[[#This Row],[SERIE DE MOTOR]])</f>
        <v xml:space="preserve">MARCA: 
SERIE: </v>
      </c>
      <c r="AT392" s="683" t="str">
        <f>CONCATENATE("MARCA: ",BDEGENER[[#This Row],[MARCA ALTERNADOR ]],"
SERIE: ",BDEGENER[[#This Row],[SERIE DE ALTERNADOR]])</f>
        <v xml:space="preserve">MARCA: 
SERIE: </v>
      </c>
      <c r="AU392" s="683"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392" s="683">
        <f>COUNTIFS(Q392:Q2392,"MANTENIMIENTO CORRECTIVO",Y392:Y2392,BDEGENER[[#This Row],[SERIE]])</f>
        <v>1</v>
      </c>
      <c r="AW392" s="683">
        <f>COUNTIFS(Q392:Q2392,"MANTENIMIENTO PREVENTIVO",Y392:Y2392,BDEGENER[[#This Row],[SERIE]])</f>
        <v>0</v>
      </c>
      <c r="AX39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392" s="683">
        <f>COUNTIFS(BDEGENER[SERIE],BDEGENER[[#This Row],[SERIE]],BDEGENER[TIPO DE SERVICIO],"MANTENIMIENTO PREVENTIVO")</f>
        <v>0</v>
      </c>
      <c r="AZ392" s="683" t="str">
        <f>CONCATENATE("MANTENIMIENTO PREVENTIVO N°",BDEGENER[[#This Row],[GA1]])</f>
        <v>MANTENIMIENTO PREVENTIVO N°0</v>
      </c>
      <c r="BA392" s="683" t="str">
        <f>IF(BDEGENER[[#This Row],[SERVICIO]]=BDEGENER[[#This Row],[GA2]],BDEGENER[[#This Row],[HORAS]],"0")</f>
        <v>0</v>
      </c>
      <c r="BB392" s="683">
        <f>SUMIF(BDEGENER[SERIE],BDEGENER[[#This Row],[SERIE]],BDEGENER[GA3])</f>
        <v>0</v>
      </c>
      <c r="BC392" s="683" t="str">
        <f>CONCATENATE("MANT",COUNTIF($Y$7:Y392,Y392))</f>
        <v>MANT1</v>
      </c>
      <c r="BD392" s="683" t="str">
        <f>CONCATENATE(BDEGENER[[#This Row],[SERIE]],BDEGENER[[#This Row],[GA5]])</f>
        <v>GEGA112MANT1</v>
      </c>
      <c r="BE392" s="683" t="str">
        <f>CONCATENATE(BDEGENER[[#This Row],[CODIGO PATRIMONIAL]],BDEGENER[[#This Row],[GA5]])</f>
        <v>GEGA112MANT1</v>
      </c>
      <c r="BF392" s="683">
        <f>COUNTIF(BDEGENER[SERIE],BDEGENER[[#This Row],[SERIE]])</f>
        <v>1</v>
      </c>
      <c r="BG392" s="683" t="str">
        <f>CONCATENATE("F",COUNTIF($K$7:K392,K392))</f>
        <v>F4</v>
      </c>
      <c r="BH392" s="683" t="str">
        <f>CONCATENATE(BDEGENER[[#This Row],[FECHA DE SERVICIO]],BDEGENER[[#This Row],[N° DE REGISTROS DEL DIA]])</f>
        <v>43998F4</v>
      </c>
      <c r="BI392" s="684"/>
      <c r="BJ392" s="683" t="s">
        <v>1544</v>
      </c>
      <c r="BK392" s="736"/>
    </row>
    <row r="393" spans="2:63" ht="69" hidden="1" x14ac:dyDescent="0.3">
      <c r="B393" s="2"/>
      <c r="C393" s="2"/>
      <c r="D393" s="2"/>
      <c r="E393" s="2"/>
      <c r="F393" s="2"/>
      <c r="G393" s="2"/>
      <c r="H393" s="2"/>
      <c r="I393" s="2"/>
      <c r="J393" s="685"/>
      <c r="K393" s="682">
        <v>43998</v>
      </c>
      <c r="L393" s="683" t="s">
        <v>181</v>
      </c>
      <c r="M393" s="683" t="s">
        <v>2673</v>
      </c>
      <c r="N393" s="683" t="s">
        <v>2685</v>
      </c>
      <c r="O393" s="683"/>
      <c r="P393" s="688" t="s">
        <v>2686</v>
      </c>
      <c r="Q393" s="683" t="s">
        <v>107</v>
      </c>
      <c r="R393" s="683" t="s">
        <v>2676</v>
      </c>
      <c r="S393" s="686" t="s">
        <v>2677</v>
      </c>
      <c r="T393" s="683" t="s">
        <v>2678</v>
      </c>
      <c r="U393" s="683" t="s">
        <v>2679</v>
      </c>
      <c r="V393" s="683" t="s">
        <v>149</v>
      </c>
      <c r="W393" s="683" t="s">
        <v>914</v>
      </c>
      <c r="X393" s="691" t="s">
        <v>918</v>
      </c>
      <c r="Y393" s="687">
        <v>2117417</v>
      </c>
      <c r="Z393" s="692" t="s">
        <v>2675</v>
      </c>
      <c r="AA393" s="683" t="s">
        <v>33</v>
      </c>
      <c r="AB393" s="683" t="s">
        <v>159</v>
      </c>
      <c r="AC393" s="683" t="s">
        <v>159</v>
      </c>
      <c r="AD393" s="683"/>
      <c r="AE393" s="683"/>
      <c r="AF393" s="684" t="s">
        <v>177</v>
      </c>
      <c r="AG393" s="683" t="s">
        <v>159</v>
      </c>
      <c r="AH393" s="683" t="s">
        <v>159</v>
      </c>
      <c r="AI393" s="683" t="s">
        <v>33</v>
      </c>
      <c r="AJ393" s="683"/>
      <c r="AK393" s="683" t="s">
        <v>33</v>
      </c>
      <c r="AL393" s="683" t="s">
        <v>159</v>
      </c>
      <c r="AM393" s="683"/>
      <c r="AN393" s="683"/>
      <c r="AO393" s="683"/>
      <c r="AP393" s="683" t="s">
        <v>557</v>
      </c>
      <c r="AQ393" s="688" t="str">
        <f>CONCATENATE("REG-",BDEGENER[[#This Row],[FECHA DE SERVICIO]],"-",BDEGENER[[#This Row],[SERIE]],"-",BDEGENER[[#This Row],[HORAS]])</f>
        <v>REG-43998-2117417-NR</v>
      </c>
      <c r="AR393" s="683" t="str">
        <f>CONCATENATE("MARCA: ",BDEGENER[[#This Row],[MARCA]],"
 MODELO: ",BDEGENER[[#This Row],[MODELO]])</f>
        <v xml:space="preserve">MARCA: GENERAC
 MODELO: </v>
      </c>
      <c r="AS393" s="683" t="str">
        <f>CONCATENATE("MARCA: ",BDEGENER[[#This Row],[MARCA DE MOTOR]],"
SERIE: ",BDEGENER[[#This Row],[SERIE DE MOTOR]])</f>
        <v xml:space="preserve">MARCA: GENERAC
SERIE: </v>
      </c>
      <c r="AT393" s="683" t="str">
        <f>CONCATENATE("MARCA: ",BDEGENER[[#This Row],[MARCA ALTERNADOR ]],"
SERIE: ",BDEGENER[[#This Row],[SERIE DE ALTERNADOR]])</f>
        <v xml:space="preserve">MARCA: GENERAC
SERIE: </v>
      </c>
      <c r="AU393" s="683"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393" s="683">
        <f>COUNTIFS(Q393:Q2393,"MANTENIMIENTO CORRECTIVO",Y393:Y2393,BDEGENER[[#This Row],[SERIE]])</f>
        <v>1</v>
      </c>
      <c r="AW393" s="683">
        <f>COUNTIFS(Q393:Q2393,"MANTENIMIENTO PREVENTIVO",Y393:Y2393,BDEGENER[[#This Row],[SERIE]])</f>
        <v>0</v>
      </c>
      <c r="AX39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393" s="683">
        <f>COUNTIFS(BDEGENER[SERIE],BDEGENER[[#This Row],[SERIE]],BDEGENER[TIPO DE SERVICIO],"MANTENIMIENTO PREVENTIVO")</f>
        <v>0</v>
      </c>
      <c r="AZ393" s="683" t="str">
        <f>CONCATENATE("MANTENIMIENTO PREVENTIVO N°",BDEGENER[[#This Row],[GA1]])</f>
        <v>MANTENIMIENTO PREVENTIVO N°0</v>
      </c>
      <c r="BA393" s="683" t="str">
        <f>IF(BDEGENER[[#This Row],[SERVICIO]]=BDEGENER[[#This Row],[GA2]],BDEGENER[[#This Row],[HORAS]],"0")</f>
        <v>0</v>
      </c>
      <c r="BB393" s="683">
        <f>SUMIF(BDEGENER[SERIE],BDEGENER[[#This Row],[SERIE]],BDEGENER[GA3])</f>
        <v>0</v>
      </c>
      <c r="BC393" s="683" t="str">
        <f>CONCATENATE("MANT",COUNTIF($Y$7:Y393,Y393))</f>
        <v>MANT2</v>
      </c>
      <c r="BD393" s="683" t="str">
        <f>CONCATENATE(BDEGENER[[#This Row],[SERIE]],BDEGENER[[#This Row],[GA5]])</f>
        <v>2117417MANT2</v>
      </c>
      <c r="BE393" s="683" t="str">
        <f>CONCATENATE(BDEGENER[[#This Row],[CODIGO PATRIMONIAL]],BDEGENER[[#This Row],[GA5]])</f>
        <v>GEGA111MANT2</v>
      </c>
      <c r="BF393" s="683">
        <f>COUNTIF(BDEGENER[SERIE],BDEGENER[[#This Row],[SERIE]])</f>
        <v>2</v>
      </c>
      <c r="BG393" s="683" t="str">
        <f>CONCATENATE("F",COUNTIF($K$7:K393,K393))</f>
        <v>F5</v>
      </c>
      <c r="BH393" s="683" t="str">
        <f>CONCATENATE(BDEGENER[[#This Row],[FECHA DE SERVICIO]],BDEGENER[[#This Row],[N° DE REGISTROS DEL DIA]])</f>
        <v>43998F5</v>
      </c>
      <c r="BI393" s="684"/>
      <c r="BJ393" s="683" t="s">
        <v>1544</v>
      </c>
      <c r="BK393" s="736"/>
    </row>
    <row r="394" spans="2:63" ht="69" hidden="1" x14ac:dyDescent="0.3">
      <c r="B394" s="2"/>
      <c r="C394" s="2"/>
      <c r="D394" s="2"/>
      <c r="E394" s="2"/>
      <c r="F394" s="2"/>
      <c r="G394" s="2"/>
      <c r="H394" s="2"/>
      <c r="I394" s="2"/>
      <c r="J394" s="685"/>
      <c r="K394" s="682">
        <v>43997</v>
      </c>
      <c r="L394" s="683" t="s">
        <v>181</v>
      </c>
      <c r="M394" s="683" t="s">
        <v>188</v>
      </c>
      <c r="N394" s="683" t="s">
        <v>183</v>
      </c>
      <c r="O394" s="683">
        <v>4500873022</v>
      </c>
      <c r="P394" s="683" t="s">
        <v>2624</v>
      </c>
      <c r="Q394" s="683" t="s">
        <v>37</v>
      </c>
      <c r="R394" s="683" t="s">
        <v>1782</v>
      </c>
      <c r="S394" s="686" t="s">
        <v>2625</v>
      </c>
      <c r="T394" s="683" t="s">
        <v>2626</v>
      </c>
      <c r="U394" s="683" t="s">
        <v>2049</v>
      </c>
      <c r="V394" s="683" t="s">
        <v>146</v>
      </c>
      <c r="W394" s="683" t="s">
        <v>914</v>
      </c>
      <c r="X394" s="691" t="s">
        <v>918</v>
      </c>
      <c r="Y394" s="687">
        <v>3004235514</v>
      </c>
      <c r="Z394" s="692"/>
      <c r="AA394" s="683" t="s">
        <v>33</v>
      </c>
      <c r="AB394" s="683" t="s">
        <v>34</v>
      </c>
      <c r="AC394" s="683" t="s">
        <v>230</v>
      </c>
      <c r="AD394" s="683" t="s">
        <v>1110</v>
      </c>
      <c r="AE394" s="683">
        <v>60</v>
      </c>
      <c r="AF394" s="684">
        <v>1608.9</v>
      </c>
      <c r="AG394" s="683" t="s">
        <v>243</v>
      </c>
      <c r="AH394" s="683" t="s">
        <v>220</v>
      </c>
      <c r="AI394" s="683" t="s">
        <v>33</v>
      </c>
      <c r="AJ394" s="683">
        <v>3003266420</v>
      </c>
      <c r="AK394" s="683" t="s">
        <v>33</v>
      </c>
      <c r="AL394" s="683">
        <v>1630250</v>
      </c>
      <c r="AM394" s="683" t="s">
        <v>1121</v>
      </c>
      <c r="AN394" s="683" t="s">
        <v>1122</v>
      </c>
      <c r="AO394" s="683" t="s">
        <v>1166</v>
      </c>
      <c r="AP394" s="683" t="s">
        <v>240</v>
      </c>
      <c r="AQ394" s="683" t="str">
        <f>CONCATENATE("REG-",BDEGENER[[#This Row],[FECHA DE SERVICIO]],"-",BDEGENER[[#This Row],[SERIE]],"-",BDEGENER[[#This Row],[HORAS]])</f>
        <v>REG-43997-3004235514-1608,9</v>
      </c>
      <c r="AR394" s="683" t="str">
        <f>CONCATENATE("MARCA: ",BDEGENER[[#This Row],[MARCA]],"
 MODELO: ",BDEGENER[[#This Row],[MODELO]])</f>
        <v>MARCA: GENERAC
 MODELO: PG090</v>
      </c>
      <c r="AS394" s="683" t="str">
        <f>CONCATENATE("MARCA: ",BDEGENER[[#This Row],[MARCA DE MOTOR]],"
SERIE: ",BDEGENER[[#This Row],[SERIE DE MOTOR]])</f>
        <v>MARCA: GENERAC
SERIE: 3003266420</v>
      </c>
      <c r="AT394" s="683" t="str">
        <f>CONCATENATE("MARCA: ",BDEGENER[[#This Row],[MARCA ALTERNADOR ]],"
SERIE: ",BDEGENER[[#This Row],[SERIE DE ALTERNADOR]])</f>
        <v>MARCA: GENERAC
SERIE: 1630250</v>
      </c>
      <c r="AU394" s="683" t="str">
        <f>CONCATENATE("HORAS: ",BDEGENER[[#This Row],[HORAS]],"
KW-HR: ",BDEGENER[[#This Row],[KW-HORA]],"
VOLT.BATERIA: ",BDEGENER[[#This Row],[VOLTAJE DE BATERIA]],"
TEMPERATURA: ",BDEGENER[[#This Row],[TEMPERATURA DE AGUA]],"
PRES. ACEITE: ",BDEGENER[[#This Row],[PRESION DE ACEITE]])</f>
        <v>HORAS: 1608,9
KW-HR: 35658,8
VOLT.BATERIA: 13.7 V
TEMPERATURA: 195 °F
PRES. ACEITE: 57 PSI</v>
      </c>
      <c r="AV394" s="761">
        <f>COUNTIFS(Q394:Q2394,"MANTENIMIENTO CORRECTIVO",Y394:Y2394,BDEGENER[[#This Row],[SERIE]])</f>
        <v>1</v>
      </c>
      <c r="AW394" s="761">
        <f>COUNTIFS(Q394:Q2394,"MANTENIMIENTO PREVENTIVO",Y394:Y2394,BDEGENER[[#This Row],[SERIE]])</f>
        <v>5</v>
      </c>
      <c r="AX39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394" s="683">
        <f>COUNTIFS(BDEGENER[SERIE],BDEGENER[[#This Row],[SERIE]],BDEGENER[TIPO DE SERVICIO],"MANTENIMIENTO PREVENTIVO")</f>
        <v>7</v>
      </c>
      <c r="AZ394" s="683" t="str">
        <f>CONCATENATE("MANTENIMIENTO PREVENTIVO N°",BDEGENER[[#This Row],[GA1]])</f>
        <v>MANTENIMIENTO PREVENTIVO N°7</v>
      </c>
      <c r="BA394" s="683" t="str">
        <f>IF(BDEGENER[[#This Row],[SERVICIO]]=BDEGENER[[#This Row],[GA2]],BDEGENER[[#This Row],[HORAS]],"0")</f>
        <v>0</v>
      </c>
      <c r="BB394" s="683">
        <f>SUMIF(BDEGENER[SERIE],BDEGENER[[#This Row],[SERIE]],BDEGENER[GA3])</f>
        <v>2044.9</v>
      </c>
      <c r="BC394" s="761" t="str">
        <f>CONCATENATE("MANT",COUNTIF($Y$7:Y394,Y394))</f>
        <v>MANT4</v>
      </c>
      <c r="BD394" s="683" t="str">
        <f>CONCATENATE(BDEGENER[[#This Row],[SERIE]],BDEGENER[[#This Row],[GA5]])</f>
        <v>3004235514MANT4</v>
      </c>
      <c r="BE394" s="683" t="str">
        <f>CONCATENATE(BDEGENER[[#This Row],[CODIGO PATRIMONIAL]],BDEGENER[[#This Row],[GA5]])</f>
        <v>MANT4</v>
      </c>
      <c r="BF394" s="683">
        <f>COUNTIF(BDEGENER[SERIE],BDEGENER[[#This Row],[SERIE]])</f>
        <v>10</v>
      </c>
      <c r="BG394" s="761" t="str">
        <f>CONCATENATE("F",COUNTIF($K$7:K394,K394))</f>
        <v>F1</v>
      </c>
      <c r="BH394" s="683" t="str">
        <f>CONCATENATE(BDEGENER[[#This Row],[FECHA DE SERVICIO]],BDEGENER[[#This Row],[N° DE REGISTROS DEL DIA]])</f>
        <v>43997F1</v>
      </c>
      <c r="BI394" s="684">
        <v>35658.800000000003</v>
      </c>
      <c r="BJ394" s="683" t="s">
        <v>1544</v>
      </c>
      <c r="BK394" s="736" t="s">
        <v>2166</v>
      </c>
    </row>
    <row r="395" spans="2:63" ht="69" hidden="1" x14ac:dyDescent="0.3">
      <c r="B395" s="2"/>
      <c r="C395" s="2"/>
      <c r="D395" s="2"/>
      <c r="E395" s="2"/>
      <c r="F395" s="2"/>
      <c r="G395" s="2"/>
      <c r="H395" s="2"/>
      <c r="I395" s="2"/>
      <c r="J395" s="685"/>
      <c r="K395" s="682">
        <v>43997</v>
      </c>
      <c r="L395" s="683" t="s">
        <v>181</v>
      </c>
      <c r="M395" s="683" t="s">
        <v>182</v>
      </c>
      <c r="N395" s="683" t="s">
        <v>183</v>
      </c>
      <c r="O395" s="683">
        <v>4500873022</v>
      </c>
      <c r="P395" s="683" t="s">
        <v>2621</v>
      </c>
      <c r="Q395" s="683" t="s">
        <v>37</v>
      </c>
      <c r="R395" s="683" t="s">
        <v>1782</v>
      </c>
      <c r="S395" s="686" t="s">
        <v>2622</v>
      </c>
      <c r="T395" s="683" t="s">
        <v>2623</v>
      </c>
      <c r="U395" s="683" t="s">
        <v>2049</v>
      </c>
      <c r="V395" s="683" t="s">
        <v>146</v>
      </c>
      <c r="W395" s="683" t="s">
        <v>914</v>
      </c>
      <c r="X395" s="691" t="s">
        <v>918</v>
      </c>
      <c r="Y395" s="687">
        <v>3004381435</v>
      </c>
      <c r="Z395" s="692"/>
      <c r="AA395" s="683" t="s">
        <v>33</v>
      </c>
      <c r="AB395" s="683" t="s">
        <v>34</v>
      </c>
      <c r="AC395" s="683" t="s">
        <v>230</v>
      </c>
      <c r="AD395" s="683" t="s">
        <v>1110</v>
      </c>
      <c r="AE395" s="683">
        <v>60</v>
      </c>
      <c r="AF395" s="684">
        <v>953.3</v>
      </c>
      <c r="AG395" s="683" t="s">
        <v>243</v>
      </c>
      <c r="AH395" s="683" t="s">
        <v>220</v>
      </c>
      <c r="AI395" s="683" t="s">
        <v>33</v>
      </c>
      <c r="AJ395" s="683">
        <v>3004346796</v>
      </c>
      <c r="AK395" s="683" t="s">
        <v>33</v>
      </c>
      <c r="AL395" s="683">
        <v>10630960</v>
      </c>
      <c r="AM395" s="683" t="s">
        <v>1121</v>
      </c>
      <c r="AN395" s="683" t="s">
        <v>1352</v>
      </c>
      <c r="AO395" s="683" t="s">
        <v>1166</v>
      </c>
      <c r="AP395" s="683" t="s">
        <v>240</v>
      </c>
      <c r="AQ395" s="683" t="str">
        <f>CONCATENATE("REG-",BDEGENER[[#This Row],[FECHA DE SERVICIO]],"-",BDEGENER[[#This Row],[SERIE]],"-",BDEGENER[[#This Row],[HORAS]])</f>
        <v>REG-43997-3004381435-953,3</v>
      </c>
      <c r="AR395" s="683" t="str">
        <f>CONCATENATE("MARCA: ",BDEGENER[[#This Row],[MARCA]],"
 MODELO: ",BDEGENER[[#This Row],[MODELO]])</f>
        <v>MARCA: GENERAC
 MODELO: PG090</v>
      </c>
      <c r="AS395" s="683" t="str">
        <f>CONCATENATE("MARCA: ",BDEGENER[[#This Row],[MARCA DE MOTOR]],"
SERIE: ",BDEGENER[[#This Row],[SERIE DE MOTOR]])</f>
        <v>MARCA: GENERAC
SERIE: 3004346796</v>
      </c>
      <c r="AT395" s="683" t="str">
        <f>CONCATENATE("MARCA: ",BDEGENER[[#This Row],[MARCA ALTERNADOR ]],"
SERIE: ",BDEGENER[[#This Row],[SERIE DE ALTERNADOR]])</f>
        <v>MARCA: GENERAC
SERIE: 10630960</v>
      </c>
      <c r="AU395" s="683" t="str">
        <f>CONCATENATE("HORAS: ",BDEGENER[[#This Row],[HORAS]],"
KW-HR: ",BDEGENER[[#This Row],[KW-HORA]],"
VOLT.BATERIA: ",BDEGENER[[#This Row],[VOLTAJE DE BATERIA]],"
TEMPERATURA: ",BDEGENER[[#This Row],[TEMPERATURA DE AGUA]],"
PRES. ACEITE: ",BDEGENER[[#This Row],[PRESION DE ACEITE]])</f>
        <v>HORAS: 953,3
KW-HR: 16737,9
VOLT.BATERIA: 13.7 V
TEMPERATURA: 196 °F
PRES. ACEITE: 57 PSI</v>
      </c>
      <c r="AV395" s="683">
        <f>COUNTIFS(Q395:Q2395,"MANTENIMIENTO CORRECTIVO",Y395:Y2395,BDEGENER[[#This Row],[SERIE]])</f>
        <v>2</v>
      </c>
      <c r="AW395" s="683">
        <f>COUNTIFS(Q395:Q2395,"MANTENIMIENTO PREVENTIVO",Y395:Y2395,BDEGENER[[#This Row],[SERIE]])</f>
        <v>4</v>
      </c>
      <c r="AX39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395" s="683">
        <f>COUNTIFS(BDEGENER[SERIE],BDEGENER[[#This Row],[SERIE]],BDEGENER[TIPO DE SERVICIO],"MANTENIMIENTO PREVENTIVO")</f>
        <v>8</v>
      </c>
      <c r="AZ395" s="683" t="str">
        <f>CONCATENATE("MANTENIMIENTO PREVENTIVO N°",BDEGENER[[#This Row],[GA1]])</f>
        <v>MANTENIMIENTO PREVENTIVO N°8</v>
      </c>
      <c r="BA395" s="683" t="str">
        <f>IF(BDEGENER[[#This Row],[SERVICIO]]=BDEGENER[[#This Row],[GA2]],BDEGENER[[#This Row],[HORAS]],"0")</f>
        <v>0</v>
      </c>
      <c r="BB395" s="683">
        <f>SUMIF(BDEGENER[SERIE],BDEGENER[[#This Row],[SERIE]],BDEGENER[GA3])</f>
        <v>2141.3000000000002</v>
      </c>
      <c r="BC395" s="683" t="str">
        <f>CONCATENATE("MANT",COUNTIF($Y$7:Y395,Y395))</f>
        <v>MANT7</v>
      </c>
      <c r="BD395" s="683" t="str">
        <f>CONCATENATE(BDEGENER[[#This Row],[SERIE]],BDEGENER[[#This Row],[GA5]])</f>
        <v>3004381435MANT7</v>
      </c>
      <c r="BE395" s="683" t="str">
        <f>CONCATENATE(BDEGENER[[#This Row],[CODIGO PATRIMONIAL]],BDEGENER[[#This Row],[GA5]])</f>
        <v>MANT7</v>
      </c>
      <c r="BF395" s="683">
        <f>COUNTIF(BDEGENER[SERIE],BDEGENER[[#This Row],[SERIE]])</f>
        <v>13</v>
      </c>
      <c r="BG395" s="683" t="str">
        <f>CONCATENATE("F",COUNTIF($K$7:K395,K395))</f>
        <v>F2</v>
      </c>
      <c r="BH395" s="683" t="str">
        <f>CONCATENATE(BDEGENER[[#This Row],[FECHA DE SERVICIO]],BDEGENER[[#This Row],[N° DE REGISTROS DEL DIA]])</f>
        <v>43997F2</v>
      </c>
      <c r="BI395" s="684">
        <v>16737.900000000001</v>
      </c>
      <c r="BJ395" s="683" t="s">
        <v>1544</v>
      </c>
      <c r="BK395" s="736" t="s">
        <v>752</v>
      </c>
    </row>
    <row r="396" spans="2:63" ht="69" hidden="1" x14ac:dyDescent="0.3">
      <c r="B396" s="2"/>
      <c r="C396" s="2"/>
      <c r="D396" s="2"/>
      <c r="E396" s="2"/>
      <c r="F396" s="2"/>
      <c r="G396" s="2"/>
      <c r="H396" s="2"/>
      <c r="I396" s="2"/>
      <c r="J396" s="685"/>
      <c r="K396" s="682">
        <v>43995</v>
      </c>
      <c r="L396" s="683" t="s">
        <v>561</v>
      </c>
      <c r="M396" s="683" t="s">
        <v>2659</v>
      </c>
      <c r="N396" s="683" t="s">
        <v>2660</v>
      </c>
      <c r="O396" s="683"/>
      <c r="P396" s="683"/>
      <c r="Q396" s="683" t="s">
        <v>108</v>
      </c>
      <c r="R396" s="683" t="s">
        <v>2661</v>
      </c>
      <c r="S396" s="686" t="s">
        <v>2662</v>
      </c>
      <c r="T396" s="683" t="s">
        <v>2663</v>
      </c>
      <c r="U396" s="683"/>
      <c r="V396" s="683" t="s">
        <v>148</v>
      </c>
      <c r="W396" s="683" t="s">
        <v>913</v>
      </c>
      <c r="X396" s="691" t="s">
        <v>918</v>
      </c>
      <c r="Y396" s="687">
        <v>3004555912</v>
      </c>
      <c r="Z396" s="692" t="s">
        <v>2607</v>
      </c>
      <c r="AA396" s="683" t="s">
        <v>33</v>
      </c>
      <c r="AB396" s="683" t="s">
        <v>217</v>
      </c>
      <c r="AC396" s="683" t="s">
        <v>749</v>
      </c>
      <c r="AD396" s="683"/>
      <c r="AE396" s="683"/>
      <c r="AF396" s="684">
        <v>1615.1</v>
      </c>
      <c r="AG396" s="683" t="s">
        <v>243</v>
      </c>
      <c r="AH396" s="683"/>
      <c r="AI396" s="683"/>
      <c r="AJ396" s="683"/>
      <c r="AK396" s="683"/>
      <c r="AL396" s="683"/>
      <c r="AM396" s="683" t="s">
        <v>1094</v>
      </c>
      <c r="AN396" s="683"/>
      <c r="AO396" s="683"/>
      <c r="AP396" s="683" t="s">
        <v>240</v>
      </c>
      <c r="AQ396" s="688" t="str">
        <f>CONCATENATE("REG-",BDEGENER[[#This Row],[FECHA DE SERVICIO]],"-",BDEGENER[[#This Row],[SERIE]],"-",BDEGENER[[#This Row],[HORAS]])</f>
        <v>REG-43995-3004555912-1615,1</v>
      </c>
      <c r="AR396" s="683" t="str">
        <f>CONCATENATE("MARCA: ",BDEGENER[[#This Row],[MARCA]],"
 MODELO: ",BDEGENER[[#This Row],[MODELO]])</f>
        <v>MARCA: GENERAC
 MODELO: RG022</v>
      </c>
      <c r="AS396" s="683" t="str">
        <f>CONCATENATE("MARCA: ",BDEGENER[[#This Row],[MARCA DE MOTOR]],"
SERIE: ",BDEGENER[[#This Row],[SERIE DE MOTOR]])</f>
        <v xml:space="preserve">MARCA: 
SERIE: </v>
      </c>
      <c r="AT396" s="683" t="str">
        <f>CONCATENATE("MARCA: ",BDEGENER[[#This Row],[MARCA ALTERNADOR ]],"
SERIE: ",BDEGENER[[#This Row],[SERIE DE ALTERNADOR]])</f>
        <v xml:space="preserve">MARCA: 
SERIE: </v>
      </c>
      <c r="AU396" s="683" t="str">
        <f>CONCATENATE("HORAS: ",BDEGENER[[#This Row],[HORAS]],"
KW-HR: ",BDEGENER[[#This Row],[KW-HORA]],"
VOLT.BATERIA: ",BDEGENER[[#This Row],[VOLTAJE DE BATERIA]],"
TEMPERATURA: ",BDEGENER[[#This Row],[TEMPERATURA DE AGUA]],"
PRES. ACEITE: ",BDEGENER[[#This Row],[PRESION DE ACEITE]])</f>
        <v xml:space="preserve">HORAS: 1615,1
KW-HR: 
VOLT.BATERIA: 13.5 V
TEMPERATURA: 
PRES. ACEITE: </v>
      </c>
      <c r="AV396" s="683">
        <f>COUNTIFS(Q396:Q2396,"MANTENIMIENTO CORRECTIVO",Y396:Y2396,BDEGENER[[#This Row],[SERIE]])</f>
        <v>0</v>
      </c>
      <c r="AW396" s="683">
        <f>COUNTIFS(Q396:Q2396,"MANTENIMIENTO PREVENTIVO",Y396:Y2396,BDEGENER[[#This Row],[SERIE]])</f>
        <v>3</v>
      </c>
      <c r="AX39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96" s="683">
        <f>COUNTIFS(BDEGENER[SERIE],BDEGENER[[#This Row],[SERIE]],BDEGENER[TIPO DE SERVICIO],"MANTENIMIENTO PREVENTIVO")</f>
        <v>6</v>
      </c>
      <c r="AZ396" s="683" t="str">
        <f>CONCATENATE("MANTENIMIENTO PREVENTIVO N°",BDEGENER[[#This Row],[GA1]])</f>
        <v>MANTENIMIENTO PREVENTIVO N°6</v>
      </c>
      <c r="BA396" s="683" t="str">
        <f>IF(BDEGENER[[#This Row],[SERVICIO]]=BDEGENER[[#This Row],[GA2]],BDEGENER[[#This Row],[HORAS]],"0")</f>
        <v>0</v>
      </c>
      <c r="BB396" s="683">
        <f>SUMIF(BDEGENER[SERIE],BDEGENER[[#This Row],[SERIE]],BDEGENER[GA3])</f>
        <v>2869.9</v>
      </c>
      <c r="BC396" s="683" t="str">
        <f>CONCATENATE("MANT",COUNTIF($Y$7:Y396,Y396))</f>
        <v>MANT6</v>
      </c>
      <c r="BD396" s="683" t="str">
        <f>CONCATENATE(BDEGENER[[#This Row],[SERIE]],BDEGENER[[#This Row],[GA5]])</f>
        <v>3004555912MANT6</v>
      </c>
      <c r="BE396" s="683" t="str">
        <f>CONCATENATE(BDEGENER[[#This Row],[CODIGO PATRIMONIAL]],BDEGENER[[#This Row],[GA5]])</f>
        <v>SUR-GEG-0011MANT6</v>
      </c>
      <c r="BF396" s="683">
        <f>COUNTIF(BDEGENER[SERIE],BDEGENER[[#This Row],[SERIE]])</f>
        <v>11</v>
      </c>
      <c r="BG396" s="683" t="str">
        <f>CONCATENATE("F",COUNTIF($K$7:K396,K396))</f>
        <v>F1</v>
      </c>
      <c r="BH396" s="683" t="str">
        <f>CONCATENATE(BDEGENER[[#This Row],[FECHA DE SERVICIO]],BDEGENER[[#This Row],[N° DE REGISTROS DEL DIA]])</f>
        <v>43995F1</v>
      </c>
      <c r="BI396" s="684"/>
      <c r="BJ396" s="683" t="s">
        <v>1544</v>
      </c>
      <c r="BK396" s="736"/>
    </row>
    <row r="397" spans="2:63" ht="82.8" hidden="1" x14ac:dyDescent="0.3">
      <c r="B397" s="2"/>
      <c r="C397" s="2"/>
      <c r="D397" s="2"/>
      <c r="E397" s="2"/>
      <c r="F397" s="2"/>
      <c r="G397" s="2"/>
      <c r="H397" s="2"/>
      <c r="I397" s="2"/>
      <c r="J397" s="685"/>
      <c r="K397" s="682">
        <v>43995</v>
      </c>
      <c r="L397" s="683" t="s">
        <v>561</v>
      </c>
      <c r="M397" s="683" t="s">
        <v>565</v>
      </c>
      <c r="N397" s="683" t="s">
        <v>566</v>
      </c>
      <c r="O397" s="683"/>
      <c r="P397" s="688" t="s">
        <v>2654</v>
      </c>
      <c r="Q397" s="683" t="s">
        <v>37</v>
      </c>
      <c r="R397" s="683" t="s">
        <v>2658</v>
      </c>
      <c r="S397" s="686" t="s">
        <v>2657</v>
      </c>
      <c r="T397" s="683" t="s">
        <v>2656</v>
      </c>
      <c r="U397" s="683" t="s">
        <v>2655</v>
      </c>
      <c r="V397" s="683" t="s">
        <v>148</v>
      </c>
      <c r="W397" s="683" t="s">
        <v>913</v>
      </c>
      <c r="X397" s="691" t="s">
        <v>918</v>
      </c>
      <c r="Y397" s="687">
        <v>3004370193</v>
      </c>
      <c r="Z397" s="692" t="s">
        <v>2599</v>
      </c>
      <c r="AA397" s="683" t="s">
        <v>33</v>
      </c>
      <c r="AB397" s="683" t="s">
        <v>217</v>
      </c>
      <c r="AC397" s="683" t="s">
        <v>749</v>
      </c>
      <c r="AD397" s="683" t="s">
        <v>1416</v>
      </c>
      <c r="AE397" s="683">
        <v>60.2</v>
      </c>
      <c r="AF397" s="684">
        <v>2424.8000000000002</v>
      </c>
      <c r="AG397" s="683" t="s">
        <v>243</v>
      </c>
      <c r="AH397" s="683" t="s">
        <v>1803</v>
      </c>
      <c r="AI397" s="683"/>
      <c r="AJ397" s="683"/>
      <c r="AK397" s="683"/>
      <c r="AL397" s="683"/>
      <c r="AM397" s="683" t="s">
        <v>1094</v>
      </c>
      <c r="AN397" s="683"/>
      <c r="AO397" s="683"/>
      <c r="AP397" s="683" t="s">
        <v>557</v>
      </c>
      <c r="AQ397" s="688" t="str">
        <f>CONCATENATE("REG-",BDEGENER[[#This Row],[FECHA DE SERVICIO]],"-",BDEGENER[[#This Row],[SERIE]],"-",BDEGENER[[#This Row],[HORAS]])</f>
        <v>REG-43995-3004370193-2424,8</v>
      </c>
      <c r="AR397" s="683" t="str">
        <f>CONCATENATE("MARCA: ",BDEGENER[[#This Row],[MARCA]],"
 MODELO: ",BDEGENER[[#This Row],[MODELO]])</f>
        <v>MARCA: GENERAC
 MODELO: RG022</v>
      </c>
      <c r="AS397" s="683" t="str">
        <f>CONCATENATE("MARCA: ",BDEGENER[[#This Row],[MARCA DE MOTOR]],"
SERIE: ",BDEGENER[[#This Row],[SERIE DE MOTOR]])</f>
        <v xml:space="preserve">MARCA: 
SERIE: </v>
      </c>
      <c r="AT397" s="683" t="str">
        <f>CONCATENATE("MARCA: ",BDEGENER[[#This Row],[MARCA ALTERNADOR ]],"
SERIE: ",BDEGENER[[#This Row],[SERIE DE ALTERNADOR]])</f>
        <v xml:space="preserve">MARCA: 
SERIE: </v>
      </c>
      <c r="AU397" s="683" t="str">
        <f>CONCATENATE("HORAS: ",BDEGENER[[#This Row],[HORAS]],"
KW-HR: ",BDEGENER[[#This Row],[KW-HORA]],"
VOLT.BATERIA: ",BDEGENER[[#This Row],[VOLTAJE DE BATERIA]],"
TEMPERATURA: ",BDEGENER[[#This Row],[TEMPERATURA DE AGUA]],"
PRES. ACEITE: ",BDEGENER[[#This Row],[PRESION DE ACEITE]])</f>
        <v xml:space="preserve">HORAS: 2424,8
KW-HR: 
VOLT.BATERIA: 13.5 V
TEMPERATURA: 
PRES. ACEITE: </v>
      </c>
      <c r="AV397" s="761">
        <f>COUNTIFS(Q397:Q2397,"MANTENIMIENTO CORRECTIVO",Y397:Y2397,BDEGENER[[#This Row],[SERIE]])</f>
        <v>2</v>
      </c>
      <c r="AW397" s="761">
        <f>COUNTIFS(Q397:Q2397,"MANTENIMIENTO PREVENTIVO",Y397:Y2397,BDEGENER[[#This Row],[SERIE]])</f>
        <v>4</v>
      </c>
      <c r="AX39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397" s="683">
        <f>COUNTIFS(BDEGENER[SERIE],BDEGENER[[#This Row],[SERIE]],BDEGENER[TIPO DE SERVICIO],"MANTENIMIENTO PREVENTIVO")</f>
        <v>9</v>
      </c>
      <c r="AZ397" s="683" t="str">
        <f>CONCATENATE("MANTENIMIENTO PREVENTIVO N°",BDEGENER[[#This Row],[GA1]])</f>
        <v>MANTENIMIENTO PREVENTIVO N°9</v>
      </c>
      <c r="BA397" s="683" t="str">
        <f>IF(BDEGENER[[#This Row],[SERVICIO]]=BDEGENER[[#This Row],[GA2]],BDEGENER[[#This Row],[HORAS]],"0")</f>
        <v>0</v>
      </c>
      <c r="BB397" s="683">
        <f>SUMIF(BDEGENER[SERIE],BDEGENER[[#This Row],[SERIE]],BDEGENER[GA3])</f>
        <v>3580.3</v>
      </c>
      <c r="BC397" s="761" t="str">
        <f>CONCATENATE("MANT",COUNTIF($Y$7:Y397,Y397))</f>
        <v>MANT9</v>
      </c>
      <c r="BD397" s="683" t="str">
        <f>CONCATENATE(BDEGENER[[#This Row],[SERIE]],BDEGENER[[#This Row],[GA5]])</f>
        <v>3004370193MANT9</v>
      </c>
      <c r="BE397" s="683" t="str">
        <f>CONCATENATE(BDEGENER[[#This Row],[CODIGO PATRIMONIAL]],BDEGENER[[#This Row],[GA5]])</f>
        <v>SUR-GEG-0003MANT9</v>
      </c>
      <c r="BF397" s="683">
        <f>COUNTIF(BDEGENER[SERIE],BDEGENER[[#This Row],[SERIE]])</f>
        <v>16</v>
      </c>
      <c r="BG397" s="761" t="str">
        <f>CONCATENATE("F",COUNTIF($K$7:K397,K397))</f>
        <v>F2</v>
      </c>
      <c r="BH397" s="683" t="str">
        <f>CONCATENATE(BDEGENER[[#This Row],[FECHA DE SERVICIO]],BDEGENER[[#This Row],[N° DE REGISTROS DEL DIA]])</f>
        <v>43995F2</v>
      </c>
      <c r="BI397" s="684"/>
      <c r="BJ397" s="683" t="s">
        <v>1544</v>
      </c>
      <c r="BK397" s="736"/>
    </row>
    <row r="398" spans="2:63" ht="69" hidden="1" x14ac:dyDescent="0.3">
      <c r="B398" s="2"/>
      <c r="C398" s="2"/>
      <c r="D398" s="2"/>
      <c r="E398" s="2"/>
      <c r="F398" s="2"/>
      <c r="G398" s="2"/>
      <c r="H398" s="2"/>
      <c r="I398" s="2"/>
      <c r="J398" s="685"/>
      <c r="K398" s="682">
        <v>43995</v>
      </c>
      <c r="L398" s="683" t="s">
        <v>181</v>
      </c>
      <c r="M398" s="683" t="s">
        <v>1388</v>
      </c>
      <c r="N398" s="683" t="s">
        <v>1538</v>
      </c>
      <c r="O398" s="683"/>
      <c r="P398" s="683"/>
      <c r="Q398" s="683" t="s">
        <v>108</v>
      </c>
      <c r="R398" s="683" t="s">
        <v>1782</v>
      </c>
      <c r="S398" s="686" t="s">
        <v>2652</v>
      </c>
      <c r="T398" s="683" t="s">
        <v>2653</v>
      </c>
      <c r="U398" s="683"/>
      <c r="V398" s="683" t="s">
        <v>148</v>
      </c>
      <c r="W398" s="683" t="s">
        <v>914</v>
      </c>
      <c r="X398" s="691" t="s">
        <v>918</v>
      </c>
      <c r="Y398" s="687">
        <v>3004428523</v>
      </c>
      <c r="Z398" s="692"/>
      <c r="AA398" s="683" t="s">
        <v>33</v>
      </c>
      <c r="AB398" s="683" t="s">
        <v>34</v>
      </c>
      <c r="AC398" s="683" t="s">
        <v>230</v>
      </c>
      <c r="AD398" s="683"/>
      <c r="AE398" s="683"/>
      <c r="AF398" s="684">
        <v>1515.6</v>
      </c>
      <c r="AG398" s="683" t="s">
        <v>243</v>
      </c>
      <c r="AH398" s="683" t="s">
        <v>220</v>
      </c>
      <c r="AI398" s="683" t="s">
        <v>33</v>
      </c>
      <c r="AJ398" s="683">
        <v>3004426215</v>
      </c>
      <c r="AK398" s="683" t="s">
        <v>33</v>
      </c>
      <c r="AL398" s="683">
        <v>106301030</v>
      </c>
      <c r="AM398" s="683"/>
      <c r="AN398" s="683"/>
      <c r="AO398" s="683"/>
      <c r="AP398" s="683" t="s">
        <v>240</v>
      </c>
      <c r="AQ398" s="688" t="str">
        <f>CONCATENATE("REG-",BDEGENER[[#This Row],[FECHA DE SERVICIO]],"-",BDEGENER[[#This Row],[SERIE]],"-",BDEGENER[[#This Row],[HORAS]])</f>
        <v>REG-43995-3004428523-1515,6</v>
      </c>
      <c r="AR398" s="683" t="str">
        <f>CONCATENATE("MARCA: ",BDEGENER[[#This Row],[MARCA]],"
 MODELO: ",BDEGENER[[#This Row],[MODELO]])</f>
        <v>MARCA: GENERAC
 MODELO: PG090</v>
      </c>
      <c r="AS398" s="683" t="str">
        <f>CONCATENATE("MARCA: ",BDEGENER[[#This Row],[MARCA DE MOTOR]],"
SERIE: ",BDEGENER[[#This Row],[SERIE DE MOTOR]])</f>
        <v>MARCA: GENERAC
SERIE: 3004426215</v>
      </c>
      <c r="AT398" s="683" t="str">
        <f>CONCATENATE("MARCA: ",BDEGENER[[#This Row],[MARCA ALTERNADOR ]],"
SERIE: ",BDEGENER[[#This Row],[SERIE DE ALTERNADOR]])</f>
        <v>MARCA: GENERAC
SERIE: 106301030</v>
      </c>
      <c r="AU398" s="683" t="str">
        <f>CONCATENATE("HORAS: ",BDEGENER[[#This Row],[HORAS]],"
KW-HR: ",BDEGENER[[#This Row],[KW-HORA]],"
VOLT.BATERIA: ",BDEGENER[[#This Row],[VOLTAJE DE BATERIA]],"
TEMPERATURA: ",BDEGENER[[#This Row],[TEMPERATURA DE AGUA]],"
PRES. ACEITE: ",BDEGENER[[#This Row],[PRESION DE ACEITE]])</f>
        <v xml:space="preserve">HORAS: 1515,6
KW-HR: 50992,2
VOLT.BATERIA: 
TEMPERATURA: 
PRES. ACEITE: </v>
      </c>
      <c r="AV398" s="683">
        <f>COUNTIFS(Q398:Q2398,"MANTENIMIENTO CORRECTIVO",Y398:Y2398,BDEGENER[[#This Row],[SERIE]])</f>
        <v>1</v>
      </c>
      <c r="AW398" s="683">
        <f>COUNTIFS(Q398:Q2398,"MANTENIMIENTO PREVENTIVO",Y398:Y2398,BDEGENER[[#This Row],[SERIE]])</f>
        <v>6</v>
      </c>
      <c r="AX39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398" s="683">
        <f>COUNTIFS(BDEGENER[SERIE],BDEGENER[[#This Row],[SERIE]],BDEGENER[TIPO DE SERVICIO],"MANTENIMIENTO PREVENTIVO")</f>
        <v>9</v>
      </c>
      <c r="AZ398" s="683" t="str">
        <f>CONCATENATE("MANTENIMIENTO PREVENTIVO N°",BDEGENER[[#This Row],[GA1]])</f>
        <v>MANTENIMIENTO PREVENTIVO N°9</v>
      </c>
      <c r="BA398" s="683" t="str">
        <f>IF(BDEGENER[[#This Row],[SERVICIO]]=BDEGENER[[#This Row],[GA2]],BDEGENER[[#This Row],[HORAS]],"0")</f>
        <v>0</v>
      </c>
      <c r="BB398" s="683">
        <f>SUMIF(BDEGENER[SERIE],BDEGENER[[#This Row],[SERIE]],BDEGENER[GA3])</f>
        <v>2439.9</v>
      </c>
      <c r="BC398" s="683" t="str">
        <f>CONCATENATE("MANT",COUNTIF($Y$7:Y398,Y398))</f>
        <v>MANT5</v>
      </c>
      <c r="BD398" s="683" t="str">
        <f>CONCATENATE(BDEGENER[[#This Row],[SERIE]],BDEGENER[[#This Row],[GA5]])</f>
        <v>3004428523MANT5</v>
      </c>
      <c r="BE398" s="683" t="str">
        <f>CONCATENATE(BDEGENER[[#This Row],[CODIGO PATRIMONIAL]],BDEGENER[[#This Row],[GA5]])</f>
        <v>MANT5</v>
      </c>
      <c r="BF398" s="683">
        <f>COUNTIF(BDEGENER[SERIE],BDEGENER[[#This Row],[SERIE]])</f>
        <v>14</v>
      </c>
      <c r="BG398" s="683" t="str">
        <f>CONCATENATE("F",COUNTIF($K$7:K398,K398))</f>
        <v>F3</v>
      </c>
      <c r="BH398" s="683" t="str">
        <f>CONCATENATE(BDEGENER[[#This Row],[FECHA DE SERVICIO]],BDEGENER[[#This Row],[N° DE REGISTROS DEL DIA]])</f>
        <v>43995F3</v>
      </c>
      <c r="BI398" s="684">
        <v>50992.2</v>
      </c>
      <c r="BJ398" s="683" t="s">
        <v>1544</v>
      </c>
      <c r="BK398" s="736"/>
    </row>
    <row r="399" spans="2:63" ht="69" hidden="1" x14ac:dyDescent="0.3">
      <c r="B399" s="2"/>
      <c r="C399" s="2"/>
      <c r="D399" s="2"/>
      <c r="E399" s="2"/>
      <c r="F399" s="2"/>
      <c r="G399" s="2"/>
      <c r="H399" s="2"/>
      <c r="I399" s="2"/>
      <c r="J399" s="685"/>
      <c r="K399" s="682">
        <v>43994</v>
      </c>
      <c r="L399" s="683" t="s">
        <v>764</v>
      </c>
      <c r="M399" s="683" t="s">
        <v>2645</v>
      </c>
      <c r="N399" s="683" t="s">
        <v>2641</v>
      </c>
      <c r="O399" s="683"/>
      <c r="P399" s="688" t="s">
        <v>2646</v>
      </c>
      <c r="Q399" s="683" t="s">
        <v>107</v>
      </c>
      <c r="R399" s="683" t="s">
        <v>1782</v>
      </c>
      <c r="S399" s="686" t="s">
        <v>2647</v>
      </c>
      <c r="T399" s="683" t="s">
        <v>2648</v>
      </c>
      <c r="U399" s="683" t="s">
        <v>2708</v>
      </c>
      <c r="V399" s="683" t="s">
        <v>149</v>
      </c>
      <c r="W399" s="683" t="s">
        <v>914</v>
      </c>
      <c r="X399" s="691" t="s">
        <v>917</v>
      </c>
      <c r="Y399" s="687" t="s">
        <v>2644</v>
      </c>
      <c r="Z399" s="692" t="s">
        <v>159</v>
      </c>
      <c r="AA399" s="683" t="s">
        <v>840</v>
      </c>
      <c r="AB399" s="683" t="s">
        <v>1921</v>
      </c>
      <c r="AC399" s="683" t="s">
        <v>1922</v>
      </c>
      <c r="AD399" s="683" t="s">
        <v>2649</v>
      </c>
      <c r="AE399" s="683">
        <v>60.5</v>
      </c>
      <c r="AF399" s="684">
        <v>186.7</v>
      </c>
      <c r="AG399" s="683" t="s">
        <v>1412</v>
      </c>
      <c r="AH399" s="683" t="s">
        <v>1578</v>
      </c>
      <c r="AI399" s="683" t="s">
        <v>844</v>
      </c>
      <c r="AJ399" s="683" t="s">
        <v>2651</v>
      </c>
      <c r="AK399" s="683" t="s">
        <v>1923</v>
      </c>
      <c r="AL399" s="683" t="s">
        <v>159</v>
      </c>
      <c r="AM399" s="683" t="s">
        <v>1126</v>
      </c>
      <c r="AN399" s="683" t="s">
        <v>2650</v>
      </c>
      <c r="AO399" s="683" t="s">
        <v>1427</v>
      </c>
      <c r="AP399" s="683" t="s">
        <v>240</v>
      </c>
      <c r="AQ399" s="688" t="str">
        <f>CONCATENATE("REG-",BDEGENER[[#This Row],[FECHA DE SERVICIO]],"-",BDEGENER[[#This Row],[SERIE]],"-",BDEGENER[[#This Row],[HORAS]])</f>
        <v>REG-43994-B5524F-001-186,7</v>
      </c>
      <c r="AR399" s="683" t="str">
        <f>CONCATENATE("MARCA: ",BDEGENER[[#This Row],[MARCA]],"
 MODELO: ",BDEGENER[[#This Row],[MODELO]])</f>
        <v>MARCA: FG - WILSON
 MODELO: P110E</v>
      </c>
      <c r="AS399" s="683" t="str">
        <f>CONCATENATE("MARCA: ",BDEGENER[[#This Row],[MARCA DE MOTOR]],"
SERIE: ",BDEGENER[[#This Row],[SERIE DE MOTOR]])</f>
        <v>MARCA: PERKINS
SERIE: 1797/1500</v>
      </c>
      <c r="AT399" s="683" t="str">
        <f>CONCATENATE("MARCA: ",BDEGENER[[#This Row],[MARCA ALTERNADOR ]],"
SERIE: ",BDEGENER[[#This Row],[SERIE DE ALTERNADOR]])</f>
        <v xml:space="preserve">MARCA: FG WILSON
SERIE: </v>
      </c>
      <c r="AU399" s="683" t="str">
        <f>CONCATENATE("HORAS: ",BDEGENER[[#This Row],[HORAS]],"
KW-HR: ",BDEGENER[[#This Row],[KW-HORA]],"
VOLT.BATERIA: ",BDEGENER[[#This Row],[VOLTAJE DE BATERIA]],"
TEMPERATURA: ",BDEGENER[[#This Row],[TEMPERATURA DE AGUA]],"
PRES. ACEITE: ",BDEGENER[[#This Row],[PRESION DE ACEITE]])</f>
        <v>HORAS: 186,7
KW-HR: 
VOLT.BATERIA: 13 V
TEMPERATURA: 65 °C
PRES. ACEITE: 60 PSI</v>
      </c>
      <c r="AV399" s="683">
        <f>COUNTIFS(Q399:Q2399,"MANTENIMIENTO CORRECTIVO",Y399:Y2399,BDEGENER[[#This Row],[SERIE]])</f>
        <v>1</v>
      </c>
      <c r="AW399" s="683">
        <f>COUNTIFS(Q399:Q2399,"MANTENIMIENTO PREVENTIVO",Y399:Y2399,BDEGENER[[#This Row],[SERIE]])</f>
        <v>2</v>
      </c>
      <c r="AX39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399" s="683">
        <f>COUNTIFS(BDEGENER[SERIE],BDEGENER[[#This Row],[SERIE]],BDEGENER[TIPO DE SERVICIO],"MANTENIMIENTO PREVENTIVO")</f>
        <v>2</v>
      </c>
      <c r="AZ399" s="683" t="str">
        <f>CONCATENATE("MANTENIMIENTO PREVENTIVO N°",BDEGENER[[#This Row],[GA1]])</f>
        <v>MANTENIMIENTO PREVENTIVO N°2</v>
      </c>
      <c r="BA399" s="683" t="str">
        <f>IF(BDEGENER[[#This Row],[SERVICIO]]=BDEGENER[[#This Row],[GA2]],BDEGENER[[#This Row],[HORAS]],"0")</f>
        <v>0</v>
      </c>
      <c r="BB399" s="683">
        <f>SUMIF(BDEGENER[SERIE],BDEGENER[[#This Row],[SERIE]],BDEGENER[GA3])</f>
        <v>185.7</v>
      </c>
      <c r="BC399" s="683" t="str">
        <f>CONCATENATE("MANT",COUNTIF($Y$7:Y399,Y399))</f>
        <v>MANT4</v>
      </c>
      <c r="BD399" s="683" t="str">
        <f>CONCATENATE(BDEGENER[[#This Row],[SERIE]],BDEGENER[[#This Row],[GA5]])</f>
        <v>B5524F-001MANT4</v>
      </c>
      <c r="BE399" s="683" t="str">
        <f>CONCATENATE(BDEGENER[[#This Row],[CODIGO PATRIMONIAL]],BDEGENER[[#This Row],[GA5]])</f>
        <v>MANT4</v>
      </c>
      <c r="BF399" s="683">
        <f>COUNTIF(BDEGENER[SERIE],BDEGENER[[#This Row],[SERIE]])</f>
        <v>7</v>
      </c>
      <c r="BG399" s="683" t="str">
        <f>CONCATENATE("F",COUNTIF($K$7:K399,K399))</f>
        <v>F1</v>
      </c>
      <c r="BH399" s="683" t="str">
        <f>CONCATENATE(BDEGENER[[#This Row],[FECHA DE SERVICIO]],BDEGENER[[#This Row],[N° DE REGISTROS DEL DIA]])</f>
        <v>43994F1</v>
      </c>
      <c r="BI399" s="684"/>
      <c r="BJ399" s="683" t="s">
        <v>1544</v>
      </c>
      <c r="BK399" s="736"/>
    </row>
    <row r="400" spans="2:63" ht="96.6" hidden="1" x14ac:dyDescent="0.3">
      <c r="B400" s="2"/>
      <c r="C400" s="2"/>
      <c r="D400" s="2"/>
      <c r="E400" s="2"/>
      <c r="F400" s="2"/>
      <c r="G400" s="2"/>
      <c r="H400" s="2"/>
      <c r="I400" s="2"/>
      <c r="J400" s="685"/>
      <c r="K400" s="682">
        <v>43994</v>
      </c>
      <c r="L400" s="683" t="s">
        <v>791</v>
      </c>
      <c r="M400" s="683" t="s">
        <v>2664</v>
      </c>
      <c r="N400" s="683" t="s">
        <v>2665</v>
      </c>
      <c r="O400" s="683"/>
      <c r="P400" s="683"/>
      <c r="Q400" s="683" t="s">
        <v>108</v>
      </c>
      <c r="R400" s="683" t="s">
        <v>2667</v>
      </c>
      <c r="S400" s="686" t="s">
        <v>2666</v>
      </c>
      <c r="T400" s="683" t="s">
        <v>2668</v>
      </c>
      <c r="U400" s="683"/>
      <c r="V400" s="683" t="s">
        <v>148</v>
      </c>
      <c r="W400" s="683" t="s">
        <v>913</v>
      </c>
      <c r="X400" s="691" t="s">
        <v>917</v>
      </c>
      <c r="Y400" s="687" t="s">
        <v>2672</v>
      </c>
      <c r="Z400" s="692" t="s">
        <v>159</v>
      </c>
      <c r="AA400" s="683" t="s">
        <v>1387</v>
      </c>
      <c r="AB400" s="683" t="s">
        <v>2669</v>
      </c>
      <c r="AC400" s="683" t="s">
        <v>1968</v>
      </c>
      <c r="AD400" s="683"/>
      <c r="AE400" s="683"/>
      <c r="AF400" s="684">
        <v>169.1</v>
      </c>
      <c r="AG400" s="683" t="s">
        <v>243</v>
      </c>
      <c r="AH400" s="683" t="s">
        <v>159</v>
      </c>
      <c r="AI400" s="683" t="s">
        <v>844</v>
      </c>
      <c r="AJ400" s="683" t="s">
        <v>2670</v>
      </c>
      <c r="AK400" s="683" t="s">
        <v>159</v>
      </c>
      <c r="AL400" s="683" t="s">
        <v>2671</v>
      </c>
      <c r="AM400" s="683"/>
      <c r="AN400" s="683"/>
      <c r="AO400" s="683"/>
      <c r="AP400" s="683" t="s">
        <v>557</v>
      </c>
      <c r="AQ400" s="688" t="str">
        <f>CONCATENATE("REG-",BDEGENER[[#This Row],[FECHA DE SERVICIO]],"-",BDEGENER[[#This Row],[SERIE]],"-",BDEGENER[[#This Row],[HORAS]])</f>
        <v>REG-43994-BANBIF0025389-169,1</v>
      </c>
      <c r="AR400" s="683" t="str">
        <f>CONCATENATE("MARCA: ",BDEGENER[[#This Row],[MARCA]],"
 MODELO: ",BDEGENER[[#This Row],[MODELO]])</f>
        <v>MARCA: GAMMA
 MODELO: N/V</v>
      </c>
      <c r="AS400" s="683" t="str">
        <f>CONCATENATE("MARCA: ",BDEGENER[[#This Row],[MARCA DE MOTOR]],"
SERIE: ",BDEGENER[[#This Row],[SERIE DE MOTOR]])</f>
        <v>MARCA: PERKINS
SERIE: 2490/1500</v>
      </c>
      <c r="AT400" s="683" t="str">
        <f>CONCATENATE("MARCA: ",BDEGENER[[#This Row],[MARCA ALTERNADOR ]],"
SERIE: ",BDEGENER[[#This Row],[SERIE DE ALTERNADOR]])</f>
        <v>MARCA: 
SERIE: DJ8251/9JU926272</v>
      </c>
      <c r="AU400" s="683" t="str">
        <f>CONCATENATE("HORAS: ",BDEGENER[[#This Row],[HORAS]],"
KW-HR: ",BDEGENER[[#This Row],[KW-HORA]],"
VOLT.BATERIA: ",BDEGENER[[#This Row],[VOLTAJE DE BATERIA]],"
TEMPERATURA: ",BDEGENER[[#This Row],[TEMPERATURA DE AGUA]],"
PRES. ACEITE: ",BDEGENER[[#This Row],[PRESION DE ACEITE]])</f>
        <v xml:space="preserve">HORAS: 169,1
KW-HR: 93
VOLT.BATERIA: 
TEMPERATURA: 
PRES. ACEITE: </v>
      </c>
      <c r="AV400" s="761">
        <f>COUNTIFS(Q400:Q2400,"MANTENIMIENTO CORRECTIVO",Y400:Y2400,BDEGENER[[#This Row],[SERIE]])</f>
        <v>0</v>
      </c>
      <c r="AW400" s="761">
        <f>COUNTIFS(Q400:Q2400,"MANTENIMIENTO PREVENTIVO",Y400:Y2400,BDEGENER[[#This Row],[SERIE]])</f>
        <v>0</v>
      </c>
      <c r="AX40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00" s="683">
        <f>COUNTIFS(BDEGENER[SERIE],BDEGENER[[#This Row],[SERIE]],BDEGENER[TIPO DE SERVICIO],"MANTENIMIENTO PREVENTIVO")</f>
        <v>0</v>
      </c>
      <c r="AZ400" s="683" t="str">
        <f>CONCATENATE("MANTENIMIENTO PREVENTIVO N°",BDEGENER[[#This Row],[GA1]])</f>
        <v>MANTENIMIENTO PREVENTIVO N°0</v>
      </c>
      <c r="BA400" s="683" t="str">
        <f>IF(BDEGENER[[#This Row],[SERVICIO]]=BDEGENER[[#This Row],[GA2]],BDEGENER[[#This Row],[HORAS]],"0")</f>
        <v>0</v>
      </c>
      <c r="BB400" s="683">
        <f>SUMIF(BDEGENER[SERIE],BDEGENER[[#This Row],[SERIE]],BDEGENER[GA3])</f>
        <v>0</v>
      </c>
      <c r="BC400" s="761" t="str">
        <f>CONCATENATE("MANT",COUNTIF($Y$7:Y400,Y400))</f>
        <v>MANT1</v>
      </c>
      <c r="BD400" s="683" t="str">
        <f>CONCATENATE(BDEGENER[[#This Row],[SERIE]],BDEGENER[[#This Row],[GA5]])</f>
        <v>BANBIF0025389MANT1</v>
      </c>
      <c r="BE400" s="683" t="str">
        <f>CONCATENATE(BDEGENER[[#This Row],[CODIGO PATRIMONIAL]],BDEGENER[[#This Row],[GA5]])</f>
        <v>MANT1</v>
      </c>
      <c r="BF400" s="683">
        <f>COUNTIF(BDEGENER[SERIE],BDEGENER[[#This Row],[SERIE]])</f>
        <v>1</v>
      </c>
      <c r="BG400" s="761" t="str">
        <f>CONCATENATE("F",COUNTIF($K$7:K400,K400))</f>
        <v>F2</v>
      </c>
      <c r="BH400" s="683" t="str">
        <f>CONCATENATE(BDEGENER[[#This Row],[FECHA DE SERVICIO]],BDEGENER[[#This Row],[N° DE REGISTROS DEL DIA]])</f>
        <v>43994F2</v>
      </c>
      <c r="BI400" s="684">
        <v>93</v>
      </c>
      <c r="BJ400" s="683" t="s">
        <v>177</v>
      </c>
      <c r="BK400" s="736"/>
    </row>
    <row r="401" spans="2:63" ht="82.8" hidden="1" x14ac:dyDescent="0.3">
      <c r="B401" s="2"/>
      <c r="C401" s="2"/>
      <c r="D401" s="2"/>
      <c r="E401" s="2"/>
      <c r="F401" s="2"/>
      <c r="G401" s="2"/>
      <c r="H401" s="2"/>
      <c r="I401" s="2"/>
      <c r="J401" s="685"/>
      <c r="K401" s="682">
        <v>43994</v>
      </c>
      <c r="L401" s="683" t="s">
        <v>561</v>
      </c>
      <c r="M401" s="683" t="s">
        <v>2558</v>
      </c>
      <c r="N401" s="683" t="s">
        <v>586</v>
      </c>
      <c r="O401" s="683"/>
      <c r="P401" s="683"/>
      <c r="Q401" s="683" t="s">
        <v>108</v>
      </c>
      <c r="R401" s="683" t="s">
        <v>2586</v>
      </c>
      <c r="S401" s="686" t="s">
        <v>2587</v>
      </c>
      <c r="T401" s="683" t="s">
        <v>2588</v>
      </c>
      <c r="U401" s="683"/>
      <c r="V401" s="683" t="s">
        <v>149</v>
      </c>
      <c r="W401" s="683" t="s">
        <v>914</v>
      </c>
      <c r="X401" s="691" t="s">
        <v>918</v>
      </c>
      <c r="Y401" s="687">
        <v>3003963150</v>
      </c>
      <c r="Z401" s="692" t="s">
        <v>2618</v>
      </c>
      <c r="AA401" s="683" t="s">
        <v>33</v>
      </c>
      <c r="AB401" s="683" t="s">
        <v>34</v>
      </c>
      <c r="AC401" s="683" t="s">
        <v>230</v>
      </c>
      <c r="AD401" s="683" t="s">
        <v>1416</v>
      </c>
      <c r="AE401" s="683" t="s">
        <v>2589</v>
      </c>
      <c r="AF401" s="684">
        <v>3794.4</v>
      </c>
      <c r="AG401" s="683" t="s">
        <v>243</v>
      </c>
      <c r="AH401" s="683" t="s">
        <v>220</v>
      </c>
      <c r="AI401" s="683" t="s">
        <v>33</v>
      </c>
      <c r="AJ401" s="683"/>
      <c r="AK401" s="683" t="s">
        <v>33</v>
      </c>
      <c r="AL401" s="683"/>
      <c r="AM401" s="683" t="s">
        <v>2590</v>
      </c>
      <c r="AN401" s="683" t="s">
        <v>2591</v>
      </c>
      <c r="AO401" s="683" t="s">
        <v>1374</v>
      </c>
      <c r="AP401" s="683" t="s">
        <v>240</v>
      </c>
      <c r="AQ401" s="688" t="str">
        <f>CONCATENATE("REG-",BDEGENER[[#This Row],[FECHA DE SERVICIO]],"-",BDEGENER[[#This Row],[SERIE]],"-",BDEGENER[[#This Row],[HORAS]])</f>
        <v>REG-43994-3003963150-3794,4</v>
      </c>
      <c r="AR401" s="683" t="str">
        <f>CONCATENATE("MARCA: ",BDEGENER[[#This Row],[MARCA]],"
 MODELO: ",BDEGENER[[#This Row],[MODELO]])</f>
        <v>MARCA: GENERAC
 MODELO: PG090</v>
      </c>
      <c r="AS401" s="683" t="str">
        <f>CONCATENATE("MARCA: ",BDEGENER[[#This Row],[MARCA DE MOTOR]],"
SERIE: ",BDEGENER[[#This Row],[SERIE DE MOTOR]])</f>
        <v xml:space="preserve">MARCA: GENERAC
SERIE: </v>
      </c>
      <c r="AT401" s="683" t="str">
        <f>CONCATENATE("MARCA: ",BDEGENER[[#This Row],[MARCA ALTERNADOR ]],"
SERIE: ",BDEGENER[[#This Row],[SERIE DE ALTERNADOR]])</f>
        <v xml:space="preserve">MARCA: GENERAC
SERIE: </v>
      </c>
      <c r="AU401" s="683" t="str">
        <f>CONCATENATE("HORAS: ",BDEGENER[[#This Row],[HORAS]],"
KW-HR: ",BDEGENER[[#This Row],[KW-HORA]],"
VOLT.BATERIA: ",BDEGENER[[#This Row],[VOLTAJE DE BATERIA]],"
TEMPERATURA: ",BDEGENER[[#This Row],[TEMPERATURA DE AGUA]],"
PRES. ACEITE: ",BDEGENER[[#This Row],[PRESION DE ACEITE]])</f>
        <v>HORAS: 3794,4
KW-HR: 95199,1
VOLT.BATERIA: 12.45 V
TEMPERATURA: 168 °F
PRES. ACEITE: 65 PSI</v>
      </c>
      <c r="AV401" s="683">
        <f>COUNTIFS(Q401:Q2401,"MANTENIMIENTO CORRECTIVO",Y401:Y2401,BDEGENER[[#This Row],[SERIE]])</f>
        <v>1</v>
      </c>
      <c r="AW401" s="683">
        <f>COUNTIFS(Q401:Q2401,"MANTENIMIENTO PREVENTIVO",Y401:Y2401,BDEGENER[[#This Row],[SERIE]])</f>
        <v>4</v>
      </c>
      <c r="AX40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01" s="683">
        <f>COUNTIFS(BDEGENER[SERIE],BDEGENER[[#This Row],[SERIE]],BDEGENER[TIPO DE SERVICIO],"MANTENIMIENTO PREVENTIVO")</f>
        <v>7</v>
      </c>
      <c r="AZ401" s="683" t="str">
        <f>CONCATENATE("MANTENIMIENTO PREVENTIVO N°",BDEGENER[[#This Row],[GA1]])</f>
        <v>MANTENIMIENTO PREVENTIVO N°7</v>
      </c>
      <c r="BA401" s="683" t="str">
        <f>IF(BDEGENER[[#This Row],[SERVICIO]]=BDEGENER[[#This Row],[GA2]],BDEGENER[[#This Row],[HORAS]],"0")</f>
        <v>0</v>
      </c>
      <c r="BB401" s="683">
        <f>SUMIF(BDEGENER[SERIE],BDEGENER[[#This Row],[SERIE]],BDEGENER[GA3])</f>
        <v>4620.5</v>
      </c>
      <c r="BC401" s="683" t="str">
        <f>CONCATENATE("MANT",COUNTIF($Y$7:Y401,Y401))</f>
        <v>MANT7</v>
      </c>
      <c r="BD401" s="683" t="str">
        <f>CONCATENATE(BDEGENER[[#This Row],[SERIE]],BDEGENER[[#This Row],[GA5]])</f>
        <v>3003963150MANT7</v>
      </c>
      <c r="BE401" s="683" t="str">
        <f>CONCATENATE(BDEGENER[[#This Row],[CODIGO PATRIMONIAL]],BDEGENER[[#This Row],[GA5]])</f>
        <v>NOR-GEG-0020MANT7</v>
      </c>
      <c r="BF401" s="683">
        <f>COUNTIF(BDEGENER[SERIE],BDEGENER[[#This Row],[SERIE]])</f>
        <v>13</v>
      </c>
      <c r="BG401" s="683" t="str">
        <f>CONCATENATE("F",COUNTIF($K$7:K401,K401))</f>
        <v>F3</v>
      </c>
      <c r="BH401" s="683" t="str">
        <f>CONCATENATE(BDEGENER[[#This Row],[FECHA DE SERVICIO]],BDEGENER[[#This Row],[N° DE REGISTROS DEL DIA]])</f>
        <v>43994F3</v>
      </c>
      <c r="BI401" s="684">
        <v>95199.1</v>
      </c>
      <c r="BJ401" s="683" t="s">
        <v>1544</v>
      </c>
      <c r="BK401" s="736" t="s">
        <v>853</v>
      </c>
    </row>
    <row r="402" spans="2:63" ht="69" hidden="1" x14ac:dyDescent="0.3">
      <c r="B402" s="2"/>
      <c r="C402" s="2"/>
      <c r="D402" s="2"/>
      <c r="E402" s="2"/>
      <c r="F402" s="2"/>
      <c r="G402" s="2"/>
      <c r="H402" s="2"/>
      <c r="I402" s="2"/>
      <c r="J402" s="685"/>
      <c r="K402" s="682">
        <v>43993</v>
      </c>
      <c r="L402" s="683" t="s">
        <v>764</v>
      </c>
      <c r="M402" s="683" t="s">
        <v>2645</v>
      </c>
      <c r="N402" s="683" t="s">
        <v>2641</v>
      </c>
      <c r="O402" s="683"/>
      <c r="P402" s="688" t="s">
        <v>2643</v>
      </c>
      <c r="Q402" s="683" t="s">
        <v>107</v>
      </c>
      <c r="R402" s="683" t="s">
        <v>1782</v>
      </c>
      <c r="S402" s="686" t="s">
        <v>2636</v>
      </c>
      <c r="T402" s="683" t="s">
        <v>2546</v>
      </c>
      <c r="U402" s="683" t="s">
        <v>2642</v>
      </c>
      <c r="V402" s="683" t="s">
        <v>148</v>
      </c>
      <c r="W402" s="683" t="s">
        <v>913</v>
      </c>
      <c r="X402" s="691" t="s">
        <v>917</v>
      </c>
      <c r="Y402" s="687" t="s">
        <v>2635</v>
      </c>
      <c r="Z402" s="692" t="s">
        <v>159</v>
      </c>
      <c r="AA402" s="683" t="s">
        <v>2637</v>
      </c>
      <c r="AB402" s="683" t="s">
        <v>782</v>
      </c>
      <c r="AC402" s="683" t="s">
        <v>788</v>
      </c>
      <c r="AD402" s="683" t="s">
        <v>2634</v>
      </c>
      <c r="AE402" s="683">
        <v>60</v>
      </c>
      <c r="AF402" s="684">
        <v>336.8</v>
      </c>
      <c r="AG402" s="683" t="s">
        <v>243</v>
      </c>
      <c r="AH402" s="683" t="s">
        <v>2638</v>
      </c>
      <c r="AI402" s="683" t="s">
        <v>1966</v>
      </c>
      <c r="AJ402" s="683" t="s">
        <v>2639</v>
      </c>
      <c r="AK402" s="683" t="s">
        <v>2637</v>
      </c>
      <c r="AL402" s="683" t="s">
        <v>2635</v>
      </c>
      <c r="AM402" s="683" t="s">
        <v>245</v>
      </c>
      <c r="AN402" s="683" t="s">
        <v>2640</v>
      </c>
      <c r="AO402" s="683" t="s">
        <v>1108</v>
      </c>
      <c r="AP402" s="683" t="s">
        <v>240</v>
      </c>
      <c r="AQ402" s="744" t="str">
        <f>CONCATENATE("REG-",BDEGENER[[#This Row],[FECHA DE SERVICIO]],"-",BDEGENER[[#This Row],[SERIE]],"-",BDEGENER[[#This Row],[HORAS]])</f>
        <v>REG-43993-F930510270-336,8</v>
      </c>
      <c r="AR402" s="683" t="str">
        <f>CONCATENATE("MARCA: ",BDEGENER[[#This Row],[MARCA]],"
 MODELO: ",BDEGENER[[#This Row],[MODELO]])</f>
        <v>MARCA: ONAN
 MODELO: 15RDJCL</v>
      </c>
      <c r="AS402" s="683" t="str">
        <f>CONCATENATE("MARCA: ",BDEGENER[[#This Row],[MARCA DE MOTOR]],"
SERIE: ",BDEGENER[[#This Row],[SERIE DE MOTOR]])</f>
        <v>MARCA: CUMMINS
SERIE: 170-2305</v>
      </c>
      <c r="AT402" s="683" t="str">
        <f>CONCATENATE("MARCA: ",BDEGENER[[#This Row],[MARCA ALTERNADOR ]],"
SERIE: ",BDEGENER[[#This Row],[SERIE DE ALTERNADOR]])</f>
        <v>MARCA: ONAN
SERIE: F930510270</v>
      </c>
      <c r="AU402" s="683" t="str">
        <f>CONCATENATE("HORAS: ",BDEGENER[[#This Row],[HORAS]],"
KW-HR: ",BDEGENER[[#This Row],[KW-HORA]],"
VOLT.BATERIA: ",BDEGENER[[#This Row],[VOLTAJE DE BATERIA]],"
TEMPERATURA: ",BDEGENER[[#This Row],[TEMPERATURA DE AGUA]],"
PRES. ACEITE: ",BDEGENER[[#This Row],[PRESION DE ACEITE]])</f>
        <v>HORAS: 336,8
KW-HR: 
VOLT.BATERIA: 13.6 V
TEMPERATURA: 167 °F
PRES. ACEITE: 49 PSI</v>
      </c>
      <c r="AV402" s="683">
        <f>COUNTIFS(Q402:Q2402,"MANTENIMIENTO CORRECTIVO",Y402:Y2402,BDEGENER[[#This Row],[SERIE]])</f>
        <v>1</v>
      </c>
      <c r="AW402" s="683">
        <f>COUNTIFS(Q402:Q2402,"MANTENIMIENTO PREVENTIVO",Y402:Y2402,BDEGENER[[#This Row],[SERIE]])</f>
        <v>2</v>
      </c>
      <c r="AX40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402" s="683">
        <f>COUNTIFS(BDEGENER[SERIE],BDEGENER[[#This Row],[SERIE]],BDEGENER[TIPO DE SERVICIO],"MANTENIMIENTO PREVENTIVO")</f>
        <v>2</v>
      </c>
      <c r="AZ402" s="683" t="str">
        <f>CONCATENATE("MANTENIMIENTO PREVENTIVO N°",BDEGENER[[#This Row],[GA1]])</f>
        <v>MANTENIMIENTO PREVENTIVO N°2</v>
      </c>
      <c r="BA402" s="683" t="str">
        <f>IF(BDEGENER[[#This Row],[SERVICIO]]=BDEGENER[[#This Row],[GA2]],BDEGENER[[#This Row],[HORAS]],"0")</f>
        <v>0</v>
      </c>
      <c r="BB402" s="683">
        <f>SUMIF(BDEGENER[SERIE],BDEGENER[[#This Row],[SERIE]],BDEGENER[GA3])</f>
        <v>336.2</v>
      </c>
      <c r="BC402" s="683" t="str">
        <f>CONCATENATE("MANT",COUNTIF($Y$7:Y402,Y402))</f>
        <v>MANT2</v>
      </c>
      <c r="BD402" s="683" t="str">
        <f>CONCATENATE(BDEGENER[[#This Row],[SERIE]],BDEGENER[[#This Row],[GA5]])</f>
        <v>F930510270MANT2</v>
      </c>
      <c r="BE402" s="683" t="str">
        <f>CONCATENATE(BDEGENER[[#This Row],[CODIGO PATRIMONIAL]],BDEGENER[[#This Row],[GA5]])</f>
        <v>MANT2</v>
      </c>
      <c r="BF402" s="683">
        <f>COUNTIF(BDEGENER[SERIE],BDEGENER[[#This Row],[SERIE]])</f>
        <v>4</v>
      </c>
      <c r="BG402" s="683" t="str">
        <f>CONCATENATE("F",COUNTIF($K$7:K402,K402))</f>
        <v>F1</v>
      </c>
      <c r="BH402" s="683" t="str">
        <f>CONCATENATE(BDEGENER[[#This Row],[FECHA DE SERVICIO]],BDEGENER[[#This Row],[N° DE REGISTROS DEL DIA]])</f>
        <v>43993F1</v>
      </c>
      <c r="BI402" s="684"/>
      <c r="BJ402" s="683" t="s">
        <v>1544</v>
      </c>
      <c r="BK402" s="736"/>
    </row>
    <row r="403" spans="2:63" ht="69" hidden="1" x14ac:dyDescent="0.3">
      <c r="B403" s="2"/>
      <c r="C403" s="2"/>
      <c r="D403" s="2"/>
      <c r="E403" s="2"/>
      <c r="F403" s="2"/>
      <c r="G403" s="2"/>
      <c r="H403" s="2"/>
      <c r="I403" s="2"/>
      <c r="J403" s="685"/>
      <c r="K403" s="682">
        <v>43993</v>
      </c>
      <c r="L403" s="683" t="s">
        <v>561</v>
      </c>
      <c r="M403" s="683" t="s">
        <v>2592</v>
      </c>
      <c r="N403" s="683" t="s">
        <v>586</v>
      </c>
      <c r="O403" s="683"/>
      <c r="P403" s="688" t="s">
        <v>2596</v>
      </c>
      <c r="Q403" s="683" t="s">
        <v>37</v>
      </c>
      <c r="R403" s="683" t="s">
        <v>2595</v>
      </c>
      <c r="S403" s="686" t="s">
        <v>2593</v>
      </c>
      <c r="T403" s="683" t="s">
        <v>2594</v>
      </c>
      <c r="U403" s="683" t="s">
        <v>124</v>
      </c>
      <c r="V403" s="683" t="s">
        <v>147</v>
      </c>
      <c r="W403" s="683" t="s">
        <v>914</v>
      </c>
      <c r="X403" s="691" t="s">
        <v>918</v>
      </c>
      <c r="Y403" s="687">
        <v>3003963150</v>
      </c>
      <c r="Z403" s="692" t="s">
        <v>2618</v>
      </c>
      <c r="AA403" s="683" t="s">
        <v>33</v>
      </c>
      <c r="AB403" s="683" t="s">
        <v>34</v>
      </c>
      <c r="AC403" s="683" t="s">
        <v>230</v>
      </c>
      <c r="AD403" s="683" t="s">
        <v>1123</v>
      </c>
      <c r="AE403" s="683">
        <v>60.1</v>
      </c>
      <c r="AF403" s="684">
        <v>3835.9</v>
      </c>
      <c r="AG403" s="683" t="s">
        <v>243</v>
      </c>
      <c r="AH403" s="683" t="s">
        <v>220</v>
      </c>
      <c r="AI403" s="683" t="s">
        <v>33</v>
      </c>
      <c r="AJ403" s="683">
        <v>3003986243</v>
      </c>
      <c r="AK403" s="683" t="s">
        <v>33</v>
      </c>
      <c r="AL403" s="683"/>
      <c r="AM403" s="683" t="s">
        <v>1157</v>
      </c>
      <c r="AN403" s="683"/>
      <c r="AO403" s="683" t="s">
        <v>1318</v>
      </c>
      <c r="AP403" s="683" t="s">
        <v>240</v>
      </c>
      <c r="AQ403" s="688" t="str">
        <f>CONCATENATE("REG-",BDEGENER[[#This Row],[FECHA DE SERVICIO]],"-",BDEGENER[[#This Row],[SERIE]],"-",BDEGENER[[#This Row],[HORAS]])</f>
        <v>REG-43993-3003963150-3835,9</v>
      </c>
      <c r="AR403" s="683" t="str">
        <f>CONCATENATE("MARCA: ",BDEGENER[[#This Row],[MARCA]],"
 MODELO: ",BDEGENER[[#This Row],[MODELO]])</f>
        <v>MARCA: GENERAC
 MODELO: PG090</v>
      </c>
      <c r="AS403" s="683" t="str">
        <f>CONCATENATE("MARCA: ",BDEGENER[[#This Row],[MARCA DE MOTOR]],"
SERIE: ",BDEGENER[[#This Row],[SERIE DE MOTOR]])</f>
        <v>MARCA: GENERAC
SERIE: 3003986243</v>
      </c>
      <c r="AT403" s="683" t="str">
        <f>CONCATENATE("MARCA: ",BDEGENER[[#This Row],[MARCA ALTERNADOR ]],"
SERIE: ",BDEGENER[[#This Row],[SERIE DE ALTERNADOR]])</f>
        <v xml:space="preserve">MARCA: GENERAC
SERIE: </v>
      </c>
      <c r="AU403" s="683" t="str">
        <f>CONCATENATE("HORAS: ",BDEGENER[[#This Row],[HORAS]],"
KW-HR: ",BDEGENER[[#This Row],[KW-HORA]],"
VOLT.BATERIA: ",BDEGENER[[#This Row],[VOLTAJE DE BATERIA]],"
TEMPERATURA: ",BDEGENER[[#This Row],[TEMPERATURA DE AGUA]],"
PRES. ACEITE: ",BDEGENER[[#This Row],[PRESION DE ACEITE]])</f>
        <v>HORAS: 3835,9
KW-HR: 96345,6
VOLT.BATERIA: 13.9 V
TEMPERATURA: 
PRES. ACEITE: 58 PSI</v>
      </c>
      <c r="AV403" s="761">
        <f>COUNTIFS(Q403:Q2403,"MANTENIMIENTO CORRECTIVO",Y403:Y2403,BDEGENER[[#This Row],[SERIE]])</f>
        <v>1</v>
      </c>
      <c r="AW403" s="761">
        <f>COUNTIFS(Q403:Q2403,"MANTENIMIENTO PREVENTIVO",Y403:Y2403,BDEGENER[[#This Row],[SERIE]])</f>
        <v>4</v>
      </c>
      <c r="AX40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03" s="683">
        <f>COUNTIFS(BDEGENER[SERIE],BDEGENER[[#This Row],[SERIE]],BDEGENER[TIPO DE SERVICIO],"MANTENIMIENTO PREVENTIVO")</f>
        <v>7</v>
      </c>
      <c r="AZ403" s="683" t="str">
        <f>CONCATENATE("MANTENIMIENTO PREVENTIVO N°",BDEGENER[[#This Row],[GA1]])</f>
        <v>MANTENIMIENTO PREVENTIVO N°7</v>
      </c>
      <c r="BA403" s="683" t="str">
        <f>IF(BDEGENER[[#This Row],[SERVICIO]]=BDEGENER[[#This Row],[GA2]],BDEGENER[[#This Row],[HORAS]],"0")</f>
        <v>0</v>
      </c>
      <c r="BB403" s="683">
        <f>SUMIF(BDEGENER[SERIE],BDEGENER[[#This Row],[SERIE]],BDEGENER[GA3])</f>
        <v>4620.5</v>
      </c>
      <c r="BC403" s="761" t="str">
        <f>CONCATENATE("MANT",COUNTIF($Y$7:Y403,Y403))</f>
        <v>MANT8</v>
      </c>
      <c r="BD403" s="683" t="str">
        <f>CONCATENATE(BDEGENER[[#This Row],[SERIE]],BDEGENER[[#This Row],[GA5]])</f>
        <v>3003963150MANT8</v>
      </c>
      <c r="BE403" s="683" t="str">
        <f>CONCATENATE(BDEGENER[[#This Row],[CODIGO PATRIMONIAL]],BDEGENER[[#This Row],[GA5]])</f>
        <v>NOR-GEG-0020MANT8</v>
      </c>
      <c r="BF403" s="683">
        <f>COUNTIF(BDEGENER[SERIE],BDEGENER[[#This Row],[SERIE]])</f>
        <v>13</v>
      </c>
      <c r="BG403" s="761" t="str">
        <f>CONCATENATE("F",COUNTIF($K$7:K403,K403))</f>
        <v>F2</v>
      </c>
      <c r="BH403" s="683" t="str">
        <f>CONCATENATE(BDEGENER[[#This Row],[FECHA DE SERVICIO]],BDEGENER[[#This Row],[N° DE REGISTROS DEL DIA]])</f>
        <v>43993F2</v>
      </c>
      <c r="BI403" s="684">
        <v>96345.600000000006</v>
      </c>
      <c r="BJ403" s="683" t="s">
        <v>1544</v>
      </c>
      <c r="BK403" s="736" t="s">
        <v>2414</v>
      </c>
    </row>
    <row r="404" spans="2:63" ht="69" hidden="1" x14ac:dyDescent="0.3">
      <c r="B404" s="2"/>
      <c r="C404" s="2"/>
      <c r="D404" s="2"/>
      <c r="E404" s="2"/>
      <c r="F404" s="2"/>
      <c r="G404" s="2"/>
      <c r="H404" s="2"/>
      <c r="I404" s="2"/>
      <c r="J404" s="685"/>
      <c r="K404" s="682">
        <v>43993</v>
      </c>
      <c r="L404" s="683" t="s">
        <v>2570</v>
      </c>
      <c r="M404" s="683" t="s">
        <v>2571</v>
      </c>
      <c r="N404" s="683" t="s">
        <v>2572</v>
      </c>
      <c r="O404" s="683"/>
      <c r="P404" s="683"/>
      <c r="Q404" s="683" t="s">
        <v>108</v>
      </c>
      <c r="R404" s="683" t="s">
        <v>2573</v>
      </c>
      <c r="S404" s="686" t="s">
        <v>2574</v>
      </c>
      <c r="T404" s="683" t="s">
        <v>2575</v>
      </c>
      <c r="U404" s="683"/>
      <c r="V404" s="683" t="s">
        <v>488</v>
      </c>
      <c r="W404" s="683" t="s">
        <v>914</v>
      </c>
      <c r="X404" s="691" t="s">
        <v>917</v>
      </c>
      <c r="Y404" s="687">
        <v>3004982864</v>
      </c>
      <c r="Z404" s="692" t="s">
        <v>159</v>
      </c>
      <c r="AA404" s="683" t="s">
        <v>2576</v>
      </c>
      <c r="AB404" s="683" t="s">
        <v>2577</v>
      </c>
      <c r="AC404" s="683" t="s">
        <v>2578</v>
      </c>
      <c r="AD404" s="683" t="s">
        <v>2579</v>
      </c>
      <c r="AE404" s="683">
        <v>60</v>
      </c>
      <c r="AF404" s="684">
        <v>0</v>
      </c>
      <c r="AG404" s="683" t="s">
        <v>243</v>
      </c>
      <c r="AH404" s="683" t="s">
        <v>159</v>
      </c>
      <c r="AI404" s="683" t="s">
        <v>1929</v>
      </c>
      <c r="AJ404" s="683">
        <v>545101672</v>
      </c>
      <c r="AK404" s="683" t="s">
        <v>1448</v>
      </c>
      <c r="AL404" s="683" t="s">
        <v>2585</v>
      </c>
      <c r="AM404" s="683" t="s">
        <v>2581</v>
      </c>
      <c r="AN404" s="683" t="s">
        <v>2584</v>
      </c>
      <c r="AO404" s="683" t="s">
        <v>1937</v>
      </c>
      <c r="AP404" s="683" t="s">
        <v>557</v>
      </c>
      <c r="AQ404" s="688" t="str">
        <f>CONCATENATE("REG-",BDEGENER[[#This Row],[FECHA DE SERVICIO]],"-",BDEGENER[[#This Row],[SERIE]],"-",BDEGENER[[#This Row],[HORAS]])</f>
        <v>REG-43993-3004982864-0</v>
      </c>
      <c r="AR404" s="683" t="str">
        <f>CONCATENATE("MARCA: ",BDEGENER[[#This Row],[MARCA]],"
 MODELO: ",BDEGENER[[#This Row],[MODELO]])</f>
        <v>MARCA: SELMEC
 MODELO: TLY 1250</v>
      </c>
      <c r="AS404" s="683" t="str">
        <f>CONCATENATE("MARCA: ",BDEGENER[[#This Row],[MARCA DE MOTOR]],"
SERIE: ",BDEGENER[[#This Row],[SERIE DE MOTOR]])</f>
        <v>MARCA: MTU
SERIE: 545101672</v>
      </c>
      <c r="AT404" s="683" t="str">
        <f>CONCATENATE("MARCA: ",BDEGENER[[#This Row],[MARCA ALTERNADOR ]],"
SERIE: ",BDEGENER[[#This Row],[SERIE DE ALTERNADOR]])</f>
        <v>MARCA: LEROY SOMER
SERIE: CR7M07348</v>
      </c>
      <c r="AU404" s="683" t="str">
        <f>CONCATENATE("HORAS: ",BDEGENER[[#This Row],[HORAS]],"
KW-HR: ",BDEGENER[[#This Row],[KW-HORA]],"
VOLT.BATERIA: ",BDEGENER[[#This Row],[VOLTAJE DE BATERIA]],"
TEMPERATURA: ",BDEGENER[[#This Row],[TEMPERATURA DE AGUA]],"
PRES. ACEITE: ",BDEGENER[[#This Row],[PRESION DE ACEITE]])</f>
        <v>HORAS: 0
KW-HR: 
VOLT.BATERIA: 24 V
TEMPERATURA: 70 °C
PRES. ACEITE: 145 PSI</v>
      </c>
      <c r="AV404" s="683">
        <f>COUNTIFS(Q404:Q2404,"MANTENIMIENTO CORRECTIVO",Y404:Y2404,BDEGENER[[#This Row],[SERIE]])</f>
        <v>0</v>
      </c>
      <c r="AW404" s="683">
        <f>COUNTIFS(Q404:Q2404,"MANTENIMIENTO PREVENTIVO",Y404:Y2404,BDEGENER[[#This Row],[SERIE]])</f>
        <v>0</v>
      </c>
      <c r="AX40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04" s="683">
        <f>COUNTIFS(BDEGENER[SERIE],BDEGENER[[#This Row],[SERIE]],BDEGENER[TIPO DE SERVICIO],"MANTENIMIENTO PREVENTIVO")</f>
        <v>0</v>
      </c>
      <c r="AZ404" s="683" t="str">
        <f>CONCATENATE("MANTENIMIENTO PREVENTIVO N°",BDEGENER[[#This Row],[GA1]])</f>
        <v>MANTENIMIENTO PREVENTIVO N°0</v>
      </c>
      <c r="BA404" s="683" t="str">
        <f>IF(BDEGENER[[#This Row],[SERVICIO]]=BDEGENER[[#This Row],[GA2]],BDEGENER[[#This Row],[HORAS]],"0")</f>
        <v>0</v>
      </c>
      <c r="BB404" s="683">
        <f>SUMIF(BDEGENER[SERIE],BDEGENER[[#This Row],[SERIE]],BDEGENER[GA3])</f>
        <v>0</v>
      </c>
      <c r="BC404" s="683" t="str">
        <f>CONCATENATE("MANT",COUNTIF($Y$7:Y404,Y404))</f>
        <v>MANT1</v>
      </c>
      <c r="BD404" s="683" t="str">
        <f>CONCATENATE(BDEGENER[[#This Row],[SERIE]],BDEGENER[[#This Row],[GA5]])</f>
        <v>3004982864MANT1</v>
      </c>
      <c r="BE404" s="683" t="str">
        <f>CONCATENATE(BDEGENER[[#This Row],[CODIGO PATRIMONIAL]],BDEGENER[[#This Row],[GA5]])</f>
        <v>MANT1</v>
      </c>
      <c r="BF404" s="683">
        <f>COUNTIF(BDEGENER[SERIE],BDEGENER[[#This Row],[SERIE]])</f>
        <v>1</v>
      </c>
      <c r="BG404" s="683" t="str">
        <f>CONCATENATE("F",COUNTIF($K$7:K404,K404))</f>
        <v>F3</v>
      </c>
      <c r="BH404" s="683" t="str">
        <f>CONCATENATE(BDEGENER[[#This Row],[FECHA DE SERVICIO]],BDEGENER[[#This Row],[N° DE REGISTROS DEL DIA]])</f>
        <v>43993F3</v>
      </c>
      <c r="BI404" s="684"/>
      <c r="BJ404" s="683" t="s">
        <v>1544</v>
      </c>
      <c r="BK404" s="736"/>
    </row>
    <row r="405" spans="2:63" ht="69" hidden="1" x14ac:dyDescent="0.3">
      <c r="B405" s="2"/>
      <c r="C405" s="2"/>
      <c r="D405" s="2"/>
      <c r="E405" s="2"/>
      <c r="F405" s="2"/>
      <c r="G405" s="2"/>
      <c r="H405" s="2"/>
      <c r="I405" s="2"/>
      <c r="J405" s="685"/>
      <c r="K405" s="682">
        <v>43993</v>
      </c>
      <c r="L405" s="683" t="s">
        <v>2570</v>
      </c>
      <c r="M405" s="683" t="s">
        <v>2571</v>
      </c>
      <c r="N405" s="683" t="s">
        <v>2572</v>
      </c>
      <c r="O405" s="683"/>
      <c r="P405" s="683"/>
      <c r="Q405" s="683" t="s">
        <v>108</v>
      </c>
      <c r="R405" s="683" t="s">
        <v>2573</v>
      </c>
      <c r="S405" s="686" t="s">
        <v>2574</v>
      </c>
      <c r="T405" s="683" t="s">
        <v>2575</v>
      </c>
      <c r="U405" s="683"/>
      <c r="V405" s="683" t="s">
        <v>488</v>
      </c>
      <c r="W405" s="683" t="s">
        <v>914</v>
      </c>
      <c r="X405" s="691" t="s">
        <v>917</v>
      </c>
      <c r="Y405" s="687">
        <v>3004982850</v>
      </c>
      <c r="Z405" s="692" t="s">
        <v>159</v>
      </c>
      <c r="AA405" s="683" t="s">
        <v>2576</v>
      </c>
      <c r="AB405" s="683" t="s">
        <v>2577</v>
      </c>
      <c r="AC405" s="683" t="s">
        <v>2578</v>
      </c>
      <c r="AD405" s="683" t="s">
        <v>2579</v>
      </c>
      <c r="AE405" s="683">
        <v>60</v>
      </c>
      <c r="AF405" s="684">
        <v>0</v>
      </c>
      <c r="AG405" s="683" t="s">
        <v>243</v>
      </c>
      <c r="AH405" s="683" t="s">
        <v>159</v>
      </c>
      <c r="AI405" s="683" t="s">
        <v>1929</v>
      </c>
      <c r="AJ405" s="683">
        <v>545101671</v>
      </c>
      <c r="AK405" s="683" t="s">
        <v>1448</v>
      </c>
      <c r="AL405" s="683" t="s">
        <v>2580</v>
      </c>
      <c r="AM405" s="683" t="s">
        <v>2581</v>
      </c>
      <c r="AN405" s="683" t="s">
        <v>2582</v>
      </c>
      <c r="AO405" s="683" t="s">
        <v>2583</v>
      </c>
      <c r="AP405" s="683" t="s">
        <v>557</v>
      </c>
      <c r="AQ405" s="688" t="str">
        <f>CONCATENATE("REG-",BDEGENER[[#This Row],[FECHA DE SERVICIO]],"-",BDEGENER[[#This Row],[SERIE]],"-",BDEGENER[[#This Row],[HORAS]])</f>
        <v>REG-43993-3004982850-0</v>
      </c>
      <c r="AR405" s="683" t="str">
        <f>CONCATENATE("MARCA: ",BDEGENER[[#This Row],[MARCA]],"
 MODELO: ",BDEGENER[[#This Row],[MODELO]])</f>
        <v>MARCA: SELMEC
 MODELO: TLY 1250</v>
      </c>
      <c r="AS405" s="683" t="str">
        <f>CONCATENATE("MARCA: ",BDEGENER[[#This Row],[MARCA DE MOTOR]],"
SERIE: ",BDEGENER[[#This Row],[SERIE DE MOTOR]])</f>
        <v>MARCA: MTU
SERIE: 545101671</v>
      </c>
      <c r="AT405" s="683" t="str">
        <f>CONCATENATE("MARCA: ",BDEGENER[[#This Row],[MARCA ALTERNADOR ]],"
SERIE: ",BDEGENER[[#This Row],[SERIE DE ALTERNADOR]])</f>
        <v>MARCA: LEROY SOMER
SERIE: CR6M07085</v>
      </c>
      <c r="AU405" s="683" t="str">
        <f>CONCATENATE("HORAS: ",BDEGENER[[#This Row],[HORAS]],"
KW-HR: ",BDEGENER[[#This Row],[KW-HORA]],"
VOLT.BATERIA: ",BDEGENER[[#This Row],[VOLTAJE DE BATERIA]],"
TEMPERATURA: ",BDEGENER[[#This Row],[TEMPERATURA DE AGUA]],"
PRES. ACEITE: ",BDEGENER[[#This Row],[PRESION DE ACEITE]])</f>
        <v>HORAS: 0
KW-HR: 
VOLT.BATERIA: 24 V
TEMPERATURA: 47 °C
PRES. ACEITE: 147 PSI</v>
      </c>
      <c r="AV405" s="683">
        <f>COUNTIFS(Q405:Q2405,"MANTENIMIENTO CORRECTIVO",Y405:Y2405,BDEGENER[[#This Row],[SERIE]])</f>
        <v>0</v>
      </c>
      <c r="AW405" s="683">
        <f>COUNTIFS(Q405:Q2405,"MANTENIMIENTO PREVENTIVO",Y405:Y2405,BDEGENER[[#This Row],[SERIE]])</f>
        <v>0</v>
      </c>
      <c r="AX40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05" s="683">
        <f>COUNTIFS(BDEGENER[SERIE],BDEGENER[[#This Row],[SERIE]],BDEGENER[TIPO DE SERVICIO],"MANTENIMIENTO PREVENTIVO")</f>
        <v>0</v>
      </c>
      <c r="AZ405" s="683" t="str">
        <f>CONCATENATE("MANTENIMIENTO PREVENTIVO N°",BDEGENER[[#This Row],[GA1]])</f>
        <v>MANTENIMIENTO PREVENTIVO N°0</v>
      </c>
      <c r="BA405" s="683" t="str">
        <f>IF(BDEGENER[[#This Row],[SERVICIO]]=BDEGENER[[#This Row],[GA2]],BDEGENER[[#This Row],[HORAS]],"0")</f>
        <v>0</v>
      </c>
      <c r="BB405" s="683">
        <f>SUMIF(BDEGENER[SERIE],BDEGENER[[#This Row],[SERIE]],BDEGENER[GA3])</f>
        <v>0</v>
      </c>
      <c r="BC405" s="683" t="str">
        <f>CONCATENATE("MANT",COUNTIF($Y$7:Y405,Y405))</f>
        <v>MANT1</v>
      </c>
      <c r="BD405" s="683" t="str">
        <f>CONCATENATE(BDEGENER[[#This Row],[SERIE]],BDEGENER[[#This Row],[GA5]])</f>
        <v>3004982850MANT1</v>
      </c>
      <c r="BE405" s="683" t="str">
        <f>CONCATENATE(BDEGENER[[#This Row],[CODIGO PATRIMONIAL]],BDEGENER[[#This Row],[GA5]])</f>
        <v>MANT1</v>
      </c>
      <c r="BF405" s="683">
        <f>COUNTIF(BDEGENER[SERIE],BDEGENER[[#This Row],[SERIE]])</f>
        <v>1</v>
      </c>
      <c r="BG405" s="683" t="str">
        <f>CONCATENATE("F",COUNTIF($K$7:K405,K405))</f>
        <v>F4</v>
      </c>
      <c r="BH405" s="683" t="str">
        <f>CONCATENATE(BDEGENER[[#This Row],[FECHA DE SERVICIO]],BDEGENER[[#This Row],[N° DE REGISTROS DEL DIA]])</f>
        <v>43993F4</v>
      </c>
      <c r="BI405" s="684"/>
      <c r="BJ405" s="683" t="s">
        <v>1544</v>
      </c>
      <c r="BK405" s="736"/>
    </row>
    <row r="406" spans="2:63" ht="69" hidden="1" x14ac:dyDescent="0.3">
      <c r="B406" s="2"/>
      <c r="C406" s="2"/>
      <c r="D406" s="2"/>
      <c r="E406" s="2"/>
      <c r="F406" s="2"/>
      <c r="G406" s="2"/>
      <c r="H406" s="2"/>
      <c r="I406" s="2"/>
      <c r="J406" s="685"/>
      <c r="K406" s="682">
        <v>43993</v>
      </c>
      <c r="L406" s="683" t="s">
        <v>181</v>
      </c>
      <c r="M406" s="683" t="s">
        <v>185</v>
      </c>
      <c r="N406" s="683" t="s">
        <v>183</v>
      </c>
      <c r="O406" s="683">
        <v>4500873022</v>
      </c>
      <c r="P406" s="683" t="s">
        <v>2526</v>
      </c>
      <c r="Q406" s="683" t="s">
        <v>37</v>
      </c>
      <c r="R406" s="683" t="s">
        <v>1782</v>
      </c>
      <c r="S406" s="686" t="s">
        <v>2527</v>
      </c>
      <c r="T406" s="683" t="s">
        <v>2528</v>
      </c>
      <c r="U406" s="683" t="s">
        <v>2529</v>
      </c>
      <c r="V406" s="683" t="s">
        <v>146</v>
      </c>
      <c r="W406" s="683" t="s">
        <v>914</v>
      </c>
      <c r="X406" s="691" t="s">
        <v>918</v>
      </c>
      <c r="Y406" s="687">
        <v>3004402506</v>
      </c>
      <c r="Z406" s="692"/>
      <c r="AA406" s="683" t="s">
        <v>33</v>
      </c>
      <c r="AB406" s="683" t="s">
        <v>34</v>
      </c>
      <c r="AC406" s="683" t="s">
        <v>230</v>
      </c>
      <c r="AD406" s="683" t="s">
        <v>1110</v>
      </c>
      <c r="AE406" s="683">
        <v>60</v>
      </c>
      <c r="AF406" s="684">
        <v>1971.9</v>
      </c>
      <c r="AG406" s="683" t="s">
        <v>243</v>
      </c>
      <c r="AH406" s="683" t="s">
        <v>220</v>
      </c>
      <c r="AI406" s="683" t="s">
        <v>33</v>
      </c>
      <c r="AJ406" s="683">
        <v>3004333866</v>
      </c>
      <c r="AK406" s="683" t="s">
        <v>33</v>
      </c>
      <c r="AL406" s="683">
        <v>1063100</v>
      </c>
      <c r="AM406" s="683">
        <v>13.8</v>
      </c>
      <c r="AN406" s="683" t="s">
        <v>2118</v>
      </c>
      <c r="AO406" s="683" t="s">
        <v>1166</v>
      </c>
      <c r="AP406" s="683" t="s">
        <v>240</v>
      </c>
      <c r="AQ406" s="683" t="str">
        <f>CONCATENATE("REG-",BDEGENER[[#This Row],[FECHA DE SERVICIO]],"-",BDEGENER[[#This Row],[SERIE]],"-",BDEGENER[[#This Row],[HORAS]])</f>
        <v>REG-43993-3004402506-1971,9</v>
      </c>
      <c r="AR406" s="683" t="str">
        <f>CONCATENATE("MARCA: ",BDEGENER[[#This Row],[MARCA]],"
 MODELO: ",BDEGENER[[#This Row],[MODELO]])</f>
        <v>MARCA: GENERAC
 MODELO: PG090</v>
      </c>
      <c r="AS406" s="683" t="str">
        <f>CONCATENATE("MARCA: ",BDEGENER[[#This Row],[MARCA DE MOTOR]],"
SERIE: ",BDEGENER[[#This Row],[SERIE DE MOTOR]])</f>
        <v>MARCA: GENERAC
SERIE: 3004333866</v>
      </c>
      <c r="AT406" s="683" t="str">
        <f>CONCATENATE("MARCA: ",BDEGENER[[#This Row],[MARCA ALTERNADOR ]],"
SERIE: ",BDEGENER[[#This Row],[SERIE DE ALTERNADOR]])</f>
        <v>MARCA: GENERAC
SERIE: 1063100</v>
      </c>
      <c r="AU406" s="683" t="str">
        <f>CONCATENATE("HORAS: ",BDEGENER[[#This Row],[HORAS]],"
KW-HR: ",BDEGENER[[#This Row],[KW-HORA]],"
VOLT.BATERIA: ",BDEGENER[[#This Row],[VOLTAJE DE BATERIA]],"
TEMPERATURA: ",BDEGENER[[#This Row],[TEMPERATURA DE AGUA]],"
PRES. ACEITE: ",BDEGENER[[#This Row],[PRESION DE ACEITE]])</f>
        <v>HORAS: 1971,9
KW-HR: 44428,9
VOLT.BATERIA: 13,8
TEMPERATURA: 192 °F
PRES. ACEITE: 57 PSI</v>
      </c>
      <c r="AV406" s="761">
        <f>COUNTIFS(Q406:Q2406,"MANTENIMIENTO CORRECTIVO",Y406:Y2406,BDEGENER[[#This Row],[SERIE]])</f>
        <v>2</v>
      </c>
      <c r="AW406" s="761">
        <f>COUNTIFS(Q406:Q2406,"MANTENIMIENTO PREVENTIVO",Y406:Y2406,BDEGENER[[#This Row],[SERIE]])</f>
        <v>5</v>
      </c>
      <c r="AX40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06" s="683">
        <f>COUNTIFS(BDEGENER[SERIE],BDEGENER[[#This Row],[SERIE]],BDEGENER[TIPO DE SERVICIO],"MANTENIMIENTO PREVENTIVO")</f>
        <v>8</v>
      </c>
      <c r="AZ406" s="683" t="str">
        <f>CONCATENATE("MANTENIMIENTO PREVENTIVO N°",BDEGENER[[#This Row],[GA1]])</f>
        <v>MANTENIMIENTO PREVENTIVO N°8</v>
      </c>
      <c r="BA406" s="683" t="str">
        <f>IF(BDEGENER[[#This Row],[SERVICIO]]=BDEGENER[[#This Row],[GA2]],BDEGENER[[#This Row],[HORAS]],"0")</f>
        <v>0</v>
      </c>
      <c r="BB406" s="683">
        <f>SUMIF(BDEGENER[SERIE],BDEGENER[[#This Row],[SERIE]],BDEGENER[GA3])</f>
        <v>2907.9</v>
      </c>
      <c r="BC406" s="761" t="str">
        <f>CONCATENATE("MANT",COUNTIF($Y$7:Y406,Y406))</f>
        <v>MANT6</v>
      </c>
      <c r="BD406" s="683" t="str">
        <f>CONCATENATE(BDEGENER[[#This Row],[SERIE]],BDEGENER[[#This Row],[GA5]])</f>
        <v>3004402506MANT6</v>
      </c>
      <c r="BE406" s="683" t="str">
        <f>CONCATENATE(BDEGENER[[#This Row],[CODIGO PATRIMONIAL]],BDEGENER[[#This Row],[GA5]])</f>
        <v>MANT6</v>
      </c>
      <c r="BF406" s="683">
        <f>COUNTIF(BDEGENER[SERIE],BDEGENER[[#This Row],[SERIE]])</f>
        <v>14</v>
      </c>
      <c r="BG406" s="761" t="str">
        <f>CONCATENATE("F",COUNTIF($K$7:K406,K406))</f>
        <v>F5</v>
      </c>
      <c r="BH406" s="683" t="str">
        <f>CONCATENATE(BDEGENER[[#This Row],[FECHA DE SERVICIO]],BDEGENER[[#This Row],[N° DE REGISTROS DEL DIA]])</f>
        <v>43993F5</v>
      </c>
      <c r="BI406" s="684">
        <v>44428.9</v>
      </c>
      <c r="BJ406" s="683" t="s">
        <v>1544</v>
      </c>
      <c r="BK406" s="736"/>
    </row>
    <row r="407" spans="2:63" ht="69" hidden="1" x14ac:dyDescent="0.3">
      <c r="B407" s="2"/>
      <c r="C407" s="2"/>
      <c r="D407" s="2"/>
      <c r="E407" s="2"/>
      <c r="F407" s="2"/>
      <c r="G407" s="2"/>
      <c r="H407" s="2"/>
      <c r="I407" s="2"/>
      <c r="J407" s="685"/>
      <c r="K407" s="682">
        <v>43992</v>
      </c>
      <c r="L407" s="683" t="s">
        <v>181</v>
      </c>
      <c r="M407" s="683" t="s">
        <v>1388</v>
      </c>
      <c r="N407" s="683" t="s">
        <v>1538</v>
      </c>
      <c r="O407" s="683">
        <v>4500816138</v>
      </c>
      <c r="P407" s="688" t="s">
        <v>2519</v>
      </c>
      <c r="Q407" s="683" t="s">
        <v>37</v>
      </c>
      <c r="R407" s="683" t="s">
        <v>1782</v>
      </c>
      <c r="S407" s="686" t="s">
        <v>2520</v>
      </c>
      <c r="T407" s="683" t="s">
        <v>2521</v>
      </c>
      <c r="U407" s="683" t="s">
        <v>2404</v>
      </c>
      <c r="V407" s="683" t="s">
        <v>148</v>
      </c>
      <c r="W407" s="683" t="s">
        <v>914</v>
      </c>
      <c r="X407" s="691" t="s">
        <v>918</v>
      </c>
      <c r="Y407" s="687">
        <v>3004428523</v>
      </c>
      <c r="Z407" s="692"/>
      <c r="AA407" s="683" t="s">
        <v>33</v>
      </c>
      <c r="AB407" s="683" t="s">
        <v>34</v>
      </c>
      <c r="AC407" s="683" t="s">
        <v>230</v>
      </c>
      <c r="AD407" s="683" t="s">
        <v>1123</v>
      </c>
      <c r="AE407" s="683">
        <v>60</v>
      </c>
      <c r="AF407" s="684">
        <v>1496.8</v>
      </c>
      <c r="AG407" s="683" t="s">
        <v>243</v>
      </c>
      <c r="AH407" s="683" t="s">
        <v>220</v>
      </c>
      <c r="AI407" s="683" t="s">
        <v>33</v>
      </c>
      <c r="AJ407" s="683">
        <v>3004426215</v>
      </c>
      <c r="AK407" s="683" t="s">
        <v>33</v>
      </c>
      <c r="AL407" s="683">
        <v>106301030</v>
      </c>
      <c r="AM407" s="683" t="s">
        <v>245</v>
      </c>
      <c r="AN407" s="683" t="s">
        <v>1352</v>
      </c>
      <c r="AO407" s="683" t="s">
        <v>247</v>
      </c>
      <c r="AP407" s="683" t="s">
        <v>240</v>
      </c>
      <c r="AQ407" s="688" t="str">
        <f>CONCATENATE("REG-",BDEGENER[[#This Row],[FECHA DE SERVICIO]],"-",BDEGENER[[#This Row],[SERIE]],"-",BDEGENER[[#This Row],[HORAS]])</f>
        <v>REG-43992-3004428523-1496,8</v>
      </c>
      <c r="AR407" s="683" t="str">
        <f>CONCATENATE("MARCA: ",BDEGENER[[#This Row],[MARCA]],"
 MODELO: ",BDEGENER[[#This Row],[MODELO]])</f>
        <v>MARCA: GENERAC
 MODELO: PG090</v>
      </c>
      <c r="AS407" s="683" t="str">
        <f>CONCATENATE("MARCA: ",BDEGENER[[#This Row],[MARCA DE MOTOR]],"
SERIE: ",BDEGENER[[#This Row],[SERIE DE MOTOR]])</f>
        <v>MARCA: GENERAC
SERIE: 3004426215</v>
      </c>
      <c r="AT407" s="683" t="str">
        <f>CONCATENATE("MARCA: ",BDEGENER[[#This Row],[MARCA ALTERNADOR ]],"
SERIE: ",BDEGENER[[#This Row],[SERIE DE ALTERNADOR]])</f>
        <v>MARCA: GENERAC
SERIE: 106301030</v>
      </c>
      <c r="AU407" s="683" t="str">
        <f>CONCATENATE("HORAS: ",BDEGENER[[#This Row],[HORAS]],"
KW-HR: ",BDEGENER[[#This Row],[KW-HORA]],"
VOLT.BATERIA: ",BDEGENER[[#This Row],[VOLTAJE DE BATERIA]],"
TEMPERATURA: ",BDEGENER[[#This Row],[TEMPERATURA DE AGUA]],"
PRES. ACEITE: ",BDEGENER[[#This Row],[PRESION DE ACEITE]])</f>
        <v>HORAS: 1496,8
KW-HR: 50358,9
VOLT.BATERIA: 13.6 V
TEMPERATURA: 196 °F
PRES. ACEITE: 55 PSI</v>
      </c>
      <c r="AV407" s="683">
        <f>COUNTIFS(Q407:Q2407,"MANTENIMIENTO CORRECTIVO",Y407:Y2407,BDEGENER[[#This Row],[SERIE]])</f>
        <v>1</v>
      </c>
      <c r="AW407" s="683">
        <f>COUNTIFS(Q407:Q2407,"MANTENIMIENTO PREVENTIVO",Y407:Y2407,BDEGENER[[#This Row],[SERIE]])</f>
        <v>6</v>
      </c>
      <c r="AX40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407" s="683">
        <f>COUNTIFS(BDEGENER[SERIE],BDEGENER[[#This Row],[SERIE]],BDEGENER[TIPO DE SERVICIO],"MANTENIMIENTO PREVENTIVO")</f>
        <v>9</v>
      </c>
      <c r="AZ407" s="683" t="str">
        <f>CONCATENATE("MANTENIMIENTO PREVENTIVO N°",BDEGENER[[#This Row],[GA1]])</f>
        <v>MANTENIMIENTO PREVENTIVO N°9</v>
      </c>
      <c r="BA407" s="683" t="str">
        <f>IF(BDEGENER[[#This Row],[SERVICIO]]=BDEGENER[[#This Row],[GA2]],BDEGENER[[#This Row],[HORAS]],"0")</f>
        <v>0</v>
      </c>
      <c r="BB407" s="683">
        <f>SUMIF(BDEGENER[SERIE],BDEGENER[[#This Row],[SERIE]],BDEGENER[GA3])</f>
        <v>2439.9</v>
      </c>
      <c r="BC407" s="683" t="str">
        <f>CONCATENATE("MANT",COUNTIF($Y$7:Y407,Y407))</f>
        <v>MANT6</v>
      </c>
      <c r="BD407" s="683" t="str">
        <f>CONCATENATE(BDEGENER[[#This Row],[SERIE]],BDEGENER[[#This Row],[GA5]])</f>
        <v>3004428523MANT6</v>
      </c>
      <c r="BE407" s="683" t="str">
        <f>CONCATENATE(BDEGENER[[#This Row],[CODIGO PATRIMONIAL]],BDEGENER[[#This Row],[GA5]])</f>
        <v>MANT6</v>
      </c>
      <c r="BF407" s="683">
        <f>COUNTIF(BDEGENER[SERIE],BDEGENER[[#This Row],[SERIE]])</f>
        <v>14</v>
      </c>
      <c r="BG407" s="683" t="str">
        <f>CONCATENATE("F",COUNTIF($K$7:K407,K407))</f>
        <v>F1</v>
      </c>
      <c r="BH407" s="683" t="str">
        <f>CONCATENATE(BDEGENER[[#This Row],[FECHA DE SERVICIO]],BDEGENER[[#This Row],[N° DE REGISTROS DEL DIA]])</f>
        <v>43992F1</v>
      </c>
      <c r="BI407" s="684">
        <v>50358.9</v>
      </c>
      <c r="BJ407" s="683" t="s">
        <v>1544</v>
      </c>
      <c r="BK407" s="736"/>
    </row>
    <row r="408" spans="2:63" ht="69" hidden="1" x14ac:dyDescent="0.3">
      <c r="B408" s="2"/>
      <c r="C408" s="2"/>
      <c r="D408" s="2"/>
      <c r="E408" s="2"/>
      <c r="F408" s="2"/>
      <c r="G408" s="2"/>
      <c r="H408" s="2"/>
      <c r="I408" s="2"/>
      <c r="J408" s="685"/>
      <c r="K408" s="682">
        <v>43992</v>
      </c>
      <c r="L408" s="683" t="s">
        <v>181</v>
      </c>
      <c r="M408" s="683" t="s">
        <v>188</v>
      </c>
      <c r="N408" s="683" t="s">
        <v>183</v>
      </c>
      <c r="O408" s="683">
        <v>4500873022</v>
      </c>
      <c r="P408" s="688" t="s">
        <v>2513</v>
      </c>
      <c r="Q408" s="683" t="s">
        <v>37</v>
      </c>
      <c r="R408" s="683" t="s">
        <v>1782</v>
      </c>
      <c r="S408" s="686" t="s">
        <v>2516</v>
      </c>
      <c r="T408" s="683" t="s">
        <v>2514</v>
      </c>
      <c r="U408" s="683" t="s">
        <v>2049</v>
      </c>
      <c r="V408" s="683" t="s">
        <v>146</v>
      </c>
      <c r="W408" s="683" t="s">
        <v>914</v>
      </c>
      <c r="X408" s="691" t="s">
        <v>918</v>
      </c>
      <c r="Y408" s="687">
        <v>3004381437</v>
      </c>
      <c r="Z408" s="692"/>
      <c r="AA408" s="683" t="s">
        <v>33</v>
      </c>
      <c r="AB408" s="683" t="s">
        <v>34</v>
      </c>
      <c r="AC408" s="683" t="s">
        <v>230</v>
      </c>
      <c r="AD408" s="683" t="s">
        <v>1110</v>
      </c>
      <c r="AE408" s="683">
        <v>60</v>
      </c>
      <c r="AF408" s="684">
        <v>1459.5</v>
      </c>
      <c r="AG408" s="683" t="s">
        <v>243</v>
      </c>
      <c r="AH408" s="683" t="s">
        <v>220</v>
      </c>
      <c r="AI408" s="683" t="s">
        <v>33</v>
      </c>
      <c r="AJ408" s="683">
        <v>3004346804</v>
      </c>
      <c r="AK408" s="683" t="s">
        <v>33</v>
      </c>
      <c r="AL408" s="683">
        <v>106309630</v>
      </c>
      <c r="AM408" s="683" t="s">
        <v>245</v>
      </c>
      <c r="AN408" s="683" t="s">
        <v>1352</v>
      </c>
      <c r="AO408" s="683" t="s">
        <v>1349</v>
      </c>
      <c r="AP408" s="683" t="s">
        <v>240</v>
      </c>
      <c r="AQ408" s="688" t="str">
        <f>CONCATENATE("REG-",BDEGENER[[#This Row],[FECHA DE SERVICIO]],"-",BDEGENER[[#This Row],[SERIE]],"-",BDEGENER[[#This Row],[HORAS]])</f>
        <v>REG-43992-3004381437-1459,5</v>
      </c>
      <c r="AR408" s="683" t="str">
        <f>CONCATENATE("MARCA: ",BDEGENER[[#This Row],[MARCA]],"
 MODELO: ",BDEGENER[[#This Row],[MODELO]])</f>
        <v>MARCA: GENERAC
 MODELO: PG090</v>
      </c>
      <c r="AS408" s="683" t="str">
        <f>CONCATENATE("MARCA: ",BDEGENER[[#This Row],[MARCA DE MOTOR]],"
SERIE: ",BDEGENER[[#This Row],[SERIE DE MOTOR]])</f>
        <v>MARCA: GENERAC
SERIE: 3004346804</v>
      </c>
      <c r="AT408" s="683" t="str">
        <f>CONCATENATE("MARCA: ",BDEGENER[[#This Row],[MARCA ALTERNADOR ]],"
SERIE: ",BDEGENER[[#This Row],[SERIE DE ALTERNADOR]])</f>
        <v>MARCA: GENERAC
SERIE: 106309630</v>
      </c>
      <c r="AU408" s="683" t="str">
        <f>CONCATENATE("HORAS: ",BDEGENER[[#This Row],[HORAS]],"
KW-HR: ",BDEGENER[[#This Row],[KW-HORA]],"
VOLT.BATERIA: ",BDEGENER[[#This Row],[VOLTAJE DE BATERIA]],"
TEMPERATURA: ",BDEGENER[[#This Row],[TEMPERATURA DE AGUA]],"
PRES. ACEITE: ",BDEGENER[[#This Row],[PRESION DE ACEITE]])</f>
        <v>HORAS: 1459,5
KW-HR: 28222,1
VOLT.BATERIA: 13.6 V
TEMPERATURA: 196 °F
PRES. ACEITE: 56 PSI</v>
      </c>
      <c r="AV408" s="683">
        <f>COUNTIFS(Q408:Q2408,"MANTENIMIENTO CORRECTIVO",Y408:Y2408,BDEGENER[[#This Row],[SERIE]])</f>
        <v>2</v>
      </c>
      <c r="AW408" s="683">
        <f>COUNTIFS(Q408:Q2408,"MANTENIMIENTO PREVENTIVO",Y408:Y2408,BDEGENER[[#This Row],[SERIE]])</f>
        <v>5</v>
      </c>
      <c r="AX40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08" s="683">
        <f>COUNTIFS(BDEGENER[SERIE],BDEGENER[[#This Row],[SERIE]],BDEGENER[TIPO DE SERVICIO],"MANTENIMIENTO PREVENTIVO")</f>
        <v>8</v>
      </c>
      <c r="AZ408" s="683" t="str">
        <f>CONCATENATE("MANTENIMIENTO PREVENTIVO N°",BDEGENER[[#This Row],[GA1]])</f>
        <v>MANTENIMIENTO PREVENTIVO N°8</v>
      </c>
      <c r="BA408" s="683" t="str">
        <f>IF(BDEGENER[[#This Row],[SERVICIO]]=BDEGENER[[#This Row],[GA2]],BDEGENER[[#This Row],[HORAS]],"0")</f>
        <v>0</v>
      </c>
      <c r="BB408" s="683">
        <f>SUMIF(BDEGENER[SERIE],BDEGENER[[#This Row],[SERIE]],BDEGENER[GA3])</f>
        <v>2359.6</v>
      </c>
      <c r="BC408" s="683" t="str">
        <f>CONCATENATE("MANT",COUNTIF($Y$7:Y408,Y408))</f>
        <v>MANT5</v>
      </c>
      <c r="BD408" s="683" t="str">
        <f>CONCATENATE(BDEGENER[[#This Row],[SERIE]],BDEGENER[[#This Row],[GA5]])</f>
        <v>3004381437MANT5</v>
      </c>
      <c r="BE408" s="683" t="str">
        <f>CONCATENATE(BDEGENER[[#This Row],[CODIGO PATRIMONIAL]],BDEGENER[[#This Row],[GA5]])</f>
        <v>MANT5</v>
      </c>
      <c r="BF408" s="683">
        <f>COUNTIF(BDEGENER[SERIE],BDEGENER[[#This Row],[SERIE]])</f>
        <v>12</v>
      </c>
      <c r="BG408" s="683" t="str">
        <f>CONCATENATE("F",COUNTIF($K$7:K408,K408))</f>
        <v>F2</v>
      </c>
      <c r="BH408" s="683" t="str">
        <f>CONCATENATE(BDEGENER[[#This Row],[FECHA DE SERVICIO]],BDEGENER[[#This Row],[N° DE REGISTROS DEL DIA]])</f>
        <v>43992F2</v>
      </c>
      <c r="BI408" s="684">
        <v>28222.1</v>
      </c>
      <c r="BJ408" s="683" t="s">
        <v>1544</v>
      </c>
      <c r="BK408" s="736" t="s">
        <v>2267</v>
      </c>
    </row>
    <row r="409" spans="2:63" ht="69" hidden="1" x14ac:dyDescent="0.3">
      <c r="B409" s="2"/>
      <c r="C409" s="2"/>
      <c r="D409" s="2"/>
      <c r="E409" s="2"/>
      <c r="F409" s="2"/>
      <c r="G409" s="2"/>
      <c r="H409" s="2"/>
      <c r="I409" s="2"/>
      <c r="J409" s="685"/>
      <c r="K409" s="682">
        <v>43992</v>
      </c>
      <c r="L409" s="683" t="s">
        <v>181</v>
      </c>
      <c r="M409" s="683" t="s">
        <v>188</v>
      </c>
      <c r="N409" s="683" t="s">
        <v>183</v>
      </c>
      <c r="O409" s="683">
        <v>4500873022</v>
      </c>
      <c r="P409" s="683" t="s">
        <v>2513</v>
      </c>
      <c r="Q409" s="683" t="s">
        <v>37</v>
      </c>
      <c r="R409" s="683" t="s">
        <v>1782</v>
      </c>
      <c r="S409" s="686" t="s">
        <v>2381</v>
      </c>
      <c r="T409" s="683" t="s">
        <v>2514</v>
      </c>
      <c r="U409" s="683" t="s">
        <v>2053</v>
      </c>
      <c r="V409" s="683" t="s">
        <v>146</v>
      </c>
      <c r="W409" s="683" t="s">
        <v>914</v>
      </c>
      <c r="X409" s="691" t="s">
        <v>918</v>
      </c>
      <c r="Y409" s="687">
        <v>3004337388</v>
      </c>
      <c r="Z409" s="692"/>
      <c r="AA409" s="683" t="s">
        <v>33</v>
      </c>
      <c r="AB409" s="683" t="s">
        <v>34</v>
      </c>
      <c r="AC409" s="683" t="s">
        <v>230</v>
      </c>
      <c r="AD409" s="683" t="s">
        <v>1110</v>
      </c>
      <c r="AE409" s="683">
        <v>60</v>
      </c>
      <c r="AF409" s="684">
        <v>1571.3</v>
      </c>
      <c r="AG409" s="683" t="s">
        <v>243</v>
      </c>
      <c r="AH409" s="683" t="s">
        <v>220</v>
      </c>
      <c r="AI409" s="683" t="s">
        <v>33</v>
      </c>
      <c r="AJ409" s="683">
        <v>3004346829</v>
      </c>
      <c r="AK409" s="683" t="s">
        <v>33</v>
      </c>
      <c r="AL409" s="683">
        <v>106308710</v>
      </c>
      <c r="AM409" s="683" t="s">
        <v>1377</v>
      </c>
      <c r="AN409" s="683" t="s">
        <v>1122</v>
      </c>
      <c r="AO409" s="683" t="s">
        <v>1166</v>
      </c>
      <c r="AP409" s="683" t="s">
        <v>240</v>
      </c>
      <c r="AQ409" s="683" t="str">
        <f>CONCATENATE("REG-",BDEGENER[[#This Row],[FECHA DE SERVICIO]],"-",BDEGENER[[#This Row],[SERIE]],"-",BDEGENER[[#This Row],[HORAS]])</f>
        <v>REG-43992-3004337388-1571,3</v>
      </c>
      <c r="AR409" s="683" t="str">
        <f>CONCATENATE("MARCA: ",BDEGENER[[#This Row],[MARCA]],"
 MODELO: ",BDEGENER[[#This Row],[MODELO]])</f>
        <v>MARCA: GENERAC
 MODELO: PG090</v>
      </c>
      <c r="AS409" s="683" t="str">
        <f>CONCATENATE("MARCA: ",BDEGENER[[#This Row],[MARCA DE MOTOR]],"
SERIE: ",BDEGENER[[#This Row],[SERIE DE MOTOR]])</f>
        <v>MARCA: GENERAC
SERIE: 3004346829</v>
      </c>
      <c r="AT409" s="683" t="str">
        <f>CONCATENATE("MARCA: ",BDEGENER[[#This Row],[MARCA ALTERNADOR ]],"
SERIE: ",BDEGENER[[#This Row],[SERIE DE ALTERNADOR]])</f>
        <v>MARCA: GENERAC
SERIE: 106308710</v>
      </c>
      <c r="AU409" s="683" t="str">
        <f>CONCATENATE("HORAS: ",BDEGENER[[#This Row],[HORAS]],"
KW-HR: ",BDEGENER[[#This Row],[KW-HORA]],"
VOLT.BATERIA: ",BDEGENER[[#This Row],[VOLTAJE DE BATERIA]],"
TEMPERATURA: ",BDEGENER[[#This Row],[TEMPERATURA DE AGUA]],"
PRES. ACEITE: ",BDEGENER[[#This Row],[PRESION DE ACEITE]])</f>
        <v>HORAS: 1571,3
KW-HR: 24490,7
VOLT.BATERIA: 13.8 V
TEMPERATURA: 195 °F
PRES. ACEITE: 57 PSI</v>
      </c>
      <c r="AV409" s="761">
        <f>COUNTIFS(Q409:Q2409,"MANTENIMIENTO CORRECTIVO",Y409:Y2409,BDEGENER[[#This Row],[SERIE]])</f>
        <v>2</v>
      </c>
      <c r="AW409" s="761">
        <f>COUNTIFS(Q409:Q2409,"MANTENIMIENTO PREVENTIVO",Y409:Y2409,BDEGENER[[#This Row],[SERIE]])</f>
        <v>5</v>
      </c>
      <c r="AX40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09" s="683">
        <f>COUNTIFS(BDEGENER[SERIE],BDEGENER[[#This Row],[SERIE]],BDEGENER[TIPO DE SERVICIO],"MANTENIMIENTO PREVENTIVO")</f>
        <v>7</v>
      </c>
      <c r="AZ409" s="683" t="str">
        <f>CONCATENATE("MANTENIMIENTO PREVENTIVO N°",BDEGENER[[#This Row],[GA1]])</f>
        <v>MANTENIMIENTO PREVENTIVO N°7</v>
      </c>
      <c r="BA409" s="683" t="str">
        <f>IF(BDEGENER[[#This Row],[SERVICIO]]=BDEGENER[[#This Row],[GA2]],BDEGENER[[#This Row],[HORAS]],"0")</f>
        <v>0</v>
      </c>
      <c r="BB409" s="683">
        <f>SUMIF(BDEGENER[SERIE],BDEGENER[[#This Row],[SERIE]],BDEGENER[GA3])</f>
        <v>2129.8000000000002</v>
      </c>
      <c r="BC409" s="761" t="str">
        <f>CONCATENATE("MANT",COUNTIF($Y$7:Y409,Y409))</f>
        <v>MANT6</v>
      </c>
      <c r="BD409" s="683" t="str">
        <f>CONCATENATE(BDEGENER[[#This Row],[SERIE]],BDEGENER[[#This Row],[GA5]])</f>
        <v>3004337388MANT6</v>
      </c>
      <c r="BE409" s="683" t="str">
        <f>CONCATENATE(BDEGENER[[#This Row],[CODIGO PATRIMONIAL]],BDEGENER[[#This Row],[GA5]])</f>
        <v>MANT6</v>
      </c>
      <c r="BF409" s="683">
        <f>COUNTIF(BDEGENER[SERIE],BDEGENER[[#This Row],[SERIE]])</f>
        <v>14</v>
      </c>
      <c r="BG409" s="761" t="str">
        <f>CONCATENATE("F",COUNTIF($K$7:K409,K409))</f>
        <v>F3</v>
      </c>
      <c r="BH409" s="683" t="str">
        <f>CONCATENATE(BDEGENER[[#This Row],[FECHA DE SERVICIO]],BDEGENER[[#This Row],[N° DE REGISTROS DEL DIA]])</f>
        <v>43992F3</v>
      </c>
      <c r="BI409" s="684">
        <v>24490.7</v>
      </c>
      <c r="BJ409" s="683" t="s">
        <v>1544</v>
      </c>
      <c r="BK409" s="736" t="s">
        <v>2515</v>
      </c>
    </row>
    <row r="410" spans="2:63" ht="69" hidden="1" x14ac:dyDescent="0.3">
      <c r="B410" s="2"/>
      <c r="C410" s="2"/>
      <c r="D410" s="2"/>
      <c r="E410" s="2"/>
      <c r="F410" s="2"/>
      <c r="G410" s="2"/>
      <c r="H410" s="2"/>
      <c r="I410" s="2"/>
      <c r="J410" s="685"/>
      <c r="K410" s="682">
        <v>43991</v>
      </c>
      <c r="L410" s="683" t="s">
        <v>181</v>
      </c>
      <c r="M410" s="683" t="s">
        <v>186</v>
      </c>
      <c r="N410" s="683" t="s">
        <v>1982</v>
      </c>
      <c r="O410" s="683">
        <v>4500853877</v>
      </c>
      <c r="P410" s="688" t="s">
        <v>2530</v>
      </c>
      <c r="Q410" s="683" t="s">
        <v>37</v>
      </c>
      <c r="R410" s="683" t="s">
        <v>1782</v>
      </c>
      <c r="S410" s="686" t="s">
        <v>2531</v>
      </c>
      <c r="T410" s="683" t="s">
        <v>2532</v>
      </c>
      <c r="U410" s="683" t="s">
        <v>124</v>
      </c>
      <c r="V410" s="683" t="s">
        <v>148</v>
      </c>
      <c r="W410" s="683" t="s">
        <v>914</v>
      </c>
      <c r="X410" s="691" t="s">
        <v>918</v>
      </c>
      <c r="Y410" s="687">
        <v>3004327724</v>
      </c>
      <c r="Z410" s="692"/>
      <c r="AA410" s="683" t="s">
        <v>33</v>
      </c>
      <c r="AB410" s="683" t="s">
        <v>34</v>
      </c>
      <c r="AC410" s="683" t="s">
        <v>230</v>
      </c>
      <c r="AD410" s="683" t="s">
        <v>1993</v>
      </c>
      <c r="AE410" s="683">
        <v>60</v>
      </c>
      <c r="AF410" s="684">
        <v>1555.3</v>
      </c>
      <c r="AG410" s="683" t="s">
        <v>243</v>
      </c>
      <c r="AH410" s="683" t="s">
        <v>220</v>
      </c>
      <c r="AI410" s="683" t="s">
        <v>33</v>
      </c>
      <c r="AJ410" s="683">
        <v>3004333872</v>
      </c>
      <c r="AK410" s="683" t="s">
        <v>33</v>
      </c>
      <c r="AL410" s="683"/>
      <c r="AM410" s="683" t="s">
        <v>1121</v>
      </c>
      <c r="AN410" s="683" t="s">
        <v>1122</v>
      </c>
      <c r="AO410" s="683" t="s">
        <v>1103</v>
      </c>
      <c r="AP410" s="683" t="s">
        <v>240</v>
      </c>
      <c r="AQ410" s="688" t="str">
        <f>CONCATENATE("REG-",BDEGENER[[#This Row],[FECHA DE SERVICIO]],"-",BDEGENER[[#This Row],[SERIE]],"-",BDEGENER[[#This Row],[HORAS]])</f>
        <v>REG-43991-3004327724-1555,3</v>
      </c>
      <c r="AR410" s="683" t="str">
        <f>CONCATENATE("MARCA: ",BDEGENER[[#This Row],[MARCA]],"
 MODELO: ",BDEGENER[[#This Row],[MODELO]])</f>
        <v>MARCA: GENERAC
 MODELO: PG090</v>
      </c>
      <c r="AS410" s="683" t="str">
        <f>CONCATENATE("MARCA: ",BDEGENER[[#This Row],[MARCA DE MOTOR]],"
SERIE: ",BDEGENER[[#This Row],[SERIE DE MOTOR]])</f>
        <v>MARCA: GENERAC
SERIE: 3004333872</v>
      </c>
      <c r="AT410" s="683" t="str">
        <f>CONCATENATE("MARCA: ",BDEGENER[[#This Row],[MARCA ALTERNADOR ]],"
SERIE: ",BDEGENER[[#This Row],[SERIE DE ALTERNADOR]])</f>
        <v xml:space="preserve">MARCA: GENERAC
SERIE: </v>
      </c>
      <c r="AU410" s="683" t="str">
        <f>CONCATENATE("HORAS: ",BDEGENER[[#This Row],[HORAS]],"
KW-HR: ",BDEGENER[[#This Row],[KW-HORA]],"
VOLT.BATERIA: ",BDEGENER[[#This Row],[VOLTAJE DE BATERIA]],"
TEMPERATURA: ",BDEGENER[[#This Row],[TEMPERATURA DE AGUA]],"
PRES. ACEITE: ",BDEGENER[[#This Row],[PRESION DE ACEITE]])</f>
        <v>HORAS: 1555,3
KW-HR: 37588
VOLT.BATERIA: 13.7 V
TEMPERATURA: 195 °F
PRES. ACEITE: 52 PSI</v>
      </c>
      <c r="AV410" s="683">
        <f>COUNTIFS(Q410:Q2410,"MANTENIMIENTO CORRECTIVO",Y410:Y2410,BDEGENER[[#This Row],[SERIE]])</f>
        <v>5</v>
      </c>
      <c r="AW410" s="683">
        <f>COUNTIFS(Q410:Q2410,"MANTENIMIENTO PREVENTIVO",Y410:Y2410,BDEGENER[[#This Row],[SERIE]])</f>
        <v>5</v>
      </c>
      <c r="AX41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10" s="683">
        <f>COUNTIFS(BDEGENER[SERIE],BDEGENER[[#This Row],[SERIE]],BDEGENER[TIPO DE SERVICIO],"MANTENIMIENTO PREVENTIVO")</f>
        <v>8</v>
      </c>
      <c r="AZ410" s="683" t="str">
        <f>CONCATENATE("MANTENIMIENTO PREVENTIVO N°",BDEGENER[[#This Row],[GA1]])</f>
        <v>MANTENIMIENTO PREVENTIVO N°8</v>
      </c>
      <c r="BA410" s="683" t="str">
        <f>IF(BDEGENER[[#This Row],[SERVICIO]]=BDEGENER[[#This Row],[GA2]],BDEGENER[[#This Row],[HORAS]],"0")</f>
        <v>0</v>
      </c>
      <c r="BB410" s="683">
        <f>SUMIF(BDEGENER[SERIE],BDEGENER[[#This Row],[SERIE]],BDEGENER[GA3])</f>
        <v>2271.8000000000002</v>
      </c>
      <c r="BC410" s="683" t="str">
        <f>CONCATENATE("MANT",COUNTIF($Y$7:Y410,Y410))</f>
        <v>MANT7</v>
      </c>
      <c r="BD410" s="683" t="str">
        <f>CONCATENATE(BDEGENER[[#This Row],[SERIE]],BDEGENER[[#This Row],[GA5]])</f>
        <v>3004327724MANT7</v>
      </c>
      <c r="BE410" s="683" t="str">
        <f>CONCATENATE(BDEGENER[[#This Row],[CODIGO PATRIMONIAL]],BDEGENER[[#This Row],[GA5]])</f>
        <v>MANT7</v>
      </c>
      <c r="BF410" s="683">
        <f>COUNTIF(BDEGENER[SERIE],BDEGENER[[#This Row],[SERIE]])</f>
        <v>17</v>
      </c>
      <c r="BG410" s="683" t="str">
        <f>CONCATENATE("F",COUNTIF($K$7:K410,K410))</f>
        <v>F1</v>
      </c>
      <c r="BH410" s="683" t="str">
        <f>CONCATENATE(BDEGENER[[#This Row],[FECHA DE SERVICIO]],BDEGENER[[#This Row],[N° DE REGISTROS DEL DIA]])</f>
        <v>43991F1</v>
      </c>
      <c r="BI410" s="684">
        <v>37588</v>
      </c>
      <c r="BJ410" s="683" t="s">
        <v>1544</v>
      </c>
      <c r="BK410" s="736" t="s">
        <v>2536</v>
      </c>
    </row>
    <row r="411" spans="2:63" ht="69" x14ac:dyDescent="0.3">
      <c r="B411" s="2"/>
      <c r="C411" s="2"/>
      <c r="D411" s="2"/>
      <c r="E411" s="2"/>
      <c r="F411" s="2"/>
      <c r="G411" s="2"/>
      <c r="H411" s="2"/>
      <c r="I411" s="2"/>
      <c r="J411" s="685"/>
      <c r="K411" s="682">
        <v>43991</v>
      </c>
      <c r="L411" s="683" t="s">
        <v>181</v>
      </c>
      <c r="M411" s="683" t="s">
        <v>186</v>
      </c>
      <c r="N411" s="683" t="s">
        <v>1982</v>
      </c>
      <c r="O411" s="683">
        <v>4500853877</v>
      </c>
      <c r="P411" s="688" t="s">
        <v>2530</v>
      </c>
      <c r="Q411" s="683" t="s">
        <v>37</v>
      </c>
      <c r="R411" s="683" t="s">
        <v>1782</v>
      </c>
      <c r="S411" s="686" t="s">
        <v>2531</v>
      </c>
      <c r="T411" s="683" t="s">
        <v>2532</v>
      </c>
      <c r="U411" s="683" t="s">
        <v>124</v>
      </c>
      <c r="V411" s="683" t="s">
        <v>148</v>
      </c>
      <c r="W411" s="683" t="s">
        <v>914</v>
      </c>
      <c r="X411" s="691" t="s">
        <v>918</v>
      </c>
      <c r="Y411" s="687">
        <v>3004336198</v>
      </c>
      <c r="Z411" s="692"/>
      <c r="AA411" s="683" t="s">
        <v>33</v>
      </c>
      <c r="AB411" s="683" t="s">
        <v>34</v>
      </c>
      <c r="AC411" s="683" t="s">
        <v>230</v>
      </c>
      <c r="AD411" s="683" t="s">
        <v>2065</v>
      </c>
      <c r="AE411" s="683">
        <v>60.1</v>
      </c>
      <c r="AF411" s="684">
        <v>1664.3</v>
      </c>
      <c r="AG411" s="683" t="s">
        <v>243</v>
      </c>
      <c r="AH411" s="683" t="s">
        <v>220</v>
      </c>
      <c r="AI411" s="683" t="s">
        <v>33</v>
      </c>
      <c r="AJ411" s="683">
        <v>3004345803</v>
      </c>
      <c r="AK411" s="683" t="s">
        <v>33</v>
      </c>
      <c r="AL411" s="683"/>
      <c r="AM411" s="683" t="s">
        <v>1121</v>
      </c>
      <c r="AN411" s="683" t="s">
        <v>2535</v>
      </c>
      <c r="AO411" s="683" t="s">
        <v>1153</v>
      </c>
      <c r="AP411" s="683" t="s">
        <v>240</v>
      </c>
      <c r="AQ411" s="688" t="str">
        <f>CONCATENATE("REG-",BDEGENER[[#This Row],[FECHA DE SERVICIO]],"-",BDEGENER[[#This Row],[SERIE]],"-",BDEGENER[[#This Row],[HORAS]])</f>
        <v>REG-43991-3004336198-1664,3</v>
      </c>
      <c r="AR411" s="683" t="str">
        <f>CONCATENATE("MARCA: ",BDEGENER[[#This Row],[MARCA]],"
 MODELO: ",BDEGENER[[#This Row],[MODELO]])</f>
        <v>MARCA: GENERAC
 MODELO: PG090</v>
      </c>
      <c r="AS411" s="683" t="str">
        <f>CONCATENATE("MARCA: ",BDEGENER[[#This Row],[MARCA DE MOTOR]],"
SERIE: ",BDEGENER[[#This Row],[SERIE DE MOTOR]])</f>
        <v>MARCA: GENERAC
SERIE: 3004345803</v>
      </c>
      <c r="AT411" s="683" t="str">
        <f>CONCATENATE("MARCA: ",BDEGENER[[#This Row],[MARCA ALTERNADOR ]],"
SERIE: ",BDEGENER[[#This Row],[SERIE DE ALTERNADOR]])</f>
        <v xml:space="preserve">MARCA: GENERAC
SERIE: </v>
      </c>
      <c r="AU411" s="683" t="str">
        <f>CONCATENATE("HORAS: ",BDEGENER[[#This Row],[HORAS]],"
KW-HR: ",BDEGENER[[#This Row],[KW-HORA]],"
VOLT.BATERIA: ",BDEGENER[[#This Row],[VOLTAJE DE BATERIA]],"
TEMPERATURA: ",BDEGENER[[#This Row],[TEMPERATURA DE AGUA]],"
PRES. ACEITE: ",BDEGENER[[#This Row],[PRESION DE ACEITE]])</f>
        <v>HORAS: 1664,3
KW-HR: 38750,3
VOLT.BATERIA: 13.7 V
TEMPERATURA: 176 °F
PRES. ACEITE: 45 PSI</v>
      </c>
      <c r="AV411" s="683">
        <f>COUNTIFS(Q411:Q2411,"MANTENIMIENTO CORRECTIVO",Y411:Y2411,BDEGENER[[#This Row],[SERIE]])</f>
        <v>1</v>
      </c>
      <c r="AW411" s="683">
        <f>COUNTIFS(Q411:Q2411,"MANTENIMIENTO PREVENTIVO",Y411:Y2411,BDEGENER[[#This Row],[SERIE]])</f>
        <v>5</v>
      </c>
      <c r="AX41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11" s="683">
        <f>COUNTIFS(BDEGENER[SERIE],BDEGENER[[#This Row],[SERIE]],BDEGENER[TIPO DE SERVICIO],"MANTENIMIENTO PREVENTIVO")</f>
        <v>7</v>
      </c>
      <c r="AZ411" s="683" t="str">
        <f>CONCATENATE("MANTENIMIENTO PREVENTIVO N°",BDEGENER[[#This Row],[GA1]])</f>
        <v>MANTENIMIENTO PREVENTIVO N°7</v>
      </c>
      <c r="BA411" s="683" t="str">
        <f>IF(BDEGENER[[#This Row],[SERVICIO]]=BDEGENER[[#This Row],[GA2]],BDEGENER[[#This Row],[HORAS]],"0")</f>
        <v>0</v>
      </c>
      <c r="BB411" s="683">
        <f>SUMIF(BDEGENER[SERIE],BDEGENER[[#This Row],[SERIE]],BDEGENER[GA3])</f>
        <v>2049.3000000000002</v>
      </c>
      <c r="BC411" s="683" t="str">
        <f>CONCATENATE("MANT",COUNTIF($Y$7:Y411,Y411))</f>
        <v>MANT6</v>
      </c>
      <c r="BD411" s="683" t="str">
        <f>CONCATENATE(BDEGENER[[#This Row],[SERIE]],BDEGENER[[#This Row],[GA5]])</f>
        <v>3004336198MANT6</v>
      </c>
      <c r="BE411" s="683" t="str">
        <f>CONCATENATE(BDEGENER[[#This Row],[CODIGO PATRIMONIAL]],BDEGENER[[#This Row],[GA5]])</f>
        <v>MANT6</v>
      </c>
      <c r="BF411" s="683">
        <f>COUNTIF(BDEGENER[SERIE],BDEGENER[[#This Row],[SERIE]])</f>
        <v>12</v>
      </c>
      <c r="BG411" s="683" t="str">
        <f>CONCATENATE("F",COUNTIF($K$7:K411,K411))</f>
        <v>F2</v>
      </c>
      <c r="BH411" s="683" t="str">
        <f>CONCATENATE(BDEGENER[[#This Row],[FECHA DE SERVICIO]],BDEGENER[[#This Row],[N° DE REGISTROS DEL DIA]])</f>
        <v>43991F2</v>
      </c>
      <c r="BI411" s="684">
        <v>38750.300000000003</v>
      </c>
      <c r="BJ411" s="683" t="s">
        <v>1544</v>
      </c>
      <c r="BK411" s="736" t="s">
        <v>2414</v>
      </c>
    </row>
    <row r="412" spans="2:63" ht="69" hidden="1" x14ac:dyDescent="0.3">
      <c r="B412" s="2"/>
      <c r="C412" s="2"/>
      <c r="D412" s="2"/>
      <c r="E412" s="2"/>
      <c r="F412" s="2"/>
      <c r="G412" s="2"/>
      <c r="H412" s="2"/>
      <c r="I412" s="2"/>
      <c r="J412" s="685"/>
      <c r="K412" s="682">
        <v>43991</v>
      </c>
      <c r="L412" s="683" t="s">
        <v>181</v>
      </c>
      <c r="M412" s="683" t="s">
        <v>186</v>
      </c>
      <c r="N412" s="85" t="s">
        <v>1982</v>
      </c>
      <c r="O412" s="683">
        <v>4500853877</v>
      </c>
      <c r="P412" s="9" t="s">
        <v>2530</v>
      </c>
      <c r="Q412" s="683" t="s">
        <v>37</v>
      </c>
      <c r="R412" s="683" t="s">
        <v>1782</v>
      </c>
      <c r="S412" s="686" t="s">
        <v>2531</v>
      </c>
      <c r="T412" s="683" t="s">
        <v>2532</v>
      </c>
      <c r="U412" s="683" t="s">
        <v>124</v>
      </c>
      <c r="V412" s="683" t="s">
        <v>148</v>
      </c>
      <c r="W412" s="683" t="s">
        <v>914</v>
      </c>
      <c r="X412" s="691" t="s">
        <v>918</v>
      </c>
      <c r="Y412" s="687">
        <v>3004327722</v>
      </c>
      <c r="Z412" s="692"/>
      <c r="AA412" s="683" t="s">
        <v>33</v>
      </c>
      <c r="AB412" s="683" t="s">
        <v>34</v>
      </c>
      <c r="AC412" s="683" t="s">
        <v>230</v>
      </c>
      <c r="AD412" s="683" t="s">
        <v>1993</v>
      </c>
      <c r="AE412" s="683">
        <v>60.1</v>
      </c>
      <c r="AF412" s="684">
        <v>1342</v>
      </c>
      <c r="AG412" s="683" t="s">
        <v>243</v>
      </c>
      <c r="AH412" s="683" t="s">
        <v>220</v>
      </c>
      <c r="AI412" s="683" t="s">
        <v>33</v>
      </c>
      <c r="AJ412" s="683">
        <v>3004346816</v>
      </c>
      <c r="AK412" s="683" t="s">
        <v>33</v>
      </c>
      <c r="AL412" s="683"/>
      <c r="AM412" s="683" t="s">
        <v>245</v>
      </c>
      <c r="AN412" s="683" t="s">
        <v>2533</v>
      </c>
      <c r="AO412" s="683" t="s">
        <v>1144</v>
      </c>
      <c r="AP412" s="683" t="s">
        <v>240</v>
      </c>
      <c r="AQ412" s="688" t="str">
        <f>CONCATENATE("REG-",BDEGENER[[#This Row],[FECHA DE SERVICIO]],"-",BDEGENER[[#This Row],[SERIE]],"-",BDEGENER[[#This Row],[HORAS]])</f>
        <v>REG-43991-3004327722-1342</v>
      </c>
      <c r="AR412" s="683" t="str">
        <f>CONCATENATE("MARCA: ",BDEGENER[[#This Row],[MARCA]],"
 MODELO: ",BDEGENER[[#This Row],[MODELO]])</f>
        <v>MARCA: GENERAC
 MODELO: PG090</v>
      </c>
      <c r="AS412" s="683" t="str">
        <f>CONCATENATE("MARCA: ",BDEGENER[[#This Row],[MARCA DE MOTOR]],"
SERIE: ",BDEGENER[[#This Row],[SERIE DE MOTOR]])</f>
        <v>MARCA: GENERAC
SERIE: 3004346816</v>
      </c>
      <c r="AT412" s="683" t="str">
        <f>CONCATENATE("MARCA: ",BDEGENER[[#This Row],[MARCA ALTERNADOR ]],"
SERIE: ",BDEGENER[[#This Row],[SERIE DE ALTERNADOR]])</f>
        <v xml:space="preserve">MARCA: GENERAC
SERIE: </v>
      </c>
      <c r="AU412" s="683" t="str">
        <f>CONCATENATE("HORAS: ",BDEGENER[[#This Row],[HORAS]],"
KW-HR: ",BDEGENER[[#This Row],[KW-HORA]],"
VOLT.BATERIA: ",BDEGENER[[#This Row],[VOLTAJE DE BATERIA]],"
TEMPERATURA: ",BDEGENER[[#This Row],[TEMPERATURA DE AGUA]],"
PRES. ACEITE: ",BDEGENER[[#This Row],[PRESION DE ACEITE]])</f>
        <v>HORAS: 1342
KW-HR: 33068,7
VOLT.BATERIA: 13.6 V
TEMPERATURA: 152 °F
PRES. ACEITE: 59 PSI</v>
      </c>
      <c r="AV412" s="761">
        <f>COUNTIFS(Q412:Q2412,"MANTENIMIENTO CORRECTIVO",Y412:Y2412,BDEGENER[[#This Row],[SERIE]])</f>
        <v>1</v>
      </c>
      <c r="AW412" s="761">
        <f>COUNTIFS(Q412:Q2412,"MANTENIMIENTO PREVENTIVO",Y412:Y2412,BDEGENER[[#This Row],[SERIE]])</f>
        <v>5</v>
      </c>
      <c r="AX41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12" s="683">
        <f>COUNTIFS(BDEGENER[SERIE],BDEGENER[[#This Row],[SERIE]],BDEGENER[TIPO DE SERVICIO],"MANTENIMIENTO PREVENTIVO")</f>
        <v>8</v>
      </c>
      <c r="AZ412" s="683" t="str">
        <f>CONCATENATE("MANTENIMIENTO PREVENTIVO N°",BDEGENER[[#This Row],[GA1]])</f>
        <v>MANTENIMIENTO PREVENTIVO N°8</v>
      </c>
      <c r="BA412" s="683" t="str">
        <f>IF(BDEGENER[[#This Row],[SERVICIO]]=BDEGENER[[#This Row],[GA2]],BDEGENER[[#This Row],[HORAS]],"0")</f>
        <v>0</v>
      </c>
      <c r="BB412" s="683">
        <f>SUMIF(BDEGENER[SERIE],BDEGENER[[#This Row],[SERIE]],BDEGENER[GA3])</f>
        <v>2102.5</v>
      </c>
      <c r="BC412" s="761" t="str">
        <f>CONCATENATE("MANT",COUNTIF($Y$7:Y412,Y412))</f>
        <v>MANT4</v>
      </c>
      <c r="BD412" s="683" t="str">
        <f>CONCATENATE(BDEGENER[[#This Row],[SERIE]],BDEGENER[[#This Row],[GA5]])</f>
        <v>3004327722MANT4</v>
      </c>
      <c r="BE412" s="683" t="str">
        <f>CONCATENATE(BDEGENER[[#This Row],[CODIGO PATRIMONIAL]],BDEGENER[[#This Row],[GA5]])</f>
        <v>MANT4</v>
      </c>
      <c r="BF412" s="683">
        <f>COUNTIF(BDEGENER[SERIE],BDEGENER[[#This Row],[SERIE]])</f>
        <v>10</v>
      </c>
      <c r="BG412" s="761" t="str">
        <f>CONCATENATE("F",COUNTIF($K$7:K412,K412))</f>
        <v>F3</v>
      </c>
      <c r="BH412" s="683" t="str">
        <f>CONCATENATE(BDEGENER[[#This Row],[FECHA DE SERVICIO]],BDEGENER[[#This Row],[N° DE REGISTROS DEL DIA]])</f>
        <v>43991F3</v>
      </c>
      <c r="BI412" s="684">
        <v>33068.699999999997</v>
      </c>
      <c r="BJ412" s="683" t="s">
        <v>1544</v>
      </c>
      <c r="BK412" s="736" t="s">
        <v>2534</v>
      </c>
    </row>
    <row r="413" spans="2:63" ht="69" hidden="1" x14ac:dyDescent="0.3">
      <c r="B413" s="2"/>
      <c r="C413" s="2"/>
      <c r="D413" s="2"/>
      <c r="E413" s="2"/>
      <c r="F413" s="2"/>
      <c r="G413" s="2"/>
      <c r="H413" s="2"/>
      <c r="I413" s="2"/>
      <c r="J413" s="685"/>
      <c r="K413" s="682">
        <v>43990</v>
      </c>
      <c r="L413" s="683" t="s">
        <v>561</v>
      </c>
      <c r="M413" s="683" t="s">
        <v>2558</v>
      </c>
      <c r="N413" s="85" t="s">
        <v>586</v>
      </c>
      <c r="O413" s="683"/>
      <c r="P413" s="85"/>
      <c r="Q413" s="683" t="s">
        <v>37</v>
      </c>
      <c r="R413" s="683" t="s">
        <v>1782</v>
      </c>
      <c r="S413" s="686" t="s">
        <v>2560</v>
      </c>
      <c r="T413" s="683" t="s">
        <v>2559</v>
      </c>
      <c r="U413" s="683" t="s">
        <v>2488</v>
      </c>
      <c r="V413" s="683" t="s">
        <v>149</v>
      </c>
      <c r="W413" s="683" t="s">
        <v>914</v>
      </c>
      <c r="X413" s="691" t="s">
        <v>918</v>
      </c>
      <c r="Y413" s="687">
        <v>3003932245</v>
      </c>
      <c r="Z413" s="692" t="s">
        <v>2617</v>
      </c>
      <c r="AA413" s="683" t="s">
        <v>33</v>
      </c>
      <c r="AB413" s="683" t="s">
        <v>34</v>
      </c>
      <c r="AC413" s="683" t="s">
        <v>235</v>
      </c>
      <c r="AD413" s="683" t="s">
        <v>1123</v>
      </c>
      <c r="AE413" s="683">
        <v>60</v>
      </c>
      <c r="AF413" s="684">
        <v>4698.2</v>
      </c>
      <c r="AG413" s="683" t="s">
        <v>243</v>
      </c>
      <c r="AH413" s="683" t="s">
        <v>220</v>
      </c>
      <c r="AI413" s="683" t="s">
        <v>33</v>
      </c>
      <c r="AJ413" s="683">
        <v>3003963173</v>
      </c>
      <c r="AK413" s="683" t="s">
        <v>33</v>
      </c>
      <c r="AL413" s="683"/>
      <c r="AM413" s="683" t="s">
        <v>1157</v>
      </c>
      <c r="AN413" s="683" t="s">
        <v>2533</v>
      </c>
      <c r="AO413" s="683" t="s">
        <v>1095</v>
      </c>
      <c r="AP413" s="683" t="s">
        <v>240</v>
      </c>
      <c r="AQ413" s="688" t="str">
        <f>CONCATENATE("REG-",BDEGENER[[#This Row],[FECHA DE SERVICIO]],"-",BDEGENER[[#This Row],[SERIE]],"-",BDEGENER[[#This Row],[HORAS]])</f>
        <v>REG-43990-3003932245-4698,2</v>
      </c>
      <c r="AR413" s="683" t="str">
        <f>CONCATENATE("MARCA: ",BDEGENER[[#This Row],[MARCA]],"
 MODELO: ",BDEGENER[[#This Row],[MODELO]])</f>
        <v>MARCA: GENERAC
 MODELO: PG090</v>
      </c>
      <c r="AS413" s="683" t="str">
        <f>CONCATENATE("MARCA: ",BDEGENER[[#This Row],[MARCA DE MOTOR]],"
SERIE: ",BDEGENER[[#This Row],[SERIE DE MOTOR]])</f>
        <v>MARCA: GENERAC
SERIE: 3003963173</v>
      </c>
      <c r="AT413" s="683" t="str">
        <f>CONCATENATE("MARCA: ",BDEGENER[[#This Row],[MARCA ALTERNADOR ]],"
SERIE: ",BDEGENER[[#This Row],[SERIE DE ALTERNADOR]])</f>
        <v xml:space="preserve">MARCA: GENERAC
SERIE: </v>
      </c>
      <c r="AU413" s="683" t="str">
        <f>CONCATENATE("HORAS: ",BDEGENER[[#This Row],[HORAS]],"
KW-HR: ",BDEGENER[[#This Row],[KW-HORA]],"
VOLT.BATERIA: ",BDEGENER[[#This Row],[VOLTAJE DE BATERIA]],"
TEMPERATURA: ",BDEGENER[[#This Row],[TEMPERATURA DE AGUA]],"
PRES. ACEITE: ",BDEGENER[[#This Row],[PRESION DE ACEITE]])</f>
        <v>HORAS: 4698,2
KW-HR: 144472
VOLT.BATERIA: 13.9 V
TEMPERATURA: 152 °F
PRES. ACEITE: 54 PSI</v>
      </c>
      <c r="AV413" s="683">
        <f>COUNTIFS(Q413:Q2413,"MANTENIMIENTO CORRECTIVO",Y413:Y2413,BDEGENER[[#This Row],[SERIE]])</f>
        <v>0</v>
      </c>
      <c r="AW413" s="683">
        <f>COUNTIFS(Q413:Q2413,"MANTENIMIENTO PREVENTIVO",Y413:Y2413,BDEGENER[[#This Row],[SERIE]])</f>
        <v>4</v>
      </c>
      <c r="AX41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13" s="683">
        <f>COUNTIFS(BDEGENER[SERIE],BDEGENER[[#This Row],[SERIE]],BDEGENER[TIPO DE SERVICIO],"MANTENIMIENTO PREVENTIVO")</f>
        <v>9</v>
      </c>
      <c r="AZ413" s="683" t="str">
        <f>CONCATENATE("MANTENIMIENTO PREVENTIVO N°",BDEGENER[[#This Row],[GA1]])</f>
        <v>MANTENIMIENTO PREVENTIVO N°9</v>
      </c>
      <c r="BA413" s="683" t="str">
        <f>IF(BDEGENER[[#This Row],[SERVICIO]]=BDEGENER[[#This Row],[GA2]],BDEGENER[[#This Row],[HORAS]],"0")</f>
        <v>0</v>
      </c>
      <c r="BB413" s="683">
        <f>SUMIF(BDEGENER[SERIE],BDEGENER[[#This Row],[SERIE]],BDEGENER[GA3])</f>
        <v>6582.8</v>
      </c>
      <c r="BC413" s="683" t="str">
        <f>CONCATENATE("MANT",COUNTIF($Y$7:Y413,Y413))</f>
        <v>MANT7</v>
      </c>
      <c r="BD413" s="683" t="str">
        <f>CONCATENATE(BDEGENER[[#This Row],[SERIE]],BDEGENER[[#This Row],[GA5]])</f>
        <v>3003932245MANT7</v>
      </c>
      <c r="BE413" s="683" t="str">
        <f>CONCATENATE(BDEGENER[[#This Row],[CODIGO PATRIMONIAL]],BDEGENER[[#This Row],[GA5]])</f>
        <v>NOR-GEG-0019MANT7</v>
      </c>
      <c r="BF413" s="683">
        <f>COUNTIF(BDEGENER[SERIE],BDEGENER[[#This Row],[SERIE]])</f>
        <v>10</v>
      </c>
      <c r="BG413" s="683" t="str">
        <f>CONCATENATE("F",COUNTIF($K$7:K413,K413))</f>
        <v>F1</v>
      </c>
      <c r="BH413" s="683" t="str">
        <f>CONCATENATE(BDEGENER[[#This Row],[FECHA DE SERVICIO]],BDEGENER[[#This Row],[N° DE REGISTROS DEL DIA]])</f>
        <v>43990F1</v>
      </c>
      <c r="BI413" s="684">
        <v>144472</v>
      </c>
      <c r="BJ413" s="683" t="s">
        <v>1544</v>
      </c>
      <c r="BK413" s="736"/>
    </row>
    <row r="414" spans="2:63" ht="69" hidden="1" x14ac:dyDescent="0.3">
      <c r="B414" s="2"/>
      <c r="C414" s="2"/>
      <c r="D414" s="2"/>
      <c r="E414" s="2"/>
      <c r="F414" s="2"/>
      <c r="G414" s="2"/>
      <c r="H414" s="2"/>
      <c r="I414" s="2"/>
      <c r="J414" s="685"/>
      <c r="K414" s="682">
        <v>43990</v>
      </c>
      <c r="L414" s="683" t="s">
        <v>561</v>
      </c>
      <c r="M414" s="683" t="s">
        <v>2554</v>
      </c>
      <c r="N414" s="683" t="s">
        <v>586</v>
      </c>
      <c r="O414" s="683"/>
      <c r="P414" s="683"/>
      <c r="Q414" s="683" t="s">
        <v>37</v>
      </c>
      <c r="R414" s="683" t="s">
        <v>1782</v>
      </c>
      <c r="S414" s="686" t="s">
        <v>2555</v>
      </c>
      <c r="T414" s="683" t="s">
        <v>2557</v>
      </c>
      <c r="U414" s="683" t="s">
        <v>2488</v>
      </c>
      <c r="V414" s="683" t="s">
        <v>149</v>
      </c>
      <c r="W414" s="683" t="s">
        <v>914</v>
      </c>
      <c r="X414" s="691" t="s">
        <v>918</v>
      </c>
      <c r="Y414" s="687">
        <v>3003566701</v>
      </c>
      <c r="Z414" s="692" t="s">
        <v>2616</v>
      </c>
      <c r="AA414" s="683" t="s">
        <v>33</v>
      </c>
      <c r="AB414" s="683" t="s">
        <v>34</v>
      </c>
      <c r="AC414" s="740" t="s">
        <v>230</v>
      </c>
      <c r="AD414" s="683" t="s">
        <v>1123</v>
      </c>
      <c r="AE414" s="683">
        <v>60</v>
      </c>
      <c r="AF414" s="684">
        <v>4286.6000000000004</v>
      </c>
      <c r="AG414" s="683" t="s">
        <v>1413</v>
      </c>
      <c r="AH414" s="683" t="s">
        <v>220</v>
      </c>
      <c r="AI414" s="683" t="s">
        <v>33</v>
      </c>
      <c r="AJ414" s="683">
        <v>3003430313</v>
      </c>
      <c r="AK414" s="683" t="s">
        <v>33</v>
      </c>
      <c r="AL414" s="683"/>
      <c r="AM414" s="683" t="s">
        <v>2319</v>
      </c>
      <c r="AN414" s="683" t="s">
        <v>2556</v>
      </c>
      <c r="AO414" s="683" t="s">
        <v>1103</v>
      </c>
      <c r="AP414" s="683" t="s">
        <v>240</v>
      </c>
      <c r="AQ414" s="688" t="str">
        <f>CONCATENATE("REG-",BDEGENER[[#This Row],[FECHA DE SERVICIO]],"-",BDEGENER[[#This Row],[SERIE]],"-",BDEGENER[[#This Row],[HORAS]])</f>
        <v>REG-43990-3003566701-4286,6</v>
      </c>
      <c r="AR414" s="683" t="str">
        <f>CONCATENATE("MARCA: ",BDEGENER[[#This Row],[MARCA]],"
 MODELO: ",BDEGENER[[#This Row],[MODELO]])</f>
        <v>MARCA: GENERAC
 MODELO: PG090</v>
      </c>
      <c r="AS414" s="683" t="str">
        <f>CONCATENATE("MARCA: ",BDEGENER[[#This Row],[MARCA DE MOTOR]],"
SERIE: ",BDEGENER[[#This Row],[SERIE DE MOTOR]])</f>
        <v>MARCA: GENERAC
SERIE: 3003430313</v>
      </c>
      <c r="AT414" s="683" t="str">
        <f>CONCATENATE("MARCA: ",BDEGENER[[#This Row],[MARCA ALTERNADOR ]],"
SERIE: ",BDEGENER[[#This Row],[SERIE DE ALTERNADOR]])</f>
        <v xml:space="preserve">MARCA: GENERAC
SERIE: </v>
      </c>
      <c r="AU414" s="683" t="str">
        <f>CONCATENATE("HORAS: ",BDEGENER[[#This Row],[HORAS]],"
KW-HR: ",BDEGENER[[#This Row],[KW-HORA]],"
VOLT.BATERIA: ",BDEGENER[[#This Row],[VOLTAJE DE BATERIA]],"
TEMPERATURA: ",BDEGENER[[#This Row],[TEMPERATURA DE AGUA]],"
PRES. ACEITE: ",BDEGENER[[#This Row],[PRESION DE ACEITE]])</f>
        <v>HORAS: 4286,6
KW-HR: 91664,7
VOLT.BATERIA: 14.3 V
TEMPERATURA: 159 °F
PRES. ACEITE: 52 PSI</v>
      </c>
      <c r="AV414" s="683">
        <f>COUNTIFS(Q414:Q2414,"MANTENIMIENTO CORRECTIVO",Y414:Y2414,BDEGENER[[#This Row],[SERIE]])</f>
        <v>0</v>
      </c>
      <c r="AW414" s="683">
        <f>COUNTIFS(Q414:Q2414,"MANTENIMIENTO PREVENTIVO",Y414:Y2414,BDEGENER[[#This Row],[SERIE]])</f>
        <v>5</v>
      </c>
      <c r="AX41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14" s="683">
        <f>COUNTIFS(BDEGENER[SERIE],BDEGENER[[#This Row],[SERIE]],BDEGENER[TIPO DE SERVICIO],"MANTENIMIENTO PREVENTIVO")</f>
        <v>9</v>
      </c>
      <c r="AZ414" s="683" t="str">
        <f>CONCATENATE("MANTENIMIENTO PREVENTIVO N°",BDEGENER[[#This Row],[GA1]])</f>
        <v>MANTENIMIENTO PREVENTIVO N°9</v>
      </c>
      <c r="BA414" s="683" t="str">
        <f>IF(BDEGENER[[#This Row],[SERVICIO]]=BDEGENER[[#This Row],[GA2]],BDEGENER[[#This Row],[HORAS]],"0")</f>
        <v>0</v>
      </c>
      <c r="BB414" s="683">
        <f>SUMIF(BDEGENER[SERIE],BDEGENER[[#This Row],[SERIE]],BDEGENER[GA3])</f>
        <v>5274.9</v>
      </c>
      <c r="BC414" s="683" t="str">
        <f>CONCATENATE("MANT",COUNTIF($Y$7:Y414,Y414))</f>
        <v>MANT6</v>
      </c>
      <c r="BD414" s="683" t="str">
        <f>CONCATENATE(BDEGENER[[#This Row],[SERIE]],BDEGENER[[#This Row],[GA5]])</f>
        <v>3003566701MANT6</v>
      </c>
      <c r="BE414" s="683" t="str">
        <f>CONCATENATE(BDEGENER[[#This Row],[CODIGO PATRIMONIAL]],BDEGENER[[#This Row],[GA5]])</f>
        <v>NOR-GEG-0018MANT6</v>
      </c>
      <c r="BF414" s="683">
        <f>COUNTIF(BDEGENER[SERIE],BDEGENER[[#This Row],[SERIE]])</f>
        <v>10</v>
      </c>
      <c r="BG414" s="683" t="str">
        <f>CONCATENATE("F",COUNTIF($K$7:K414,K414))</f>
        <v>F2</v>
      </c>
      <c r="BH414" s="683" t="str">
        <f>CONCATENATE(BDEGENER[[#This Row],[FECHA DE SERVICIO]],BDEGENER[[#This Row],[N° DE REGISTROS DEL DIA]])</f>
        <v>43990F2</v>
      </c>
      <c r="BI414" s="684">
        <v>91664.7</v>
      </c>
      <c r="BJ414" s="683" t="s">
        <v>1544</v>
      </c>
      <c r="BK414" s="736"/>
    </row>
    <row r="415" spans="2:63" ht="69" hidden="1" x14ac:dyDescent="0.3">
      <c r="B415" s="2"/>
      <c r="C415" s="2"/>
      <c r="D415" s="2"/>
      <c r="E415" s="2"/>
      <c r="F415" s="2"/>
      <c r="G415" s="2"/>
      <c r="H415" s="2"/>
      <c r="I415" s="2"/>
      <c r="J415" s="685"/>
      <c r="K415" s="682">
        <v>43990</v>
      </c>
      <c r="L415" s="683" t="s">
        <v>248</v>
      </c>
      <c r="M415" s="683" t="s">
        <v>2226</v>
      </c>
      <c r="N415" s="683" t="s">
        <v>2230</v>
      </c>
      <c r="O415" s="683"/>
      <c r="P415" s="688" t="s">
        <v>2537</v>
      </c>
      <c r="Q415" s="683" t="s">
        <v>37</v>
      </c>
      <c r="R415" s="683" t="s">
        <v>1782</v>
      </c>
      <c r="S415" s="686" t="s">
        <v>2538</v>
      </c>
      <c r="T415" s="683" t="s">
        <v>2540</v>
      </c>
      <c r="U415" s="683" t="s">
        <v>2539</v>
      </c>
      <c r="V415" s="683" t="s">
        <v>149</v>
      </c>
      <c r="W415" s="683" t="s">
        <v>914</v>
      </c>
      <c r="X415" s="691" t="s">
        <v>917</v>
      </c>
      <c r="Y415" s="687">
        <v>3002933964</v>
      </c>
      <c r="Z415" s="692"/>
      <c r="AA415" s="683" t="s">
        <v>33</v>
      </c>
      <c r="AB415" s="683" t="s">
        <v>1446</v>
      </c>
      <c r="AC415" s="683" t="s">
        <v>1445</v>
      </c>
      <c r="AD415" s="683" t="s">
        <v>1200</v>
      </c>
      <c r="AE415" s="683">
        <v>60.6</v>
      </c>
      <c r="AF415" s="684">
        <v>355.56</v>
      </c>
      <c r="AG415" s="683" t="s">
        <v>243</v>
      </c>
      <c r="AH415" s="683" t="s">
        <v>1946</v>
      </c>
      <c r="AI415" s="683" t="s">
        <v>844</v>
      </c>
      <c r="AJ415" s="683" t="s">
        <v>1951</v>
      </c>
      <c r="AK415" s="683" t="s">
        <v>1448</v>
      </c>
      <c r="AL415" s="683" t="s">
        <v>1952</v>
      </c>
      <c r="AM415" s="683" t="s">
        <v>1145</v>
      </c>
      <c r="AN415" s="683" t="s">
        <v>2542</v>
      </c>
      <c r="AO415" s="683" t="s">
        <v>2543</v>
      </c>
      <c r="AP415" s="683" t="s">
        <v>240</v>
      </c>
      <c r="AQ415" s="688" t="str">
        <f>CONCATENATE("REG-",BDEGENER[[#This Row],[FECHA DE SERVICIO]],"-",BDEGENER[[#This Row],[SERIE]],"-",BDEGENER[[#This Row],[HORAS]])</f>
        <v>REG-43990-3002933964-355,56</v>
      </c>
      <c r="AR415" s="683" t="str">
        <f>CONCATENATE("MARCA: ",BDEGENER[[#This Row],[MARCA]],"
 MODELO: ",BDEGENER[[#This Row],[MODELO]])</f>
        <v>MARCA: GENERAC
 MODELO: PLY125</v>
      </c>
      <c r="AS415" s="683" t="str">
        <f>CONCATENATE("MARCA: ",BDEGENER[[#This Row],[MARCA DE MOTOR]],"
SERIE: ",BDEGENER[[#This Row],[SERIE DE MOTOR]])</f>
        <v>MARCA: PERKINS
SERIE: PP71370U061051C</v>
      </c>
      <c r="AT415" s="683" t="str">
        <f>CONCATENATE("MARCA: ",BDEGENER[[#This Row],[MARCA ALTERNADOR ]],"
SERIE: ",BDEGENER[[#This Row],[SERIE DE ALTERNADOR]])</f>
        <v>MARCA: LEROY SOMER
SERIE: 346063/19</v>
      </c>
      <c r="AU415" s="683" t="str">
        <f>CONCATENATE("HORAS: ",BDEGENER[[#This Row],[HORAS]],"
KW-HR: ",BDEGENER[[#This Row],[KW-HORA]],"
VOLT.BATERIA: ",BDEGENER[[#This Row],[VOLTAJE DE BATERIA]],"
TEMPERATURA: ",BDEGENER[[#This Row],[TEMPERATURA DE AGUA]],"
PRES. ACEITE: ",BDEGENER[[#This Row],[PRESION DE ACEITE]])</f>
        <v>HORAS: 355,56
KW-HR: 
VOLT.BATERIA: 13.4 V
TEMPERATURA: 71 °C
PRES. ACEITE: 76 PSI</v>
      </c>
      <c r="AV415" s="761">
        <f>COUNTIFS(Q415:Q2415,"MANTENIMIENTO CORRECTIVO",Y415:Y2415,BDEGENER[[#This Row],[SERIE]])</f>
        <v>0</v>
      </c>
      <c r="AW415" s="761">
        <f>COUNTIFS(Q415:Q2415,"MANTENIMIENTO PREVENTIVO",Y415:Y2415,BDEGENER[[#This Row],[SERIE]])</f>
        <v>1</v>
      </c>
      <c r="AX41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415" s="683">
        <f>COUNTIFS(BDEGENER[SERIE],BDEGENER[[#This Row],[SERIE]],BDEGENER[TIPO DE SERVICIO],"MANTENIMIENTO PREVENTIVO")</f>
        <v>4</v>
      </c>
      <c r="AZ415" s="683" t="str">
        <f>CONCATENATE("MANTENIMIENTO PREVENTIVO N°",BDEGENER[[#This Row],[GA1]])</f>
        <v>MANTENIMIENTO PREVENTIVO N°4</v>
      </c>
      <c r="BA415" s="683" t="str">
        <f>IF(BDEGENER[[#This Row],[SERVICIO]]=BDEGENER[[#This Row],[GA2]],BDEGENER[[#This Row],[HORAS]],"0")</f>
        <v>0</v>
      </c>
      <c r="BB415" s="683">
        <f>SUMIF(BDEGENER[SERIE],BDEGENER[[#This Row],[SERIE]],BDEGENER[GA3])</f>
        <v>1609.45</v>
      </c>
      <c r="BC415" s="761" t="str">
        <f>CONCATENATE("MANT",COUNTIF($Y$7:Y415,Y415))</f>
        <v>MANT6</v>
      </c>
      <c r="BD415" s="683" t="str">
        <f>CONCATENATE(BDEGENER[[#This Row],[SERIE]],BDEGENER[[#This Row],[GA5]])</f>
        <v>3002933964MANT6</v>
      </c>
      <c r="BE415" s="683" t="str">
        <f>CONCATENATE(BDEGENER[[#This Row],[CODIGO PATRIMONIAL]],BDEGENER[[#This Row],[GA5]])</f>
        <v>MANT6</v>
      </c>
      <c r="BF415" s="683">
        <f>COUNTIF(BDEGENER[SERIE],BDEGENER[[#This Row],[SERIE]])</f>
        <v>8</v>
      </c>
      <c r="BG415" s="761" t="str">
        <f>CONCATENATE("F",COUNTIF($K$7:K415,K415))</f>
        <v>F3</v>
      </c>
      <c r="BH415" s="683" t="str">
        <f>CONCATENATE(BDEGENER[[#This Row],[FECHA DE SERVICIO]],BDEGENER[[#This Row],[N° DE REGISTROS DEL DIA]])</f>
        <v>43990F3</v>
      </c>
      <c r="BI415" s="684"/>
      <c r="BJ415" s="683" t="s">
        <v>1544</v>
      </c>
      <c r="BK415" s="736" t="s">
        <v>752</v>
      </c>
    </row>
    <row r="416" spans="2:63" ht="69" hidden="1" x14ac:dyDescent="0.3">
      <c r="B416" s="2"/>
      <c r="C416" s="2"/>
      <c r="D416" s="2"/>
      <c r="E416" s="2"/>
      <c r="F416" s="2"/>
      <c r="G416" s="2"/>
      <c r="H416" s="2"/>
      <c r="I416" s="2"/>
      <c r="J416" s="685"/>
      <c r="K416" s="763">
        <v>43990</v>
      </c>
      <c r="L416" s="761" t="s">
        <v>248</v>
      </c>
      <c r="M416" s="761" t="s">
        <v>2226</v>
      </c>
      <c r="N416" s="761" t="s">
        <v>2230</v>
      </c>
      <c r="O416" s="761"/>
      <c r="P416" s="769" t="s">
        <v>2537</v>
      </c>
      <c r="Q416" s="761" t="s">
        <v>37</v>
      </c>
      <c r="R416" s="761" t="s">
        <v>1782</v>
      </c>
      <c r="S416" s="765" t="s">
        <v>2538</v>
      </c>
      <c r="T416" s="761" t="s">
        <v>2540</v>
      </c>
      <c r="U416" s="761" t="s">
        <v>2539</v>
      </c>
      <c r="V416" s="761" t="s">
        <v>149</v>
      </c>
      <c r="W416" s="761" t="s">
        <v>914</v>
      </c>
      <c r="X416" s="761" t="s">
        <v>917</v>
      </c>
      <c r="Y416" s="766">
        <v>3002933963</v>
      </c>
      <c r="Z416" s="761" t="s">
        <v>159</v>
      </c>
      <c r="AA416" s="761" t="s">
        <v>33</v>
      </c>
      <c r="AB416" s="761" t="s">
        <v>1446</v>
      </c>
      <c r="AC416" s="761" t="s">
        <v>1445</v>
      </c>
      <c r="AD416" s="761" t="s">
        <v>1087</v>
      </c>
      <c r="AE416" s="761">
        <v>60</v>
      </c>
      <c r="AF416" s="764">
        <v>375.49</v>
      </c>
      <c r="AG416" s="761" t="s">
        <v>243</v>
      </c>
      <c r="AH416" s="761" t="s">
        <v>1946</v>
      </c>
      <c r="AI416" s="761" t="s">
        <v>844</v>
      </c>
      <c r="AJ416" s="761" t="s">
        <v>1947</v>
      </c>
      <c r="AK416" s="761" t="s">
        <v>1448</v>
      </c>
      <c r="AL416" s="761" t="s">
        <v>1948</v>
      </c>
      <c r="AM416" s="761" t="s">
        <v>1858</v>
      </c>
      <c r="AN416" s="761" t="s">
        <v>2434</v>
      </c>
      <c r="AO416" s="761" t="s">
        <v>2541</v>
      </c>
      <c r="AP416" s="761" t="s">
        <v>240</v>
      </c>
      <c r="AQ416" s="769" t="str">
        <f>CONCATENATE("REG-",BDEGENER[[#This Row],[FECHA DE SERVICIO]],"-",BDEGENER[[#This Row],[SERIE]],"-",BDEGENER[[#This Row],[HORAS]])</f>
        <v>REG-43990-3002933963-375,49</v>
      </c>
      <c r="AR416" s="761" t="str">
        <f>CONCATENATE("MARCA: ",BDEGENER[[#This Row],[MARCA]],"
 MODELO: ",BDEGENER[[#This Row],[MODELO]])</f>
        <v>MARCA: GENERAC
 MODELO: PLY125</v>
      </c>
      <c r="AS416" s="761" t="str">
        <f>CONCATENATE("MARCA: ",BDEGENER[[#This Row],[MARCA DE MOTOR]],"
SERIE: ",BDEGENER[[#This Row],[SERIE DE MOTOR]])</f>
        <v>MARCA: PERKINS
SERIE: PP71370U061050C</v>
      </c>
      <c r="AT416" s="761" t="str">
        <f>CONCATENATE("MARCA: ",BDEGENER[[#This Row],[MARCA ALTERNADOR ]],"
SERIE: ",BDEGENER[[#This Row],[SERIE DE ALTERNADOR]])</f>
        <v>MARCA: LEROY SOMER
SERIE: 346063/18</v>
      </c>
      <c r="AU416" s="761" t="str">
        <f>CONCATENATE("HORAS: ",BDEGENER[[#This Row],[HORAS]],"
KW-HR: ",BDEGENER[[#This Row],[KW-HORA]],"
VOLT.BATERIA: ",BDEGENER[[#This Row],[VOLTAJE DE BATERIA]],"
TEMPERATURA: ",BDEGENER[[#This Row],[TEMPERATURA DE AGUA]],"
PRES. ACEITE: ",BDEGENER[[#This Row],[PRESION DE ACEITE]])</f>
        <v>HORAS: 375,49
KW-HR: 
VOLT.BATERIA: 14.1 V
TEMPERATURA: 60 °C
PRES. ACEITE: 78 PSI</v>
      </c>
      <c r="AV416" s="683">
        <f>COUNTIFS(Q416:Q2416,"MANTENIMIENTO CORRECTIVO",Y416:Y2416,BDEGENER[[#This Row],[SERIE]])</f>
        <v>0</v>
      </c>
      <c r="AW416" s="683">
        <f>COUNTIFS(Q416:Q2416,"MANTENIMIENTO PREVENTIVO",Y416:Y2416,BDEGENER[[#This Row],[SERIE]])</f>
        <v>2</v>
      </c>
      <c r="AX416" s="761"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416" s="761">
        <f>COUNTIFS(BDEGENER[SERIE],BDEGENER[[#This Row],[SERIE]],BDEGENER[TIPO DE SERVICIO],"MANTENIMIENTO PREVENTIVO")</f>
        <v>5</v>
      </c>
      <c r="AZ416" s="761" t="str">
        <f>CONCATENATE("MANTENIMIENTO PREVENTIVO N°",BDEGENER[[#This Row],[GA1]])</f>
        <v>MANTENIMIENTO PREVENTIVO N°5</v>
      </c>
      <c r="BA416" s="761" t="str">
        <f>IF(BDEGENER[[#This Row],[SERVICIO]]=BDEGENER[[#This Row],[GA2]],BDEGENER[[#This Row],[HORAS]],"0")</f>
        <v>0</v>
      </c>
      <c r="BB416" s="761">
        <f>SUMIF(BDEGENER[SERIE],BDEGENER[[#This Row],[SERIE]],BDEGENER[GA3])</f>
        <v>1473.6</v>
      </c>
      <c r="BC416" s="683" t="str">
        <f>CONCATENATE("MANT",COUNTIF($Y$7:Y416,Y416))</f>
        <v>MANT4</v>
      </c>
      <c r="BD416" s="761" t="str">
        <f>CONCATENATE(BDEGENER[[#This Row],[SERIE]],BDEGENER[[#This Row],[GA5]])</f>
        <v>3002933963MANT4</v>
      </c>
      <c r="BE416" s="761" t="str">
        <f>CONCATENATE(BDEGENER[[#This Row],[CODIGO PATRIMONIAL]],BDEGENER[[#This Row],[GA5]])</f>
        <v>MANT4</v>
      </c>
      <c r="BF416" s="683">
        <f>COUNTIF(BDEGENER[SERIE],BDEGENER[[#This Row],[SERIE]])</f>
        <v>7</v>
      </c>
      <c r="BG416" s="683" t="str">
        <f>CONCATENATE("F",COUNTIF($K$7:K416,K416))</f>
        <v>F4</v>
      </c>
      <c r="BH416" s="683" t="str">
        <f>CONCATENATE(BDEGENER[[#This Row],[FECHA DE SERVICIO]],BDEGENER[[#This Row],[N° DE REGISTROS DEL DIA]])</f>
        <v>43990F4</v>
      </c>
      <c r="BI416" s="684"/>
      <c r="BJ416" s="683" t="s">
        <v>1544</v>
      </c>
      <c r="BK416" s="736"/>
    </row>
    <row r="417" spans="2:63" ht="69" hidden="1" x14ac:dyDescent="0.3">
      <c r="B417" s="2"/>
      <c r="C417" s="2"/>
      <c r="D417" s="2"/>
      <c r="E417" s="2"/>
      <c r="F417" s="2"/>
      <c r="G417" s="2"/>
      <c r="H417" s="2"/>
      <c r="I417" s="2"/>
      <c r="J417" s="685"/>
      <c r="K417" s="682">
        <v>43990</v>
      </c>
      <c r="L417" s="683" t="s">
        <v>181</v>
      </c>
      <c r="M417" s="683" t="s">
        <v>185</v>
      </c>
      <c r="N417" s="683" t="s">
        <v>183</v>
      </c>
      <c r="O417" s="683">
        <v>4500873022</v>
      </c>
      <c r="P417" s="683" t="s">
        <v>2485</v>
      </c>
      <c r="Q417" s="683" t="s">
        <v>37</v>
      </c>
      <c r="R417" s="683" t="s">
        <v>1782</v>
      </c>
      <c r="S417" s="686" t="s">
        <v>2489</v>
      </c>
      <c r="T417" s="683" t="s">
        <v>2490</v>
      </c>
      <c r="U417" s="683" t="s">
        <v>2488</v>
      </c>
      <c r="V417" s="683" t="s">
        <v>146</v>
      </c>
      <c r="W417" s="683" t="s">
        <v>914</v>
      </c>
      <c r="X417" s="691" t="s">
        <v>918</v>
      </c>
      <c r="Y417" s="687">
        <v>3004290366</v>
      </c>
      <c r="Z417" s="692"/>
      <c r="AA417" s="683" t="s">
        <v>33</v>
      </c>
      <c r="AB417" s="683" t="s">
        <v>34</v>
      </c>
      <c r="AC417" s="683" t="s">
        <v>230</v>
      </c>
      <c r="AD417" s="683" t="s">
        <v>1110</v>
      </c>
      <c r="AE417" s="683">
        <v>60</v>
      </c>
      <c r="AF417" s="684">
        <v>2257.9</v>
      </c>
      <c r="AG417" s="683" t="s">
        <v>243</v>
      </c>
      <c r="AH417" s="683" t="s">
        <v>220</v>
      </c>
      <c r="AI417" s="683" t="s">
        <v>33</v>
      </c>
      <c r="AJ417" s="683">
        <v>3004295604</v>
      </c>
      <c r="AK417" s="683" t="s">
        <v>33</v>
      </c>
      <c r="AL417" s="683">
        <v>10631290</v>
      </c>
      <c r="AM417" s="683" t="s">
        <v>1121</v>
      </c>
      <c r="AN417" s="683" t="s">
        <v>1352</v>
      </c>
      <c r="AO417" s="683" t="s">
        <v>1349</v>
      </c>
      <c r="AP417" s="683" t="s">
        <v>240</v>
      </c>
      <c r="AQ417" s="683" t="str">
        <f>CONCATENATE("REG-",BDEGENER[[#This Row],[FECHA DE SERVICIO]],"-",BDEGENER[[#This Row],[SERIE]],"-",BDEGENER[[#This Row],[HORAS]])</f>
        <v>REG-43990-3004290366-2257,9</v>
      </c>
      <c r="AR417" s="683" t="str">
        <f>CONCATENATE("MARCA: ",BDEGENER[[#This Row],[MARCA]],"
 MODELO: ",BDEGENER[[#This Row],[MODELO]])</f>
        <v>MARCA: GENERAC
 MODELO: PG090</v>
      </c>
      <c r="AS417" s="683" t="str">
        <f>CONCATENATE("MARCA: ",BDEGENER[[#This Row],[MARCA DE MOTOR]],"
SERIE: ",BDEGENER[[#This Row],[SERIE DE MOTOR]])</f>
        <v>MARCA: GENERAC
SERIE: 3004295604</v>
      </c>
      <c r="AT417" s="683" t="str">
        <f>CONCATENATE("MARCA: ",BDEGENER[[#This Row],[MARCA ALTERNADOR ]],"
SERIE: ",BDEGENER[[#This Row],[SERIE DE ALTERNADOR]])</f>
        <v>MARCA: GENERAC
SERIE: 10631290</v>
      </c>
      <c r="AU417" s="683" t="str">
        <f>CONCATENATE("HORAS: ",BDEGENER[[#This Row],[HORAS]],"
KW-HR: ",BDEGENER[[#This Row],[KW-HORA]],"
VOLT.BATERIA: ",BDEGENER[[#This Row],[VOLTAJE DE BATERIA]],"
TEMPERATURA: ",BDEGENER[[#This Row],[TEMPERATURA DE AGUA]],"
PRES. ACEITE: ",BDEGENER[[#This Row],[PRESION DE ACEITE]])</f>
        <v>HORAS: 2257,9
KW-HR: 25255,1
VOLT.BATERIA: 13.7 V
TEMPERATURA: 196 °F
PRES. ACEITE: 56 PSI</v>
      </c>
      <c r="AV417" s="683">
        <f>COUNTIFS(Q417:Q2417,"MANTENIMIENTO CORRECTIVO",Y417:Y2417,BDEGENER[[#This Row],[SERIE]])</f>
        <v>2</v>
      </c>
      <c r="AW417" s="683">
        <f>COUNTIFS(Q417:Q2417,"MANTENIMIENTO PREVENTIVO",Y417:Y2417,BDEGENER[[#This Row],[SERIE]])</f>
        <v>6</v>
      </c>
      <c r="AX41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417" s="683">
        <f>COUNTIFS(BDEGENER[SERIE],BDEGENER[[#This Row],[SERIE]],BDEGENER[TIPO DE SERVICIO],"MANTENIMIENTO PREVENTIVO")</f>
        <v>7</v>
      </c>
      <c r="AZ417" s="683" t="str">
        <f>CONCATENATE("MANTENIMIENTO PREVENTIVO N°",BDEGENER[[#This Row],[GA1]])</f>
        <v>MANTENIMIENTO PREVENTIVO N°7</v>
      </c>
      <c r="BA417" s="683" t="str">
        <f>IF(BDEGENER[[#This Row],[SERVICIO]]=BDEGENER[[#This Row],[GA2]],BDEGENER[[#This Row],[HORAS]],"0")</f>
        <v>0</v>
      </c>
      <c r="BB417" s="683">
        <f>SUMIF(BDEGENER[SERIE],BDEGENER[[#This Row],[SERIE]],BDEGENER[GA3])</f>
        <v>2629.6</v>
      </c>
      <c r="BC417" s="683" t="str">
        <f>CONCATENATE("MANT",COUNTIF($Y$7:Y417,Y417))</f>
        <v>MANT5</v>
      </c>
      <c r="BD417" s="683" t="str">
        <f>CONCATENATE(BDEGENER[[#This Row],[SERIE]],BDEGENER[[#This Row],[GA5]])</f>
        <v>3004290366MANT5</v>
      </c>
      <c r="BE417" s="683" t="str">
        <f>CONCATENATE(BDEGENER[[#This Row],[CODIGO PATRIMONIAL]],BDEGENER[[#This Row],[GA5]])</f>
        <v>MANT5</v>
      </c>
      <c r="BF417" s="683">
        <f>COUNTIF(BDEGENER[SERIE],BDEGENER[[#This Row],[SERIE]])</f>
        <v>14</v>
      </c>
      <c r="BG417" s="683" t="str">
        <f>CONCATENATE("F",COUNTIF($K$7:K417,K417))</f>
        <v>F5</v>
      </c>
      <c r="BH417" s="683" t="str">
        <f>CONCATENATE(BDEGENER[[#This Row],[FECHA DE SERVICIO]],BDEGENER[[#This Row],[N° DE REGISTROS DEL DIA]])</f>
        <v>43990F5</v>
      </c>
      <c r="BI417" s="684">
        <v>25255.1</v>
      </c>
      <c r="BJ417" s="683" t="s">
        <v>1544</v>
      </c>
      <c r="BK417" s="736" t="s">
        <v>2177</v>
      </c>
    </row>
    <row r="418" spans="2:63" ht="69" hidden="1" x14ac:dyDescent="0.3">
      <c r="B418" s="2"/>
      <c r="C418" s="2"/>
      <c r="D418" s="2"/>
      <c r="E418" s="2"/>
      <c r="F418" s="2"/>
      <c r="G418" s="2"/>
      <c r="H418" s="2"/>
      <c r="I418" s="2"/>
      <c r="J418" s="685"/>
      <c r="K418" s="682">
        <v>43990</v>
      </c>
      <c r="L418" s="683" t="s">
        <v>181</v>
      </c>
      <c r="M418" s="683" t="s">
        <v>185</v>
      </c>
      <c r="N418" s="683" t="s">
        <v>183</v>
      </c>
      <c r="O418" s="683">
        <v>4500873022</v>
      </c>
      <c r="P418" s="683" t="s">
        <v>2485</v>
      </c>
      <c r="Q418" s="683" t="s">
        <v>37</v>
      </c>
      <c r="R418" s="683" t="s">
        <v>1782</v>
      </c>
      <c r="S418" s="686" t="s">
        <v>2486</v>
      </c>
      <c r="T418" s="683" t="s">
        <v>2487</v>
      </c>
      <c r="U418" s="683" t="s">
        <v>2488</v>
      </c>
      <c r="V418" s="683" t="s">
        <v>146</v>
      </c>
      <c r="W418" s="683" t="s">
        <v>914</v>
      </c>
      <c r="X418" s="691" t="s">
        <v>918</v>
      </c>
      <c r="Y418" s="687">
        <v>3004344014</v>
      </c>
      <c r="Z418" s="692"/>
      <c r="AA418" s="683" t="s">
        <v>33</v>
      </c>
      <c r="AB418" s="683" t="s">
        <v>34</v>
      </c>
      <c r="AC418" s="683" t="s">
        <v>230</v>
      </c>
      <c r="AD418" s="683" t="s">
        <v>1110</v>
      </c>
      <c r="AE418" s="683">
        <v>60</v>
      </c>
      <c r="AF418" s="684">
        <v>1526.2</v>
      </c>
      <c r="AG418" s="683" t="s">
        <v>243</v>
      </c>
      <c r="AH418" s="683" t="s">
        <v>220</v>
      </c>
      <c r="AI418" s="683" t="s">
        <v>33</v>
      </c>
      <c r="AJ418" s="683">
        <v>3004346826</v>
      </c>
      <c r="AK418" s="683" t="s">
        <v>33</v>
      </c>
      <c r="AL418" s="683">
        <v>106308730</v>
      </c>
      <c r="AM418" s="683" t="s">
        <v>1377</v>
      </c>
      <c r="AN418" s="683" t="s">
        <v>1505</v>
      </c>
      <c r="AO418" s="683" t="s">
        <v>1166</v>
      </c>
      <c r="AP418" s="683" t="s">
        <v>240</v>
      </c>
      <c r="AQ418" s="683" t="str">
        <f>CONCATENATE("REG-",BDEGENER[[#This Row],[FECHA DE SERVICIO]],"-",BDEGENER[[#This Row],[SERIE]],"-",BDEGENER[[#This Row],[HORAS]])</f>
        <v>REG-43990-3004344014-1526,2</v>
      </c>
      <c r="AR418" s="683" t="str">
        <f>CONCATENATE("MARCA: ",BDEGENER[[#This Row],[MARCA]],"
 MODELO: ",BDEGENER[[#This Row],[MODELO]])</f>
        <v>MARCA: GENERAC
 MODELO: PG090</v>
      </c>
      <c r="AS418" s="683" t="str">
        <f>CONCATENATE("MARCA: ",BDEGENER[[#This Row],[MARCA DE MOTOR]],"
SERIE: ",BDEGENER[[#This Row],[SERIE DE MOTOR]])</f>
        <v>MARCA: GENERAC
SERIE: 3004346826</v>
      </c>
      <c r="AT418" s="683" t="str">
        <f>CONCATENATE("MARCA: ",BDEGENER[[#This Row],[MARCA ALTERNADOR ]],"
SERIE: ",BDEGENER[[#This Row],[SERIE DE ALTERNADOR]])</f>
        <v>MARCA: GENERAC
SERIE: 106308730</v>
      </c>
      <c r="AU418" s="683" t="str">
        <f>CONCATENATE("HORAS: ",BDEGENER[[#This Row],[HORAS]],"
KW-HR: ",BDEGENER[[#This Row],[KW-HORA]],"
VOLT.BATERIA: ",BDEGENER[[#This Row],[VOLTAJE DE BATERIA]],"
TEMPERATURA: ",BDEGENER[[#This Row],[TEMPERATURA DE AGUA]],"
PRES. ACEITE: ",BDEGENER[[#This Row],[PRESION DE ACEITE]])</f>
        <v>HORAS: 1526,2
KW-HR: 36042,1
VOLT.BATERIA: 13.8 V
TEMPERATURA: 194 °F
PRES. ACEITE: 57 PSI</v>
      </c>
      <c r="AV418" s="761">
        <f>COUNTIFS(Q418:Q2418,"MANTENIMIENTO CORRECTIVO",Y418:Y2418,BDEGENER[[#This Row],[SERIE]])</f>
        <v>2</v>
      </c>
      <c r="AW418" s="761">
        <f>COUNTIFS(Q418:Q2418,"MANTENIMIENTO PREVENTIVO",Y418:Y2418,BDEGENER[[#This Row],[SERIE]])</f>
        <v>6</v>
      </c>
      <c r="AX41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418" s="683">
        <f>COUNTIFS(BDEGENER[SERIE],BDEGENER[[#This Row],[SERIE]],BDEGENER[TIPO DE SERVICIO],"MANTENIMIENTO PREVENTIVO")</f>
        <v>8</v>
      </c>
      <c r="AZ418" s="683" t="str">
        <f>CONCATENATE("MANTENIMIENTO PREVENTIVO N°",BDEGENER[[#This Row],[GA1]])</f>
        <v>MANTENIMIENTO PREVENTIVO N°8</v>
      </c>
      <c r="BA418" s="683" t="str">
        <f>IF(BDEGENER[[#This Row],[SERVICIO]]=BDEGENER[[#This Row],[GA2]],BDEGENER[[#This Row],[HORAS]],"0")</f>
        <v>0</v>
      </c>
      <c r="BB418" s="683">
        <f>SUMIF(BDEGENER[SERIE],BDEGENER[[#This Row],[SERIE]],BDEGENER[GA3])</f>
        <v>2070.3000000000002</v>
      </c>
      <c r="BC418" s="761" t="str">
        <f>CONCATENATE("MANT",COUNTIF($Y$7:Y418,Y418))</f>
        <v>MANT4</v>
      </c>
      <c r="BD418" s="683" t="str">
        <f>CONCATENATE(BDEGENER[[#This Row],[SERIE]],BDEGENER[[#This Row],[GA5]])</f>
        <v>3004344014MANT4</v>
      </c>
      <c r="BE418" s="683" t="str">
        <f>CONCATENATE(BDEGENER[[#This Row],[CODIGO PATRIMONIAL]],BDEGENER[[#This Row],[GA5]])</f>
        <v>MANT4</v>
      </c>
      <c r="BF418" s="683">
        <f>COUNTIF(BDEGENER[SERIE],BDEGENER[[#This Row],[SERIE]])</f>
        <v>12</v>
      </c>
      <c r="BG418" s="761" t="str">
        <f>CONCATENATE("F",COUNTIF($K$7:K418,K418))</f>
        <v>F6</v>
      </c>
      <c r="BH418" s="683" t="str">
        <f>CONCATENATE(BDEGENER[[#This Row],[FECHA DE SERVICIO]],BDEGENER[[#This Row],[N° DE REGISTROS DEL DIA]])</f>
        <v>43990F6</v>
      </c>
      <c r="BI418" s="684">
        <v>36042.1</v>
      </c>
      <c r="BJ418" s="683" t="s">
        <v>1544</v>
      </c>
      <c r="BK418" s="736"/>
    </row>
    <row r="419" spans="2:63" ht="69" hidden="1" x14ac:dyDescent="0.3">
      <c r="B419" s="2"/>
      <c r="C419" s="2"/>
      <c r="D419" s="2"/>
      <c r="E419" s="2"/>
      <c r="F419" s="2"/>
      <c r="G419" s="2"/>
      <c r="H419" s="2"/>
      <c r="I419" s="2"/>
      <c r="J419" s="685"/>
      <c r="K419" s="682">
        <v>43988</v>
      </c>
      <c r="L419" s="683" t="s">
        <v>561</v>
      </c>
      <c r="M419" s="683" t="s">
        <v>2445</v>
      </c>
      <c r="N419" s="683" t="s">
        <v>2549</v>
      </c>
      <c r="O419" s="683"/>
      <c r="P419" s="683"/>
      <c r="Q419" s="683" t="s">
        <v>37</v>
      </c>
      <c r="R419" s="683" t="s">
        <v>1782</v>
      </c>
      <c r="S419" s="686" t="s">
        <v>2550</v>
      </c>
      <c r="T419" s="683" t="s">
        <v>2546</v>
      </c>
      <c r="U419" s="683" t="s">
        <v>2551</v>
      </c>
      <c r="V419" s="683" t="s">
        <v>148</v>
      </c>
      <c r="W419" s="683" t="s">
        <v>913</v>
      </c>
      <c r="X419" s="691" t="s">
        <v>918</v>
      </c>
      <c r="Y419" s="687">
        <v>3004597773</v>
      </c>
      <c r="Z419" s="692" t="s">
        <v>2609</v>
      </c>
      <c r="AA419" s="683" t="s">
        <v>33</v>
      </c>
      <c r="AB419" s="683" t="s">
        <v>217</v>
      </c>
      <c r="AC419" s="683" t="s">
        <v>750</v>
      </c>
      <c r="AD419" s="683" t="s">
        <v>1123</v>
      </c>
      <c r="AE419" s="683">
        <v>60</v>
      </c>
      <c r="AF419" s="684">
        <v>1849.1</v>
      </c>
      <c r="AG419" s="683" t="s">
        <v>243</v>
      </c>
      <c r="AH419" s="683" t="s">
        <v>2552</v>
      </c>
      <c r="AI419" s="683" t="s">
        <v>2553</v>
      </c>
      <c r="AJ419" s="683"/>
      <c r="AK419" s="683"/>
      <c r="AL419" s="683"/>
      <c r="AM419" s="683" t="s">
        <v>245</v>
      </c>
      <c r="AN419" s="683"/>
      <c r="AO419" s="683"/>
      <c r="AP419" s="683" t="s">
        <v>240</v>
      </c>
      <c r="AQ419" s="9" t="str">
        <f>CONCATENATE("REG-",BDEGENER[[#This Row],[FECHA DE SERVICIO]],"-",BDEGENER[[#This Row],[SERIE]],"-",BDEGENER[[#This Row],[HORAS]])</f>
        <v>REG-43988-3004597773-1849,1</v>
      </c>
      <c r="AR419" s="683" t="str">
        <f>CONCATENATE("MARCA: ",BDEGENER[[#This Row],[MARCA]],"
 MODELO: ",BDEGENER[[#This Row],[MODELO]])</f>
        <v>MARCA: GENERAC
 MODELO: RG022</v>
      </c>
      <c r="AS419" s="683" t="str">
        <f>CONCATENATE("MARCA: ",BDEGENER[[#This Row],[MARCA DE MOTOR]],"
SERIE: ",BDEGENER[[#This Row],[SERIE DE MOTOR]])</f>
        <v xml:space="preserve">MARCA: MITSUBISHI
SERIE: </v>
      </c>
      <c r="AT419" s="683" t="str">
        <f>CONCATENATE("MARCA: ",BDEGENER[[#This Row],[MARCA ALTERNADOR ]],"
SERIE: ",BDEGENER[[#This Row],[SERIE DE ALTERNADOR]])</f>
        <v xml:space="preserve">MARCA: 
SERIE: </v>
      </c>
      <c r="AU419" s="683" t="str">
        <f>CONCATENATE("HORAS: ",BDEGENER[[#This Row],[HORAS]],"
KW-HR: ",BDEGENER[[#This Row],[KW-HORA]],"
VOLT.BATERIA: ",BDEGENER[[#This Row],[VOLTAJE DE BATERIA]],"
TEMPERATURA: ",BDEGENER[[#This Row],[TEMPERATURA DE AGUA]],"
PRES. ACEITE: ",BDEGENER[[#This Row],[PRESION DE ACEITE]])</f>
        <v xml:space="preserve">HORAS: 1849,1
KW-HR: 
VOLT.BATERIA: 13.6 V
TEMPERATURA: 
PRES. ACEITE: </v>
      </c>
      <c r="AV419" s="683">
        <f>COUNTIFS(Q419:Q2419,"MANTENIMIENTO CORRECTIVO",Y419:Y2419,BDEGENER[[#This Row],[SERIE]])</f>
        <v>0</v>
      </c>
      <c r="AW419" s="683">
        <f>COUNTIFS(Q419:Q2419,"MANTENIMIENTO PREVENTIVO",Y419:Y2419,BDEGENER[[#This Row],[SERIE]])</f>
        <v>5</v>
      </c>
      <c r="AX41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19" s="683">
        <f>COUNTIFS(BDEGENER[SERIE],BDEGENER[[#This Row],[SERIE]],BDEGENER[TIPO DE SERVICIO],"MANTENIMIENTO PREVENTIVO")</f>
        <v>9</v>
      </c>
      <c r="AZ419" s="683" t="str">
        <f>CONCATENATE("MANTENIMIENTO PREVENTIVO N°",BDEGENER[[#This Row],[GA1]])</f>
        <v>MANTENIMIENTO PREVENTIVO N°9</v>
      </c>
      <c r="BA419" s="683" t="str">
        <f>IF(BDEGENER[[#This Row],[SERVICIO]]=BDEGENER[[#This Row],[GA2]],BDEGENER[[#This Row],[HORAS]],"0")</f>
        <v>0</v>
      </c>
      <c r="BB419" s="683">
        <f>SUMIF(BDEGENER[SERIE],BDEGENER[[#This Row],[SERIE]],BDEGENER[GA3])</f>
        <v>3087.7</v>
      </c>
      <c r="BC419" s="683" t="str">
        <f>CONCATENATE("MANT",COUNTIF($Y$7:Y419,Y419))</f>
        <v>MANT5</v>
      </c>
      <c r="BD419" s="683" t="str">
        <f>CONCATENATE(BDEGENER[[#This Row],[SERIE]],BDEGENER[[#This Row],[GA5]])</f>
        <v>3004597773MANT5</v>
      </c>
      <c r="BE419" s="683" t="str">
        <f>CONCATENATE(BDEGENER[[#This Row],[CODIGO PATRIMONIAL]],BDEGENER[[#This Row],[GA5]])</f>
        <v>SUR-GEG-0013MANT5</v>
      </c>
      <c r="BF419" s="683">
        <f>COUNTIF(BDEGENER[SERIE],BDEGENER[[#This Row],[SERIE]])</f>
        <v>11</v>
      </c>
      <c r="BG419" s="683" t="str">
        <f>CONCATENATE("F",COUNTIF($K$7:K419,K419))</f>
        <v>F1</v>
      </c>
      <c r="BH419" s="683" t="str">
        <f>CONCATENATE(BDEGENER[[#This Row],[FECHA DE SERVICIO]],BDEGENER[[#This Row],[N° DE REGISTROS DEL DIA]])</f>
        <v>43988F1</v>
      </c>
      <c r="BI419" s="684"/>
      <c r="BJ419" s="683" t="s">
        <v>1544</v>
      </c>
      <c r="BK419" s="736"/>
    </row>
    <row r="420" spans="2:63" ht="69" hidden="1" x14ac:dyDescent="0.3">
      <c r="B420" s="2"/>
      <c r="C420" s="2"/>
      <c r="D420" s="2"/>
      <c r="E420" s="2"/>
      <c r="F420" s="2"/>
      <c r="G420" s="2"/>
      <c r="H420" s="2"/>
      <c r="I420" s="2"/>
      <c r="J420" s="685"/>
      <c r="K420" s="682">
        <v>43988</v>
      </c>
      <c r="L420" s="683" t="s">
        <v>561</v>
      </c>
      <c r="M420" s="683" t="s">
        <v>2439</v>
      </c>
      <c r="N420" s="683" t="s">
        <v>564</v>
      </c>
      <c r="O420" s="683"/>
      <c r="P420" s="683"/>
      <c r="Q420" s="683" t="s">
        <v>37</v>
      </c>
      <c r="R420" s="683" t="s">
        <v>1782</v>
      </c>
      <c r="S420" s="686" t="s">
        <v>2544</v>
      </c>
      <c r="T420" s="683" t="s">
        <v>2546</v>
      </c>
      <c r="U420" s="683" t="s">
        <v>2545</v>
      </c>
      <c r="V420" s="683" t="s">
        <v>148</v>
      </c>
      <c r="W420" s="683" t="s">
        <v>914</v>
      </c>
      <c r="X420" s="691" t="s">
        <v>918</v>
      </c>
      <c r="Y420" s="687">
        <v>3003963149</v>
      </c>
      <c r="Z420" s="692" t="s">
        <v>2603</v>
      </c>
      <c r="AA420" s="683" t="s">
        <v>33</v>
      </c>
      <c r="AB420" s="683" t="s">
        <v>34</v>
      </c>
      <c r="AC420" s="683" t="s">
        <v>230</v>
      </c>
      <c r="AD420" s="683" t="s">
        <v>1123</v>
      </c>
      <c r="AE420" s="683">
        <v>60.1</v>
      </c>
      <c r="AF420" s="684">
        <v>3254.9</v>
      </c>
      <c r="AG420" s="683" t="s">
        <v>243</v>
      </c>
      <c r="AH420" s="683" t="s">
        <v>220</v>
      </c>
      <c r="AI420" s="683" t="s">
        <v>33</v>
      </c>
      <c r="AJ420" s="683">
        <v>3003945260</v>
      </c>
      <c r="AK420" s="683" t="s">
        <v>33</v>
      </c>
      <c r="AL420" s="683"/>
      <c r="AM420" s="683" t="s">
        <v>1121</v>
      </c>
      <c r="AN420" s="683" t="s">
        <v>2547</v>
      </c>
      <c r="AO420" s="683" t="s">
        <v>1166</v>
      </c>
      <c r="AP420" s="683" t="s">
        <v>240</v>
      </c>
      <c r="AQ420" s="688" t="str">
        <f>CONCATENATE("REG-",BDEGENER[[#This Row],[FECHA DE SERVICIO]],"-",BDEGENER[[#This Row],[SERIE]],"-",BDEGENER[[#This Row],[HORAS]])</f>
        <v>REG-43988-3003963149-3254,9</v>
      </c>
      <c r="AR420" s="683" t="str">
        <f>CONCATENATE("MARCA: ",BDEGENER[[#This Row],[MARCA]],"
 MODELO: ",BDEGENER[[#This Row],[MODELO]])</f>
        <v>MARCA: GENERAC
 MODELO: PG090</v>
      </c>
      <c r="AS420" s="683" t="str">
        <f>CONCATENATE("MARCA: ",BDEGENER[[#This Row],[MARCA DE MOTOR]],"
SERIE: ",BDEGENER[[#This Row],[SERIE DE MOTOR]])</f>
        <v>MARCA: GENERAC
SERIE: 3003945260</v>
      </c>
      <c r="AT420" s="683" t="str">
        <f>CONCATENATE("MARCA: ",BDEGENER[[#This Row],[MARCA ALTERNADOR ]],"
SERIE: ",BDEGENER[[#This Row],[SERIE DE ALTERNADOR]])</f>
        <v xml:space="preserve">MARCA: GENERAC
SERIE: </v>
      </c>
      <c r="AU420" s="683" t="str">
        <f>CONCATENATE("HORAS: ",BDEGENER[[#This Row],[HORAS]],"
KW-HR: ",BDEGENER[[#This Row],[KW-HORA]],"
VOLT.BATERIA: ",BDEGENER[[#This Row],[VOLTAJE DE BATERIA]],"
TEMPERATURA: ",BDEGENER[[#This Row],[TEMPERATURA DE AGUA]],"
PRES. ACEITE: ",BDEGENER[[#This Row],[PRESION DE ACEITE]])</f>
        <v>HORAS: 3254,9
KW-HR: 134409,7
VOLT.BATERIA: 13.7 V
TEMPERATURA: 183 °F
PRES. ACEITE: 57 PSI</v>
      </c>
      <c r="AV420" s="683">
        <f>COUNTIFS(Q420:Q2420,"MANTENIMIENTO CORRECTIVO",Y420:Y2420,BDEGENER[[#This Row],[SERIE]])</f>
        <v>3</v>
      </c>
      <c r="AW420" s="683">
        <f>COUNTIFS(Q420:Q2420,"MANTENIMIENTO PREVENTIVO",Y420:Y2420,BDEGENER[[#This Row],[SERIE]])</f>
        <v>4</v>
      </c>
      <c r="AX42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20" s="683">
        <f>COUNTIFS(BDEGENER[SERIE],BDEGENER[[#This Row],[SERIE]],BDEGENER[TIPO DE SERVICIO],"MANTENIMIENTO PREVENTIVO")</f>
        <v>6</v>
      </c>
      <c r="AZ420" s="683" t="str">
        <f>CONCATENATE("MANTENIMIENTO PREVENTIVO N°",BDEGENER[[#This Row],[GA1]])</f>
        <v>MANTENIMIENTO PREVENTIVO N°6</v>
      </c>
      <c r="BA420" s="683" t="str">
        <f>IF(BDEGENER[[#This Row],[SERVICIO]]=BDEGENER[[#This Row],[GA2]],BDEGENER[[#This Row],[HORAS]],"0")</f>
        <v>0</v>
      </c>
      <c r="BB420" s="683">
        <f>SUMIF(BDEGENER[SERIE],BDEGENER[[#This Row],[SERIE]],BDEGENER[GA3])</f>
        <v>3959.4</v>
      </c>
      <c r="BC420" s="683" t="str">
        <f>CONCATENATE("MANT",COUNTIF($Y$7:Y420,Y420))</f>
        <v>MANT3</v>
      </c>
      <c r="BD420" s="683" t="str">
        <f>CONCATENATE(BDEGENER[[#This Row],[SERIE]],BDEGENER[[#This Row],[GA5]])</f>
        <v>3003963149MANT3</v>
      </c>
      <c r="BE420" s="683" t="str">
        <f>CONCATENATE(BDEGENER[[#This Row],[CODIGO PATRIMONIAL]],BDEGENER[[#This Row],[GA5]])</f>
        <v>SUR-GEG-0007MANT3</v>
      </c>
      <c r="BF420" s="683">
        <f>COUNTIF(BDEGENER[SERIE],BDEGENER[[#This Row],[SERIE]])</f>
        <v>12</v>
      </c>
      <c r="BG420" s="683" t="str">
        <f>CONCATENATE("F",COUNTIF($K$7:K420,K420))</f>
        <v>F2</v>
      </c>
      <c r="BH420" s="683" t="str">
        <f>CONCATENATE(BDEGENER[[#This Row],[FECHA DE SERVICIO]],BDEGENER[[#This Row],[N° DE REGISTROS DEL DIA]])</f>
        <v>43988F2</v>
      </c>
      <c r="BI420" s="684">
        <v>134409.70000000001</v>
      </c>
      <c r="BJ420" s="683" t="s">
        <v>1544</v>
      </c>
      <c r="BK420" s="736" t="s">
        <v>2548</v>
      </c>
    </row>
    <row r="421" spans="2:63" ht="69" hidden="1" x14ac:dyDescent="0.3">
      <c r="B421" s="2"/>
      <c r="C421" s="2"/>
      <c r="D421" s="2"/>
      <c r="E421" s="2"/>
      <c r="F421" s="2"/>
      <c r="G421" s="2"/>
      <c r="H421" s="2"/>
      <c r="I421" s="2"/>
      <c r="J421" s="685"/>
      <c r="K421" s="682">
        <v>43988</v>
      </c>
      <c r="L421" s="683" t="s">
        <v>181</v>
      </c>
      <c r="M421" s="683" t="s">
        <v>190</v>
      </c>
      <c r="N421" s="683" t="s">
        <v>183</v>
      </c>
      <c r="O421" s="683">
        <v>4500873022</v>
      </c>
      <c r="P421" s="688" t="s">
        <v>2412</v>
      </c>
      <c r="Q421" s="683" t="s">
        <v>37</v>
      </c>
      <c r="R421" s="683" t="s">
        <v>1782</v>
      </c>
      <c r="S421" s="686" t="s">
        <v>2413</v>
      </c>
      <c r="T421" s="683" t="s">
        <v>2411</v>
      </c>
      <c r="U421" s="683" t="s">
        <v>2053</v>
      </c>
      <c r="V421" s="683" t="s">
        <v>146</v>
      </c>
      <c r="W421" s="683" t="s">
        <v>914</v>
      </c>
      <c r="X421" s="691" t="s">
        <v>918</v>
      </c>
      <c r="Y421" s="687">
        <v>3004381438</v>
      </c>
      <c r="Z421" s="692"/>
      <c r="AA421" s="683" t="s">
        <v>33</v>
      </c>
      <c r="AB421" s="683" t="s">
        <v>34</v>
      </c>
      <c r="AC421" s="683" t="s">
        <v>230</v>
      </c>
      <c r="AD421" s="683" t="s">
        <v>1110</v>
      </c>
      <c r="AE421" s="683">
        <v>60</v>
      </c>
      <c r="AF421" s="684">
        <v>1879.6</v>
      </c>
      <c r="AG421" s="683" t="s">
        <v>243</v>
      </c>
      <c r="AH421" s="683" t="s">
        <v>220</v>
      </c>
      <c r="AI421" s="683" t="s">
        <v>33</v>
      </c>
      <c r="AJ421" s="683">
        <v>3004333873</v>
      </c>
      <c r="AK421" s="683" t="s">
        <v>33</v>
      </c>
      <c r="AL421" s="683">
        <v>106309650</v>
      </c>
      <c r="AM421" s="683" t="s">
        <v>1121</v>
      </c>
      <c r="AN421" s="683" t="s">
        <v>1352</v>
      </c>
      <c r="AO421" s="683" t="s">
        <v>1349</v>
      </c>
      <c r="AP421" s="683" t="s">
        <v>240</v>
      </c>
      <c r="AQ421" s="688" t="str">
        <f>CONCATENATE("REG-",BDEGENER[[#This Row],[FECHA DE SERVICIO]],"-",BDEGENER[[#This Row],[SERIE]],"-",BDEGENER[[#This Row],[HORAS]])</f>
        <v>REG-43988-3004381438-1879,6</v>
      </c>
      <c r="AR421" s="683" t="str">
        <f>CONCATENATE("MARCA: ",BDEGENER[[#This Row],[MARCA]],"
 MODELO: ",BDEGENER[[#This Row],[MODELO]])</f>
        <v>MARCA: GENERAC
 MODELO: PG090</v>
      </c>
      <c r="AS421" s="683" t="str">
        <f>CONCATENATE("MARCA: ",BDEGENER[[#This Row],[MARCA DE MOTOR]],"
SERIE: ",BDEGENER[[#This Row],[SERIE DE MOTOR]])</f>
        <v>MARCA: GENERAC
SERIE: 3004333873</v>
      </c>
      <c r="AT421" s="683" t="str">
        <f>CONCATENATE("MARCA: ",BDEGENER[[#This Row],[MARCA ALTERNADOR ]],"
SERIE: ",BDEGENER[[#This Row],[SERIE DE ALTERNADOR]])</f>
        <v>MARCA: GENERAC
SERIE: 106309650</v>
      </c>
      <c r="AU421" s="683" t="str">
        <f>CONCATENATE("HORAS: ",BDEGENER[[#This Row],[HORAS]],"
KW-HR: ",BDEGENER[[#This Row],[KW-HORA]],"
VOLT.BATERIA: ",BDEGENER[[#This Row],[VOLTAJE DE BATERIA]],"
TEMPERATURA: ",BDEGENER[[#This Row],[TEMPERATURA DE AGUA]],"
PRES. ACEITE: ",BDEGENER[[#This Row],[PRESION DE ACEITE]])</f>
        <v>HORAS: 1879,6
KW-HR: 42273
VOLT.BATERIA: 13.7 V
TEMPERATURA: 196 °F
PRES. ACEITE: 56 PSI</v>
      </c>
      <c r="AV421" s="761">
        <f>COUNTIFS(Q421:Q2421,"MANTENIMIENTO CORRECTIVO",Y421:Y2421,BDEGENER[[#This Row],[SERIE]])</f>
        <v>1</v>
      </c>
      <c r="AW421" s="761">
        <f>COUNTIFS(Q421:Q2421,"MANTENIMIENTO PREVENTIVO",Y421:Y2421,BDEGENER[[#This Row],[SERIE]])</f>
        <v>6</v>
      </c>
      <c r="AX42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421" s="683">
        <f>COUNTIFS(BDEGENER[SERIE],BDEGENER[[#This Row],[SERIE]],BDEGENER[TIPO DE SERVICIO],"MANTENIMIENTO PREVENTIVO")</f>
        <v>10</v>
      </c>
      <c r="AZ421" s="683" t="str">
        <f>CONCATENATE("MANTENIMIENTO PREVENTIVO N°",BDEGENER[[#This Row],[GA1]])</f>
        <v>MANTENIMIENTO PREVENTIVO N°10</v>
      </c>
      <c r="BA421" s="683" t="str">
        <f>IF(BDEGENER[[#This Row],[SERVICIO]]=BDEGENER[[#This Row],[GA2]],BDEGENER[[#This Row],[HORAS]],"0")</f>
        <v>0</v>
      </c>
      <c r="BB421" s="683">
        <f>SUMIF(BDEGENER[SERIE],BDEGENER[[#This Row],[SERIE]],BDEGENER[GA3])</f>
        <v>3227.9</v>
      </c>
      <c r="BC421" s="761" t="str">
        <f>CONCATENATE("MANT",COUNTIF($Y$7:Y421,Y421))</f>
        <v>MANT6</v>
      </c>
      <c r="BD421" s="683" t="str">
        <f>CONCATENATE(BDEGENER[[#This Row],[SERIE]],BDEGENER[[#This Row],[GA5]])</f>
        <v>3004381438MANT6</v>
      </c>
      <c r="BE421" s="683" t="str">
        <f>CONCATENATE(BDEGENER[[#This Row],[CODIGO PATRIMONIAL]],BDEGENER[[#This Row],[GA5]])</f>
        <v>MANT6</v>
      </c>
      <c r="BF421" s="683">
        <f>COUNTIF(BDEGENER[SERIE],BDEGENER[[#This Row],[SERIE]])</f>
        <v>13</v>
      </c>
      <c r="BG421" s="761" t="str">
        <f>CONCATENATE("F",COUNTIF($K$7:K421,K421))</f>
        <v>F3</v>
      </c>
      <c r="BH421" s="683" t="str">
        <f>CONCATENATE(BDEGENER[[#This Row],[FECHA DE SERVICIO]],BDEGENER[[#This Row],[N° DE REGISTROS DEL DIA]])</f>
        <v>43988F3</v>
      </c>
      <c r="BI421" s="684">
        <v>42273</v>
      </c>
      <c r="BJ421" s="683" t="s">
        <v>1544</v>
      </c>
      <c r="BK421" s="736" t="s">
        <v>2414</v>
      </c>
    </row>
    <row r="422" spans="2:63" ht="69" hidden="1" x14ac:dyDescent="0.3">
      <c r="B422" s="2"/>
      <c r="C422" s="2"/>
      <c r="D422" s="2"/>
      <c r="E422" s="2"/>
      <c r="F422" s="2"/>
      <c r="G422" s="2"/>
      <c r="H422" s="2"/>
      <c r="I422" s="2"/>
      <c r="J422" s="685"/>
      <c r="K422" s="682">
        <v>43987</v>
      </c>
      <c r="L422" s="683" t="s">
        <v>181</v>
      </c>
      <c r="M422" s="683" t="s">
        <v>187</v>
      </c>
      <c r="N422" s="683" t="s">
        <v>183</v>
      </c>
      <c r="O422" s="683">
        <v>4500873022</v>
      </c>
      <c r="P422" s="683" t="s">
        <v>2406</v>
      </c>
      <c r="Q422" s="683" t="s">
        <v>37</v>
      </c>
      <c r="R422" s="683" t="s">
        <v>1782</v>
      </c>
      <c r="S422" s="686" t="s">
        <v>2407</v>
      </c>
      <c r="T422" s="683" t="s">
        <v>2408</v>
      </c>
      <c r="U422" s="683" t="s">
        <v>2053</v>
      </c>
      <c r="V422" s="683" t="s">
        <v>146</v>
      </c>
      <c r="W422" s="683" t="s">
        <v>914</v>
      </c>
      <c r="X422" s="691" t="s">
        <v>918</v>
      </c>
      <c r="Y422" s="687">
        <v>3004214491</v>
      </c>
      <c r="Z422" s="692"/>
      <c r="AA422" s="683" t="s">
        <v>33</v>
      </c>
      <c r="AB422" s="683" t="s">
        <v>34</v>
      </c>
      <c r="AC422" s="683" t="s">
        <v>230</v>
      </c>
      <c r="AD422" s="683" t="s">
        <v>1110</v>
      </c>
      <c r="AE422" s="683">
        <v>60</v>
      </c>
      <c r="AF422" s="684">
        <v>1438.1</v>
      </c>
      <c r="AG422" s="683" t="s">
        <v>243</v>
      </c>
      <c r="AH422" s="683" t="s">
        <v>244</v>
      </c>
      <c r="AI422" s="683" t="s">
        <v>33</v>
      </c>
      <c r="AJ422" s="683">
        <v>3004133600</v>
      </c>
      <c r="AK422" s="683" t="s">
        <v>33</v>
      </c>
      <c r="AL422" s="683">
        <v>1063014</v>
      </c>
      <c r="AM422" s="683" t="s">
        <v>1121</v>
      </c>
      <c r="AN422" s="683" t="s">
        <v>1505</v>
      </c>
      <c r="AO422" s="683" t="s">
        <v>1349</v>
      </c>
      <c r="AP422" s="683" t="s">
        <v>240</v>
      </c>
      <c r="AQ422" s="683" t="str">
        <f>CONCATENATE("REG-",BDEGENER[[#This Row],[FECHA DE SERVICIO]],"-",BDEGENER[[#This Row],[SERIE]],"-",BDEGENER[[#This Row],[HORAS]])</f>
        <v>REG-43987-3004214491-1438,1</v>
      </c>
      <c r="AR422" s="683" t="str">
        <f>CONCATENATE("MARCA: ",BDEGENER[[#This Row],[MARCA]],"
 MODELO: ",BDEGENER[[#This Row],[MODELO]])</f>
        <v>MARCA: GENERAC
 MODELO: PG090</v>
      </c>
      <c r="AS422" s="683" t="str">
        <f>CONCATENATE("MARCA: ",BDEGENER[[#This Row],[MARCA DE MOTOR]],"
SERIE: ",BDEGENER[[#This Row],[SERIE DE MOTOR]])</f>
        <v>MARCA: GENERAC
SERIE: 3004133600</v>
      </c>
      <c r="AT422" s="683" t="str">
        <f>CONCATENATE("MARCA: ",BDEGENER[[#This Row],[MARCA ALTERNADOR ]],"
SERIE: ",BDEGENER[[#This Row],[SERIE DE ALTERNADOR]])</f>
        <v>MARCA: GENERAC
SERIE: 1063014</v>
      </c>
      <c r="AU422" s="683" t="str">
        <f>CONCATENATE("HORAS: ",BDEGENER[[#This Row],[HORAS]],"
KW-HR: ",BDEGENER[[#This Row],[KW-HORA]],"
VOLT.BATERIA: ",BDEGENER[[#This Row],[VOLTAJE DE BATERIA]],"
TEMPERATURA: ",BDEGENER[[#This Row],[TEMPERATURA DE AGUA]],"
PRES. ACEITE: ",BDEGENER[[#This Row],[PRESION DE ACEITE]])</f>
        <v>HORAS: 1438,1
KW-HR: 20870,2
VOLT.BATERIA: 13.7 V
TEMPERATURA: 194 °F
PRES. ACEITE: 56 PSI</v>
      </c>
      <c r="AV422" s="683">
        <f>COUNTIFS(Q422:Q2422,"MANTENIMIENTO CORRECTIVO",Y422:Y2422,BDEGENER[[#This Row],[SERIE]])</f>
        <v>4</v>
      </c>
      <c r="AW422" s="683">
        <f>COUNTIFS(Q422:Q2422,"MANTENIMIENTO PREVENTIVO",Y422:Y2422,BDEGENER[[#This Row],[SERIE]])</f>
        <v>5</v>
      </c>
      <c r="AX42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22" s="683">
        <f>COUNTIFS(BDEGENER[SERIE],BDEGENER[[#This Row],[SERIE]],BDEGENER[TIPO DE SERVICIO],"MANTENIMIENTO PREVENTIVO")</f>
        <v>9</v>
      </c>
      <c r="AZ422" s="683" t="str">
        <f>CONCATENATE("MANTENIMIENTO PREVENTIVO N°",BDEGENER[[#This Row],[GA1]])</f>
        <v>MANTENIMIENTO PREVENTIVO N°9</v>
      </c>
      <c r="BA422" s="683" t="str">
        <f>IF(BDEGENER[[#This Row],[SERVICIO]]=BDEGENER[[#This Row],[GA2]],BDEGENER[[#This Row],[HORAS]],"0")</f>
        <v>0</v>
      </c>
      <c r="BB422" s="683">
        <f>SUMIF(BDEGENER[SERIE],BDEGENER[[#This Row],[SERIE]],BDEGENER[GA3])</f>
        <v>2751</v>
      </c>
      <c r="BC422" s="683" t="str">
        <f>CONCATENATE("MANT",COUNTIF($Y$7:Y422,Y422))</f>
        <v>MANT9</v>
      </c>
      <c r="BD422" s="683" t="str">
        <f>CONCATENATE(BDEGENER[[#This Row],[SERIE]],BDEGENER[[#This Row],[GA5]])</f>
        <v>3004214491MANT9</v>
      </c>
      <c r="BE422" s="683" t="str">
        <f>CONCATENATE(BDEGENER[[#This Row],[CODIGO PATRIMONIAL]],BDEGENER[[#This Row],[GA5]])</f>
        <v>MANT9</v>
      </c>
      <c r="BF422" s="683">
        <f>COUNTIF(BDEGENER[SERIE],BDEGENER[[#This Row],[SERIE]])</f>
        <v>18</v>
      </c>
      <c r="BG422" s="683" t="str">
        <f>CONCATENATE("F",COUNTIF($K$7:K422,K422))</f>
        <v>F1</v>
      </c>
      <c r="BH422" s="683" t="str">
        <f>CONCATENATE(BDEGENER[[#This Row],[FECHA DE SERVICIO]],BDEGENER[[#This Row],[N° DE REGISTROS DEL DIA]])</f>
        <v>43987F1</v>
      </c>
      <c r="BI422" s="684">
        <v>20870.2</v>
      </c>
      <c r="BJ422" s="683" t="s">
        <v>1544</v>
      </c>
      <c r="BK422" s="736" t="s">
        <v>2409</v>
      </c>
    </row>
    <row r="423" spans="2:63" ht="69" hidden="1" x14ac:dyDescent="0.3">
      <c r="B423" s="2"/>
      <c r="C423" s="2"/>
      <c r="D423" s="2"/>
      <c r="E423" s="2"/>
      <c r="F423" s="2"/>
      <c r="G423" s="2"/>
      <c r="H423" s="2"/>
      <c r="I423" s="2"/>
      <c r="J423" s="685"/>
      <c r="K423" s="682">
        <v>43987</v>
      </c>
      <c r="L423" s="683" t="s">
        <v>764</v>
      </c>
      <c r="M423" s="683" t="s">
        <v>2074</v>
      </c>
      <c r="N423" s="683" t="s">
        <v>1384</v>
      </c>
      <c r="O423" s="683"/>
      <c r="P423" s="683"/>
      <c r="Q423" s="683" t="s">
        <v>108</v>
      </c>
      <c r="R423" s="683" t="s">
        <v>2627</v>
      </c>
      <c r="S423" s="686" t="s">
        <v>2628</v>
      </c>
      <c r="T423" s="683" t="s">
        <v>2629</v>
      </c>
      <c r="U423" s="683"/>
      <c r="V423" s="683" t="s">
        <v>150</v>
      </c>
      <c r="W423" s="683" t="s">
        <v>914</v>
      </c>
      <c r="X423" s="691" t="s">
        <v>917</v>
      </c>
      <c r="Y423" s="687">
        <v>8754673</v>
      </c>
      <c r="Z423" s="692"/>
      <c r="AA423" s="683" t="s">
        <v>1387</v>
      </c>
      <c r="AB423" s="683" t="s">
        <v>1393</v>
      </c>
      <c r="AC423" s="683" t="s">
        <v>787</v>
      </c>
      <c r="AD423" s="683" t="s">
        <v>2634</v>
      </c>
      <c r="AE423" s="683">
        <v>60</v>
      </c>
      <c r="AF423" s="684">
        <v>153.19999999999999</v>
      </c>
      <c r="AG423" s="683" t="s">
        <v>243</v>
      </c>
      <c r="AH423" s="683" t="s">
        <v>2342</v>
      </c>
      <c r="AI423" s="683" t="s">
        <v>844</v>
      </c>
      <c r="AJ423" s="683" t="s">
        <v>1386</v>
      </c>
      <c r="AK423" s="683"/>
      <c r="AL423" s="687" t="s">
        <v>781</v>
      </c>
      <c r="AM423" s="683" t="s">
        <v>2632</v>
      </c>
      <c r="AN423" s="683" t="s">
        <v>2631</v>
      </c>
      <c r="AO423" s="683" t="s">
        <v>2630</v>
      </c>
      <c r="AP423" s="683" t="s">
        <v>240</v>
      </c>
      <c r="AQ423" s="688" t="str">
        <f>CONCATENATE("REG-",BDEGENER[[#This Row],[FECHA DE SERVICIO]],"-",BDEGENER[[#This Row],[SERIE]],"-",BDEGENER[[#This Row],[HORAS]])</f>
        <v>REG-43987-8754673-153,2</v>
      </c>
      <c r="AR423" s="683" t="str">
        <f>CONCATENATE("MARCA: ",BDEGENER[[#This Row],[MARCA]],"
 MODELO: ",BDEGENER[[#This Row],[MODELO]])</f>
        <v>MARCA: GAMMA
 MODELO: GPLS-400I</v>
      </c>
      <c r="AS423" s="683" t="str">
        <f>CONCATENATE("MARCA: ",BDEGENER[[#This Row],[MARCA DE MOTOR]],"
SERIE: ",BDEGENER[[#This Row],[SERIE DE MOTOR]])</f>
        <v>MARCA: PERKINS
SERIE: TGHF5219</v>
      </c>
      <c r="AT423" s="683" t="str">
        <f>CONCATENATE("MARCA: ",BDEGENER[[#This Row],[MARCA ALTERNADOR ]],"
SERIE: ",BDEGENER[[#This Row],[SERIE DE ALTERNADOR]])</f>
        <v>MARCA: 
SERIE: 2206-472-0464</v>
      </c>
      <c r="AU423" s="683" t="str">
        <f>CONCATENATE("HORAS: ",BDEGENER[[#This Row],[HORAS]],"
KW-HR: ",BDEGENER[[#This Row],[KW-HORA]],"
VOLT.BATERIA: ",BDEGENER[[#This Row],[VOLTAJE DE BATERIA]],"
TEMPERATURA: ",BDEGENER[[#This Row],[TEMPERATURA DE AGUA]],"
PRES. ACEITE: ",BDEGENER[[#This Row],[PRESION DE ACEITE]])</f>
        <v>HORAS: 153,2
KW-HR: 
VOLT.BATERIA: 28 V
TEMPERATURA: 24 °C
PRES. ACEITE: 5.1 Bar</v>
      </c>
      <c r="AV423" s="683">
        <f>COUNTIFS(Q423:Q2423,"MANTENIMIENTO CORRECTIVO",Y423:Y2423,BDEGENER[[#This Row],[SERIE]])</f>
        <v>1</v>
      </c>
      <c r="AW423" s="683">
        <f>COUNTIFS(Q423:Q2423,"MANTENIMIENTO PREVENTIVO",Y423:Y2423,BDEGENER[[#This Row],[SERIE]])</f>
        <v>2</v>
      </c>
      <c r="AX42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23" s="683">
        <f>COUNTIFS(BDEGENER[SERIE],BDEGENER[[#This Row],[SERIE]],BDEGENER[TIPO DE SERVICIO],"MANTENIMIENTO PREVENTIVO")</f>
        <v>2</v>
      </c>
      <c r="AZ423" s="683" t="str">
        <f>CONCATENATE("MANTENIMIENTO PREVENTIVO N°",BDEGENER[[#This Row],[GA1]])</f>
        <v>MANTENIMIENTO PREVENTIVO N°2</v>
      </c>
      <c r="BA423" s="683" t="str">
        <f>IF(BDEGENER[[#This Row],[SERVICIO]]=BDEGENER[[#This Row],[GA2]],BDEGENER[[#This Row],[HORAS]],"0")</f>
        <v>0</v>
      </c>
      <c r="BB423" s="683">
        <f>SUMIF(BDEGENER[SERIE],BDEGENER[[#This Row],[SERIE]],BDEGENER[GA3])</f>
        <v>152.9</v>
      </c>
      <c r="BC423" s="683" t="str">
        <f>CONCATENATE("MANT",COUNTIF($Y$7:Y423,Y423))</f>
        <v>MANT1</v>
      </c>
      <c r="BD423" s="683" t="str">
        <f>CONCATENATE(BDEGENER[[#This Row],[SERIE]],BDEGENER[[#This Row],[GA5]])</f>
        <v>8754673MANT1</v>
      </c>
      <c r="BE423" s="683" t="str">
        <f>CONCATENATE(BDEGENER[[#This Row],[CODIGO PATRIMONIAL]],BDEGENER[[#This Row],[GA5]])</f>
        <v>MANT1</v>
      </c>
      <c r="BF423" s="683">
        <f>COUNTIF(BDEGENER[SERIE],BDEGENER[[#This Row],[SERIE]])</f>
        <v>6</v>
      </c>
      <c r="BG423" s="683" t="str">
        <f>CONCATENATE("F",COUNTIF($K$7:K423,K423))</f>
        <v>F2</v>
      </c>
      <c r="BH423" s="683" t="str">
        <f>CONCATENATE(BDEGENER[[#This Row],[FECHA DE SERVICIO]],BDEGENER[[#This Row],[N° DE REGISTROS DEL DIA]])</f>
        <v>43987F2</v>
      </c>
      <c r="BI423" s="684"/>
      <c r="BJ423" s="683" t="s">
        <v>1544</v>
      </c>
      <c r="BK423" s="736" t="s">
        <v>2633</v>
      </c>
    </row>
    <row r="424" spans="2:63" ht="69" hidden="1" x14ac:dyDescent="0.3">
      <c r="B424" s="2"/>
      <c r="C424" s="2"/>
      <c r="D424" s="2"/>
      <c r="E424" s="2"/>
      <c r="F424" s="2"/>
      <c r="G424" s="2"/>
      <c r="H424" s="2"/>
      <c r="I424" s="2"/>
      <c r="J424" s="685"/>
      <c r="K424" s="682">
        <v>43987</v>
      </c>
      <c r="L424" s="683" t="s">
        <v>561</v>
      </c>
      <c r="M424" s="683" t="s">
        <v>2450</v>
      </c>
      <c r="N424" s="683" t="s">
        <v>584</v>
      </c>
      <c r="O424" s="683"/>
      <c r="P424" s="683"/>
      <c r="Q424" s="683" t="s">
        <v>37</v>
      </c>
      <c r="R424" s="683" t="s">
        <v>1782</v>
      </c>
      <c r="S424" s="686" t="s">
        <v>2522</v>
      </c>
      <c r="T424" s="683" t="s">
        <v>2525</v>
      </c>
      <c r="U424" s="683" t="s">
        <v>2524</v>
      </c>
      <c r="V424" s="683" t="s">
        <v>147</v>
      </c>
      <c r="W424" s="683" t="s">
        <v>913</v>
      </c>
      <c r="X424" s="691" t="s">
        <v>918</v>
      </c>
      <c r="Y424" s="687">
        <v>3003987064</v>
      </c>
      <c r="Z424" s="690" t="s">
        <v>2614</v>
      </c>
      <c r="AA424" s="683" t="s">
        <v>33</v>
      </c>
      <c r="AB424" s="683" t="s">
        <v>217</v>
      </c>
      <c r="AC424" s="85" t="s">
        <v>749</v>
      </c>
      <c r="AD424" s="683"/>
      <c r="AE424" s="683"/>
      <c r="AF424" s="684">
        <v>3726.7</v>
      </c>
      <c r="AG424" s="683" t="s">
        <v>243</v>
      </c>
      <c r="AH424" s="683"/>
      <c r="AI424" s="683"/>
      <c r="AJ424" s="683"/>
      <c r="AK424" s="683"/>
      <c r="AL424" s="683"/>
      <c r="AM424" s="683"/>
      <c r="AN424" s="683"/>
      <c r="AO424" s="683"/>
      <c r="AP424" s="683" t="s">
        <v>240</v>
      </c>
      <c r="AQ424" s="688" t="str">
        <f>CONCATENATE("REG-",BDEGENER[[#This Row],[FECHA DE SERVICIO]],"-",BDEGENER[[#This Row],[SERIE]],"-",BDEGENER[[#This Row],[HORAS]])</f>
        <v>REG-43987-3003987064-3726,7</v>
      </c>
      <c r="AR424" s="683" t="str">
        <f>CONCATENATE("MARCA: ",BDEGENER[[#This Row],[MARCA]],"
 MODELO: ",BDEGENER[[#This Row],[MODELO]])</f>
        <v>MARCA: GENERAC
 MODELO: RG022</v>
      </c>
      <c r="AS424" s="683" t="str">
        <f>CONCATENATE("MARCA: ",BDEGENER[[#This Row],[MARCA DE MOTOR]],"
SERIE: ",BDEGENER[[#This Row],[SERIE DE MOTOR]])</f>
        <v xml:space="preserve">MARCA: 
SERIE: </v>
      </c>
      <c r="AT424" s="683" t="str">
        <f>CONCATENATE("MARCA: ",BDEGENER[[#This Row],[MARCA ALTERNADOR ]],"
SERIE: ",BDEGENER[[#This Row],[SERIE DE ALTERNADOR]])</f>
        <v xml:space="preserve">MARCA: 
SERIE: </v>
      </c>
      <c r="AU424" s="683" t="str">
        <f>CONCATENATE("HORAS: ",BDEGENER[[#This Row],[HORAS]],"
KW-HR: ",BDEGENER[[#This Row],[KW-HORA]],"
VOLT.BATERIA: ",BDEGENER[[#This Row],[VOLTAJE DE BATERIA]],"
TEMPERATURA: ",BDEGENER[[#This Row],[TEMPERATURA DE AGUA]],"
PRES. ACEITE: ",BDEGENER[[#This Row],[PRESION DE ACEITE]])</f>
        <v xml:space="preserve">HORAS: 3726,7
KW-HR: 
VOLT.BATERIA: 
TEMPERATURA: 
PRES. ACEITE: </v>
      </c>
      <c r="AV424" s="761">
        <f>COUNTIFS(Q424:Q2424,"MANTENIMIENTO CORRECTIVO",Y424:Y2424,BDEGENER[[#This Row],[SERIE]])</f>
        <v>0</v>
      </c>
      <c r="AW424" s="761">
        <f>COUNTIFS(Q424:Q2424,"MANTENIMIENTO PREVENTIVO",Y424:Y2424,BDEGENER[[#This Row],[SERIE]])</f>
        <v>4</v>
      </c>
      <c r="AX42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24" s="683">
        <f>COUNTIFS(BDEGENER[SERIE],BDEGENER[[#This Row],[SERIE]],BDEGENER[TIPO DE SERVICIO],"MANTENIMIENTO PREVENTIVO")</f>
        <v>11</v>
      </c>
      <c r="AZ424" s="683" t="str">
        <f>CONCATENATE("MANTENIMIENTO PREVENTIVO N°",BDEGENER[[#This Row],[GA1]])</f>
        <v>MANTENIMIENTO PREVENTIVO N°11</v>
      </c>
      <c r="BA424" s="683" t="str">
        <f>IF(BDEGENER[[#This Row],[SERVICIO]]=BDEGENER[[#This Row],[GA2]],BDEGENER[[#This Row],[HORAS]],"0")</f>
        <v>0</v>
      </c>
      <c r="BB424" s="683">
        <f>SUMIF(BDEGENER[SERIE],BDEGENER[[#This Row],[SERIE]],BDEGENER[GA3])</f>
        <v>6420.8</v>
      </c>
      <c r="BC424" s="761" t="str">
        <f>CONCATENATE("MANT",COUNTIF($Y$7:Y424,Y424))</f>
        <v>MANT9</v>
      </c>
      <c r="BD424" s="683" t="str">
        <f>CONCATENATE(BDEGENER[[#This Row],[SERIE]],BDEGENER[[#This Row],[GA5]])</f>
        <v>3003987064MANT9</v>
      </c>
      <c r="BE424" s="683" t="str">
        <f>CONCATENATE(BDEGENER[[#This Row],[CODIGO PATRIMONIAL]],BDEGENER[[#This Row],[GA5]])</f>
        <v>NOR-GEG-0016MANT9</v>
      </c>
      <c r="BF424" s="683">
        <f>COUNTIF(BDEGENER[SERIE],BDEGENER[[#This Row],[SERIE]])</f>
        <v>12</v>
      </c>
      <c r="BG424" s="761" t="str">
        <f>CONCATENATE("F",COUNTIF($K$7:K424,K424))</f>
        <v>F3</v>
      </c>
      <c r="BH424" s="683" t="str">
        <f>CONCATENATE(BDEGENER[[#This Row],[FECHA DE SERVICIO]],BDEGENER[[#This Row],[N° DE REGISTROS DEL DIA]])</f>
        <v>43987F3</v>
      </c>
      <c r="BI424" s="684"/>
      <c r="BJ424" s="683" t="s">
        <v>1544</v>
      </c>
      <c r="BK424" s="736"/>
    </row>
    <row r="425" spans="2:63" ht="69" hidden="1" x14ac:dyDescent="0.3">
      <c r="B425" s="2"/>
      <c r="C425" s="2"/>
      <c r="D425" s="2"/>
      <c r="E425" s="2"/>
      <c r="F425" s="2"/>
      <c r="G425" s="2"/>
      <c r="H425" s="2"/>
      <c r="I425" s="2"/>
      <c r="J425" s="685"/>
      <c r="K425" s="682">
        <v>43987</v>
      </c>
      <c r="L425" s="683" t="s">
        <v>561</v>
      </c>
      <c r="M425" s="683" t="s">
        <v>2451</v>
      </c>
      <c r="N425" s="683" t="s">
        <v>584</v>
      </c>
      <c r="O425" s="683"/>
      <c r="P425" s="683"/>
      <c r="Q425" s="683" t="s">
        <v>37</v>
      </c>
      <c r="R425" s="683" t="s">
        <v>1782</v>
      </c>
      <c r="S425" s="686" t="s">
        <v>2522</v>
      </c>
      <c r="T425" s="683" t="s">
        <v>2523</v>
      </c>
      <c r="U425" s="683" t="s">
        <v>2524</v>
      </c>
      <c r="V425" s="683" t="s">
        <v>677</v>
      </c>
      <c r="W425" s="683" t="s">
        <v>913</v>
      </c>
      <c r="X425" s="691" t="s">
        <v>918</v>
      </c>
      <c r="Y425" s="687">
        <v>3003940357</v>
      </c>
      <c r="Z425" s="692" t="s">
        <v>2612</v>
      </c>
      <c r="AA425" s="683" t="s">
        <v>33</v>
      </c>
      <c r="AB425" s="683" t="s">
        <v>217</v>
      </c>
      <c r="AC425" s="683" t="s">
        <v>749</v>
      </c>
      <c r="AD425" s="683"/>
      <c r="AE425" s="683"/>
      <c r="AF425" s="684">
        <v>3736.1</v>
      </c>
      <c r="AG425" s="683" t="s">
        <v>243</v>
      </c>
      <c r="AH425" s="683"/>
      <c r="AI425" s="683"/>
      <c r="AJ425" s="683"/>
      <c r="AK425" s="683"/>
      <c r="AL425" s="683"/>
      <c r="AM425" s="683"/>
      <c r="AN425" s="683"/>
      <c r="AO425" s="683"/>
      <c r="AP425" s="683" t="s">
        <v>240</v>
      </c>
      <c r="AQ425" s="688" t="str">
        <f>CONCATENATE("REG-",BDEGENER[[#This Row],[FECHA DE SERVICIO]],"-",BDEGENER[[#This Row],[SERIE]],"-",BDEGENER[[#This Row],[HORAS]])</f>
        <v>REG-43987-3003940357-3736,1</v>
      </c>
      <c r="AR425" s="683" t="str">
        <f>CONCATENATE("MARCA: ",BDEGENER[[#This Row],[MARCA]],"
 MODELO: ",BDEGENER[[#This Row],[MODELO]])</f>
        <v>MARCA: GENERAC
 MODELO: RG022</v>
      </c>
      <c r="AS425" s="683" t="str">
        <f>CONCATENATE("MARCA: ",BDEGENER[[#This Row],[MARCA DE MOTOR]],"
SERIE: ",BDEGENER[[#This Row],[SERIE DE MOTOR]])</f>
        <v xml:space="preserve">MARCA: 
SERIE: </v>
      </c>
      <c r="AT425" s="683" t="str">
        <f>CONCATENATE("MARCA: ",BDEGENER[[#This Row],[MARCA ALTERNADOR ]],"
SERIE: ",BDEGENER[[#This Row],[SERIE DE ALTERNADOR]])</f>
        <v xml:space="preserve">MARCA: 
SERIE: </v>
      </c>
      <c r="AU425" s="683" t="str">
        <f>CONCATENATE("HORAS: ",BDEGENER[[#This Row],[HORAS]],"
KW-HR: ",BDEGENER[[#This Row],[KW-HORA]],"
VOLT.BATERIA: ",BDEGENER[[#This Row],[VOLTAJE DE BATERIA]],"
TEMPERATURA: ",BDEGENER[[#This Row],[TEMPERATURA DE AGUA]],"
PRES. ACEITE: ",BDEGENER[[#This Row],[PRESION DE ACEITE]])</f>
        <v xml:space="preserve">HORAS: 3736,1
KW-HR: 
VOLT.BATERIA: 
TEMPERATURA: 
PRES. ACEITE: </v>
      </c>
      <c r="AV425" s="683">
        <f>COUNTIFS(Q425:Q2425,"MANTENIMIENTO CORRECTIVO",Y425:Y2425,BDEGENER[[#This Row],[SERIE]])</f>
        <v>0</v>
      </c>
      <c r="AW425" s="683">
        <f>COUNTIFS(Q425:Q2425,"MANTENIMIENTO PREVENTIVO",Y425:Y2425,BDEGENER[[#This Row],[SERIE]])</f>
        <v>5</v>
      </c>
      <c r="AX42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25" s="683">
        <f>COUNTIFS(BDEGENER[SERIE],BDEGENER[[#This Row],[SERIE]],BDEGENER[TIPO DE SERVICIO],"MANTENIMIENTO PREVENTIVO")</f>
        <v>12</v>
      </c>
      <c r="AZ425" s="683" t="str">
        <f>CONCATENATE("MANTENIMIENTO PREVENTIVO N°",BDEGENER[[#This Row],[GA1]])</f>
        <v>MANTENIMIENTO PREVENTIVO N°12</v>
      </c>
      <c r="BA425" s="683" t="str">
        <f>IF(BDEGENER[[#This Row],[SERVICIO]]=BDEGENER[[#This Row],[GA2]],BDEGENER[[#This Row],[HORAS]],"0")</f>
        <v>0</v>
      </c>
      <c r="BB425" s="683">
        <f>SUMIF(BDEGENER[SERIE],BDEGENER[[#This Row],[SERIE]],BDEGENER[GA3])</f>
        <v>6263.3</v>
      </c>
      <c r="BC425" s="683" t="str">
        <f>CONCATENATE("MANT",COUNTIF($Y$7:Y425,Y425))</f>
        <v>MANT11</v>
      </c>
      <c r="BD425" s="683" t="str">
        <f>CONCATENATE(BDEGENER[[#This Row],[SERIE]],BDEGENER[[#This Row],[GA5]])</f>
        <v>3003940357MANT11</v>
      </c>
      <c r="BE425" s="683" t="str">
        <f>CONCATENATE(BDEGENER[[#This Row],[CODIGO PATRIMONIAL]],BDEGENER[[#This Row],[GA5]])</f>
        <v>NOR-GEG-0014MANT11</v>
      </c>
      <c r="BF425" s="683">
        <f>COUNTIF(BDEGENER[SERIE],BDEGENER[[#This Row],[SERIE]])</f>
        <v>16</v>
      </c>
      <c r="BG425" s="683" t="str">
        <f>CONCATENATE("F",COUNTIF($K$7:K425,K425))</f>
        <v>F4</v>
      </c>
      <c r="BH425" s="683" t="str">
        <f>CONCATENATE(BDEGENER[[#This Row],[FECHA DE SERVICIO]],BDEGENER[[#This Row],[N° DE REGISTROS DEL DIA]])</f>
        <v>43987F4</v>
      </c>
      <c r="BI425" s="684"/>
      <c r="BJ425" s="85" t="s">
        <v>1544</v>
      </c>
      <c r="BK425" s="736"/>
    </row>
    <row r="426" spans="2:63" ht="69" hidden="1" x14ac:dyDescent="0.3">
      <c r="B426" s="2"/>
      <c r="C426" s="2"/>
      <c r="D426" s="2"/>
      <c r="E426" s="2"/>
      <c r="F426" s="2"/>
      <c r="G426" s="2"/>
      <c r="H426" s="2"/>
      <c r="I426" s="2"/>
      <c r="J426" s="685"/>
      <c r="K426" s="682">
        <v>43987</v>
      </c>
      <c r="L426" s="683" t="s">
        <v>181</v>
      </c>
      <c r="M426" s="683" t="s">
        <v>190</v>
      </c>
      <c r="N426" s="683" t="s">
        <v>183</v>
      </c>
      <c r="O426" s="683">
        <v>4500873022</v>
      </c>
      <c r="P426" s="683" t="s">
        <v>2410</v>
      </c>
      <c r="Q426" s="683" t="s">
        <v>37</v>
      </c>
      <c r="R426" s="683" t="s">
        <v>1782</v>
      </c>
      <c r="S426" s="686" t="s">
        <v>2407</v>
      </c>
      <c r="T426" s="683" t="s">
        <v>2411</v>
      </c>
      <c r="U426" s="683" t="s">
        <v>2053</v>
      </c>
      <c r="V426" s="683" t="s">
        <v>146</v>
      </c>
      <c r="W426" s="683" t="s">
        <v>914</v>
      </c>
      <c r="X426" s="691" t="s">
        <v>918</v>
      </c>
      <c r="Y426" s="687">
        <v>3004336196</v>
      </c>
      <c r="Z426" s="692"/>
      <c r="AA426" s="683" t="s">
        <v>33</v>
      </c>
      <c r="AB426" s="683" t="s">
        <v>34</v>
      </c>
      <c r="AC426" s="683" t="s">
        <v>230</v>
      </c>
      <c r="AD426" s="683" t="s">
        <v>1110</v>
      </c>
      <c r="AE426" s="683">
        <v>60</v>
      </c>
      <c r="AF426" s="684">
        <v>1725.4</v>
      </c>
      <c r="AG426" s="683" t="s">
        <v>243</v>
      </c>
      <c r="AH426" s="683" t="s">
        <v>220</v>
      </c>
      <c r="AI426" s="683" t="s">
        <v>33</v>
      </c>
      <c r="AJ426" s="683">
        <v>3004346824</v>
      </c>
      <c r="AK426" s="683" t="s">
        <v>33</v>
      </c>
      <c r="AL426" s="683">
        <v>10630720</v>
      </c>
      <c r="AM426" s="683" t="s">
        <v>1121</v>
      </c>
      <c r="AN426" s="683" t="s">
        <v>1143</v>
      </c>
      <c r="AO426" s="683" t="s">
        <v>1095</v>
      </c>
      <c r="AP426" s="683" t="s">
        <v>240</v>
      </c>
      <c r="AQ426" s="683" t="str">
        <f>CONCATENATE("REG-",BDEGENER[[#This Row],[FECHA DE SERVICIO]],"-",BDEGENER[[#This Row],[SERIE]],"-",BDEGENER[[#This Row],[HORAS]])</f>
        <v>REG-43987-3004336196-1725,4</v>
      </c>
      <c r="AR426" s="683" t="str">
        <f>CONCATENATE("MARCA: ",BDEGENER[[#This Row],[MARCA]],"
 MODELO: ",BDEGENER[[#This Row],[MODELO]])</f>
        <v>MARCA: GENERAC
 MODELO: PG090</v>
      </c>
      <c r="AS426" s="683" t="str">
        <f>CONCATENATE("MARCA: ",BDEGENER[[#This Row],[MARCA DE MOTOR]],"
SERIE: ",BDEGENER[[#This Row],[SERIE DE MOTOR]])</f>
        <v>MARCA: GENERAC
SERIE: 3004346824</v>
      </c>
      <c r="AT426" s="683" t="str">
        <f>CONCATENATE("MARCA: ",BDEGENER[[#This Row],[MARCA ALTERNADOR ]],"
SERIE: ",BDEGENER[[#This Row],[SERIE DE ALTERNADOR]])</f>
        <v>MARCA: GENERAC
SERIE: 10630720</v>
      </c>
      <c r="AU426" s="683" t="str">
        <f>CONCATENATE("HORAS: ",BDEGENER[[#This Row],[HORAS]],"
KW-HR: ",BDEGENER[[#This Row],[KW-HORA]],"
VOLT.BATERIA: ",BDEGENER[[#This Row],[VOLTAJE DE BATERIA]],"
TEMPERATURA: ",BDEGENER[[#This Row],[TEMPERATURA DE AGUA]],"
PRES. ACEITE: ",BDEGENER[[#This Row],[PRESION DE ACEITE]])</f>
        <v>HORAS: 1725,4
KW-HR: 41119,3
VOLT.BATERIA: 13.7 V
TEMPERATURA: 197 °F
PRES. ACEITE: 54 PSI</v>
      </c>
      <c r="AV426" s="683">
        <f>COUNTIFS(Q426:Q2426,"MANTENIMIENTO CORRECTIVO",Y426:Y2426,BDEGENER[[#This Row],[SERIE]])</f>
        <v>2</v>
      </c>
      <c r="AW426" s="683">
        <f>COUNTIFS(Q426:Q2426,"MANTENIMIENTO PREVENTIVO",Y426:Y2426,BDEGENER[[#This Row],[SERIE]])</f>
        <v>5</v>
      </c>
      <c r="AX42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26" s="683">
        <f>COUNTIFS(BDEGENER[SERIE],BDEGENER[[#This Row],[SERIE]],BDEGENER[TIPO DE SERVICIO],"MANTENIMIENTO PREVENTIVO")</f>
        <v>9</v>
      </c>
      <c r="AZ426" s="683" t="str">
        <f>CONCATENATE("MANTENIMIENTO PREVENTIVO N°",BDEGENER[[#This Row],[GA1]])</f>
        <v>MANTENIMIENTO PREVENTIVO N°9</v>
      </c>
      <c r="BA426" s="683" t="str">
        <f>IF(BDEGENER[[#This Row],[SERVICIO]]=BDEGENER[[#This Row],[GA2]],BDEGENER[[#This Row],[HORAS]],"0")</f>
        <v>0</v>
      </c>
      <c r="BB426" s="683">
        <f>SUMIF(BDEGENER[SERIE],BDEGENER[[#This Row],[SERIE]],BDEGENER[GA3])</f>
        <v>3148.2</v>
      </c>
      <c r="BC426" s="683" t="str">
        <f>CONCATENATE("MANT",COUNTIF($Y$7:Y426,Y426))</f>
        <v>MANT6</v>
      </c>
      <c r="BD426" s="683" t="str">
        <f>CONCATENATE(BDEGENER[[#This Row],[SERIE]],BDEGENER[[#This Row],[GA5]])</f>
        <v>3004336196MANT6</v>
      </c>
      <c r="BE426" s="683" t="str">
        <f>CONCATENATE(BDEGENER[[#This Row],[CODIGO PATRIMONIAL]],BDEGENER[[#This Row],[GA5]])</f>
        <v>MANT6</v>
      </c>
      <c r="BF426" s="683">
        <f>COUNTIF(BDEGENER[SERIE],BDEGENER[[#This Row],[SERIE]])</f>
        <v>13</v>
      </c>
      <c r="BG426" s="683" t="str">
        <f>CONCATENATE("F",COUNTIF($K$7:K426,K426))</f>
        <v>F5</v>
      </c>
      <c r="BH426" s="683" t="str">
        <f>CONCATENATE(BDEGENER[[#This Row],[FECHA DE SERVICIO]],BDEGENER[[#This Row],[N° DE REGISTROS DEL DIA]])</f>
        <v>43987F5</v>
      </c>
      <c r="BI426" s="684">
        <v>41119.300000000003</v>
      </c>
      <c r="BJ426" s="85" t="s">
        <v>1544</v>
      </c>
      <c r="BK426" s="736" t="s">
        <v>1968</v>
      </c>
    </row>
    <row r="427" spans="2:63" ht="69" hidden="1" x14ac:dyDescent="0.3">
      <c r="B427" s="2"/>
      <c r="C427" s="2"/>
      <c r="D427" s="2"/>
      <c r="E427" s="2"/>
      <c r="F427" s="2"/>
      <c r="G427" s="2"/>
      <c r="H427" s="2"/>
      <c r="I427" s="2"/>
      <c r="J427" s="685"/>
      <c r="K427" s="682">
        <v>43987</v>
      </c>
      <c r="L427" s="683" t="s">
        <v>181</v>
      </c>
      <c r="M427" s="683" t="s">
        <v>187</v>
      </c>
      <c r="N427" s="683" t="s">
        <v>183</v>
      </c>
      <c r="O427" s="683">
        <v>4500873022</v>
      </c>
      <c r="P427" s="683" t="s">
        <v>2406</v>
      </c>
      <c r="Q427" s="683" t="s">
        <v>37</v>
      </c>
      <c r="R427" s="683" t="s">
        <v>1782</v>
      </c>
      <c r="S427" s="686" t="s">
        <v>2407</v>
      </c>
      <c r="T427" s="683" t="s">
        <v>2408</v>
      </c>
      <c r="U427" s="683" t="s">
        <v>2053</v>
      </c>
      <c r="V427" s="683" t="s">
        <v>146</v>
      </c>
      <c r="W427" s="683" t="s">
        <v>914</v>
      </c>
      <c r="X427" s="691" t="s">
        <v>918</v>
      </c>
      <c r="Y427" s="687">
        <v>3004327725</v>
      </c>
      <c r="Z427" s="692"/>
      <c r="AA427" s="683" t="s">
        <v>33</v>
      </c>
      <c r="AB427" s="683" t="s">
        <v>34</v>
      </c>
      <c r="AC427" s="683" t="s">
        <v>230</v>
      </c>
      <c r="AD427" s="683" t="s">
        <v>1110</v>
      </c>
      <c r="AE427" s="683">
        <v>60</v>
      </c>
      <c r="AF427" s="684">
        <v>1345</v>
      </c>
      <c r="AG427" s="683" t="s">
        <v>243</v>
      </c>
      <c r="AH427" s="683" t="s">
        <v>220</v>
      </c>
      <c r="AI427" s="683" t="s">
        <v>33</v>
      </c>
      <c r="AJ427" s="683">
        <v>3004333865</v>
      </c>
      <c r="AK427" s="683" t="s">
        <v>33</v>
      </c>
      <c r="AL427" s="683">
        <v>1065020</v>
      </c>
      <c r="AM427" s="683" t="s">
        <v>1121</v>
      </c>
      <c r="AN427" s="683" t="s">
        <v>1122</v>
      </c>
      <c r="AO427" s="683" t="s">
        <v>1166</v>
      </c>
      <c r="AP427" s="683" t="s">
        <v>240</v>
      </c>
      <c r="AQ427" s="683" t="str">
        <f>CONCATENATE("REG-",BDEGENER[[#This Row],[FECHA DE SERVICIO]],"-",BDEGENER[[#This Row],[SERIE]],"-",BDEGENER[[#This Row],[HORAS]])</f>
        <v>REG-43987-3004327725-1345</v>
      </c>
      <c r="AR427" s="683" t="str">
        <f>CONCATENATE("MARCA: ",BDEGENER[[#This Row],[MARCA]],"
 MODELO: ",BDEGENER[[#This Row],[MODELO]])</f>
        <v>MARCA: GENERAC
 MODELO: PG090</v>
      </c>
      <c r="AS427" s="683" t="str">
        <f>CONCATENATE("MARCA: ",BDEGENER[[#This Row],[MARCA DE MOTOR]],"
SERIE: ",BDEGENER[[#This Row],[SERIE DE MOTOR]])</f>
        <v>MARCA: GENERAC
SERIE: 3004333865</v>
      </c>
      <c r="AT427" s="683" t="str">
        <f>CONCATENATE("MARCA: ",BDEGENER[[#This Row],[MARCA ALTERNADOR ]],"
SERIE: ",BDEGENER[[#This Row],[SERIE DE ALTERNADOR]])</f>
        <v>MARCA: GENERAC
SERIE: 1065020</v>
      </c>
      <c r="AU427" s="683" t="str">
        <f>CONCATENATE("HORAS: ",BDEGENER[[#This Row],[HORAS]],"
KW-HR: ",BDEGENER[[#This Row],[KW-HORA]],"
VOLT.BATERIA: ",BDEGENER[[#This Row],[VOLTAJE DE BATERIA]],"
TEMPERATURA: ",BDEGENER[[#This Row],[TEMPERATURA DE AGUA]],"
PRES. ACEITE: ",BDEGENER[[#This Row],[PRESION DE ACEITE]])</f>
        <v>HORAS: 1345
KW-HR: 19083,9
VOLT.BATERIA: 13.7 V
TEMPERATURA: 195 °F
PRES. ACEITE: 57 PSI</v>
      </c>
      <c r="AV427" s="761">
        <f>COUNTIFS(Q427:Q2427,"MANTENIMIENTO CORRECTIVO",Y427:Y2427,BDEGENER[[#This Row],[SERIE]])</f>
        <v>1</v>
      </c>
      <c r="AW427" s="761">
        <f>COUNTIFS(Q427:Q2427,"MANTENIMIENTO PREVENTIVO",Y427:Y2427,BDEGENER[[#This Row],[SERIE]])</f>
        <v>5</v>
      </c>
      <c r="AX42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27" s="683">
        <f>COUNTIFS(BDEGENER[SERIE],BDEGENER[[#This Row],[SERIE]],BDEGENER[TIPO DE SERVICIO],"MANTENIMIENTO PREVENTIVO")</f>
        <v>6</v>
      </c>
      <c r="AZ427" s="683" t="str">
        <f>CONCATENATE("MANTENIMIENTO PREVENTIVO N°",BDEGENER[[#This Row],[GA1]])</f>
        <v>MANTENIMIENTO PREVENTIVO N°6</v>
      </c>
      <c r="BA427" s="683" t="str">
        <f>IF(BDEGENER[[#This Row],[SERVICIO]]=BDEGENER[[#This Row],[GA2]],BDEGENER[[#This Row],[HORAS]],"0")</f>
        <v>0</v>
      </c>
      <c r="BB427" s="683">
        <f>SUMIF(BDEGENER[SERIE],BDEGENER[[#This Row],[SERIE]],BDEGENER[GA3])</f>
        <v>1599.8</v>
      </c>
      <c r="BC427" s="761" t="str">
        <f>CONCATENATE("MANT",COUNTIF($Y$7:Y427,Y427))</f>
        <v>MANT7</v>
      </c>
      <c r="BD427" s="683" t="str">
        <f>CONCATENATE(BDEGENER[[#This Row],[SERIE]],BDEGENER[[#This Row],[GA5]])</f>
        <v>3004327725MANT7</v>
      </c>
      <c r="BE427" s="683" t="str">
        <f>CONCATENATE(BDEGENER[[#This Row],[CODIGO PATRIMONIAL]],BDEGENER[[#This Row],[GA5]])</f>
        <v>MANT7</v>
      </c>
      <c r="BF427" s="683">
        <f>COUNTIF(BDEGENER[SERIE],BDEGENER[[#This Row],[SERIE]])</f>
        <v>13</v>
      </c>
      <c r="BG427" s="761" t="str">
        <f>CONCATENATE("F",COUNTIF($K$7:K427,K427))</f>
        <v>F6</v>
      </c>
      <c r="BH427" s="683" t="str">
        <f>CONCATENATE(BDEGENER[[#This Row],[FECHA DE SERVICIO]],BDEGENER[[#This Row],[N° DE REGISTROS DEL DIA]])</f>
        <v>43987F6</v>
      </c>
      <c r="BI427" s="684">
        <v>19083.900000000001</v>
      </c>
      <c r="BJ427" s="683" t="s">
        <v>1544</v>
      </c>
      <c r="BK427" s="736" t="s">
        <v>2368</v>
      </c>
    </row>
    <row r="428" spans="2:63" ht="69" hidden="1" x14ac:dyDescent="0.3">
      <c r="B428" s="2"/>
      <c r="C428" s="2"/>
      <c r="D428" s="2"/>
      <c r="E428" s="2"/>
      <c r="F428" s="2"/>
      <c r="G428" s="2"/>
      <c r="H428" s="2"/>
      <c r="I428" s="2"/>
      <c r="J428" s="685"/>
      <c r="K428" s="682">
        <v>43987</v>
      </c>
      <c r="L428" s="683" t="s">
        <v>181</v>
      </c>
      <c r="M428" s="683" t="s">
        <v>188</v>
      </c>
      <c r="N428" s="683" t="s">
        <v>183</v>
      </c>
      <c r="O428" s="683">
        <v>4500873022</v>
      </c>
      <c r="P428" s="688" t="s">
        <v>2402</v>
      </c>
      <c r="Q428" s="683" t="s">
        <v>37</v>
      </c>
      <c r="R428" s="683" t="s">
        <v>1782</v>
      </c>
      <c r="S428" s="686" t="s">
        <v>2403</v>
      </c>
      <c r="T428" s="683" t="s">
        <v>2405</v>
      </c>
      <c r="U428" s="683" t="s">
        <v>2404</v>
      </c>
      <c r="V428" s="683" t="s">
        <v>146</v>
      </c>
      <c r="W428" s="683" t="s">
        <v>914</v>
      </c>
      <c r="X428" s="691" t="s">
        <v>918</v>
      </c>
      <c r="Y428" s="687">
        <v>3004290369</v>
      </c>
      <c r="Z428" s="692" t="s">
        <v>192</v>
      </c>
      <c r="AA428" s="683" t="s">
        <v>33</v>
      </c>
      <c r="AB428" s="683" t="s">
        <v>34</v>
      </c>
      <c r="AC428" s="683" t="s">
        <v>230</v>
      </c>
      <c r="AD428" s="683" t="s">
        <v>1110</v>
      </c>
      <c r="AE428" s="683">
        <v>60</v>
      </c>
      <c r="AF428" s="684">
        <v>818.2</v>
      </c>
      <c r="AG428" s="683" t="s">
        <v>243</v>
      </c>
      <c r="AH428" s="683" t="s">
        <v>220</v>
      </c>
      <c r="AI428" s="683" t="s">
        <v>33</v>
      </c>
      <c r="AJ428" s="683">
        <v>3004308219</v>
      </c>
      <c r="AK428" s="683" t="s">
        <v>33</v>
      </c>
      <c r="AL428" s="683">
        <v>1063018</v>
      </c>
      <c r="AM428" s="683" t="s">
        <v>1121</v>
      </c>
      <c r="AN428" s="683" t="s">
        <v>1122</v>
      </c>
      <c r="AO428" s="683" t="s">
        <v>1166</v>
      </c>
      <c r="AP428" s="683" t="s">
        <v>240</v>
      </c>
      <c r="AQ428" s="688" t="str">
        <f>CONCATENATE("REG-",BDEGENER[[#This Row],[FECHA DE SERVICIO]],"-",BDEGENER[[#This Row],[SERIE]],"-",BDEGENER[[#This Row],[HORAS]])</f>
        <v>REG-43987-3004290369-818,2</v>
      </c>
      <c r="AR428" s="683" t="str">
        <f>CONCATENATE("MARCA: ",BDEGENER[[#This Row],[MARCA]],"
 MODELO: ",BDEGENER[[#This Row],[MODELO]])</f>
        <v>MARCA: GENERAC
 MODELO: PG090</v>
      </c>
      <c r="AS428" s="683" t="str">
        <f>CONCATENATE("MARCA: ",BDEGENER[[#This Row],[MARCA DE MOTOR]],"
SERIE: ",BDEGENER[[#This Row],[SERIE DE MOTOR]])</f>
        <v>MARCA: GENERAC
SERIE: 3004308219</v>
      </c>
      <c r="AT428" s="683" t="str">
        <f>CONCATENATE("MARCA: ",BDEGENER[[#This Row],[MARCA ALTERNADOR ]],"
SERIE: ",BDEGENER[[#This Row],[SERIE DE ALTERNADOR]])</f>
        <v>MARCA: GENERAC
SERIE: 1063018</v>
      </c>
      <c r="AU428" s="683" t="str">
        <f>CONCATENATE("HORAS: ",BDEGENER[[#This Row],[HORAS]],"
KW-HR: ",BDEGENER[[#This Row],[KW-HORA]],"
VOLT.BATERIA: ",BDEGENER[[#This Row],[VOLTAJE DE BATERIA]],"
TEMPERATURA: ",BDEGENER[[#This Row],[TEMPERATURA DE AGUA]],"
PRES. ACEITE: ",BDEGENER[[#This Row],[PRESION DE ACEITE]])</f>
        <v>HORAS: 818,2
KW-HR: 18366,1
VOLT.BATERIA: 13.7 V
TEMPERATURA: 195 °F
PRES. ACEITE: 57 PSI</v>
      </c>
      <c r="AV428" s="683">
        <f>COUNTIFS(Q428:Q2428,"MANTENIMIENTO CORRECTIVO",Y428:Y2428,BDEGENER[[#This Row],[SERIE]])</f>
        <v>2</v>
      </c>
      <c r="AW428" s="683">
        <f>COUNTIFS(Q428:Q2428,"MANTENIMIENTO PREVENTIVO",Y428:Y2428,BDEGENER[[#This Row],[SERIE]])</f>
        <v>3</v>
      </c>
      <c r="AX42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428" s="683">
        <f>COUNTIFS(BDEGENER[SERIE],BDEGENER[[#This Row],[SERIE]],BDEGENER[TIPO DE SERVICIO],"MANTENIMIENTO PREVENTIVO")</f>
        <v>7</v>
      </c>
      <c r="AZ428" s="683" t="str">
        <f>CONCATENATE("MANTENIMIENTO PREVENTIVO N°",BDEGENER[[#This Row],[GA1]])</f>
        <v>MANTENIMIENTO PREVENTIVO N°7</v>
      </c>
      <c r="BA428" s="683" t="str">
        <f>IF(BDEGENER[[#This Row],[SERVICIO]]=BDEGENER[[#This Row],[GA2]],BDEGENER[[#This Row],[HORAS]],"0")</f>
        <v>0</v>
      </c>
      <c r="BB428" s="683">
        <f>SUMIF(BDEGENER[SERIE],BDEGENER[[#This Row],[SERIE]],BDEGENER[GA3])</f>
        <v>2294</v>
      </c>
      <c r="BC428" s="683" t="str">
        <f>CONCATENATE("MANT",COUNTIF($Y$7:Y428,Y428))</f>
        <v>MANT6</v>
      </c>
      <c r="BD428" s="683" t="str">
        <f>CONCATENATE(BDEGENER[[#This Row],[SERIE]],BDEGENER[[#This Row],[GA5]])</f>
        <v>3004290369MANT6</v>
      </c>
      <c r="BE428" s="683" t="str">
        <f>CONCATENATE(BDEGENER[[#This Row],[CODIGO PATRIMONIAL]],BDEGENER[[#This Row],[GA5]])</f>
        <v xml:space="preserve"> MANT6</v>
      </c>
      <c r="BF428" s="683">
        <f>COUNTIF(BDEGENER[SERIE],BDEGENER[[#This Row],[SERIE]])</f>
        <v>11</v>
      </c>
      <c r="BG428" s="683" t="str">
        <f>CONCATENATE("F",COUNTIF($K$7:K428,K428))</f>
        <v>F7</v>
      </c>
      <c r="BH428" s="683" t="str">
        <f>CONCATENATE(BDEGENER[[#This Row],[FECHA DE SERVICIO]],BDEGENER[[#This Row],[N° DE REGISTROS DEL DIA]])</f>
        <v>43987F7</v>
      </c>
      <c r="BI428" s="684">
        <v>18366.099999999999</v>
      </c>
      <c r="BJ428" s="683" t="s">
        <v>1544</v>
      </c>
      <c r="BK428" s="736" t="s">
        <v>2368</v>
      </c>
    </row>
    <row r="429" spans="2:63" ht="69" hidden="1" x14ac:dyDescent="0.3">
      <c r="B429" s="2"/>
      <c r="C429" s="2"/>
      <c r="D429" s="2"/>
      <c r="E429" s="2"/>
      <c r="F429" s="2"/>
      <c r="G429" s="2"/>
      <c r="H429" s="2"/>
      <c r="I429" s="2"/>
      <c r="J429" s="685"/>
      <c r="K429" s="682">
        <v>43986</v>
      </c>
      <c r="L429" s="683" t="s">
        <v>561</v>
      </c>
      <c r="M429" s="683" t="s">
        <v>2480</v>
      </c>
      <c r="N429" s="683" t="s">
        <v>2481</v>
      </c>
      <c r="O429" s="683"/>
      <c r="P429" s="683"/>
      <c r="Q429" s="683" t="s">
        <v>37</v>
      </c>
      <c r="R429" s="683" t="s">
        <v>1782</v>
      </c>
      <c r="S429" s="686" t="s">
        <v>2482</v>
      </c>
      <c r="T429" s="683" t="s">
        <v>2483</v>
      </c>
      <c r="U429" s="683" t="s">
        <v>2484</v>
      </c>
      <c r="V429" s="683" t="s">
        <v>148</v>
      </c>
      <c r="W429" s="683" t="s">
        <v>913</v>
      </c>
      <c r="X429" s="691" t="s">
        <v>918</v>
      </c>
      <c r="Y429" s="687">
        <v>3004370195</v>
      </c>
      <c r="Z429" s="692" t="s">
        <v>2597</v>
      </c>
      <c r="AA429" s="683" t="s">
        <v>33</v>
      </c>
      <c r="AB429" s="683" t="s">
        <v>217</v>
      </c>
      <c r="AC429" s="683" t="s">
        <v>749</v>
      </c>
      <c r="AD429" s="683"/>
      <c r="AE429" s="683"/>
      <c r="AF429" s="684">
        <v>2613.6999999999998</v>
      </c>
      <c r="AG429" s="683" t="s">
        <v>243</v>
      </c>
      <c r="AH429" s="683"/>
      <c r="AI429" s="683"/>
      <c r="AJ429" s="683"/>
      <c r="AK429" s="683"/>
      <c r="AL429" s="683"/>
      <c r="AM429" s="683"/>
      <c r="AN429" s="683"/>
      <c r="AO429" s="683"/>
      <c r="AP429" s="683" t="s">
        <v>240</v>
      </c>
      <c r="AQ429" s="688" t="str">
        <f>CONCATENATE("REG-",BDEGENER[[#This Row],[FECHA DE SERVICIO]],"-",BDEGENER[[#This Row],[SERIE]],"-",BDEGENER[[#This Row],[HORAS]])</f>
        <v>REG-43986-3004370195-2613,7</v>
      </c>
      <c r="AR429" s="683" t="str">
        <f>CONCATENATE("MARCA: ",BDEGENER[[#This Row],[MARCA]],"
 MODELO: ",BDEGENER[[#This Row],[MODELO]])</f>
        <v>MARCA: GENERAC
 MODELO: RG022</v>
      </c>
      <c r="AS429" s="683" t="str">
        <f>CONCATENATE("MARCA: ",BDEGENER[[#This Row],[MARCA DE MOTOR]],"
SERIE: ",BDEGENER[[#This Row],[SERIE DE MOTOR]])</f>
        <v xml:space="preserve">MARCA: 
SERIE: </v>
      </c>
      <c r="AT429" s="683" t="str">
        <f>CONCATENATE("MARCA: ",BDEGENER[[#This Row],[MARCA ALTERNADOR ]],"
SERIE: ",BDEGENER[[#This Row],[SERIE DE ALTERNADOR]])</f>
        <v xml:space="preserve">MARCA: 
SERIE: </v>
      </c>
      <c r="AU429" s="683" t="str">
        <f>CONCATENATE("HORAS: ",BDEGENER[[#This Row],[HORAS]],"
KW-HR: ",BDEGENER[[#This Row],[KW-HORA]],"
VOLT.BATERIA: ",BDEGENER[[#This Row],[VOLTAJE DE BATERIA]],"
TEMPERATURA: ",BDEGENER[[#This Row],[TEMPERATURA DE AGUA]],"
PRES. ACEITE: ",BDEGENER[[#This Row],[PRESION DE ACEITE]])</f>
        <v xml:space="preserve">HORAS: 2613,7
KW-HR: 
VOLT.BATERIA: 
TEMPERATURA: 
PRES. ACEITE: </v>
      </c>
      <c r="AV429" s="683">
        <f>COUNTIFS(Q429:Q2429,"MANTENIMIENTO CORRECTIVO",Y429:Y2429,BDEGENER[[#This Row],[SERIE]])</f>
        <v>1</v>
      </c>
      <c r="AW429" s="683">
        <f>COUNTIFS(Q429:Q2429,"MANTENIMIENTO PREVENTIVO",Y429:Y2429,BDEGENER[[#This Row],[SERIE]])</f>
        <v>4</v>
      </c>
      <c r="AX42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29" s="683">
        <f>COUNTIFS(BDEGENER[SERIE],BDEGENER[[#This Row],[SERIE]],BDEGENER[TIPO DE SERVICIO],"MANTENIMIENTO PREVENTIVO")</f>
        <v>7</v>
      </c>
      <c r="AZ429" s="683" t="str">
        <f>CONCATENATE("MANTENIMIENTO PREVENTIVO N°",BDEGENER[[#This Row],[GA1]])</f>
        <v>MANTENIMIENTO PREVENTIVO N°7</v>
      </c>
      <c r="BA429" s="683" t="str">
        <f>IF(BDEGENER[[#This Row],[SERVICIO]]=BDEGENER[[#This Row],[GA2]],BDEGENER[[#This Row],[HORAS]],"0")</f>
        <v>0</v>
      </c>
      <c r="BB429" s="683">
        <f>SUMIF(BDEGENER[SERIE],BDEGENER[[#This Row],[SERIE]],BDEGENER[GA3])</f>
        <v>3519.7</v>
      </c>
      <c r="BC429" s="683" t="str">
        <f>CONCATENATE("MANT",COUNTIF($Y$7:Y429,Y429))</f>
        <v>MANT7</v>
      </c>
      <c r="BD429" s="683" t="str">
        <f>CONCATENATE(BDEGENER[[#This Row],[SERIE]],BDEGENER[[#This Row],[GA5]])</f>
        <v>3004370195MANT7</v>
      </c>
      <c r="BE429" s="683" t="str">
        <f>CONCATENATE(BDEGENER[[#This Row],[CODIGO PATRIMONIAL]],BDEGENER[[#This Row],[GA5]])</f>
        <v>SUR-GEG-0001MANT7</v>
      </c>
      <c r="BF429" s="683">
        <f>COUNTIF(BDEGENER[SERIE],BDEGENER[[#This Row],[SERIE]])</f>
        <v>12</v>
      </c>
      <c r="BG429" s="683" t="str">
        <f>CONCATENATE("F",COUNTIF($K$7:K429,K429))</f>
        <v>F1</v>
      </c>
      <c r="BH429" s="683" t="str">
        <f>CONCATENATE(BDEGENER[[#This Row],[FECHA DE SERVICIO]],BDEGENER[[#This Row],[N° DE REGISTROS DEL DIA]])</f>
        <v>43986F1</v>
      </c>
      <c r="BI429" s="684"/>
      <c r="BJ429" s="683" t="s">
        <v>1544</v>
      </c>
      <c r="BK429" s="736"/>
    </row>
    <row r="430" spans="2:63" ht="69" hidden="1" x14ac:dyDescent="0.3">
      <c r="B430" s="2"/>
      <c r="C430" s="2"/>
      <c r="D430" s="2"/>
      <c r="E430" s="2"/>
      <c r="F430" s="2"/>
      <c r="G430" s="2"/>
      <c r="H430" s="2"/>
      <c r="I430" s="2"/>
      <c r="J430" s="685"/>
      <c r="K430" s="682">
        <v>43985</v>
      </c>
      <c r="L430" s="683" t="s">
        <v>1545</v>
      </c>
      <c r="M430" s="683" t="s">
        <v>1395</v>
      </c>
      <c r="N430" s="683" t="s">
        <v>1547</v>
      </c>
      <c r="O430" s="683"/>
      <c r="P430" s="683"/>
      <c r="Q430" s="683" t="s">
        <v>37</v>
      </c>
      <c r="R430" s="683" t="s">
        <v>1782</v>
      </c>
      <c r="S430" s="686" t="s">
        <v>3330</v>
      </c>
      <c r="T430" s="683" t="s">
        <v>3322</v>
      </c>
      <c r="U430" s="683" t="s">
        <v>3319</v>
      </c>
      <c r="V430" s="683" t="s">
        <v>479</v>
      </c>
      <c r="W430" s="683" t="s">
        <v>2743</v>
      </c>
      <c r="X430" s="691" t="s">
        <v>2741</v>
      </c>
      <c r="Y430" s="687" t="s">
        <v>3320</v>
      </c>
      <c r="Z430" s="692" t="s">
        <v>159</v>
      </c>
      <c r="AA430" s="683" t="s">
        <v>867</v>
      </c>
      <c r="AB430" s="683" t="s">
        <v>3321</v>
      </c>
      <c r="AC430" s="683" t="s">
        <v>159</v>
      </c>
      <c r="AD430" s="683"/>
      <c r="AE430" s="683"/>
      <c r="AF430" s="684">
        <v>287150</v>
      </c>
      <c r="AG430" s="683" t="s">
        <v>159</v>
      </c>
      <c r="AH430" s="683" t="s">
        <v>159</v>
      </c>
      <c r="AI430" s="683" t="s">
        <v>867</v>
      </c>
      <c r="AJ430" s="683" t="s">
        <v>159</v>
      </c>
      <c r="AK430" s="683" t="s">
        <v>159</v>
      </c>
      <c r="AL430" s="683" t="s">
        <v>159</v>
      </c>
      <c r="AM430" s="683"/>
      <c r="AN430" s="683"/>
      <c r="AO430" s="683"/>
      <c r="AP430" s="683" t="s">
        <v>240</v>
      </c>
      <c r="AQ430" s="683" t="str">
        <f>CONCATENATE("REG-",BDEGENER[[#This Row],[FECHA DE SERVICIO]],"-",BDEGENER[[#This Row],[SERIE]],"-",BDEGENER[[#This Row],[HORAS]])</f>
        <v>REG-43985-C7A-736-287150</v>
      </c>
      <c r="AR430" s="683" t="str">
        <f>CONCATENATE("MARCA: ",BDEGENER[[#This Row],[MARCA]],"
 MODELO: ",BDEGENER[[#This Row],[MODELO]])</f>
        <v>MARCA: NISSAN
 MODELO: FRONTIER</v>
      </c>
      <c r="AS430" s="683" t="str">
        <f>CONCATENATE("MARCA: ",BDEGENER[[#This Row],[MARCA DE MOTOR]],"
SERIE: ",BDEGENER[[#This Row],[SERIE DE MOTOR]])</f>
        <v xml:space="preserve">MARCA: NISSAN
SERIE: </v>
      </c>
      <c r="AT430" s="683" t="str">
        <f>CONCATENATE("MARCA: ",BDEGENER[[#This Row],[MARCA ALTERNADOR ]],"
SERIE: ",BDEGENER[[#This Row],[SERIE DE ALTERNADOR]])</f>
        <v xml:space="preserve">MARCA: 
SERIE: </v>
      </c>
      <c r="AU430" s="683" t="str">
        <f>CONCATENATE("HORAS: ",BDEGENER[[#This Row],[HORAS]],"
KW-HR: ",BDEGENER[[#This Row],[KW-HORA]],"
VOLT.BATERIA: ",BDEGENER[[#This Row],[VOLTAJE DE BATERIA]],"
TEMPERATURA: ",BDEGENER[[#This Row],[TEMPERATURA DE AGUA]],"
PRES. ACEITE: ",BDEGENER[[#This Row],[PRESION DE ACEITE]])</f>
        <v xml:space="preserve">HORAS: 287150
KW-HR: 
VOLT.BATERIA: 
TEMPERATURA: 
PRES. ACEITE: </v>
      </c>
      <c r="AV430" s="761">
        <f>COUNTIFS(Q430:Q2430,"MANTENIMIENTO CORRECTIVO",Y430:Y2430,BDEGENER[[#This Row],[SERIE]])</f>
        <v>4</v>
      </c>
      <c r="AW430" s="761">
        <f>COUNTIFS(Q430:Q2430,"MANTENIMIENTO PREVENTIVO",Y430:Y2430,BDEGENER[[#This Row],[SERIE]])</f>
        <v>3</v>
      </c>
      <c r="AX43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430" s="683">
        <f>COUNTIFS(BDEGENER[SERIE],BDEGENER[[#This Row],[SERIE]],BDEGENER[TIPO DE SERVICIO],"MANTENIMIENTO PREVENTIVO")</f>
        <v>3</v>
      </c>
      <c r="AZ430" s="683" t="str">
        <f>CONCATENATE("MANTENIMIENTO PREVENTIVO N°",BDEGENER[[#This Row],[GA1]])</f>
        <v>MANTENIMIENTO PREVENTIVO N°3</v>
      </c>
      <c r="BA430" s="683">
        <f>IF(BDEGENER[[#This Row],[SERVICIO]]=BDEGENER[[#This Row],[GA2]],BDEGENER[[#This Row],[HORAS]],"0")</f>
        <v>287150</v>
      </c>
      <c r="BB430" s="683">
        <f>SUMIF(BDEGENER[SERIE],BDEGENER[[#This Row],[SERIE]],BDEGENER[GA3])</f>
        <v>287150</v>
      </c>
      <c r="BC430" s="761" t="str">
        <f>CONCATENATE("MANT",COUNTIF($Y$7:Y430,Y430))</f>
        <v>MANT2</v>
      </c>
      <c r="BD430" s="683" t="str">
        <f>CONCATENATE(BDEGENER[[#This Row],[SERIE]],BDEGENER[[#This Row],[GA5]])</f>
        <v>C7A-736MANT2</v>
      </c>
      <c r="BE430" s="683" t="str">
        <f>CONCATENATE(BDEGENER[[#This Row],[CODIGO PATRIMONIAL]],BDEGENER[[#This Row],[GA5]])</f>
        <v>MANT2</v>
      </c>
      <c r="BF430" s="683">
        <f>COUNTIF(BDEGENER[SERIE],BDEGENER[[#This Row],[SERIE]])</f>
        <v>8</v>
      </c>
      <c r="BG430" s="761" t="str">
        <f>CONCATENATE("F",COUNTIF($K$7:K430,K430))</f>
        <v>F1</v>
      </c>
      <c r="BH430" s="683" t="str">
        <f>CONCATENATE(BDEGENER[[#This Row],[FECHA DE SERVICIO]],BDEGENER[[#This Row],[N° DE REGISTROS DEL DIA]])</f>
        <v>43985F1</v>
      </c>
      <c r="BI430" s="684"/>
      <c r="BJ430" s="683" t="s">
        <v>1544</v>
      </c>
      <c r="BK430" s="736"/>
    </row>
    <row r="431" spans="2:63" ht="69" hidden="1" x14ac:dyDescent="0.3">
      <c r="B431" s="2"/>
      <c r="C431" s="2"/>
      <c r="D431" s="2"/>
      <c r="E431" s="2"/>
      <c r="F431" s="2"/>
      <c r="G431" s="2"/>
      <c r="H431" s="2"/>
      <c r="I431" s="2"/>
      <c r="J431" s="685"/>
      <c r="K431" s="682">
        <v>43984</v>
      </c>
      <c r="L431" s="683" t="s">
        <v>181</v>
      </c>
      <c r="M431" s="683" t="s">
        <v>185</v>
      </c>
      <c r="N431" s="683" t="s">
        <v>183</v>
      </c>
      <c r="O431" s="683"/>
      <c r="P431" s="683"/>
      <c r="Q431" s="683" t="s">
        <v>107</v>
      </c>
      <c r="R431" s="683" t="s">
        <v>2350</v>
      </c>
      <c r="S431" s="686" t="s">
        <v>2370</v>
      </c>
      <c r="T431" s="683" t="s">
        <v>2042</v>
      </c>
      <c r="U431" s="683" t="s">
        <v>1477</v>
      </c>
      <c r="V431" s="683" t="s">
        <v>146</v>
      </c>
      <c r="W431" s="683" t="s">
        <v>914</v>
      </c>
      <c r="X431" s="691" t="s">
        <v>918</v>
      </c>
      <c r="Y431" s="687">
        <v>3004290365</v>
      </c>
      <c r="Z431" s="692"/>
      <c r="AA431" s="683" t="s">
        <v>33</v>
      </c>
      <c r="AB431" s="683" t="s">
        <v>34</v>
      </c>
      <c r="AC431" s="683" t="s">
        <v>230</v>
      </c>
      <c r="AD431" s="683"/>
      <c r="AE431" s="683"/>
      <c r="AF431" s="684">
        <v>1413.2</v>
      </c>
      <c r="AG431" s="683" t="s">
        <v>243</v>
      </c>
      <c r="AH431" s="683" t="s">
        <v>220</v>
      </c>
      <c r="AI431" s="683" t="s">
        <v>33</v>
      </c>
      <c r="AJ431" s="683">
        <v>3004301039</v>
      </c>
      <c r="AK431" s="683" t="s">
        <v>33</v>
      </c>
      <c r="AL431" s="683">
        <v>1063018</v>
      </c>
      <c r="AM431" s="683"/>
      <c r="AN431" s="683"/>
      <c r="AO431" s="683"/>
      <c r="AP431" s="683" t="s">
        <v>240</v>
      </c>
      <c r="AQ431" s="688" t="str">
        <f>CONCATENATE("REG-",BDEGENER[[#This Row],[FECHA DE SERVICIO]],"-",BDEGENER[[#This Row],[SERIE]],"-",BDEGENER[[#This Row],[HORAS]])</f>
        <v>REG-43984-3004290365-1413,2</v>
      </c>
      <c r="AR431" s="683" t="str">
        <f>CONCATENATE("MARCA: ",BDEGENER[[#This Row],[MARCA]],"
 MODELO: ",BDEGENER[[#This Row],[MODELO]])</f>
        <v>MARCA: GENERAC
 MODELO: PG090</v>
      </c>
      <c r="AS431" s="683" t="str">
        <f>CONCATENATE("MARCA: ",BDEGENER[[#This Row],[MARCA DE MOTOR]],"
SERIE: ",BDEGENER[[#This Row],[SERIE DE MOTOR]])</f>
        <v>MARCA: GENERAC
SERIE: 3004301039</v>
      </c>
      <c r="AT431" s="683" t="str">
        <f>CONCATENATE("MARCA: ",BDEGENER[[#This Row],[MARCA ALTERNADOR ]],"
SERIE: ",BDEGENER[[#This Row],[SERIE DE ALTERNADOR]])</f>
        <v>MARCA: GENERAC
SERIE: 1063018</v>
      </c>
      <c r="AU431" s="683" t="str">
        <f>CONCATENATE("HORAS: ",BDEGENER[[#This Row],[HORAS]],"
KW-HR: ",BDEGENER[[#This Row],[KW-HORA]],"
VOLT.BATERIA: ",BDEGENER[[#This Row],[VOLTAJE DE BATERIA]],"
TEMPERATURA: ",BDEGENER[[#This Row],[TEMPERATURA DE AGUA]],"
PRES. ACEITE: ",BDEGENER[[#This Row],[PRESION DE ACEITE]])</f>
        <v xml:space="preserve">HORAS: 1413,2
KW-HR: 
VOLT.BATERIA: 
TEMPERATURA: 
PRES. ACEITE: </v>
      </c>
      <c r="AV431" s="683">
        <f>COUNTIFS(Q431:Q2431,"MANTENIMIENTO CORRECTIVO",Y431:Y2431,BDEGENER[[#This Row],[SERIE]])</f>
        <v>5</v>
      </c>
      <c r="AW431" s="683">
        <f>COUNTIFS(Q431:Q2431,"MANTENIMIENTO PREVENTIVO",Y431:Y2431,BDEGENER[[#This Row],[SERIE]])</f>
        <v>4</v>
      </c>
      <c r="AX43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N°5</v>
      </c>
      <c r="AY431" s="683">
        <f>COUNTIFS(BDEGENER[SERIE],BDEGENER[[#This Row],[SERIE]],BDEGENER[TIPO DE SERVICIO],"MANTENIMIENTO PREVENTIVO")</f>
        <v>5</v>
      </c>
      <c r="AZ431" s="683" t="str">
        <f>CONCATENATE("MANTENIMIENTO PREVENTIVO N°",BDEGENER[[#This Row],[GA1]])</f>
        <v>MANTENIMIENTO PREVENTIVO N°5</v>
      </c>
      <c r="BA431" s="683" t="str">
        <f>IF(BDEGENER[[#This Row],[SERVICIO]]=BDEGENER[[#This Row],[GA2]],BDEGENER[[#This Row],[HORAS]],"0")</f>
        <v>0</v>
      </c>
      <c r="BB431" s="683">
        <f>SUMIF(BDEGENER[SERIE],BDEGENER[[#This Row],[SERIE]],BDEGENER[GA3])</f>
        <v>1700.2</v>
      </c>
      <c r="BC431" s="683" t="str">
        <f>CONCATENATE("MANT",COUNTIF($Y$7:Y431,Y431))</f>
        <v>MANT6</v>
      </c>
      <c r="BD431" s="683" t="str">
        <f>CONCATENATE(BDEGENER[[#This Row],[SERIE]],BDEGENER[[#This Row],[GA5]])</f>
        <v>3004290365MANT6</v>
      </c>
      <c r="BE431" s="683" t="str">
        <f>CONCATENATE(BDEGENER[[#This Row],[CODIGO PATRIMONIAL]],BDEGENER[[#This Row],[GA5]])</f>
        <v>MANT6</v>
      </c>
      <c r="BF431" s="683">
        <f>COUNTIF(BDEGENER[SERIE],BDEGENER[[#This Row],[SERIE]])</f>
        <v>15</v>
      </c>
      <c r="BG431" s="683" t="str">
        <f>CONCATENATE("F",COUNTIF($K$7:K431,K431))</f>
        <v>F1</v>
      </c>
      <c r="BH431" s="683" t="str">
        <f>CONCATENATE(BDEGENER[[#This Row],[FECHA DE SERVICIO]],BDEGENER[[#This Row],[N° DE REGISTROS DEL DIA]])</f>
        <v>43984F1</v>
      </c>
      <c r="BI431" s="684"/>
      <c r="BJ431" s="683" t="s">
        <v>1544</v>
      </c>
      <c r="BK431" s="736"/>
    </row>
    <row r="432" spans="2:63" ht="69" hidden="1" x14ac:dyDescent="0.3">
      <c r="B432" s="2"/>
      <c r="C432" s="2"/>
      <c r="D432" s="2"/>
      <c r="E432" s="2"/>
      <c r="F432" s="2"/>
      <c r="G432" s="2"/>
      <c r="H432" s="2"/>
      <c r="I432" s="2"/>
      <c r="J432" s="685"/>
      <c r="K432" s="682">
        <v>43984</v>
      </c>
      <c r="L432" s="683" t="s">
        <v>561</v>
      </c>
      <c r="M432" s="683" t="s">
        <v>2451</v>
      </c>
      <c r="N432" s="683" t="s">
        <v>584</v>
      </c>
      <c r="O432" s="683"/>
      <c r="P432" s="683"/>
      <c r="Q432" s="683" t="s">
        <v>108</v>
      </c>
      <c r="R432" s="683" t="s">
        <v>2458</v>
      </c>
      <c r="S432" s="686" t="s">
        <v>2459</v>
      </c>
      <c r="T432" s="683" t="s">
        <v>2460</v>
      </c>
      <c r="U432" s="683"/>
      <c r="V432" s="683" t="s">
        <v>149</v>
      </c>
      <c r="W432" s="683" t="s">
        <v>914</v>
      </c>
      <c r="X432" s="691" t="s">
        <v>918</v>
      </c>
      <c r="Y432" s="687">
        <v>3003566699</v>
      </c>
      <c r="Z432" s="692" t="s">
        <v>2619</v>
      </c>
      <c r="AA432" s="683" t="s">
        <v>33</v>
      </c>
      <c r="AB432" s="683" t="s">
        <v>34</v>
      </c>
      <c r="AC432" s="683" t="s">
        <v>230</v>
      </c>
      <c r="AD432" s="683" t="s">
        <v>1123</v>
      </c>
      <c r="AE432" s="683">
        <v>60.1</v>
      </c>
      <c r="AF432" s="684">
        <v>5199.6000000000004</v>
      </c>
      <c r="AG432" s="683" t="s">
        <v>243</v>
      </c>
      <c r="AH432" s="683" t="s">
        <v>244</v>
      </c>
      <c r="AI432" s="683" t="s">
        <v>33</v>
      </c>
      <c r="AJ432" s="683"/>
      <c r="AK432" s="683" t="s">
        <v>33</v>
      </c>
      <c r="AL432" s="683"/>
      <c r="AM432" s="683" t="s">
        <v>2462</v>
      </c>
      <c r="AN432" s="683" t="s">
        <v>1430</v>
      </c>
      <c r="AO432" s="683" t="s">
        <v>1149</v>
      </c>
      <c r="AP432" s="683" t="s">
        <v>240</v>
      </c>
      <c r="AQ432" s="688" t="str">
        <f>CONCATENATE("REG-",BDEGENER[[#This Row],[FECHA DE SERVICIO]],"-",BDEGENER[[#This Row],[SERIE]],"-",BDEGENER[[#This Row],[HORAS]])</f>
        <v>REG-43984-3003566699-5199,6</v>
      </c>
      <c r="AR432" s="683" t="str">
        <f>CONCATENATE("MARCA: ",BDEGENER[[#This Row],[MARCA]],"
 MODELO: ",BDEGENER[[#This Row],[MODELO]])</f>
        <v>MARCA: GENERAC
 MODELO: PG090</v>
      </c>
      <c r="AS432" s="683" t="str">
        <f>CONCATENATE("MARCA: ",BDEGENER[[#This Row],[MARCA DE MOTOR]],"
SERIE: ",BDEGENER[[#This Row],[SERIE DE MOTOR]])</f>
        <v xml:space="preserve">MARCA: GENERAC
SERIE: </v>
      </c>
      <c r="AT432" s="683" t="str">
        <f>CONCATENATE("MARCA: ",BDEGENER[[#This Row],[MARCA ALTERNADOR ]],"
SERIE: ",BDEGENER[[#This Row],[SERIE DE ALTERNADOR]])</f>
        <v xml:space="preserve">MARCA: GENERAC
SERIE: </v>
      </c>
      <c r="AU432" s="683" t="str">
        <f>CONCATENATE("HORAS: ",BDEGENER[[#This Row],[HORAS]],"
KW-HR: ",BDEGENER[[#This Row],[KW-HORA]],"
VOLT.BATERIA: ",BDEGENER[[#This Row],[VOLTAJE DE BATERIA]],"
TEMPERATURA: ",BDEGENER[[#This Row],[TEMPERATURA DE AGUA]],"
PRES. ACEITE: ",BDEGENER[[#This Row],[PRESION DE ACEITE]])</f>
        <v>HORAS: 5199,6
KW-HR: 108329,2
VOLT.BATERIA: 12.5 V
TEMPERATURA: 182 °F
PRES. ACEITE: 61 PSI</v>
      </c>
      <c r="AV432" s="683">
        <f>COUNTIFS(Q432:Q2432,"MANTENIMIENTO CORRECTIVO",Y432:Y2432,BDEGENER[[#This Row],[SERIE]])</f>
        <v>3</v>
      </c>
      <c r="AW432" s="683">
        <f>COUNTIFS(Q432:Q2432,"MANTENIMIENTO PREVENTIVO",Y432:Y2432,BDEGENER[[#This Row],[SERIE]])</f>
        <v>4</v>
      </c>
      <c r="AX43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32" s="683">
        <f>COUNTIFS(BDEGENER[SERIE],BDEGENER[[#This Row],[SERIE]],BDEGENER[TIPO DE SERVICIO],"MANTENIMIENTO PREVENTIVO")</f>
        <v>12</v>
      </c>
      <c r="AZ432" s="683" t="str">
        <f>CONCATENATE("MANTENIMIENTO PREVENTIVO N°",BDEGENER[[#This Row],[GA1]])</f>
        <v>MANTENIMIENTO PREVENTIVO N°12</v>
      </c>
      <c r="BA432" s="683" t="str">
        <f>IF(BDEGENER[[#This Row],[SERVICIO]]=BDEGENER[[#This Row],[GA2]],BDEGENER[[#This Row],[HORAS]],"0")</f>
        <v>0</v>
      </c>
      <c r="BB432" s="683">
        <f>SUMIF(BDEGENER[SERIE],BDEGENER[[#This Row],[SERIE]],BDEGENER[GA3])</f>
        <v>8154.7</v>
      </c>
      <c r="BC432" s="683" t="str">
        <f>CONCATENATE("MANT",COUNTIF($Y$7:Y432,Y432))</f>
        <v>MANT10</v>
      </c>
      <c r="BD432" s="683" t="str">
        <f>CONCATENATE(BDEGENER[[#This Row],[SERIE]],BDEGENER[[#This Row],[GA5]])</f>
        <v>3003566699MANT10</v>
      </c>
      <c r="BE432" s="683" t="str">
        <f>CONCATENATE(BDEGENER[[#This Row],[CODIGO PATRIMONIAL]],BDEGENER[[#This Row],[GA5]])</f>
        <v>NOR-GEG-0021MANT10</v>
      </c>
      <c r="BF432" s="683">
        <f>COUNTIF(BDEGENER[SERIE],BDEGENER[[#This Row],[SERIE]])</f>
        <v>17</v>
      </c>
      <c r="BG432" s="683" t="str">
        <f>CONCATENATE("F",COUNTIF($K$7:K432,K432))</f>
        <v>F2</v>
      </c>
      <c r="BH432" s="683" t="str">
        <f>CONCATENATE(BDEGENER[[#This Row],[FECHA DE SERVICIO]],BDEGENER[[#This Row],[N° DE REGISTROS DEL DIA]])</f>
        <v>43984F2</v>
      </c>
      <c r="BI432" s="684">
        <v>108329.2</v>
      </c>
      <c r="BJ432" s="683" t="s">
        <v>1544</v>
      </c>
      <c r="BK432" s="736" t="s">
        <v>2461</v>
      </c>
    </row>
    <row r="433" spans="2:63" ht="69" hidden="1" x14ac:dyDescent="0.3">
      <c r="B433" s="2"/>
      <c r="C433" s="2"/>
      <c r="D433" s="2"/>
      <c r="E433" s="2"/>
      <c r="F433" s="2"/>
      <c r="G433" s="2"/>
      <c r="H433" s="2"/>
      <c r="I433" s="2"/>
      <c r="J433" s="685"/>
      <c r="K433" s="682">
        <v>43984</v>
      </c>
      <c r="L433" s="683" t="s">
        <v>561</v>
      </c>
      <c r="M433" s="683" t="s">
        <v>2450</v>
      </c>
      <c r="N433" s="683" t="s">
        <v>584</v>
      </c>
      <c r="O433" s="683"/>
      <c r="P433" s="683"/>
      <c r="Q433" s="683" t="s">
        <v>108</v>
      </c>
      <c r="R433" s="683" t="s">
        <v>2454</v>
      </c>
      <c r="S433" s="686" t="s">
        <v>2455</v>
      </c>
      <c r="T433" s="683" t="s">
        <v>2456</v>
      </c>
      <c r="U433" s="683"/>
      <c r="V433" s="683" t="s">
        <v>149</v>
      </c>
      <c r="W433" s="683" t="s">
        <v>913</v>
      </c>
      <c r="X433" s="691" t="s">
        <v>918</v>
      </c>
      <c r="Y433" s="687">
        <v>3003940357</v>
      </c>
      <c r="Z433" s="692" t="s">
        <v>2612</v>
      </c>
      <c r="AA433" s="683" t="s">
        <v>33</v>
      </c>
      <c r="AB433" s="683" t="s">
        <v>217</v>
      </c>
      <c r="AC433" s="683" t="s">
        <v>749</v>
      </c>
      <c r="AD433" s="683" t="s">
        <v>2457</v>
      </c>
      <c r="AE433" s="683">
        <v>60</v>
      </c>
      <c r="AF433" s="684">
        <v>3606.4</v>
      </c>
      <c r="AG433" s="683" t="s">
        <v>243</v>
      </c>
      <c r="AH433" s="683"/>
      <c r="AI433" s="683"/>
      <c r="AJ433" s="683"/>
      <c r="AK433" s="683"/>
      <c r="AL433" s="683"/>
      <c r="AM433" s="683" t="s">
        <v>2449</v>
      </c>
      <c r="AN433" s="683" t="s">
        <v>2333</v>
      </c>
      <c r="AO433" s="683"/>
      <c r="AP433" s="683" t="s">
        <v>240</v>
      </c>
      <c r="AQ433" s="688" t="str">
        <f>CONCATENATE("REG-",BDEGENER[[#This Row],[FECHA DE SERVICIO]],"-",BDEGENER[[#This Row],[SERIE]],"-",BDEGENER[[#This Row],[HORAS]])</f>
        <v>REG-43984-3003940357-3606,4</v>
      </c>
      <c r="AR433" s="683" t="str">
        <f>CONCATENATE("MARCA: ",BDEGENER[[#This Row],[MARCA]],"
 MODELO: ",BDEGENER[[#This Row],[MODELO]])</f>
        <v>MARCA: GENERAC
 MODELO: RG022</v>
      </c>
      <c r="AS433" s="683" t="str">
        <f>CONCATENATE("MARCA: ",BDEGENER[[#This Row],[MARCA DE MOTOR]],"
SERIE: ",BDEGENER[[#This Row],[SERIE DE MOTOR]])</f>
        <v xml:space="preserve">MARCA: 
SERIE: </v>
      </c>
      <c r="AT433" s="683" t="str">
        <f>CONCATENATE("MARCA: ",BDEGENER[[#This Row],[MARCA ALTERNADOR ]],"
SERIE: ",BDEGENER[[#This Row],[SERIE DE ALTERNADOR]])</f>
        <v xml:space="preserve">MARCA: 
SERIE: </v>
      </c>
      <c r="AU433" s="683" t="str">
        <f>CONCATENATE("HORAS: ",BDEGENER[[#This Row],[HORAS]],"
KW-HR: ",BDEGENER[[#This Row],[KW-HORA]],"
VOLT.BATERIA: ",BDEGENER[[#This Row],[VOLTAJE DE BATERIA]],"
TEMPERATURA: ",BDEGENER[[#This Row],[TEMPERATURA DE AGUA]],"
PRES. ACEITE: ",BDEGENER[[#This Row],[PRESION DE ACEITE]])</f>
        <v xml:space="preserve">HORAS: 3606,4
KW-HR: 
VOLT.BATERIA: 12.75 V
TEMPERATURA: 72 °C
PRES. ACEITE: </v>
      </c>
      <c r="AV433" s="761">
        <f>COUNTIFS(Q433:Q2433,"MANTENIMIENTO CORRECTIVO",Y433:Y2433,BDEGENER[[#This Row],[SERIE]])</f>
        <v>0</v>
      </c>
      <c r="AW433" s="761">
        <f>COUNTIFS(Q433:Q2433,"MANTENIMIENTO PREVENTIVO",Y433:Y2433,BDEGENER[[#This Row],[SERIE]])</f>
        <v>4</v>
      </c>
      <c r="AX43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33" s="683">
        <f>COUNTIFS(BDEGENER[SERIE],BDEGENER[[#This Row],[SERIE]],BDEGENER[TIPO DE SERVICIO],"MANTENIMIENTO PREVENTIVO")</f>
        <v>12</v>
      </c>
      <c r="AZ433" s="683" t="str">
        <f>CONCATENATE("MANTENIMIENTO PREVENTIVO N°",BDEGENER[[#This Row],[GA1]])</f>
        <v>MANTENIMIENTO PREVENTIVO N°12</v>
      </c>
      <c r="BA433" s="683" t="str">
        <f>IF(BDEGENER[[#This Row],[SERVICIO]]=BDEGENER[[#This Row],[GA2]],BDEGENER[[#This Row],[HORAS]],"0")</f>
        <v>0</v>
      </c>
      <c r="BB433" s="683">
        <f>SUMIF(BDEGENER[SERIE],BDEGENER[[#This Row],[SERIE]],BDEGENER[GA3])</f>
        <v>6263.3</v>
      </c>
      <c r="BC433" s="761" t="str">
        <f>CONCATENATE("MANT",COUNTIF($Y$7:Y433,Y433))</f>
        <v>MANT12</v>
      </c>
      <c r="BD433" s="683" t="str">
        <f>CONCATENATE(BDEGENER[[#This Row],[SERIE]],BDEGENER[[#This Row],[GA5]])</f>
        <v>3003940357MANT12</v>
      </c>
      <c r="BE433" s="683" t="str">
        <f>CONCATENATE(BDEGENER[[#This Row],[CODIGO PATRIMONIAL]],BDEGENER[[#This Row],[GA5]])</f>
        <v>NOR-GEG-0014MANT12</v>
      </c>
      <c r="BF433" s="683">
        <f>COUNTIF(BDEGENER[SERIE],BDEGENER[[#This Row],[SERIE]])</f>
        <v>16</v>
      </c>
      <c r="BG433" s="761" t="str">
        <f>CONCATENATE("F",COUNTIF($K$7:K433,K433))</f>
        <v>F3</v>
      </c>
      <c r="BH433" s="683" t="str">
        <f>CONCATENATE(BDEGENER[[#This Row],[FECHA DE SERVICIO]],BDEGENER[[#This Row],[N° DE REGISTROS DEL DIA]])</f>
        <v>43984F3</v>
      </c>
      <c r="BI433" s="684"/>
      <c r="BJ433" s="683" t="s">
        <v>1544</v>
      </c>
      <c r="BK433" s="736"/>
    </row>
    <row r="434" spans="2:63" ht="69" hidden="1" x14ac:dyDescent="0.3">
      <c r="B434" s="2"/>
      <c r="C434" s="2"/>
      <c r="D434" s="2"/>
      <c r="E434" s="2"/>
      <c r="F434" s="2"/>
      <c r="G434" s="2"/>
      <c r="H434" s="2"/>
      <c r="I434" s="2"/>
      <c r="J434" s="685"/>
      <c r="K434" s="682">
        <v>43984</v>
      </c>
      <c r="L434" s="683" t="s">
        <v>181</v>
      </c>
      <c r="M434" s="683" t="s">
        <v>189</v>
      </c>
      <c r="N434" s="683" t="s">
        <v>1982</v>
      </c>
      <c r="O434" s="683">
        <v>4500853877</v>
      </c>
      <c r="P434" s="688" t="s">
        <v>2384</v>
      </c>
      <c r="Q434" s="683" t="s">
        <v>37</v>
      </c>
      <c r="R434" s="683" t="s">
        <v>1782</v>
      </c>
      <c r="S434" s="686" t="s">
        <v>2381</v>
      </c>
      <c r="T434" s="683" t="s">
        <v>2385</v>
      </c>
      <c r="U434" s="683" t="s">
        <v>2053</v>
      </c>
      <c r="V434" s="683" t="s">
        <v>922</v>
      </c>
      <c r="W434" s="683" t="s">
        <v>914</v>
      </c>
      <c r="X434" s="691" t="s">
        <v>918</v>
      </c>
      <c r="Y434" s="687">
        <v>3004331708</v>
      </c>
      <c r="Z434" s="692"/>
      <c r="AA434" s="683" t="s">
        <v>33</v>
      </c>
      <c r="AB434" s="683" t="s">
        <v>34</v>
      </c>
      <c r="AC434" s="683" t="s">
        <v>230</v>
      </c>
      <c r="AD434" s="683" t="s">
        <v>1110</v>
      </c>
      <c r="AE434" s="683">
        <v>60</v>
      </c>
      <c r="AF434" s="684">
        <v>1417.7</v>
      </c>
      <c r="AG434" s="683" t="s">
        <v>243</v>
      </c>
      <c r="AH434" s="683" t="s">
        <v>220</v>
      </c>
      <c r="AI434" s="683" t="s">
        <v>33</v>
      </c>
      <c r="AJ434" s="683">
        <v>3004309058</v>
      </c>
      <c r="AK434" s="683" t="s">
        <v>33</v>
      </c>
      <c r="AL434" s="683">
        <v>106302850</v>
      </c>
      <c r="AM434" s="683" t="s">
        <v>245</v>
      </c>
      <c r="AN434" s="683" t="s">
        <v>246</v>
      </c>
      <c r="AO434" s="683" t="s">
        <v>1349</v>
      </c>
      <c r="AP434" s="683" t="s">
        <v>240</v>
      </c>
      <c r="AQ434" s="688" t="str">
        <f>CONCATENATE("REG-",BDEGENER[[#This Row],[FECHA DE SERVICIO]],"-",BDEGENER[[#This Row],[SERIE]],"-",BDEGENER[[#This Row],[HORAS]])</f>
        <v>REG-43984-3004331708-1417,7</v>
      </c>
      <c r="AR434" s="683" t="str">
        <f>CONCATENATE("MARCA: ",BDEGENER[[#This Row],[MARCA]],"
 MODELO: ",BDEGENER[[#This Row],[MODELO]])</f>
        <v>MARCA: GENERAC
 MODELO: PG090</v>
      </c>
      <c r="AS434" s="683" t="str">
        <f>CONCATENATE("MARCA: ",BDEGENER[[#This Row],[MARCA DE MOTOR]],"
SERIE: ",BDEGENER[[#This Row],[SERIE DE MOTOR]])</f>
        <v>MARCA: GENERAC
SERIE: 3004309058</v>
      </c>
      <c r="AT434" s="683" t="str">
        <f>CONCATENATE("MARCA: ",BDEGENER[[#This Row],[MARCA ALTERNADOR ]],"
SERIE: ",BDEGENER[[#This Row],[SERIE DE ALTERNADOR]])</f>
        <v>MARCA: GENERAC
SERIE: 106302850</v>
      </c>
      <c r="AU434" s="683" t="str">
        <f>CONCATENATE("HORAS: ",BDEGENER[[#This Row],[HORAS]],"
KW-HR: ",BDEGENER[[#This Row],[KW-HORA]],"
VOLT.BATERIA: ",BDEGENER[[#This Row],[VOLTAJE DE BATERIA]],"
TEMPERATURA: ",BDEGENER[[#This Row],[TEMPERATURA DE AGUA]],"
PRES. ACEITE: ",BDEGENER[[#This Row],[PRESION DE ACEITE]])</f>
        <v>HORAS: 1417,7
KW-HR: 36747,4
VOLT.BATERIA: 13.6 V
TEMPERATURA: 198 °F
PRES. ACEITE: 56 PSI</v>
      </c>
      <c r="AV434" s="683">
        <f>COUNTIFS(Q434:Q2434,"MANTENIMIENTO CORRECTIVO",Y434:Y2434,BDEGENER[[#This Row],[SERIE]])</f>
        <v>3</v>
      </c>
      <c r="AW434" s="683">
        <f>COUNTIFS(Q434:Q2434,"MANTENIMIENTO PREVENTIVO",Y434:Y2434,BDEGENER[[#This Row],[SERIE]])</f>
        <v>5</v>
      </c>
      <c r="AX43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34" s="683">
        <f>COUNTIFS(BDEGENER[SERIE],BDEGENER[[#This Row],[SERIE]],BDEGENER[TIPO DE SERVICIO],"MANTENIMIENTO PREVENTIVO")</f>
        <v>6</v>
      </c>
      <c r="AZ434" s="683" t="str">
        <f>CONCATENATE("MANTENIMIENTO PREVENTIVO N°",BDEGENER[[#This Row],[GA1]])</f>
        <v>MANTENIMIENTO PREVENTIVO N°6</v>
      </c>
      <c r="BA434" s="683" t="str">
        <f>IF(BDEGENER[[#This Row],[SERVICIO]]=BDEGENER[[#This Row],[GA2]],BDEGENER[[#This Row],[HORAS]],"0")</f>
        <v>0</v>
      </c>
      <c r="BB434" s="683">
        <f>SUMIF(BDEGENER[SERIE],BDEGENER[[#This Row],[SERIE]],BDEGENER[GA3])</f>
        <v>1635.5</v>
      </c>
      <c r="BC434" s="683" t="str">
        <f>CONCATENATE("MANT",COUNTIF($Y$7:Y434,Y434))</f>
        <v>MANT4</v>
      </c>
      <c r="BD434" s="683" t="str">
        <f>CONCATENATE(BDEGENER[[#This Row],[SERIE]],BDEGENER[[#This Row],[GA5]])</f>
        <v>3004331708MANT4</v>
      </c>
      <c r="BE434" s="683" t="str">
        <f>CONCATENATE(BDEGENER[[#This Row],[CODIGO PATRIMONIAL]],BDEGENER[[#This Row],[GA5]])</f>
        <v>MANT4</v>
      </c>
      <c r="BF434" s="683">
        <f>COUNTIF(BDEGENER[SERIE],BDEGENER[[#This Row],[SERIE]])</f>
        <v>13</v>
      </c>
      <c r="BG434" s="683" t="str">
        <f>CONCATENATE("F",COUNTIF($K$7:K434,K434))</f>
        <v>F4</v>
      </c>
      <c r="BH434" s="683" t="str">
        <f>CONCATENATE(BDEGENER[[#This Row],[FECHA DE SERVICIO]],BDEGENER[[#This Row],[N° DE REGISTROS DEL DIA]])</f>
        <v>43984F4</v>
      </c>
      <c r="BI434" s="684">
        <v>36747.4</v>
      </c>
      <c r="BJ434" s="683" t="s">
        <v>1544</v>
      </c>
      <c r="BK434" s="736"/>
    </row>
    <row r="435" spans="2:63" ht="69" hidden="1" x14ac:dyDescent="0.3">
      <c r="B435" s="2"/>
      <c r="C435" s="2"/>
      <c r="D435" s="2"/>
      <c r="E435" s="2"/>
      <c r="F435" s="2"/>
      <c r="G435" s="2"/>
      <c r="H435" s="2"/>
      <c r="I435" s="2"/>
      <c r="J435" s="685"/>
      <c r="K435" s="682">
        <v>43984</v>
      </c>
      <c r="L435" s="683" t="s">
        <v>181</v>
      </c>
      <c r="M435" s="683" t="s">
        <v>189</v>
      </c>
      <c r="N435" s="683" t="s">
        <v>1982</v>
      </c>
      <c r="O435" s="683">
        <v>4500853877</v>
      </c>
      <c r="P435" s="688" t="s">
        <v>2384</v>
      </c>
      <c r="Q435" s="683" t="s">
        <v>37</v>
      </c>
      <c r="R435" s="683" t="s">
        <v>1782</v>
      </c>
      <c r="S435" s="686" t="s">
        <v>2381</v>
      </c>
      <c r="T435" s="683" t="s">
        <v>2620</v>
      </c>
      <c r="U435" s="683" t="s">
        <v>2053</v>
      </c>
      <c r="V435" s="683" t="s">
        <v>922</v>
      </c>
      <c r="W435" s="683" t="s">
        <v>914</v>
      </c>
      <c r="X435" s="691" t="s">
        <v>918</v>
      </c>
      <c r="Y435" s="687">
        <v>3004331705</v>
      </c>
      <c r="Z435" s="692"/>
      <c r="AA435" s="683" t="s">
        <v>33</v>
      </c>
      <c r="AB435" s="683" t="s">
        <v>34</v>
      </c>
      <c r="AC435" s="85" t="s">
        <v>230</v>
      </c>
      <c r="AD435" s="683" t="s">
        <v>1110</v>
      </c>
      <c r="AE435" s="683">
        <v>60</v>
      </c>
      <c r="AF435" s="684">
        <v>1889.5</v>
      </c>
      <c r="AG435" s="683" t="s">
        <v>243</v>
      </c>
      <c r="AH435" s="683" t="s">
        <v>220</v>
      </c>
      <c r="AI435" s="683" t="s">
        <v>33</v>
      </c>
      <c r="AJ435" s="683">
        <v>3004346813</v>
      </c>
      <c r="AK435" s="683" t="s">
        <v>33</v>
      </c>
      <c r="AL435" s="683"/>
      <c r="AM435" s="683" t="s">
        <v>245</v>
      </c>
      <c r="AN435" s="683" t="s">
        <v>1122</v>
      </c>
      <c r="AO435" s="683" t="s">
        <v>1095</v>
      </c>
      <c r="AP435" s="683" t="s">
        <v>240</v>
      </c>
      <c r="AQ435" s="688" t="str">
        <f>CONCATENATE("REG-",BDEGENER[[#This Row],[FECHA DE SERVICIO]],"-",BDEGENER[[#This Row],[SERIE]],"-",BDEGENER[[#This Row],[HORAS]])</f>
        <v>REG-43984-3004331705-1889,5</v>
      </c>
      <c r="AR435" s="683" t="str">
        <f>CONCATENATE("MARCA: ",BDEGENER[[#This Row],[MARCA]],"
 MODELO: ",BDEGENER[[#This Row],[MODELO]])</f>
        <v>MARCA: GENERAC
 MODELO: PG090</v>
      </c>
      <c r="AS435" s="683" t="str">
        <f>CONCATENATE("MARCA: ",BDEGENER[[#This Row],[MARCA DE MOTOR]],"
SERIE: ",BDEGENER[[#This Row],[SERIE DE MOTOR]])</f>
        <v>MARCA: GENERAC
SERIE: 3004346813</v>
      </c>
      <c r="AT435" s="683" t="str">
        <f>CONCATENATE("MARCA: ",BDEGENER[[#This Row],[MARCA ALTERNADOR ]],"
SERIE: ",BDEGENER[[#This Row],[SERIE DE ALTERNADOR]])</f>
        <v xml:space="preserve">MARCA: GENERAC
SERIE: </v>
      </c>
      <c r="AU435" s="683" t="str">
        <f>CONCATENATE("HORAS: ",BDEGENER[[#This Row],[HORAS]],"
KW-HR: ",BDEGENER[[#This Row],[KW-HORA]],"
VOLT.BATERIA: ",BDEGENER[[#This Row],[VOLTAJE DE BATERIA]],"
TEMPERATURA: ",BDEGENER[[#This Row],[TEMPERATURA DE AGUA]],"
PRES. ACEITE: ",BDEGENER[[#This Row],[PRESION DE ACEITE]])</f>
        <v>HORAS: 1889,5
KW-HR: 50048,9
VOLT.BATERIA: 13.6 V
TEMPERATURA: 195 °F
PRES. ACEITE: 54 PSI</v>
      </c>
      <c r="AV435" s="683">
        <f>COUNTIFS(Q435:Q2435,"MANTENIMIENTO CORRECTIVO",Y435:Y2435,BDEGENER[[#This Row],[SERIE]])</f>
        <v>1</v>
      </c>
      <c r="AW435" s="683">
        <f>COUNTIFS(Q435:Q2435,"MANTENIMIENTO PREVENTIVO",Y435:Y2435,BDEGENER[[#This Row],[SERIE]])</f>
        <v>6</v>
      </c>
      <c r="AX43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435" s="683">
        <f>COUNTIFS(BDEGENER[SERIE],BDEGENER[[#This Row],[SERIE]],BDEGENER[TIPO DE SERVICIO],"MANTENIMIENTO PREVENTIVO")</f>
        <v>8</v>
      </c>
      <c r="AZ435" s="683" t="str">
        <f>CONCATENATE("MANTENIMIENTO PREVENTIVO N°",BDEGENER[[#This Row],[GA1]])</f>
        <v>MANTENIMIENTO PREVENTIVO N°8</v>
      </c>
      <c r="BA435" s="683" t="str">
        <f>IF(BDEGENER[[#This Row],[SERVICIO]]=BDEGENER[[#This Row],[GA2]],BDEGENER[[#This Row],[HORAS]],"0")</f>
        <v>0</v>
      </c>
      <c r="BB435" s="683">
        <f>SUMIF(BDEGENER[SERIE],BDEGENER[[#This Row],[SERIE]],BDEGENER[GA3])</f>
        <v>2381.3000000000002</v>
      </c>
      <c r="BC435" s="683" t="str">
        <f>CONCATENATE("MANT",COUNTIF($Y$7:Y435,Y435))</f>
        <v>MANT3</v>
      </c>
      <c r="BD435" s="683" t="str">
        <f>CONCATENATE(BDEGENER[[#This Row],[SERIE]],BDEGENER[[#This Row],[GA5]])</f>
        <v>3004331705MANT3</v>
      </c>
      <c r="BE435" s="683" t="str">
        <f>CONCATENATE(BDEGENER[[#This Row],[CODIGO PATRIMONIAL]],BDEGENER[[#This Row],[GA5]])</f>
        <v>MANT3</v>
      </c>
      <c r="BF435" s="683">
        <f>COUNTIF(BDEGENER[SERIE],BDEGENER[[#This Row],[SERIE]])</f>
        <v>10</v>
      </c>
      <c r="BG435" s="683" t="str">
        <f>CONCATENATE("F",COUNTIF($K$7:K435,K435))</f>
        <v>F5</v>
      </c>
      <c r="BH435" s="683" t="str">
        <f>CONCATENATE(BDEGENER[[#This Row],[FECHA DE SERVICIO]],BDEGENER[[#This Row],[N° DE REGISTROS DEL DIA]])</f>
        <v>43984F5</v>
      </c>
      <c r="BI435" s="684">
        <v>50048.9</v>
      </c>
      <c r="BJ435" s="683" t="s">
        <v>1544</v>
      </c>
      <c r="BK435" s="736"/>
    </row>
    <row r="436" spans="2:63" ht="69" hidden="1" x14ac:dyDescent="0.3">
      <c r="B436" s="2"/>
      <c r="C436" s="2"/>
      <c r="D436" s="2"/>
      <c r="E436" s="2"/>
      <c r="F436" s="2"/>
      <c r="G436" s="2"/>
      <c r="H436" s="2"/>
      <c r="I436" s="2"/>
      <c r="J436" s="685"/>
      <c r="K436" s="682">
        <v>43984</v>
      </c>
      <c r="L436" s="683" t="s">
        <v>181</v>
      </c>
      <c r="M436" s="683" t="s">
        <v>185</v>
      </c>
      <c r="N436" s="683" t="s">
        <v>183</v>
      </c>
      <c r="O436" s="683">
        <v>4500873022</v>
      </c>
      <c r="P436" s="683" t="s">
        <v>2374</v>
      </c>
      <c r="Q436" s="683" t="s">
        <v>37</v>
      </c>
      <c r="R436" s="683" t="s">
        <v>1782</v>
      </c>
      <c r="S436" s="686" t="s">
        <v>2140</v>
      </c>
      <c r="T436" s="683" t="s">
        <v>2377</v>
      </c>
      <c r="U436" s="683" t="s">
        <v>2053</v>
      </c>
      <c r="V436" s="683" t="s">
        <v>146</v>
      </c>
      <c r="W436" s="683" t="s">
        <v>914</v>
      </c>
      <c r="X436" s="691" t="s">
        <v>918</v>
      </c>
      <c r="Y436" s="687">
        <v>3004290368</v>
      </c>
      <c r="Z436" s="692"/>
      <c r="AA436" s="683" t="s">
        <v>33</v>
      </c>
      <c r="AB436" s="683" t="s">
        <v>34</v>
      </c>
      <c r="AC436" s="683" t="s">
        <v>230</v>
      </c>
      <c r="AD436" s="683" t="s">
        <v>1110</v>
      </c>
      <c r="AE436" s="683">
        <v>60</v>
      </c>
      <c r="AF436" s="684">
        <v>1960.8</v>
      </c>
      <c r="AG436" s="683" t="s">
        <v>243</v>
      </c>
      <c r="AH436" s="683" t="s">
        <v>220</v>
      </c>
      <c r="AI436" s="683" t="s">
        <v>33</v>
      </c>
      <c r="AJ436" s="683">
        <v>3004034816</v>
      </c>
      <c r="AK436" s="683" t="s">
        <v>33</v>
      </c>
      <c r="AL436" s="683">
        <v>106312930</v>
      </c>
      <c r="AM436" s="683" t="s">
        <v>1121</v>
      </c>
      <c r="AN436" s="683" t="s">
        <v>1505</v>
      </c>
      <c r="AO436" s="683" t="s">
        <v>1349</v>
      </c>
      <c r="AP436" s="683" t="s">
        <v>240</v>
      </c>
      <c r="AQ436" s="683" t="str">
        <f>CONCATENATE("REG-",BDEGENER[[#This Row],[FECHA DE SERVICIO]],"-",BDEGENER[[#This Row],[SERIE]],"-",BDEGENER[[#This Row],[HORAS]])</f>
        <v>REG-43984-3004290368-1960,8</v>
      </c>
      <c r="AR436" s="683" t="str">
        <f>CONCATENATE("MARCA: ",BDEGENER[[#This Row],[MARCA]],"
 MODELO: ",BDEGENER[[#This Row],[MODELO]])</f>
        <v>MARCA: GENERAC
 MODELO: PG090</v>
      </c>
      <c r="AS436" s="683" t="str">
        <f>CONCATENATE("MARCA: ",BDEGENER[[#This Row],[MARCA DE MOTOR]],"
SERIE: ",BDEGENER[[#This Row],[SERIE DE MOTOR]])</f>
        <v>MARCA: GENERAC
SERIE: 3004034816</v>
      </c>
      <c r="AT436" s="683" t="str">
        <f>CONCATENATE("MARCA: ",BDEGENER[[#This Row],[MARCA ALTERNADOR ]],"
SERIE: ",BDEGENER[[#This Row],[SERIE DE ALTERNADOR]])</f>
        <v>MARCA: GENERAC
SERIE: 106312930</v>
      </c>
      <c r="AU436" s="683" t="str">
        <f>CONCATENATE("HORAS: ",BDEGENER[[#This Row],[HORAS]],"
KW-HR: ",BDEGENER[[#This Row],[KW-HORA]],"
VOLT.BATERIA: ",BDEGENER[[#This Row],[VOLTAJE DE BATERIA]],"
TEMPERATURA: ",BDEGENER[[#This Row],[TEMPERATURA DE AGUA]],"
PRES. ACEITE: ",BDEGENER[[#This Row],[PRESION DE ACEITE]])</f>
        <v>HORAS: 1960,8
KW-HR: 20328,1
VOLT.BATERIA: 13.7 V
TEMPERATURA: 194 °F
PRES. ACEITE: 56 PSI</v>
      </c>
      <c r="AV436" s="761">
        <f>COUNTIFS(Q436:Q2436,"MANTENIMIENTO CORRECTIVO",Y436:Y2436,BDEGENER[[#This Row],[SERIE]])</f>
        <v>3</v>
      </c>
      <c r="AW436" s="761">
        <f>COUNTIFS(Q436:Q2436,"MANTENIMIENTO PREVENTIVO",Y436:Y2436,BDEGENER[[#This Row],[SERIE]])</f>
        <v>5</v>
      </c>
      <c r="AX43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36" s="683">
        <f>COUNTIFS(BDEGENER[SERIE],BDEGENER[[#This Row],[SERIE]],BDEGENER[TIPO DE SERVICIO],"MANTENIMIENTO PREVENTIVO")</f>
        <v>6</v>
      </c>
      <c r="AZ436" s="683" t="str">
        <f>CONCATENATE("MANTENIMIENTO PREVENTIVO N°",BDEGENER[[#This Row],[GA1]])</f>
        <v>MANTENIMIENTO PREVENTIVO N°6</v>
      </c>
      <c r="BA436" s="683" t="str">
        <f>IF(BDEGENER[[#This Row],[SERVICIO]]=BDEGENER[[#This Row],[GA2]],BDEGENER[[#This Row],[HORAS]],"0")</f>
        <v>0</v>
      </c>
      <c r="BB436" s="683">
        <f>SUMIF(BDEGENER[SERIE],BDEGENER[[#This Row],[SERIE]],BDEGENER[GA3])</f>
        <v>2259.3000000000002</v>
      </c>
      <c r="BC436" s="761" t="str">
        <f>CONCATENATE("MANT",COUNTIF($Y$7:Y436,Y436))</f>
        <v>MANT6</v>
      </c>
      <c r="BD436" s="683" t="str">
        <f>CONCATENATE(BDEGENER[[#This Row],[SERIE]],BDEGENER[[#This Row],[GA5]])</f>
        <v>3004290368MANT6</v>
      </c>
      <c r="BE436" s="683" t="str">
        <f>CONCATENATE(BDEGENER[[#This Row],[CODIGO PATRIMONIAL]],BDEGENER[[#This Row],[GA5]])</f>
        <v>MANT6</v>
      </c>
      <c r="BF436" s="683">
        <f>COUNTIF(BDEGENER[SERIE],BDEGENER[[#This Row],[SERIE]])</f>
        <v>15</v>
      </c>
      <c r="BG436" s="761" t="str">
        <f>CONCATENATE("F",COUNTIF($K$7:K436,K436))</f>
        <v>F6</v>
      </c>
      <c r="BH436" s="683" t="str">
        <f>CONCATENATE(BDEGENER[[#This Row],[FECHA DE SERVICIO]],BDEGENER[[#This Row],[N° DE REGISTROS DEL DIA]])</f>
        <v>43984F6</v>
      </c>
      <c r="BI436" s="684">
        <v>20328.099999999999</v>
      </c>
      <c r="BJ436" s="683" t="s">
        <v>1544</v>
      </c>
      <c r="BK436" s="736" t="s">
        <v>2177</v>
      </c>
    </row>
    <row r="437" spans="2:63" ht="69" hidden="1" x14ac:dyDescent="0.3">
      <c r="B437" s="2"/>
      <c r="C437" s="2"/>
      <c r="D437" s="2"/>
      <c r="E437" s="2"/>
      <c r="F437" s="2"/>
      <c r="G437" s="2"/>
      <c r="H437" s="2"/>
      <c r="I437" s="2"/>
      <c r="J437" s="685"/>
      <c r="K437" s="682">
        <v>43984</v>
      </c>
      <c r="L437" s="683" t="s">
        <v>181</v>
      </c>
      <c r="M437" s="683" t="s">
        <v>185</v>
      </c>
      <c r="N437" s="683" t="s">
        <v>183</v>
      </c>
      <c r="O437" s="683">
        <v>4500873022</v>
      </c>
      <c r="P437" s="683" t="s">
        <v>2374</v>
      </c>
      <c r="Q437" s="683" t="s">
        <v>37</v>
      </c>
      <c r="R437" s="683" t="s">
        <v>1782</v>
      </c>
      <c r="S437" s="686" t="s">
        <v>2140</v>
      </c>
      <c r="T437" s="683" t="s">
        <v>2416</v>
      </c>
      <c r="U437" s="683" t="s">
        <v>2375</v>
      </c>
      <c r="V437" s="683" t="s">
        <v>146</v>
      </c>
      <c r="W437" s="683" t="s">
        <v>914</v>
      </c>
      <c r="X437" s="691" t="s">
        <v>918</v>
      </c>
      <c r="Y437" s="687">
        <v>3004344017</v>
      </c>
      <c r="Z437" s="692"/>
      <c r="AA437" s="683" t="s">
        <v>33</v>
      </c>
      <c r="AB437" s="683" t="s">
        <v>34</v>
      </c>
      <c r="AC437" s="683" t="s">
        <v>230</v>
      </c>
      <c r="AD437" s="683" t="s">
        <v>1110</v>
      </c>
      <c r="AE437" s="683">
        <v>60</v>
      </c>
      <c r="AF437" s="684">
        <v>1588.3</v>
      </c>
      <c r="AG437" s="683" t="s">
        <v>243</v>
      </c>
      <c r="AH437" s="683" t="s">
        <v>220</v>
      </c>
      <c r="AI437" s="683" t="s">
        <v>33</v>
      </c>
      <c r="AJ437" s="683">
        <v>3004346832</v>
      </c>
      <c r="AK437" s="683" t="s">
        <v>33</v>
      </c>
      <c r="AL437" s="683">
        <v>106308750</v>
      </c>
      <c r="AM437" s="683" t="s">
        <v>1121</v>
      </c>
      <c r="AN437" s="683" t="s">
        <v>2376</v>
      </c>
      <c r="AO437" s="683" t="s">
        <v>1095</v>
      </c>
      <c r="AP437" s="683" t="s">
        <v>557</v>
      </c>
      <c r="AQ437" s="688" t="str">
        <f>CONCATENATE("REG-",BDEGENER[[#This Row],[FECHA DE SERVICIO]],"-",BDEGENER[[#This Row],[SERIE]],"-",BDEGENER[[#This Row],[HORAS]])</f>
        <v>REG-43984-3004344017-1588,3</v>
      </c>
      <c r="AR437" s="683" t="str">
        <f>CONCATENATE("MARCA: ",BDEGENER[[#This Row],[MARCA]],"
 MODELO: ",BDEGENER[[#This Row],[MODELO]])</f>
        <v>MARCA: GENERAC
 MODELO: PG090</v>
      </c>
      <c r="AS437" s="683" t="str">
        <f>CONCATENATE("MARCA: ",BDEGENER[[#This Row],[MARCA DE MOTOR]],"
SERIE: ",BDEGENER[[#This Row],[SERIE DE MOTOR]])</f>
        <v>MARCA: GENERAC
SERIE: 3004346832</v>
      </c>
      <c r="AT437" s="683" t="str">
        <f>CONCATENATE("MARCA: ",BDEGENER[[#This Row],[MARCA ALTERNADOR ]],"
SERIE: ",BDEGENER[[#This Row],[SERIE DE ALTERNADOR]])</f>
        <v>MARCA: GENERAC
SERIE: 106308750</v>
      </c>
      <c r="AU437" s="683" t="str">
        <f>CONCATENATE("HORAS: ",BDEGENER[[#This Row],[HORAS]],"
KW-HR: ",BDEGENER[[#This Row],[KW-HORA]],"
VOLT.BATERIA: ",BDEGENER[[#This Row],[VOLTAJE DE BATERIA]],"
TEMPERATURA: ",BDEGENER[[#This Row],[TEMPERATURA DE AGUA]],"
PRES. ACEITE: ",BDEGENER[[#This Row],[PRESION DE ACEITE]])</f>
        <v>HORAS: 1588,3
KW-HR: 35316
VOLT.BATERIA: 13.7 V
TEMPERATURA: 188 °F
PRES. ACEITE: 54 PSI</v>
      </c>
      <c r="AV437" s="683">
        <f>COUNTIFS(Q437:Q2437,"MANTENIMIENTO CORRECTIVO",Y437:Y2437,BDEGENER[[#This Row],[SERIE]])</f>
        <v>3</v>
      </c>
      <c r="AW437" s="683">
        <f>COUNTIFS(Q437:Q2437,"MANTENIMIENTO PREVENTIVO",Y437:Y2437,BDEGENER[[#This Row],[SERIE]])</f>
        <v>4</v>
      </c>
      <c r="AX43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37" s="683">
        <f>COUNTIFS(BDEGENER[SERIE],BDEGENER[[#This Row],[SERIE]],BDEGENER[TIPO DE SERVICIO],"MANTENIMIENTO PREVENTIVO")</f>
        <v>6</v>
      </c>
      <c r="AZ437" s="683" t="str">
        <f>CONCATENATE("MANTENIMIENTO PREVENTIVO N°",BDEGENER[[#This Row],[GA1]])</f>
        <v>MANTENIMIENTO PREVENTIVO N°6</v>
      </c>
      <c r="BA437" s="683" t="str">
        <f>IF(BDEGENER[[#This Row],[SERVICIO]]=BDEGENER[[#This Row],[GA2]],BDEGENER[[#This Row],[HORAS]],"0")</f>
        <v>0</v>
      </c>
      <c r="BB437" s="683">
        <f>SUMIF(BDEGENER[SERIE],BDEGENER[[#This Row],[SERIE]],BDEGENER[GA3])</f>
        <v>2140.9</v>
      </c>
      <c r="BC437" s="683" t="str">
        <f>CONCATENATE("MANT",COUNTIF($Y$7:Y437,Y437))</f>
        <v>MANT4</v>
      </c>
      <c r="BD437" s="683" t="str">
        <f>CONCATENATE(BDEGENER[[#This Row],[SERIE]],BDEGENER[[#This Row],[GA5]])</f>
        <v>3004344017MANT4</v>
      </c>
      <c r="BE437" s="683" t="str">
        <f>CONCATENATE(BDEGENER[[#This Row],[CODIGO PATRIMONIAL]],BDEGENER[[#This Row],[GA5]])</f>
        <v>MANT4</v>
      </c>
      <c r="BF437" s="683">
        <f>COUNTIF(BDEGENER[SERIE],BDEGENER[[#This Row],[SERIE]])</f>
        <v>12</v>
      </c>
      <c r="BG437" s="683" t="str">
        <f>CONCATENATE("F",COUNTIF($K$7:K437,K437))</f>
        <v>F7</v>
      </c>
      <c r="BH437" s="683" t="str">
        <f>CONCATENATE(BDEGENER[[#This Row],[FECHA DE SERVICIO]],BDEGENER[[#This Row],[N° DE REGISTROS DEL DIA]])</f>
        <v>43984F7</v>
      </c>
      <c r="BI437" s="684">
        <v>35316</v>
      </c>
      <c r="BJ437" s="683" t="s">
        <v>1544</v>
      </c>
      <c r="BK437" s="736"/>
    </row>
    <row r="438" spans="2:63" ht="69" hidden="1" x14ac:dyDescent="0.3">
      <c r="B438" s="2"/>
      <c r="C438" s="2"/>
      <c r="D438" s="2"/>
      <c r="E438" s="2"/>
      <c r="F438" s="2"/>
      <c r="G438" s="2"/>
      <c r="H438" s="2"/>
      <c r="I438" s="2"/>
      <c r="J438" s="685"/>
      <c r="K438" s="682">
        <v>43984</v>
      </c>
      <c r="L438" s="683" t="s">
        <v>181</v>
      </c>
      <c r="M438" s="683" t="s">
        <v>182</v>
      </c>
      <c r="N438" s="683" t="s">
        <v>183</v>
      </c>
      <c r="O438" s="683">
        <v>4500873022</v>
      </c>
      <c r="P438" s="683" t="s">
        <v>2371</v>
      </c>
      <c r="Q438" s="683" t="s">
        <v>37</v>
      </c>
      <c r="R438" s="683" t="s">
        <v>1782</v>
      </c>
      <c r="S438" s="686" t="s">
        <v>2372</v>
      </c>
      <c r="T438" s="683" t="s">
        <v>2373</v>
      </c>
      <c r="U438" s="683" t="s">
        <v>2049</v>
      </c>
      <c r="V438" s="683" t="s">
        <v>146</v>
      </c>
      <c r="W438" s="683" t="s">
        <v>914</v>
      </c>
      <c r="X438" s="691" t="s">
        <v>918</v>
      </c>
      <c r="Y438" s="687">
        <v>3004256777</v>
      </c>
      <c r="Z438" s="692"/>
      <c r="AA438" s="683" t="s">
        <v>33</v>
      </c>
      <c r="AB438" s="683" t="s">
        <v>34</v>
      </c>
      <c r="AC438" s="683" t="s">
        <v>230</v>
      </c>
      <c r="AD438" s="683" t="s">
        <v>1110</v>
      </c>
      <c r="AE438" s="683">
        <v>60</v>
      </c>
      <c r="AF438" s="684">
        <v>1253.8</v>
      </c>
      <c r="AG438" s="683" t="s">
        <v>243</v>
      </c>
      <c r="AH438" s="683" t="s">
        <v>220</v>
      </c>
      <c r="AI438" s="683" t="s">
        <v>33</v>
      </c>
      <c r="AJ438" s="683">
        <v>3003930235</v>
      </c>
      <c r="AK438" s="683" t="s">
        <v>33</v>
      </c>
      <c r="AL438" s="683">
        <v>10630250</v>
      </c>
      <c r="AM438" s="683" t="s">
        <v>1121</v>
      </c>
      <c r="AN438" s="683" t="s">
        <v>1122</v>
      </c>
      <c r="AO438" s="683" t="s">
        <v>1166</v>
      </c>
      <c r="AP438" s="683" t="s">
        <v>240</v>
      </c>
      <c r="AQ438" s="683" t="str">
        <f>CONCATENATE("REG-",BDEGENER[[#This Row],[FECHA DE SERVICIO]],"-",BDEGENER[[#This Row],[SERIE]],"-",BDEGENER[[#This Row],[HORAS]])</f>
        <v>REG-43984-3004256777-1253,8</v>
      </c>
      <c r="AR438" s="683" t="str">
        <f>CONCATENATE("MARCA: ",BDEGENER[[#This Row],[MARCA]],"
 MODELO: ",BDEGENER[[#This Row],[MODELO]])</f>
        <v>MARCA: GENERAC
 MODELO: PG090</v>
      </c>
      <c r="AS438" s="683" t="str">
        <f>CONCATENATE("MARCA: ",BDEGENER[[#This Row],[MARCA DE MOTOR]],"
SERIE: ",BDEGENER[[#This Row],[SERIE DE MOTOR]])</f>
        <v>MARCA: GENERAC
SERIE: 3003930235</v>
      </c>
      <c r="AT438" s="683" t="str">
        <f>CONCATENATE("MARCA: ",BDEGENER[[#This Row],[MARCA ALTERNADOR ]],"
SERIE: ",BDEGENER[[#This Row],[SERIE DE ALTERNADOR]])</f>
        <v>MARCA: GENERAC
SERIE: 10630250</v>
      </c>
      <c r="AU438" s="683" t="str">
        <f>CONCATENATE("HORAS: ",BDEGENER[[#This Row],[HORAS]],"
KW-HR: ",BDEGENER[[#This Row],[KW-HORA]],"
VOLT.BATERIA: ",BDEGENER[[#This Row],[VOLTAJE DE BATERIA]],"
TEMPERATURA: ",BDEGENER[[#This Row],[TEMPERATURA DE AGUA]],"
PRES. ACEITE: ",BDEGENER[[#This Row],[PRESION DE ACEITE]])</f>
        <v>HORAS: 1253,8
KW-HR: 33148,1
VOLT.BATERIA: 13.7 V
TEMPERATURA: 195 °F
PRES. ACEITE: 57 PSI</v>
      </c>
      <c r="AV438" s="683">
        <f>COUNTIFS(Q438:Q2438,"MANTENIMIENTO CORRECTIVO",Y438:Y2438,BDEGENER[[#This Row],[SERIE]])</f>
        <v>4</v>
      </c>
      <c r="AW438" s="683">
        <f>COUNTIFS(Q438:Q2438,"MANTENIMIENTO PREVENTIVO",Y438:Y2438,BDEGENER[[#This Row],[SERIE]])</f>
        <v>4</v>
      </c>
      <c r="AX43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38" s="683">
        <f>COUNTIFS(BDEGENER[SERIE],BDEGENER[[#This Row],[SERIE]],BDEGENER[TIPO DE SERVICIO],"MANTENIMIENTO PREVENTIVO")</f>
        <v>9</v>
      </c>
      <c r="AZ438" s="683" t="str">
        <f>CONCATENATE("MANTENIMIENTO PREVENTIVO N°",BDEGENER[[#This Row],[GA1]])</f>
        <v>MANTENIMIENTO PREVENTIVO N°9</v>
      </c>
      <c r="BA438" s="683" t="str">
        <f>IF(BDEGENER[[#This Row],[SERVICIO]]=BDEGENER[[#This Row],[GA2]],BDEGENER[[#This Row],[HORAS]],"0")</f>
        <v>0</v>
      </c>
      <c r="BB438" s="683">
        <f>SUMIF(BDEGENER[SERIE],BDEGENER[[#This Row],[SERIE]],BDEGENER[GA3])</f>
        <v>2804.7</v>
      </c>
      <c r="BC438" s="683" t="str">
        <f>CONCATENATE("MANT",COUNTIF($Y$7:Y438,Y438))</f>
        <v>MANT8</v>
      </c>
      <c r="BD438" s="683" t="str">
        <f>CONCATENATE(BDEGENER[[#This Row],[SERIE]],BDEGENER[[#This Row],[GA5]])</f>
        <v>3004256777MANT8</v>
      </c>
      <c r="BE438" s="683" t="str">
        <f>CONCATENATE(BDEGENER[[#This Row],[CODIGO PATRIMONIAL]],BDEGENER[[#This Row],[GA5]])</f>
        <v>MANT8</v>
      </c>
      <c r="BF438" s="683">
        <f>COUNTIF(BDEGENER[SERIE],BDEGENER[[#This Row],[SERIE]])</f>
        <v>16</v>
      </c>
      <c r="BG438" s="683" t="str">
        <f>CONCATENATE("F",COUNTIF($K$7:K438,K438))</f>
        <v>F8</v>
      </c>
      <c r="BH438" s="683" t="str">
        <f>CONCATENATE(BDEGENER[[#This Row],[FECHA DE SERVICIO]],BDEGENER[[#This Row],[N° DE REGISTROS DEL DIA]])</f>
        <v>43984F8</v>
      </c>
      <c r="BI438" s="684">
        <v>33148.1</v>
      </c>
      <c r="BJ438" s="683" t="s">
        <v>1544</v>
      </c>
      <c r="BK438" s="736" t="s">
        <v>2368</v>
      </c>
    </row>
    <row r="439" spans="2:63" ht="69" hidden="1" x14ac:dyDescent="0.3">
      <c r="B439" s="2"/>
      <c r="C439" s="2"/>
      <c r="D439" s="2"/>
      <c r="E439" s="2"/>
      <c r="F439" s="2"/>
      <c r="G439" s="2"/>
      <c r="H439" s="2"/>
      <c r="I439" s="2"/>
      <c r="J439" s="685"/>
      <c r="K439" s="682">
        <v>43983</v>
      </c>
      <c r="L439" s="683" t="s">
        <v>561</v>
      </c>
      <c r="M439" s="683" t="s">
        <v>2445</v>
      </c>
      <c r="N439" s="683" t="s">
        <v>2549</v>
      </c>
      <c r="O439" s="683"/>
      <c r="P439" s="683"/>
      <c r="Q439" s="683" t="s">
        <v>108</v>
      </c>
      <c r="R439" s="683" t="s">
        <v>2446</v>
      </c>
      <c r="S439" s="686" t="s">
        <v>2447</v>
      </c>
      <c r="T439" s="683" t="s">
        <v>2448</v>
      </c>
      <c r="U439" s="683"/>
      <c r="V439" s="683" t="s">
        <v>149</v>
      </c>
      <c r="W439" s="683" t="s">
        <v>913</v>
      </c>
      <c r="X439" s="691" t="s">
        <v>918</v>
      </c>
      <c r="Y439" s="687">
        <v>3004597773</v>
      </c>
      <c r="Z439" s="692" t="s">
        <v>2609</v>
      </c>
      <c r="AA439" s="683" t="s">
        <v>33</v>
      </c>
      <c r="AB439" s="683" t="s">
        <v>217</v>
      </c>
      <c r="AC439" s="683" t="s">
        <v>750</v>
      </c>
      <c r="AD439" s="683" t="s">
        <v>2443</v>
      </c>
      <c r="AE439" s="683">
        <v>60</v>
      </c>
      <c r="AF439" s="684">
        <v>1810</v>
      </c>
      <c r="AG439" s="683" t="s">
        <v>243</v>
      </c>
      <c r="AH439" s="683"/>
      <c r="AI439" s="683"/>
      <c r="AJ439" s="683"/>
      <c r="AK439" s="683"/>
      <c r="AL439" s="683"/>
      <c r="AM439" s="683" t="s">
        <v>2449</v>
      </c>
      <c r="AN439" s="683" t="s">
        <v>2438</v>
      </c>
      <c r="AO439" s="683"/>
      <c r="AP439" s="683" t="s">
        <v>240</v>
      </c>
      <c r="AQ439" s="688" t="str">
        <f>CONCATENATE("REG-",BDEGENER[[#This Row],[FECHA DE SERVICIO]],"-",BDEGENER[[#This Row],[SERIE]],"-",BDEGENER[[#This Row],[HORAS]])</f>
        <v>REG-43983-3004597773-1810</v>
      </c>
      <c r="AR439" s="683" t="str">
        <f>CONCATENATE("MARCA: ",BDEGENER[[#This Row],[MARCA]],"
 MODELO: ",BDEGENER[[#This Row],[MODELO]])</f>
        <v>MARCA: GENERAC
 MODELO: RG022</v>
      </c>
      <c r="AS439" s="683" t="str">
        <f>CONCATENATE("MARCA: ",BDEGENER[[#This Row],[MARCA DE MOTOR]],"
SERIE: ",BDEGENER[[#This Row],[SERIE DE MOTOR]])</f>
        <v xml:space="preserve">MARCA: 
SERIE: </v>
      </c>
      <c r="AT439" s="683" t="str">
        <f>CONCATENATE("MARCA: ",BDEGENER[[#This Row],[MARCA ALTERNADOR ]],"
SERIE: ",BDEGENER[[#This Row],[SERIE DE ALTERNADOR]])</f>
        <v xml:space="preserve">MARCA: 
SERIE: </v>
      </c>
      <c r="AU439" s="683" t="str">
        <f>CONCATENATE("HORAS: ",BDEGENER[[#This Row],[HORAS]],"
KW-HR: ",BDEGENER[[#This Row],[KW-HORA]],"
VOLT.BATERIA: ",BDEGENER[[#This Row],[VOLTAJE DE BATERIA]],"
TEMPERATURA: ",BDEGENER[[#This Row],[TEMPERATURA DE AGUA]],"
PRES. ACEITE: ",BDEGENER[[#This Row],[PRESION DE ACEITE]])</f>
        <v xml:space="preserve">HORAS: 1810
KW-HR: 
VOLT.BATERIA: 12.75 V
TEMPERATURA: 75 °C
PRES. ACEITE: </v>
      </c>
      <c r="AV439" s="761">
        <f>COUNTIFS(Q439:Q2439,"MANTENIMIENTO CORRECTIVO",Y439:Y2439,BDEGENER[[#This Row],[SERIE]])</f>
        <v>0</v>
      </c>
      <c r="AW439" s="761">
        <f>COUNTIFS(Q439:Q2439,"MANTENIMIENTO PREVENTIVO",Y439:Y2439,BDEGENER[[#This Row],[SERIE]])</f>
        <v>4</v>
      </c>
      <c r="AX43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39" s="683">
        <f>COUNTIFS(BDEGENER[SERIE],BDEGENER[[#This Row],[SERIE]],BDEGENER[TIPO DE SERVICIO],"MANTENIMIENTO PREVENTIVO")</f>
        <v>9</v>
      </c>
      <c r="AZ439" s="683" t="str">
        <f>CONCATENATE("MANTENIMIENTO PREVENTIVO N°",BDEGENER[[#This Row],[GA1]])</f>
        <v>MANTENIMIENTO PREVENTIVO N°9</v>
      </c>
      <c r="BA439" s="683" t="str">
        <f>IF(BDEGENER[[#This Row],[SERVICIO]]=BDEGENER[[#This Row],[GA2]],BDEGENER[[#This Row],[HORAS]],"0")</f>
        <v>0</v>
      </c>
      <c r="BB439" s="683">
        <f>SUMIF(BDEGENER[SERIE],BDEGENER[[#This Row],[SERIE]],BDEGENER[GA3])</f>
        <v>3087.7</v>
      </c>
      <c r="BC439" s="761" t="str">
        <f>CONCATENATE("MANT",COUNTIF($Y$7:Y439,Y439))</f>
        <v>MANT6</v>
      </c>
      <c r="BD439" s="683" t="str">
        <f>CONCATENATE(BDEGENER[[#This Row],[SERIE]],BDEGENER[[#This Row],[GA5]])</f>
        <v>3004597773MANT6</v>
      </c>
      <c r="BE439" s="683" t="str">
        <f>CONCATENATE(BDEGENER[[#This Row],[CODIGO PATRIMONIAL]],BDEGENER[[#This Row],[GA5]])</f>
        <v>SUR-GEG-0013MANT6</v>
      </c>
      <c r="BF439" s="683">
        <f>COUNTIF(BDEGENER[SERIE],BDEGENER[[#This Row],[SERIE]])</f>
        <v>11</v>
      </c>
      <c r="BG439" s="761" t="str">
        <f>CONCATENATE("F",COUNTIF($K$7:K439,K439))</f>
        <v>F1</v>
      </c>
      <c r="BH439" s="683" t="str">
        <f>CONCATENATE(BDEGENER[[#This Row],[FECHA DE SERVICIO]],BDEGENER[[#This Row],[N° DE REGISTROS DEL DIA]])</f>
        <v>43983F1</v>
      </c>
      <c r="BI439" s="684"/>
      <c r="BJ439" s="683" t="s">
        <v>1544</v>
      </c>
      <c r="BK439" s="736"/>
    </row>
    <row r="440" spans="2:63" ht="69" hidden="1" x14ac:dyDescent="0.3">
      <c r="B440" s="2"/>
      <c r="C440" s="2"/>
      <c r="D440" s="2"/>
      <c r="E440" s="2"/>
      <c r="F440" s="2"/>
      <c r="G440" s="2"/>
      <c r="H440" s="2"/>
      <c r="I440" s="2"/>
      <c r="J440" s="685"/>
      <c r="K440" s="682">
        <v>43983</v>
      </c>
      <c r="L440" s="683" t="s">
        <v>561</v>
      </c>
      <c r="M440" s="683" t="s">
        <v>2439</v>
      </c>
      <c r="N440" s="740" t="s">
        <v>564</v>
      </c>
      <c r="O440" s="683"/>
      <c r="P440" s="683"/>
      <c r="Q440" s="683" t="s">
        <v>108</v>
      </c>
      <c r="R440" s="683" t="s">
        <v>2440</v>
      </c>
      <c r="S440" s="686" t="s">
        <v>2441</v>
      </c>
      <c r="T440" s="683" t="s">
        <v>2442</v>
      </c>
      <c r="U440" s="683"/>
      <c r="V440" s="683" t="s">
        <v>149</v>
      </c>
      <c r="W440" s="683" t="s">
        <v>914</v>
      </c>
      <c r="X440" s="691" t="s">
        <v>918</v>
      </c>
      <c r="Y440" s="687">
        <v>3003963149</v>
      </c>
      <c r="Z440" s="692" t="s">
        <v>2603</v>
      </c>
      <c r="AA440" s="683" t="s">
        <v>33</v>
      </c>
      <c r="AB440" s="683" t="s">
        <v>34</v>
      </c>
      <c r="AC440" s="683" t="s">
        <v>230</v>
      </c>
      <c r="AD440" s="683" t="s">
        <v>2443</v>
      </c>
      <c r="AE440" s="683">
        <v>60.1</v>
      </c>
      <c r="AF440" s="684">
        <v>3181.1</v>
      </c>
      <c r="AG440" s="683" t="s">
        <v>243</v>
      </c>
      <c r="AH440" s="683"/>
      <c r="AI440" s="683" t="s">
        <v>33</v>
      </c>
      <c r="AJ440" s="683"/>
      <c r="AK440" s="683" t="s">
        <v>33</v>
      </c>
      <c r="AL440" s="683"/>
      <c r="AM440" s="683" t="s">
        <v>2444</v>
      </c>
      <c r="AN440" s="683" t="s">
        <v>2118</v>
      </c>
      <c r="AO440" s="683" t="s">
        <v>247</v>
      </c>
      <c r="AP440" s="683" t="s">
        <v>240</v>
      </c>
      <c r="AQ440" s="688" t="str">
        <f>CONCATENATE("REG-",BDEGENER[[#This Row],[FECHA DE SERVICIO]],"-",BDEGENER[[#This Row],[SERIE]],"-",BDEGENER[[#This Row],[HORAS]])</f>
        <v>REG-43983-3003963149-3181,1</v>
      </c>
      <c r="AR440" s="683" t="str">
        <f>CONCATENATE("MARCA: ",BDEGENER[[#This Row],[MARCA]],"
 MODELO: ",BDEGENER[[#This Row],[MODELO]])</f>
        <v>MARCA: GENERAC
 MODELO: PG090</v>
      </c>
      <c r="AS440" s="683" t="str">
        <f>CONCATENATE("MARCA: ",BDEGENER[[#This Row],[MARCA DE MOTOR]],"
SERIE: ",BDEGENER[[#This Row],[SERIE DE MOTOR]])</f>
        <v xml:space="preserve">MARCA: GENERAC
SERIE: </v>
      </c>
      <c r="AT440" s="683" t="str">
        <f>CONCATENATE("MARCA: ",BDEGENER[[#This Row],[MARCA ALTERNADOR ]],"
SERIE: ",BDEGENER[[#This Row],[SERIE DE ALTERNADOR]])</f>
        <v xml:space="preserve">MARCA: GENERAC
SERIE: </v>
      </c>
      <c r="AU440" s="683" t="str">
        <f>CONCATENATE("HORAS: ",BDEGENER[[#This Row],[HORAS]],"
KW-HR: ",BDEGENER[[#This Row],[KW-HORA]],"
VOLT.BATERIA: ",BDEGENER[[#This Row],[VOLTAJE DE BATERIA]],"
TEMPERATURA: ",BDEGENER[[#This Row],[TEMPERATURA DE AGUA]],"
PRES. ACEITE: ",BDEGENER[[#This Row],[PRESION DE ACEITE]])</f>
        <v>HORAS: 3181,1
KW-HR: 131287,4
VOLT.BATERIA: 12.7 V
TEMPERATURA: 192 °F
PRES. ACEITE: 55 PSI</v>
      </c>
      <c r="AV440" s="683">
        <f>COUNTIFS(Q440:Q2440,"MANTENIMIENTO CORRECTIVO",Y440:Y2440,BDEGENER[[#This Row],[SERIE]])</f>
        <v>3</v>
      </c>
      <c r="AW440" s="683">
        <f>COUNTIFS(Q440:Q2440,"MANTENIMIENTO PREVENTIVO",Y440:Y2440,BDEGENER[[#This Row],[SERIE]])</f>
        <v>3</v>
      </c>
      <c r="AX44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40" s="683">
        <f>COUNTIFS(BDEGENER[SERIE],BDEGENER[[#This Row],[SERIE]],BDEGENER[TIPO DE SERVICIO],"MANTENIMIENTO PREVENTIVO")</f>
        <v>6</v>
      </c>
      <c r="AZ440" s="683" t="str">
        <f>CONCATENATE("MANTENIMIENTO PREVENTIVO N°",BDEGENER[[#This Row],[GA1]])</f>
        <v>MANTENIMIENTO PREVENTIVO N°6</v>
      </c>
      <c r="BA440" s="683" t="str">
        <f>IF(BDEGENER[[#This Row],[SERVICIO]]=BDEGENER[[#This Row],[GA2]],BDEGENER[[#This Row],[HORAS]],"0")</f>
        <v>0</v>
      </c>
      <c r="BB440" s="683">
        <f>SUMIF(BDEGENER[SERIE],BDEGENER[[#This Row],[SERIE]],BDEGENER[GA3])</f>
        <v>3959.4</v>
      </c>
      <c r="BC440" s="683" t="str">
        <f>CONCATENATE("MANT",COUNTIF($Y$7:Y440,Y440))</f>
        <v>MANT4</v>
      </c>
      <c r="BD440" s="683" t="str">
        <f>CONCATENATE(BDEGENER[[#This Row],[SERIE]],BDEGENER[[#This Row],[GA5]])</f>
        <v>3003963149MANT4</v>
      </c>
      <c r="BE440" s="683" t="str">
        <f>CONCATENATE(BDEGENER[[#This Row],[CODIGO PATRIMONIAL]],BDEGENER[[#This Row],[GA5]])</f>
        <v>SUR-GEG-0007MANT4</v>
      </c>
      <c r="BF440" s="683">
        <f>COUNTIF(BDEGENER[SERIE],BDEGENER[[#This Row],[SERIE]])</f>
        <v>12</v>
      </c>
      <c r="BG440" s="683" t="str">
        <f>CONCATENATE("F",COUNTIF($K$7:K440,K440))</f>
        <v>F2</v>
      </c>
      <c r="BH440" s="683" t="str">
        <f>CONCATENATE(BDEGENER[[#This Row],[FECHA DE SERVICIO]],BDEGENER[[#This Row],[N° DE REGISTROS DEL DIA]])</f>
        <v>43983F2</v>
      </c>
      <c r="BI440" s="684">
        <v>131287.4</v>
      </c>
      <c r="BJ440" s="683" t="s">
        <v>1544</v>
      </c>
      <c r="BK440" s="736"/>
    </row>
    <row r="441" spans="2:63" ht="69" hidden="1" x14ac:dyDescent="0.3">
      <c r="B441" s="2"/>
      <c r="C441" s="2"/>
      <c r="D441" s="2"/>
      <c r="E441" s="2"/>
      <c r="F441" s="2"/>
      <c r="G441" s="2"/>
      <c r="H441" s="2"/>
      <c r="I441" s="2"/>
      <c r="J441" s="685"/>
      <c r="K441" s="682">
        <v>43983</v>
      </c>
      <c r="L441" s="683" t="s">
        <v>181</v>
      </c>
      <c r="M441" s="683" t="s">
        <v>185</v>
      </c>
      <c r="N441" s="683" t="s">
        <v>183</v>
      </c>
      <c r="O441" s="683"/>
      <c r="P441" s="683"/>
      <c r="Q441" s="683" t="s">
        <v>108</v>
      </c>
      <c r="R441" s="683" t="s">
        <v>2354</v>
      </c>
      <c r="S441" s="686" t="s">
        <v>2369</v>
      </c>
      <c r="T441" s="683" t="s">
        <v>2415</v>
      </c>
      <c r="U441" s="683"/>
      <c r="V441" s="683" t="s">
        <v>146</v>
      </c>
      <c r="W441" s="683" t="s">
        <v>914</v>
      </c>
      <c r="X441" s="691" t="s">
        <v>918</v>
      </c>
      <c r="Y441" s="687">
        <v>3004344017</v>
      </c>
      <c r="Z441" s="692"/>
      <c r="AA441" s="683" t="s">
        <v>33</v>
      </c>
      <c r="AB441" s="683" t="s">
        <v>34</v>
      </c>
      <c r="AC441" s="683" t="s">
        <v>230</v>
      </c>
      <c r="AD441" s="683"/>
      <c r="AE441" s="683"/>
      <c r="AF441" s="684">
        <v>1588.3</v>
      </c>
      <c r="AG441" s="683" t="s">
        <v>243</v>
      </c>
      <c r="AH441" s="683" t="s">
        <v>220</v>
      </c>
      <c r="AI441" s="683" t="s">
        <v>33</v>
      </c>
      <c r="AJ441" s="683">
        <v>3004346832</v>
      </c>
      <c r="AK441" s="683" t="s">
        <v>33</v>
      </c>
      <c r="AL441" s="683">
        <v>106308750</v>
      </c>
      <c r="AM441" s="683"/>
      <c r="AN441" s="683"/>
      <c r="AO441" s="683"/>
      <c r="AP441" s="683" t="s">
        <v>557</v>
      </c>
      <c r="AQ441" s="688" t="str">
        <f>CONCATENATE("REG-",BDEGENER[[#This Row],[FECHA DE SERVICIO]],"-",BDEGENER[[#This Row],[SERIE]],"-",BDEGENER[[#This Row],[HORAS]])</f>
        <v>REG-43983-3004344017-1588,3</v>
      </c>
      <c r="AR441" s="683" t="str">
        <f>CONCATENATE("MARCA: ",BDEGENER[[#This Row],[MARCA]],"
 MODELO: ",BDEGENER[[#This Row],[MODELO]])</f>
        <v>MARCA: GENERAC
 MODELO: PG090</v>
      </c>
      <c r="AS441" s="683" t="str">
        <f>CONCATENATE("MARCA: ",BDEGENER[[#This Row],[MARCA DE MOTOR]],"
SERIE: ",BDEGENER[[#This Row],[SERIE DE MOTOR]])</f>
        <v>MARCA: GENERAC
SERIE: 3004346832</v>
      </c>
      <c r="AT441" s="683" t="str">
        <f>CONCATENATE("MARCA: ",BDEGENER[[#This Row],[MARCA ALTERNADOR ]],"
SERIE: ",BDEGENER[[#This Row],[SERIE DE ALTERNADOR]])</f>
        <v>MARCA: GENERAC
SERIE: 106308750</v>
      </c>
      <c r="AU441" s="683" t="str">
        <f>CONCATENATE("HORAS: ",BDEGENER[[#This Row],[HORAS]],"
KW-HR: ",BDEGENER[[#This Row],[KW-HORA]],"
VOLT.BATERIA: ",BDEGENER[[#This Row],[VOLTAJE DE BATERIA]],"
TEMPERATURA: ",BDEGENER[[#This Row],[TEMPERATURA DE AGUA]],"
PRES. ACEITE: ",BDEGENER[[#This Row],[PRESION DE ACEITE]])</f>
        <v xml:space="preserve">HORAS: 1588,3
KW-HR: 35316
VOLT.BATERIA: 
TEMPERATURA: 
PRES. ACEITE: </v>
      </c>
      <c r="AV441" s="683">
        <f>COUNTIFS(Q441:Q2441,"MANTENIMIENTO CORRECTIVO",Y441:Y2441,BDEGENER[[#This Row],[SERIE]])</f>
        <v>3</v>
      </c>
      <c r="AW441" s="683">
        <f>COUNTIFS(Q441:Q2441,"MANTENIMIENTO PREVENTIVO",Y441:Y2441,BDEGENER[[#This Row],[SERIE]])</f>
        <v>3</v>
      </c>
      <c r="AX44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41" s="683">
        <f>COUNTIFS(BDEGENER[SERIE],BDEGENER[[#This Row],[SERIE]],BDEGENER[TIPO DE SERVICIO],"MANTENIMIENTO PREVENTIVO")</f>
        <v>6</v>
      </c>
      <c r="AZ441" s="683" t="str">
        <f>CONCATENATE("MANTENIMIENTO PREVENTIVO N°",BDEGENER[[#This Row],[GA1]])</f>
        <v>MANTENIMIENTO PREVENTIVO N°6</v>
      </c>
      <c r="BA441" s="683" t="str">
        <f>IF(BDEGENER[[#This Row],[SERVICIO]]=BDEGENER[[#This Row],[GA2]],BDEGENER[[#This Row],[HORAS]],"0")</f>
        <v>0</v>
      </c>
      <c r="BB441" s="683">
        <f>SUMIF(BDEGENER[SERIE],BDEGENER[[#This Row],[SERIE]],BDEGENER[GA3])</f>
        <v>2140.9</v>
      </c>
      <c r="BC441" s="683" t="str">
        <f>CONCATENATE("MANT",COUNTIF($Y$7:Y441,Y441))</f>
        <v>MANT5</v>
      </c>
      <c r="BD441" s="683" t="str">
        <f>CONCATENATE(BDEGENER[[#This Row],[SERIE]],BDEGENER[[#This Row],[GA5]])</f>
        <v>3004344017MANT5</v>
      </c>
      <c r="BE441" s="683" t="str">
        <f>CONCATENATE(BDEGENER[[#This Row],[CODIGO PATRIMONIAL]],BDEGENER[[#This Row],[GA5]])</f>
        <v>MANT5</v>
      </c>
      <c r="BF441" s="683">
        <f>COUNTIF(BDEGENER[SERIE],BDEGENER[[#This Row],[SERIE]])</f>
        <v>12</v>
      </c>
      <c r="BG441" s="683" t="str">
        <f>CONCATENATE("F",COUNTIF($K$7:K441,K441))</f>
        <v>F3</v>
      </c>
      <c r="BH441" s="683" t="str">
        <f>CONCATENATE(BDEGENER[[#This Row],[FECHA DE SERVICIO]],BDEGENER[[#This Row],[N° DE REGISTROS DEL DIA]])</f>
        <v>43983F3</v>
      </c>
      <c r="BI441" s="684">
        <v>35316</v>
      </c>
      <c r="BJ441" s="683" t="s">
        <v>1544</v>
      </c>
      <c r="BK441" s="736"/>
    </row>
    <row r="442" spans="2:63" ht="69" hidden="1" x14ac:dyDescent="0.3">
      <c r="B442" s="2"/>
      <c r="C442" s="2"/>
      <c r="D442" s="2"/>
      <c r="E442" s="2"/>
      <c r="F442" s="2"/>
      <c r="G442" s="2"/>
      <c r="H442" s="2"/>
      <c r="I442" s="2"/>
      <c r="J442" s="685"/>
      <c r="K442" s="682">
        <v>43981</v>
      </c>
      <c r="L442" s="683" t="s">
        <v>181</v>
      </c>
      <c r="M442" s="683" t="s">
        <v>184</v>
      </c>
      <c r="N442" s="683" t="s">
        <v>183</v>
      </c>
      <c r="O442" s="683"/>
      <c r="P442" s="683"/>
      <c r="Q442" s="683" t="s">
        <v>107</v>
      </c>
      <c r="R442" s="683" t="s">
        <v>2734</v>
      </c>
      <c r="S442" s="686" t="s">
        <v>2735</v>
      </c>
      <c r="T442" s="683" t="s">
        <v>2546</v>
      </c>
      <c r="U442" s="683" t="s">
        <v>2736</v>
      </c>
      <c r="V442" s="683" t="s">
        <v>146</v>
      </c>
      <c r="W442" s="683" t="s">
        <v>914</v>
      </c>
      <c r="X442" s="691" t="s">
        <v>918</v>
      </c>
      <c r="Y442" s="687">
        <v>3004402507</v>
      </c>
      <c r="Z442" s="692"/>
      <c r="AA442" s="683" t="s">
        <v>33</v>
      </c>
      <c r="AB442" s="683" t="s">
        <v>34</v>
      </c>
      <c r="AC442" s="683" t="s">
        <v>230</v>
      </c>
      <c r="AD442" s="683" t="s">
        <v>1110</v>
      </c>
      <c r="AE442" s="683"/>
      <c r="AF442" s="684">
        <v>1696.9</v>
      </c>
      <c r="AG442" s="683" t="s">
        <v>243</v>
      </c>
      <c r="AH442" s="683" t="s">
        <v>220</v>
      </c>
      <c r="AI442" s="683" t="s">
        <v>33</v>
      </c>
      <c r="AJ442" s="683">
        <v>3004425772</v>
      </c>
      <c r="AK442" s="683" t="s">
        <v>33</v>
      </c>
      <c r="AL442" s="683">
        <v>106310030</v>
      </c>
      <c r="AM442" s="683"/>
      <c r="AN442" s="683"/>
      <c r="AO442" s="683"/>
      <c r="AP442" s="683" t="s">
        <v>240</v>
      </c>
      <c r="AQ442" s="688" t="str">
        <f>CONCATENATE("REG-",BDEGENER[[#This Row],[FECHA DE SERVICIO]],"-",BDEGENER[[#This Row],[SERIE]],"-",BDEGENER[[#This Row],[HORAS]])</f>
        <v>REG-43981-3004402507-1696,9</v>
      </c>
      <c r="AR442" s="683" t="str">
        <f>CONCATENATE("MARCA: ",BDEGENER[[#This Row],[MARCA]],"
 MODELO: ",BDEGENER[[#This Row],[MODELO]])</f>
        <v>MARCA: GENERAC
 MODELO: PG090</v>
      </c>
      <c r="AS442" s="683" t="str">
        <f>CONCATENATE("MARCA: ",BDEGENER[[#This Row],[MARCA DE MOTOR]],"
SERIE: ",BDEGENER[[#This Row],[SERIE DE MOTOR]])</f>
        <v>MARCA: GENERAC
SERIE: 3004425772</v>
      </c>
      <c r="AT442" s="683" t="str">
        <f>CONCATENATE("MARCA: ",BDEGENER[[#This Row],[MARCA ALTERNADOR ]],"
SERIE: ",BDEGENER[[#This Row],[SERIE DE ALTERNADOR]])</f>
        <v>MARCA: GENERAC
SERIE: 106310030</v>
      </c>
      <c r="AU442" s="683" t="str">
        <f>CONCATENATE("HORAS: ",BDEGENER[[#This Row],[HORAS]],"
KW-HR: ",BDEGENER[[#This Row],[KW-HORA]],"
VOLT.BATERIA: ",BDEGENER[[#This Row],[VOLTAJE DE BATERIA]],"
TEMPERATURA: ",BDEGENER[[#This Row],[TEMPERATURA DE AGUA]],"
PRES. ACEITE: ",BDEGENER[[#This Row],[PRESION DE ACEITE]])</f>
        <v xml:space="preserve">HORAS: 1696,9
KW-HR: 
VOLT.BATERIA: 
TEMPERATURA: 
PRES. ACEITE: </v>
      </c>
      <c r="AV442" s="761">
        <f>COUNTIFS(Q442:Q2442,"MANTENIMIENTO CORRECTIVO",Y442:Y2442,BDEGENER[[#This Row],[SERIE]])</f>
        <v>5</v>
      </c>
      <c r="AW442" s="761">
        <f>COUNTIFS(Q442:Q2442,"MANTENIMIENTO PREVENTIVO",Y442:Y2442,BDEGENER[[#This Row],[SERIE]])</f>
        <v>5</v>
      </c>
      <c r="AX44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N°5</v>
      </c>
      <c r="AY442" s="683">
        <f>COUNTIFS(BDEGENER[SERIE],BDEGENER[[#This Row],[SERIE]],BDEGENER[TIPO DE SERVICIO],"MANTENIMIENTO PREVENTIVO")</f>
        <v>7</v>
      </c>
      <c r="AZ442" s="683" t="str">
        <f>CONCATENATE("MANTENIMIENTO PREVENTIVO N°",BDEGENER[[#This Row],[GA1]])</f>
        <v>MANTENIMIENTO PREVENTIVO N°7</v>
      </c>
      <c r="BA442" s="683" t="str">
        <f>IF(BDEGENER[[#This Row],[SERVICIO]]=BDEGENER[[#This Row],[GA2]],BDEGENER[[#This Row],[HORAS]],"0")</f>
        <v>0</v>
      </c>
      <c r="BB442" s="683">
        <f>SUMIF(BDEGENER[SERIE],BDEGENER[[#This Row],[SERIE]],BDEGENER[GA3])</f>
        <v>2134</v>
      </c>
      <c r="BC442" s="761" t="str">
        <f>CONCATENATE("MANT",COUNTIF($Y$7:Y442,Y442))</f>
        <v>MANT3</v>
      </c>
      <c r="BD442" s="683" t="str">
        <f>CONCATENATE(BDEGENER[[#This Row],[SERIE]],BDEGENER[[#This Row],[GA5]])</f>
        <v>3004402507MANT3</v>
      </c>
      <c r="BE442" s="683" t="str">
        <f>CONCATENATE(BDEGENER[[#This Row],[CODIGO PATRIMONIAL]],BDEGENER[[#This Row],[GA5]])</f>
        <v>MANT3</v>
      </c>
      <c r="BF442" s="683">
        <f>COUNTIF(BDEGENER[SERIE],BDEGENER[[#This Row],[SERIE]])</f>
        <v>16</v>
      </c>
      <c r="BG442" s="761" t="str">
        <f>CONCATENATE("F",COUNTIF($K$7:K442,K442))</f>
        <v>F1</v>
      </c>
      <c r="BH442" s="683" t="str">
        <f>CONCATENATE(BDEGENER[[#This Row],[FECHA DE SERVICIO]],BDEGENER[[#This Row],[N° DE REGISTROS DEL DIA]])</f>
        <v>43981F1</v>
      </c>
      <c r="BI442" s="684"/>
      <c r="BJ442" s="683" t="s">
        <v>1544</v>
      </c>
      <c r="BK442" s="736"/>
    </row>
    <row r="443" spans="2:63" ht="69" hidden="1" x14ac:dyDescent="0.3">
      <c r="B443" s="2"/>
      <c r="C443" s="2"/>
      <c r="D443" s="2"/>
      <c r="E443" s="2"/>
      <c r="F443" s="2"/>
      <c r="G443" s="2"/>
      <c r="H443" s="2"/>
      <c r="I443" s="2"/>
      <c r="J443" s="685"/>
      <c r="K443" s="682">
        <v>43981</v>
      </c>
      <c r="L443" s="683" t="s">
        <v>561</v>
      </c>
      <c r="M443" s="683" t="s">
        <v>583</v>
      </c>
      <c r="N443" s="683" t="s">
        <v>578</v>
      </c>
      <c r="O443" s="683"/>
      <c r="P443" s="683"/>
      <c r="Q443" s="683" t="s">
        <v>108</v>
      </c>
      <c r="R443" s="683" t="s">
        <v>2565</v>
      </c>
      <c r="S443" s="686" t="s">
        <v>2566</v>
      </c>
      <c r="T443" s="683" t="s">
        <v>2567</v>
      </c>
      <c r="U443" s="683"/>
      <c r="V443" s="683" t="s">
        <v>149</v>
      </c>
      <c r="W443" s="683" t="s">
        <v>913</v>
      </c>
      <c r="X443" s="691" t="s">
        <v>918</v>
      </c>
      <c r="Y443" s="687">
        <v>3003415539</v>
      </c>
      <c r="Z443" s="692" t="s">
        <v>2600</v>
      </c>
      <c r="AA443" s="683" t="s">
        <v>33</v>
      </c>
      <c r="AB443" s="683" t="s">
        <v>217</v>
      </c>
      <c r="AC443" s="683" t="s">
        <v>749</v>
      </c>
      <c r="AD443" s="683" t="s">
        <v>2508</v>
      </c>
      <c r="AE443" s="683">
        <v>60.2</v>
      </c>
      <c r="AF443" s="684">
        <v>4689</v>
      </c>
      <c r="AG443" s="683" t="s">
        <v>243</v>
      </c>
      <c r="AH443" s="683"/>
      <c r="AI443" s="683" t="s">
        <v>33</v>
      </c>
      <c r="AJ443" s="683"/>
      <c r="AK443" s="683"/>
      <c r="AL443" s="683"/>
      <c r="AM443" s="683" t="s">
        <v>2568</v>
      </c>
      <c r="AN443" s="683" t="s">
        <v>2569</v>
      </c>
      <c r="AO443" s="683"/>
      <c r="AP443" s="683" t="s">
        <v>240</v>
      </c>
      <c r="AQ443" s="688" t="str">
        <f>CONCATENATE("REG-",BDEGENER[[#This Row],[FECHA DE SERVICIO]],"-",BDEGENER[[#This Row],[SERIE]],"-",BDEGENER[[#This Row],[HORAS]])</f>
        <v>REG-43981-3003415539-4689</v>
      </c>
      <c r="AR443" s="683" t="str">
        <f>CONCATENATE("MARCA: ",BDEGENER[[#This Row],[MARCA]],"
 MODELO: ",BDEGENER[[#This Row],[MODELO]])</f>
        <v>MARCA: GENERAC
 MODELO: RG022</v>
      </c>
      <c r="AS443" s="683" t="str">
        <f>CONCATENATE("MARCA: ",BDEGENER[[#This Row],[MARCA DE MOTOR]],"
SERIE: ",BDEGENER[[#This Row],[SERIE DE MOTOR]])</f>
        <v xml:space="preserve">MARCA: GENERAC
SERIE: </v>
      </c>
      <c r="AT443" s="683" t="str">
        <f>CONCATENATE("MARCA: ",BDEGENER[[#This Row],[MARCA ALTERNADOR ]],"
SERIE: ",BDEGENER[[#This Row],[SERIE DE ALTERNADOR]])</f>
        <v xml:space="preserve">MARCA: 
SERIE: </v>
      </c>
      <c r="AU443" s="683" t="str">
        <f>CONCATENATE("HORAS: ",BDEGENER[[#This Row],[HORAS]],"
KW-HR: ",BDEGENER[[#This Row],[KW-HORA]],"
VOLT.BATERIA: ",BDEGENER[[#This Row],[VOLTAJE DE BATERIA]],"
TEMPERATURA: ",BDEGENER[[#This Row],[TEMPERATURA DE AGUA]],"
PRES. ACEITE: ",BDEGENER[[#This Row],[PRESION DE ACEITE]])</f>
        <v xml:space="preserve">HORAS: 4689
KW-HR: 
VOLT.BATERIA: 12.3 V
TEMPERATURA: 77 °C
PRES. ACEITE: </v>
      </c>
      <c r="AV443" s="683">
        <f>COUNTIFS(Q443:Q2443,"MANTENIMIENTO CORRECTIVO",Y443:Y2443,BDEGENER[[#This Row],[SERIE]])</f>
        <v>2</v>
      </c>
      <c r="AW443" s="683">
        <f>COUNTIFS(Q443:Q2443,"MANTENIMIENTO PREVENTIVO",Y443:Y2443,BDEGENER[[#This Row],[SERIE]])</f>
        <v>6</v>
      </c>
      <c r="AX44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43" s="683">
        <f>COUNTIFS(BDEGENER[SERIE],BDEGENER[[#This Row],[SERIE]],BDEGENER[TIPO DE SERVICIO],"MANTENIMIENTO PREVENTIVO")</f>
        <v>11</v>
      </c>
      <c r="AZ443" s="683" t="str">
        <f>CONCATENATE("MANTENIMIENTO PREVENTIVO N°",BDEGENER[[#This Row],[GA1]])</f>
        <v>MANTENIMIENTO PREVENTIVO N°11</v>
      </c>
      <c r="BA443" s="683" t="str">
        <f>IF(BDEGENER[[#This Row],[SERVICIO]]=BDEGENER[[#This Row],[GA2]],BDEGENER[[#This Row],[HORAS]],"0")</f>
        <v>0</v>
      </c>
      <c r="BB443" s="683">
        <f>SUMIF(BDEGENER[SERIE],BDEGENER[[#This Row],[SERIE]],BDEGENER[GA3])</f>
        <v>5881.6</v>
      </c>
      <c r="BC443" s="683" t="str">
        <f>CONCATENATE("MANT",COUNTIF($Y$7:Y443,Y443))</f>
        <v>MANT8</v>
      </c>
      <c r="BD443" s="683" t="str">
        <f>CONCATENATE(BDEGENER[[#This Row],[SERIE]],BDEGENER[[#This Row],[GA5]])</f>
        <v>3003415539MANT8</v>
      </c>
      <c r="BE443" s="683" t="str">
        <f>CONCATENATE(BDEGENER[[#This Row],[CODIGO PATRIMONIAL]],BDEGENER[[#This Row],[GA5]])</f>
        <v>SUR-GEG-0004MANT8</v>
      </c>
      <c r="BF443" s="683">
        <f>COUNTIF(BDEGENER[SERIE],BDEGENER[[#This Row],[SERIE]])</f>
        <v>16</v>
      </c>
      <c r="BG443" s="683" t="str">
        <f>CONCATENATE("F",COUNTIF($K$7:K443,K443))</f>
        <v>F2</v>
      </c>
      <c r="BH443" s="683" t="str">
        <f>CONCATENATE(BDEGENER[[#This Row],[FECHA DE SERVICIO]],BDEGENER[[#This Row],[N° DE REGISTROS DEL DIA]])</f>
        <v>43981F2</v>
      </c>
      <c r="BI443" s="684"/>
      <c r="BJ443" s="683" t="s">
        <v>1544</v>
      </c>
      <c r="BK443" s="736"/>
    </row>
    <row r="444" spans="2:63" ht="69" hidden="1" x14ac:dyDescent="0.3">
      <c r="B444" s="2"/>
      <c r="C444" s="2"/>
      <c r="D444" s="2"/>
      <c r="E444" s="2"/>
      <c r="F444" s="2"/>
      <c r="G444" s="2"/>
      <c r="H444" s="2"/>
      <c r="I444" s="2"/>
      <c r="J444" s="685"/>
      <c r="K444" s="682">
        <v>43981</v>
      </c>
      <c r="L444" s="683" t="s">
        <v>561</v>
      </c>
      <c r="M444" s="683" t="s">
        <v>582</v>
      </c>
      <c r="N444" s="683" t="s">
        <v>578</v>
      </c>
      <c r="O444" s="683"/>
      <c r="P444" s="683"/>
      <c r="Q444" s="683" t="s">
        <v>108</v>
      </c>
      <c r="R444" s="683" t="s">
        <v>2561</v>
      </c>
      <c r="S444" s="686" t="s">
        <v>2562</v>
      </c>
      <c r="T444" s="683" t="s">
        <v>2563</v>
      </c>
      <c r="U444" s="683"/>
      <c r="V444" s="683" t="s">
        <v>149</v>
      </c>
      <c r="W444" s="683" t="s">
        <v>913</v>
      </c>
      <c r="X444" s="691" t="s">
        <v>918</v>
      </c>
      <c r="Y444" s="687">
        <v>3003415544</v>
      </c>
      <c r="Z444" s="692" t="s">
        <v>2601</v>
      </c>
      <c r="AA444" s="683" t="s">
        <v>33</v>
      </c>
      <c r="AB444" s="683" t="s">
        <v>217</v>
      </c>
      <c r="AC444" s="683" t="s">
        <v>749</v>
      </c>
      <c r="AD444" s="683" t="s">
        <v>1123</v>
      </c>
      <c r="AE444" s="683">
        <v>60.1</v>
      </c>
      <c r="AF444" s="684">
        <v>4429</v>
      </c>
      <c r="AG444" s="683" t="s">
        <v>243</v>
      </c>
      <c r="AH444" s="683"/>
      <c r="AI444" s="683" t="s">
        <v>33</v>
      </c>
      <c r="AJ444" s="683"/>
      <c r="AK444" s="683"/>
      <c r="AL444" s="683"/>
      <c r="AM444" s="683" t="s">
        <v>2444</v>
      </c>
      <c r="AN444" s="683" t="s">
        <v>2564</v>
      </c>
      <c r="AO444" s="683"/>
      <c r="AP444" s="683" t="s">
        <v>240</v>
      </c>
      <c r="AQ444" s="688" t="str">
        <f>CONCATENATE("REG-",BDEGENER[[#This Row],[FECHA DE SERVICIO]],"-",BDEGENER[[#This Row],[SERIE]],"-",BDEGENER[[#This Row],[HORAS]])</f>
        <v>REG-43981-3003415544-4429</v>
      </c>
      <c r="AR444" s="683" t="str">
        <f>CONCATENATE("MARCA: ",BDEGENER[[#This Row],[MARCA]],"
 MODELO: ",BDEGENER[[#This Row],[MODELO]])</f>
        <v>MARCA: GENERAC
 MODELO: RG022</v>
      </c>
      <c r="AS444" s="683" t="str">
        <f>CONCATENATE("MARCA: ",BDEGENER[[#This Row],[MARCA DE MOTOR]],"
SERIE: ",BDEGENER[[#This Row],[SERIE DE MOTOR]])</f>
        <v xml:space="preserve">MARCA: GENERAC
SERIE: </v>
      </c>
      <c r="AT444" s="683" t="str">
        <f>CONCATENATE("MARCA: ",BDEGENER[[#This Row],[MARCA ALTERNADOR ]],"
SERIE: ",BDEGENER[[#This Row],[SERIE DE ALTERNADOR]])</f>
        <v xml:space="preserve">MARCA: 
SERIE: </v>
      </c>
      <c r="AU444" s="683" t="str">
        <f>CONCATENATE("HORAS: ",BDEGENER[[#This Row],[HORAS]],"
KW-HR: ",BDEGENER[[#This Row],[KW-HORA]],"
VOLT.BATERIA: ",BDEGENER[[#This Row],[VOLTAJE DE BATERIA]],"
TEMPERATURA: ",BDEGENER[[#This Row],[TEMPERATURA DE AGUA]],"
PRES. ACEITE: ",BDEGENER[[#This Row],[PRESION DE ACEITE]])</f>
        <v xml:space="preserve">HORAS: 4429
KW-HR: 
VOLT.BATERIA: 12.7 V
TEMPERATURA: 85 °C
PRES. ACEITE: </v>
      </c>
      <c r="AV444" s="683">
        <f>COUNTIFS(Q444:Q2444,"MANTENIMIENTO CORRECTIVO",Y444:Y2444,BDEGENER[[#This Row],[SERIE]])</f>
        <v>0</v>
      </c>
      <c r="AW444" s="683">
        <f>COUNTIFS(Q444:Q2444,"MANTENIMIENTO PREVENTIVO",Y444:Y2444,BDEGENER[[#This Row],[SERIE]])</f>
        <v>5</v>
      </c>
      <c r="AX44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44" s="683">
        <f>COUNTIFS(BDEGENER[SERIE],BDEGENER[[#This Row],[SERIE]],BDEGENER[TIPO DE SERVICIO],"MANTENIMIENTO PREVENTIVO")</f>
        <v>9</v>
      </c>
      <c r="AZ444" s="683" t="str">
        <f>CONCATENATE("MANTENIMIENTO PREVENTIVO N°",BDEGENER[[#This Row],[GA1]])</f>
        <v>MANTENIMIENTO PREVENTIVO N°9</v>
      </c>
      <c r="BA444" s="683" t="str">
        <f>IF(BDEGENER[[#This Row],[SERVICIO]]=BDEGENER[[#This Row],[GA2]],BDEGENER[[#This Row],[HORAS]],"0")</f>
        <v>0</v>
      </c>
      <c r="BB444" s="683">
        <f>SUMIF(BDEGENER[SERIE],BDEGENER[[#This Row],[SERIE]],BDEGENER[GA3])</f>
        <v>5449.4</v>
      </c>
      <c r="BC444" s="683" t="str">
        <f>CONCATENATE("MANT",COUNTIF($Y$7:Y444,Y444))</f>
        <v>MANT8</v>
      </c>
      <c r="BD444" s="683" t="str">
        <f>CONCATENATE(BDEGENER[[#This Row],[SERIE]],BDEGENER[[#This Row],[GA5]])</f>
        <v>3003415544MANT8</v>
      </c>
      <c r="BE444" s="683" t="str">
        <f>CONCATENATE(BDEGENER[[#This Row],[CODIGO PATRIMONIAL]],BDEGENER[[#This Row],[GA5]])</f>
        <v>SUR-GEG-0005MANT8</v>
      </c>
      <c r="BF444" s="683">
        <f>COUNTIF(BDEGENER[SERIE],BDEGENER[[#This Row],[SERIE]])</f>
        <v>13</v>
      </c>
      <c r="BG444" s="683" t="str">
        <f>CONCATENATE("F",COUNTIF($K$7:K444,K444))</f>
        <v>F3</v>
      </c>
      <c r="BH444" s="683" t="str">
        <f>CONCATENATE(BDEGENER[[#This Row],[FECHA DE SERVICIO]],BDEGENER[[#This Row],[N° DE REGISTROS DEL DIA]])</f>
        <v>43981F3</v>
      </c>
      <c r="BI444" s="684"/>
      <c r="BJ444" s="683" t="s">
        <v>1544</v>
      </c>
      <c r="BK444" s="736"/>
    </row>
    <row r="445" spans="2:63" ht="69" hidden="1" x14ac:dyDescent="0.3">
      <c r="B445" s="2"/>
      <c r="C445" s="2"/>
      <c r="D445" s="2"/>
      <c r="E445" s="2"/>
      <c r="F445" s="2"/>
      <c r="G445" s="2"/>
      <c r="H445" s="2"/>
      <c r="I445" s="2"/>
      <c r="J445" s="685"/>
      <c r="K445" s="682">
        <v>43981</v>
      </c>
      <c r="L445" s="683" t="s">
        <v>561</v>
      </c>
      <c r="M445" s="683" t="s">
        <v>573</v>
      </c>
      <c r="N445" s="683" t="s">
        <v>574</v>
      </c>
      <c r="O445" s="683"/>
      <c r="P445" s="683"/>
      <c r="Q445" s="683" t="s">
        <v>108</v>
      </c>
      <c r="R445" s="683" t="s">
        <v>2510</v>
      </c>
      <c r="S445" s="686" t="s">
        <v>2511</v>
      </c>
      <c r="T445" s="683" t="s">
        <v>2512</v>
      </c>
      <c r="U445" s="683"/>
      <c r="V445" s="683" t="s">
        <v>149</v>
      </c>
      <c r="W445" s="683" t="s">
        <v>913</v>
      </c>
      <c r="X445" s="691" t="s">
        <v>918</v>
      </c>
      <c r="Y445" s="687">
        <v>3004555915</v>
      </c>
      <c r="Z445" s="692" t="s">
        <v>2610</v>
      </c>
      <c r="AA445" s="683" t="s">
        <v>33</v>
      </c>
      <c r="AB445" s="683" t="s">
        <v>217</v>
      </c>
      <c r="AC445" s="683" t="s">
        <v>749</v>
      </c>
      <c r="AD445" s="683" t="s">
        <v>2508</v>
      </c>
      <c r="AE445" s="683">
        <v>60.2</v>
      </c>
      <c r="AF445" s="684">
        <v>2263.4</v>
      </c>
      <c r="AG445" s="683" t="s">
        <v>243</v>
      </c>
      <c r="AH445" s="683"/>
      <c r="AI445" s="683"/>
      <c r="AJ445" s="683"/>
      <c r="AK445" s="683"/>
      <c r="AL445" s="683"/>
      <c r="AM445" s="683" t="s">
        <v>2449</v>
      </c>
      <c r="AN445" s="683" t="s">
        <v>2509</v>
      </c>
      <c r="AO445" s="683"/>
      <c r="AP445" s="683" t="s">
        <v>240</v>
      </c>
      <c r="AQ445" s="688" t="str">
        <f>CONCATENATE("REG-",BDEGENER[[#This Row],[FECHA DE SERVICIO]],"-",BDEGENER[[#This Row],[SERIE]],"-",BDEGENER[[#This Row],[HORAS]])</f>
        <v>REG-43981-3004555915-2263,4</v>
      </c>
      <c r="AR445" s="683" t="str">
        <f>CONCATENATE("MARCA: ",BDEGENER[[#This Row],[MARCA]],"
 MODELO: ",BDEGENER[[#This Row],[MODELO]])</f>
        <v>MARCA: GENERAC
 MODELO: RG022</v>
      </c>
      <c r="AS445" s="683" t="str">
        <f>CONCATENATE("MARCA: ",BDEGENER[[#This Row],[MARCA DE MOTOR]],"
SERIE: ",BDEGENER[[#This Row],[SERIE DE MOTOR]])</f>
        <v xml:space="preserve">MARCA: 
SERIE: </v>
      </c>
      <c r="AT445" s="683" t="str">
        <f>CONCATENATE("MARCA: ",BDEGENER[[#This Row],[MARCA ALTERNADOR ]],"
SERIE: ",BDEGENER[[#This Row],[SERIE DE ALTERNADOR]])</f>
        <v xml:space="preserve">MARCA: 
SERIE: </v>
      </c>
      <c r="AU445" s="683" t="str">
        <f>CONCATENATE("HORAS: ",BDEGENER[[#This Row],[HORAS]],"
KW-HR: ",BDEGENER[[#This Row],[KW-HORA]],"
VOLT.BATERIA: ",BDEGENER[[#This Row],[VOLTAJE DE BATERIA]],"
TEMPERATURA: ",BDEGENER[[#This Row],[TEMPERATURA DE AGUA]],"
PRES. ACEITE: ",BDEGENER[[#This Row],[PRESION DE ACEITE]])</f>
        <v xml:space="preserve">HORAS: 2263,4
KW-HR: 
VOLT.BATERIA: 12.75 V
TEMPERATURA: 80 °C
PRES. ACEITE: </v>
      </c>
      <c r="AV445" s="761">
        <f>COUNTIFS(Q445:Q2445,"MANTENIMIENTO CORRECTIVO",Y445:Y2445,BDEGENER[[#This Row],[SERIE]])</f>
        <v>0</v>
      </c>
      <c r="AW445" s="761">
        <f>COUNTIFS(Q445:Q2445,"MANTENIMIENTO PREVENTIVO",Y445:Y2445,BDEGENER[[#This Row],[SERIE]])</f>
        <v>3</v>
      </c>
      <c r="AX44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45" s="683">
        <f>COUNTIFS(BDEGENER[SERIE],BDEGENER[[#This Row],[SERIE]],BDEGENER[TIPO DE SERVICIO],"MANTENIMIENTO PREVENTIVO")</f>
        <v>7</v>
      </c>
      <c r="AZ445" s="683" t="str">
        <f>CONCATENATE("MANTENIMIENTO PREVENTIVO N°",BDEGENER[[#This Row],[GA1]])</f>
        <v>MANTENIMIENTO PREVENTIVO N°7</v>
      </c>
      <c r="BA445" s="683" t="str">
        <f>IF(BDEGENER[[#This Row],[SERVICIO]]=BDEGENER[[#This Row],[GA2]],BDEGENER[[#This Row],[HORAS]],"0")</f>
        <v>0</v>
      </c>
      <c r="BB445" s="683">
        <f>SUMIF(BDEGENER[SERIE],BDEGENER[[#This Row],[SERIE]],BDEGENER[GA3])</f>
        <v>3379.4</v>
      </c>
      <c r="BC445" s="761" t="str">
        <f>CONCATENATE("MANT",COUNTIF($Y$7:Y445,Y445))</f>
        <v>MANT6</v>
      </c>
      <c r="BD445" s="683" t="str">
        <f>CONCATENATE(BDEGENER[[#This Row],[SERIE]],BDEGENER[[#This Row],[GA5]])</f>
        <v>3004555915MANT6</v>
      </c>
      <c r="BE445" s="683" t="str">
        <f>CONCATENATE(BDEGENER[[#This Row],[CODIGO PATRIMONIAL]],BDEGENER[[#This Row],[GA5]])</f>
        <v>SUR-GEG-0022MANT6</v>
      </c>
      <c r="BF445" s="683">
        <f>COUNTIF(BDEGENER[SERIE],BDEGENER[[#This Row],[SERIE]])</f>
        <v>9</v>
      </c>
      <c r="BG445" s="761" t="str">
        <f>CONCATENATE("F",COUNTIF($K$7:K445,K445))</f>
        <v>F4</v>
      </c>
      <c r="BH445" s="683" t="str">
        <f>CONCATENATE(BDEGENER[[#This Row],[FECHA DE SERVICIO]],BDEGENER[[#This Row],[N° DE REGISTROS DEL DIA]])</f>
        <v>43981F4</v>
      </c>
      <c r="BI445" s="684"/>
      <c r="BJ445" s="683" t="s">
        <v>1544</v>
      </c>
      <c r="BK445" s="736"/>
    </row>
    <row r="446" spans="2:63" ht="69" hidden="1" x14ac:dyDescent="0.3">
      <c r="B446" s="2"/>
      <c r="C446" s="2"/>
      <c r="D446" s="2"/>
      <c r="E446" s="2"/>
      <c r="F446" s="2"/>
      <c r="G446" s="2"/>
      <c r="H446" s="2"/>
      <c r="I446" s="2"/>
      <c r="J446" s="685"/>
      <c r="K446" s="682">
        <v>43981</v>
      </c>
      <c r="L446" s="683" t="s">
        <v>561</v>
      </c>
      <c r="M446" s="683" t="s">
        <v>565</v>
      </c>
      <c r="N446" s="683" t="s">
        <v>566</v>
      </c>
      <c r="O446" s="683"/>
      <c r="P446" s="683"/>
      <c r="Q446" s="683" t="s">
        <v>108</v>
      </c>
      <c r="R446" s="683" t="s">
        <v>2505</v>
      </c>
      <c r="S446" s="686" t="s">
        <v>2506</v>
      </c>
      <c r="T446" s="683" t="s">
        <v>2507</v>
      </c>
      <c r="U446" s="683"/>
      <c r="V446" s="683" t="s">
        <v>149</v>
      </c>
      <c r="W446" s="683" t="s">
        <v>913</v>
      </c>
      <c r="X446" s="691" t="s">
        <v>918</v>
      </c>
      <c r="Y446" s="687">
        <v>3004370193</v>
      </c>
      <c r="Z446" s="692" t="s">
        <v>2599</v>
      </c>
      <c r="AA446" s="683" t="s">
        <v>33</v>
      </c>
      <c r="AB446" s="683" t="s">
        <v>217</v>
      </c>
      <c r="AC446" s="683" t="s">
        <v>749</v>
      </c>
      <c r="AD446" s="683" t="s">
        <v>2508</v>
      </c>
      <c r="AE446" s="683">
        <v>60.2</v>
      </c>
      <c r="AF446" s="684">
        <v>2402.6999999999998</v>
      </c>
      <c r="AG446" s="683" t="s">
        <v>243</v>
      </c>
      <c r="AH446" s="683"/>
      <c r="AI446" s="683"/>
      <c r="AJ446" s="683"/>
      <c r="AK446" s="683"/>
      <c r="AL446" s="683"/>
      <c r="AM446" s="683" t="s">
        <v>2449</v>
      </c>
      <c r="AN446" s="683" t="s">
        <v>2509</v>
      </c>
      <c r="AO446" s="683"/>
      <c r="AP446" s="683" t="s">
        <v>240</v>
      </c>
      <c r="AQ446" s="688" t="str">
        <f>CONCATENATE("REG-",BDEGENER[[#This Row],[FECHA DE SERVICIO]],"-",BDEGENER[[#This Row],[SERIE]],"-",BDEGENER[[#This Row],[HORAS]])</f>
        <v>REG-43981-3004370193-2402,7</v>
      </c>
      <c r="AR446" s="683" t="str">
        <f>CONCATENATE("MARCA: ",BDEGENER[[#This Row],[MARCA]],"
 MODELO: ",BDEGENER[[#This Row],[MODELO]])</f>
        <v>MARCA: GENERAC
 MODELO: RG022</v>
      </c>
      <c r="AS446" s="683" t="str">
        <f>CONCATENATE("MARCA: ",BDEGENER[[#This Row],[MARCA DE MOTOR]],"
SERIE: ",BDEGENER[[#This Row],[SERIE DE MOTOR]])</f>
        <v xml:space="preserve">MARCA: 
SERIE: </v>
      </c>
      <c r="AT446" s="683" t="str">
        <f>CONCATENATE("MARCA: ",BDEGENER[[#This Row],[MARCA ALTERNADOR ]],"
SERIE: ",BDEGENER[[#This Row],[SERIE DE ALTERNADOR]])</f>
        <v xml:space="preserve">MARCA: 
SERIE: </v>
      </c>
      <c r="AU446" s="683" t="str">
        <f>CONCATENATE("HORAS: ",BDEGENER[[#This Row],[HORAS]],"
KW-HR: ",BDEGENER[[#This Row],[KW-HORA]],"
VOLT.BATERIA: ",BDEGENER[[#This Row],[VOLTAJE DE BATERIA]],"
TEMPERATURA: ",BDEGENER[[#This Row],[TEMPERATURA DE AGUA]],"
PRES. ACEITE: ",BDEGENER[[#This Row],[PRESION DE ACEITE]])</f>
        <v xml:space="preserve">HORAS: 2402,7
KW-HR: 
VOLT.BATERIA: 12.75 V
TEMPERATURA: 80 °C
PRES. ACEITE: </v>
      </c>
      <c r="AV446" s="683">
        <f>COUNTIFS(Q446:Q2446,"MANTENIMIENTO CORRECTIVO",Y446:Y2446,BDEGENER[[#This Row],[SERIE]])</f>
        <v>2</v>
      </c>
      <c r="AW446" s="683">
        <f>COUNTIFS(Q446:Q2446,"MANTENIMIENTO PREVENTIVO",Y446:Y2446,BDEGENER[[#This Row],[SERIE]])</f>
        <v>3</v>
      </c>
      <c r="AX44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46" s="683">
        <f>COUNTIFS(BDEGENER[SERIE],BDEGENER[[#This Row],[SERIE]],BDEGENER[TIPO DE SERVICIO],"MANTENIMIENTO PREVENTIVO")</f>
        <v>9</v>
      </c>
      <c r="AZ446" s="683" t="str">
        <f>CONCATENATE("MANTENIMIENTO PREVENTIVO N°",BDEGENER[[#This Row],[GA1]])</f>
        <v>MANTENIMIENTO PREVENTIVO N°9</v>
      </c>
      <c r="BA446" s="683" t="str">
        <f>IF(BDEGENER[[#This Row],[SERVICIO]]=BDEGENER[[#This Row],[GA2]],BDEGENER[[#This Row],[HORAS]],"0")</f>
        <v>0</v>
      </c>
      <c r="BB446" s="683">
        <f>SUMIF(BDEGENER[SERIE],BDEGENER[[#This Row],[SERIE]],BDEGENER[GA3])</f>
        <v>3580.3</v>
      </c>
      <c r="BC446" s="683" t="str">
        <f>CONCATENATE("MANT",COUNTIF($Y$7:Y446,Y446))</f>
        <v>MANT10</v>
      </c>
      <c r="BD446" s="683" t="str">
        <f>CONCATENATE(BDEGENER[[#This Row],[SERIE]],BDEGENER[[#This Row],[GA5]])</f>
        <v>3004370193MANT10</v>
      </c>
      <c r="BE446" s="683" t="str">
        <f>CONCATENATE(BDEGENER[[#This Row],[CODIGO PATRIMONIAL]],BDEGENER[[#This Row],[GA5]])</f>
        <v>SUR-GEG-0003MANT10</v>
      </c>
      <c r="BF446" s="683">
        <f>COUNTIF(BDEGENER[SERIE],BDEGENER[[#This Row],[SERIE]])</f>
        <v>16</v>
      </c>
      <c r="BG446" s="683" t="str">
        <f>CONCATENATE("F",COUNTIF($K$7:K446,K446))</f>
        <v>F5</v>
      </c>
      <c r="BH446" s="683" t="str">
        <f>CONCATENATE(BDEGENER[[#This Row],[FECHA DE SERVICIO]],BDEGENER[[#This Row],[N° DE REGISTROS DEL DIA]])</f>
        <v>43981F5</v>
      </c>
      <c r="BI446" s="684"/>
      <c r="BJ446" s="683" t="s">
        <v>1544</v>
      </c>
      <c r="BK446" s="736"/>
    </row>
    <row r="447" spans="2:63" ht="69" hidden="1" x14ac:dyDescent="0.3">
      <c r="B447" s="2"/>
      <c r="C447" s="2"/>
      <c r="D447" s="2"/>
      <c r="E447" s="2"/>
      <c r="F447" s="2"/>
      <c r="G447" s="2"/>
      <c r="H447" s="2"/>
      <c r="I447" s="2"/>
      <c r="J447" s="685"/>
      <c r="K447" s="682">
        <v>43981</v>
      </c>
      <c r="L447" s="683" t="s">
        <v>561</v>
      </c>
      <c r="M447" s="683" t="s">
        <v>562</v>
      </c>
      <c r="N447" s="683" t="s">
        <v>563</v>
      </c>
      <c r="O447" s="683"/>
      <c r="P447" s="683"/>
      <c r="Q447" s="683" t="s">
        <v>108</v>
      </c>
      <c r="R447" s="683" t="s">
        <v>2500</v>
      </c>
      <c r="S447" s="686" t="s">
        <v>2501</v>
      </c>
      <c r="T447" s="683" t="s">
        <v>2502</v>
      </c>
      <c r="U447" s="683"/>
      <c r="V447" s="683" t="s">
        <v>149</v>
      </c>
      <c r="W447" s="683" t="s">
        <v>913</v>
      </c>
      <c r="X447" s="691" t="s">
        <v>918</v>
      </c>
      <c r="Y447" s="687">
        <v>3004555914</v>
      </c>
      <c r="Z447" s="692" t="s">
        <v>2611</v>
      </c>
      <c r="AA447" s="683" t="s">
        <v>33</v>
      </c>
      <c r="AB447" s="683" t="s">
        <v>217</v>
      </c>
      <c r="AC447" s="683" t="s">
        <v>749</v>
      </c>
      <c r="AD447" s="683" t="s">
        <v>1123</v>
      </c>
      <c r="AE447" s="683">
        <v>60.4</v>
      </c>
      <c r="AF447" s="684">
        <v>2061.8000000000002</v>
      </c>
      <c r="AG447" s="683" t="s">
        <v>243</v>
      </c>
      <c r="AH447" s="683"/>
      <c r="AI447" s="683"/>
      <c r="AJ447" s="683"/>
      <c r="AK447" s="683"/>
      <c r="AL447" s="683"/>
      <c r="AM447" s="683" t="s">
        <v>2503</v>
      </c>
      <c r="AN447" s="683" t="s">
        <v>2504</v>
      </c>
      <c r="AO447" s="683"/>
      <c r="AP447" s="683" t="s">
        <v>240</v>
      </c>
      <c r="AQ447" s="688" t="str">
        <f>CONCATENATE("REG-",BDEGENER[[#This Row],[FECHA DE SERVICIO]],"-",BDEGENER[[#This Row],[SERIE]],"-",BDEGENER[[#This Row],[HORAS]])</f>
        <v>REG-43981-3004555914-2061,8</v>
      </c>
      <c r="AR447" s="683" t="str">
        <f>CONCATENATE("MARCA: ",BDEGENER[[#This Row],[MARCA]],"
 MODELO: ",BDEGENER[[#This Row],[MODELO]])</f>
        <v>MARCA: GENERAC
 MODELO: RG022</v>
      </c>
      <c r="AS447" s="683" t="str">
        <f>CONCATENATE("MARCA: ",BDEGENER[[#This Row],[MARCA DE MOTOR]],"
SERIE: ",BDEGENER[[#This Row],[SERIE DE MOTOR]])</f>
        <v xml:space="preserve">MARCA: 
SERIE: </v>
      </c>
      <c r="AT447" s="683" t="str">
        <f>CONCATENATE("MARCA: ",BDEGENER[[#This Row],[MARCA ALTERNADOR ]],"
SERIE: ",BDEGENER[[#This Row],[SERIE DE ALTERNADOR]])</f>
        <v xml:space="preserve">MARCA: 
SERIE: </v>
      </c>
      <c r="AU447" s="683" t="str">
        <f>CONCATENATE("HORAS: ",BDEGENER[[#This Row],[HORAS]],"
KW-HR: ",BDEGENER[[#This Row],[KW-HORA]],"
VOLT.BATERIA: ",BDEGENER[[#This Row],[VOLTAJE DE BATERIA]],"
TEMPERATURA: ",BDEGENER[[#This Row],[TEMPERATURA DE AGUA]],"
PRES. ACEITE: ",BDEGENER[[#This Row],[PRESION DE ACEITE]])</f>
        <v xml:space="preserve">HORAS: 2061,8
KW-HR: 
VOLT.BATERIA: 12.6 V
TEMPERATURA: 86 °C
PRES. ACEITE: </v>
      </c>
      <c r="AV447" s="683">
        <f>COUNTIFS(Q447:Q2447,"MANTENIMIENTO CORRECTIVO",Y447:Y2447,BDEGENER[[#This Row],[SERIE]])</f>
        <v>1</v>
      </c>
      <c r="AW447" s="683">
        <f>COUNTIFS(Q447:Q2447,"MANTENIMIENTO PREVENTIVO",Y447:Y2447,BDEGENER[[#This Row],[SERIE]])</f>
        <v>1</v>
      </c>
      <c r="AX44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47" s="683">
        <f>COUNTIFS(BDEGENER[SERIE],BDEGENER[[#This Row],[SERIE]],BDEGENER[TIPO DE SERVICIO],"MANTENIMIENTO PREVENTIVO")</f>
        <v>5</v>
      </c>
      <c r="AZ447" s="683" t="str">
        <f>CONCATENATE("MANTENIMIENTO PREVENTIVO N°",BDEGENER[[#This Row],[GA1]])</f>
        <v>MANTENIMIENTO PREVENTIVO N°5</v>
      </c>
      <c r="BA447" s="683" t="str">
        <f>IF(BDEGENER[[#This Row],[SERVICIO]]=BDEGENER[[#This Row],[GA2]],BDEGENER[[#This Row],[HORAS]],"0")</f>
        <v>0</v>
      </c>
      <c r="BB447" s="683">
        <f>SUMIF(BDEGENER[SERIE],BDEGENER[[#This Row],[SERIE]],BDEGENER[GA3])</f>
        <v>2894.4</v>
      </c>
      <c r="BC447" s="683" t="str">
        <f>CONCATENATE("MANT",COUNTIF($Y$7:Y447,Y447))</f>
        <v>MANT6</v>
      </c>
      <c r="BD447" s="683" t="str">
        <f>CONCATENATE(BDEGENER[[#This Row],[SERIE]],BDEGENER[[#This Row],[GA5]])</f>
        <v>3004555914MANT6</v>
      </c>
      <c r="BE447" s="683" t="str">
        <f>CONCATENATE(BDEGENER[[#This Row],[CODIGO PATRIMONIAL]],BDEGENER[[#This Row],[GA5]])</f>
        <v>SUR-GEG-0023MANT6</v>
      </c>
      <c r="BF447" s="683">
        <f>COUNTIF(BDEGENER[SERIE],BDEGENER[[#This Row],[SERIE]])</f>
        <v>11</v>
      </c>
      <c r="BG447" s="683" t="str">
        <f>CONCATENATE("F",COUNTIF($K$7:K447,K447))</f>
        <v>F6</v>
      </c>
      <c r="BH447" s="683" t="str">
        <f>CONCATENATE(BDEGENER[[#This Row],[FECHA DE SERVICIO]],BDEGENER[[#This Row],[N° DE REGISTROS DEL DIA]])</f>
        <v>43981F6</v>
      </c>
      <c r="BI447" s="684"/>
      <c r="BJ447" s="683" t="s">
        <v>1544</v>
      </c>
      <c r="BK447" s="736"/>
    </row>
    <row r="448" spans="2:63" ht="69" hidden="1" x14ac:dyDescent="0.3">
      <c r="B448" s="2"/>
      <c r="C448" s="2"/>
      <c r="D448" s="2"/>
      <c r="E448" s="2"/>
      <c r="F448" s="2"/>
      <c r="G448" s="2"/>
      <c r="H448" s="2"/>
      <c r="I448" s="2"/>
      <c r="J448" s="685"/>
      <c r="K448" s="682">
        <v>43981</v>
      </c>
      <c r="L448" s="683" t="s">
        <v>181</v>
      </c>
      <c r="M448" s="683" t="s">
        <v>571</v>
      </c>
      <c r="N448" s="683" t="s">
        <v>572</v>
      </c>
      <c r="O448" s="683"/>
      <c r="P448" s="683"/>
      <c r="Q448" s="683" t="s">
        <v>108</v>
      </c>
      <c r="R448" s="683" t="s">
        <v>2497</v>
      </c>
      <c r="S448" s="686" t="s">
        <v>2498</v>
      </c>
      <c r="T448" s="683" t="s">
        <v>2499</v>
      </c>
      <c r="U448" s="683"/>
      <c r="V448" s="683" t="s">
        <v>149</v>
      </c>
      <c r="W448" s="683" t="s">
        <v>913</v>
      </c>
      <c r="X448" s="691" t="s">
        <v>918</v>
      </c>
      <c r="Y448" s="687">
        <v>3004370203</v>
      </c>
      <c r="Z448" s="767" t="s">
        <v>2598</v>
      </c>
      <c r="AA448" s="683" t="s">
        <v>33</v>
      </c>
      <c r="AB448" s="683" t="s">
        <v>217</v>
      </c>
      <c r="AC448" s="683" t="s">
        <v>749</v>
      </c>
      <c r="AD448" s="683"/>
      <c r="AE448" s="683"/>
      <c r="AF448" s="684">
        <v>1923.3</v>
      </c>
      <c r="AG448" s="683" t="s">
        <v>243</v>
      </c>
      <c r="AH448" s="683"/>
      <c r="AI448" s="683"/>
      <c r="AJ448" s="683"/>
      <c r="AK448" s="683"/>
      <c r="AL448" s="683"/>
      <c r="AM448" s="683" t="s">
        <v>2462</v>
      </c>
      <c r="AN448" s="683"/>
      <c r="AO448" s="683"/>
      <c r="AP448" s="683" t="s">
        <v>557</v>
      </c>
      <c r="AQ448" s="688" t="str">
        <f>CONCATENATE("REG-",BDEGENER[[#This Row],[FECHA DE SERVICIO]],"-",BDEGENER[[#This Row],[SERIE]],"-",BDEGENER[[#This Row],[HORAS]])</f>
        <v>REG-43981-3004370203-1923,3</v>
      </c>
      <c r="AR448" s="683" t="str">
        <f>CONCATENATE("MARCA: ",BDEGENER[[#This Row],[MARCA]],"
 MODELO: ",BDEGENER[[#This Row],[MODELO]])</f>
        <v>MARCA: GENERAC
 MODELO: RG022</v>
      </c>
      <c r="AS448" s="683" t="str">
        <f>CONCATENATE("MARCA: ",BDEGENER[[#This Row],[MARCA DE MOTOR]],"
SERIE: ",BDEGENER[[#This Row],[SERIE DE MOTOR]])</f>
        <v xml:space="preserve">MARCA: 
SERIE: </v>
      </c>
      <c r="AT448" s="683" t="str">
        <f>CONCATENATE("MARCA: ",BDEGENER[[#This Row],[MARCA ALTERNADOR ]],"
SERIE: ",BDEGENER[[#This Row],[SERIE DE ALTERNADOR]])</f>
        <v xml:space="preserve">MARCA: 
SERIE: </v>
      </c>
      <c r="AU448" s="683" t="str">
        <f>CONCATENATE("HORAS: ",BDEGENER[[#This Row],[HORAS]],"
KW-HR: ",BDEGENER[[#This Row],[KW-HORA]],"
VOLT.BATERIA: ",BDEGENER[[#This Row],[VOLTAJE DE BATERIA]],"
TEMPERATURA: ",BDEGENER[[#This Row],[TEMPERATURA DE AGUA]],"
PRES. ACEITE: ",BDEGENER[[#This Row],[PRESION DE ACEITE]])</f>
        <v xml:space="preserve">HORAS: 1923,3
KW-HR: 
VOLT.BATERIA: 12.5 V
TEMPERATURA: 
PRES. ACEITE: </v>
      </c>
      <c r="AV448" s="761">
        <f>COUNTIFS(Q448:Q2448,"MANTENIMIENTO CORRECTIVO",Y448:Y2448,BDEGENER[[#This Row],[SERIE]])</f>
        <v>1</v>
      </c>
      <c r="AW448" s="761">
        <f>COUNTIFS(Q448:Q2448,"MANTENIMIENTO PREVENTIVO",Y448:Y2448,BDEGENER[[#This Row],[SERIE]])</f>
        <v>3</v>
      </c>
      <c r="AX44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48" s="683">
        <f>COUNTIFS(BDEGENER[SERIE],BDEGENER[[#This Row],[SERIE]],BDEGENER[TIPO DE SERVICIO],"MANTENIMIENTO PREVENTIVO")</f>
        <v>6</v>
      </c>
      <c r="AZ448" s="683" t="str">
        <f>CONCATENATE("MANTENIMIENTO PREVENTIVO N°",BDEGENER[[#This Row],[GA1]])</f>
        <v>MANTENIMIENTO PREVENTIVO N°6</v>
      </c>
      <c r="BA448" s="683" t="str">
        <f>IF(BDEGENER[[#This Row],[SERVICIO]]=BDEGENER[[#This Row],[GA2]],BDEGENER[[#This Row],[HORAS]],"0")</f>
        <v>0</v>
      </c>
      <c r="BB448" s="683">
        <f>SUMIF(BDEGENER[SERIE],BDEGENER[[#This Row],[SERIE]],BDEGENER[GA3])</f>
        <v>2885.1</v>
      </c>
      <c r="BC448" s="761" t="str">
        <f>CONCATENATE("MANT",COUNTIF($Y$7:Y448,Y448))</f>
        <v>MANT9</v>
      </c>
      <c r="BD448" s="683" t="str">
        <f>CONCATENATE(BDEGENER[[#This Row],[SERIE]],BDEGENER[[#This Row],[GA5]])</f>
        <v>3004370203MANT9</v>
      </c>
      <c r="BE448" s="683" t="str">
        <f>CONCATENATE(BDEGENER[[#This Row],[CODIGO PATRIMONIAL]],BDEGENER[[#This Row],[GA5]])</f>
        <v>SUR-GEG-0002MANT9</v>
      </c>
      <c r="BF448" s="683">
        <f>COUNTIF(BDEGENER[SERIE],BDEGENER[[#This Row],[SERIE]])</f>
        <v>14</v>
      </c>
      <c r="BG448" s="761" t="str">
        <f>CONCATENATE("F",COUNTIF($K$7:K448,K448))</f>
        <v>F7</v>
      </c>
      <c r="BH448" s="683" t="str">
        <f>CONCATENATE(BDEGENER[[#This Row],[FECHA DE SERVICIO]],BDEGENER[[#This Row],[N° DE REGISTROS DEL DIA]])</f>
        <v>43981F7</v>
      </c>
      <c r="BI448" s="684"/>
      <c r="BJ448" s="683" t="s">
        <v>1544</v>
      </c>
      <c r="BK448" s="736"/>
    </row>
    <row r="449" spans="2:63" ht="69" hidden="1" x14ac:dyDescent="0.3">
      <c r="B449" s="2"/>
      <c r="C449" s="2"/>
      <c r="D449" s="2"/>
      <c r="E449" s="2"/>
      <c r="F449" s="2"/>
      <c r="G449" s="2"/>
      <c r="H449" s="2"/>
      <c r="I449" s="2"/>
      <c r="J449" s="685"/>
      <c r="K449" s="682">
        <v>43981</v>
      </c>
      <c r="L449" s="683" t="s">
        <v>561</v>
      </c>
      <c r="M449" s="683" t="s">
        <v>2491</v>
      </c>
      <c r="N449" s="683" t="s">
        <v>159</v>
      </c>
      <c r="O449" s="683"/>
      <c r="P449" s="683"/>
      <c r="Q449" s="683" t="s">
        <v>108</v>
      </c>
      <c r="R449" s="683" t="s">
        <v>2494</v>
      </c>
      <c r="S449" s="686" t="s">
        <v>2495</v>
      </c>
      <c r="T449" s="683" t="s">
        <v>2496</v>
      </c>
      <c r="U449" s="683"/>
      <c r="V449" s="683" t="s">
        <v>149</v>
      </c>
      <c r="W449" s="683" t="s">
        <v>914</v>
      </c>
      <c r="X449" s="691" t="s">
        <v>918</v>
      </c>
      <c r="Y449" s="687">
        <v>3003566703</v>
      </c>
      <c r="Z449" s="692" t="s">
        <v>2615</v>
      </c>
      <c r="AA449" s="683" t="s">
        <v>33</v>
      </c>
      <c r="AB449" s="683" t="s">
        <v>34</v>
      </c>
      <c r="AC449" s="683" t="s">
        <v>230</v>
      </c>
      <c r="AD449" s="683" t="s">
        <v>2492</v>
      </c>
      <c r="AE449" s="683">
        <v>60</v>
      </c>
      <c r="AF449" s="684">
        <v>4559</v>
      </c>
      <c r="AG449" s="683" t="s">
        <v>243</v>
      </c>
      <c r="AH449" s="683" t="s">
        <v>220</v>
      </c>
      <c r="AI449" s="683" t="s">
        <v>33</v>
      </c>
      <c r="AJ449" s="683"/>
      <c r="AK449" s="683"/>
      <c r="AL449" s="683"/>
      <c r="AM449" s="683" t="s">
        <v>2472</v>
      </c>
      <c r="AN449" s="683" t="s">
        <v>1357</v>
      </c>
      <c r="AO449" s="683" t="s">
        <v>1354</v>
      </c>
      <c r="AP449" s="683" t="s">
        <v>240</v>
      </c>
      <c r="AQ449" s="688" t="str">
        <f>CONCATENATE("REG-",BDEGENER[[#This Row],[FECHA DE SERVICIO]],"-",BDEGENER[[#This Row],[SERIE]],"-",BDEGENER[[#This Row],[HORAS]])</f>
        <v>REG-43981-3003566703-4559</v>
      </c>
      <c r="AR449" s="683" t="str">
        <f>CONCATENATE("MARCA: ",BDEGENER[[#This Row],[MARCA]],"
 MODELO: ",BDEGENER[[#This Row],[MODELO]])</f>
        <v>MARCA: GENERAC
 MODELO: PG090</v>
      </c>
      <c r="AS449" s="683" t="str">
        <f>CONCATENATE("MARCA: ",BDEGENER[[#This Row],[MARCA DE MOTOR]],"
SERIE: ",BDEGENER[[#This Row],[SERIE DE MOTOR]])</f>
        <v xml:space="preserve">MARCA: GENERAC
SERIE: </v>
      </c>
      <c r="AT449" s="683" t="str">
        <f>CONCATENATE("MARCA: ",BDEGENER[[#This Row],[MARCA ALTERNADOR ]],"
SERIE: ",BDEGENER[[#This Row],[SERIE DE ALTERNADOR]])</f>
        <v xml:space="preserve">MARCA: 
SERIE: </v>
      </c>
      <c r="AU449" s="683" t="str">
        <f>CONCATENATE("HORAS: ",BDEGENER[[#This Row],[HORAS]],"
KW-HR: ",BDEGENER[[#This Row],[KW-HORA]],"
VOLT.BATERIA: ",BDEGENER[[#This Row],[VOLTAJE DE BATERIA]],"
TEMPERATURA: ",BDEGENER[[#This Row],[TEMPERATURA DE AGUA]],"
PRES. ACEITE: ",BDEGENER[[#This Row],[PRESION DE ACEITE]])</f>
        <v>HORAS: 4559
KW-HR: 37888,3
VOLT.BATERIA: 12.9 V
TEMPERATURA: 145 °F
PRES. ACEITE: 63 PSI</v>
      </c>
      <c r="AV449" s="683">
        <f>COUNTIFS(Q449:Q2449,"MANTENIMIENTO CORRECTIVO",Y449:Y2449,BDEGENER[[#This Row],[SERIE]])</f>
        <v>0</v>
      </c>
      <c r="AW449" s="683">
        <f>COUNTIFS(Q449:Q2449,"MANTENIMIENTO PREVENTIVO",Y449:Y2449,BDEGENER[[#This Row],[SERIE]])</f>
        <v>3</v>
      </c>
      <c r="AX44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49" s="683">
        <f>COUNTIFS(BDEGENER[SERIE],BDEGENER[[#This Row],[SERIE]],BDEGENER[TIPO DE SERVICIO],"MANTENIMIENTO PREVENTIVO")</f>
        <v>8</v>
      </c>
      <c r="AZ449" s="683" t="str">
        <f>CONCATENATE("MANTENIMIENTO PREVENTIVO N°",BDEGENER[[#This Row],[GA1]])</f>
        <v>MANTENIMIENTO PREVENTIVO N°8</v>
      </c>
      <c r="BA449" s="683" t="str">
        <f>IF(BDEGENER[[#This Row],[SERVICIO]]=BDEGENER[[#This Row],[GA2]],BDEGENER[[#This Row],[HORAS]],"0")</f>
        <v>0</v>
      </c>
      <c r="BB449" s="683">
        <f>SUMIF(BDEGENER[SERIE],BDEGENER[[#This Row],[SERIE]],BDEGENER[GA3])</f>
        <v>6396.5</v>
      </c>
      <c r="BC449" s="683" t="str">
        <f>CONCATENATE("MANT",COUNTIF($Y$7:Y449,Y449))</f>
        <v>MANT8</v>
      </c>
      <c r="BD449" s="683" t="str">
        <f>CONCATENATE(BDEGENER[[#This Row],[SERIE]],BDEGENER[[#This Row],[GA5]])</f>
        <v>3003566703MANT8</v>
      </c>
      <c r="BE449" s="683" t="str">
        <f>CONCATENATE(BDEGENER[[#This Row],[CODIGO PATRIMONIAL]],BDEGENER[[#This Row],[GA5]])</f>
        <v>NOR-GEG-0017MANT8</v>
      </c>
      <c r="BF449" s="683">
        <f>COUNTIF(BDEGENER[SERIE],BDEGENER[[#This Row],[SERIE]])</f>
        <v>11</v>
      </c>
      <c r="BG449" s="683" t="str">
        <f>CONCATENATE("F",COUNTIF($K$7:K449,K449))</f>
        <v>F8</v>
      </c>
      <c r="BH449" s="683" t="str">
        <f>CONCATENATE(BDEGENER[[#This Row],[FECHA DE SERVICIO]],BDEGENER[[#This Row],[N° DE REGISTROS DEL DIA]])</f>
        <v>43981F8</v>
      </c>
      <c r="BI449" s="684">
        <v>37888.300000000003</v>
      </c>
      <c r="BJ449" s="683" t="s">
        <v>1544</v>
      </c>
      <c r="BK449" s="736" t="s">
        <v>2493</v>
      </c>
    </row>
    <row r="450" spans="2:63" ht="69" hidden="1" x14ac:dyDescent="0.3">
      <c r="B450" s="2"/>
      <c r="C450" s="2"/>
      <c r="D450" s="2"/>
      <c r="E450" s="2"/>
      <c r="F450" s="2"/>
      <c r="G450" s="2"/>
      <c r="H450" s="2"/>
      <c r="I450" s="2"/>
      <c r="J450" s="685"/>
      <c r="K450" s="682">
        <v>43981</v>
      </c>
      <c r="L450" s="683" t="s">
        <v>561</v>
      </c>
      <c r="M450" s="683" t="s">
        <v>1245</v>
      </c>
      <c r="N450" s="683" t="s">
        <v>570</v>
      </c>
      <c r="O450" s="683"/>
      <c r="P450" s="683"/>
      <c r="Q450" s="683" t="s">
        <v>108</v>
      </c>
      <c r="R450" s="683" t="s">
        <v>2476</v>
      </c>
      <c r="S450" s="686" t="s">
        <v>2477</v>
      </c>
      <c r="T450" s="683" t="s">
        <v>2478</v>
      </c>
      <c r="U450" s="683"/>
      <c r="V450" s="683" t="s">
        <v>149</v>
      </c>
      <c r="W450" s="683" t="s">
        <v>913</v>
      </c>
      <c r="X450" s="691" t="s">
        <v>918</v>
      </c>
      <c r="Y450" s="687">
        <v>3004597775</v>
      </c>
      <c r="Z450" s="692" t="s">
        <v>2608</v>
      </c>
      <c r="AA450" s="683" t="s">
        <v>33</v>
      </c>
      <c r="AB450" s="683" t="s">
        <v>217</v>
      </c>
      <c r="AC450" s="683" t="s">
        <v>749</v>
      </c>
      <c r="AD450" s="683" t="s">
        <v>2443</v>
      </c>
      <c r="AE450" s="683">
        <v>60.3</v>
      </c>
      <c r="AF450" s="684">
        <v>1456.3</v>
      </c>
      <c r="AG450" s="683" t="s">
        <v>243</v>
      </c>
      <c r="AH450" s="683"/>
      <c r="AI450" s="683"/>
      <c r="AJ450" s="683"/>
      <c r="AK450" s="683"/>
      <c r="AL450" s="683"/>
      <c r="AM450" s="683" t="s">
        <v>2479</v>
      </c>
      <c r="AN450" s="683" t="s">
        <v>2333</v>
      </c>
      <c r="AO450" s="683"/>
      <c r="AP450" s="683" t="s">
        <v>240</v>
      </c>
      <c r="AQ450" s="688" t="str">
        <f>CONCATENATE("REG-",BDEGENER[[#This Row],[FECHA DE SERVICIO]],"-",BDEGENER[[#This Row],[SERIE]],"-",BDEGENER[[#This Row],[HORAS]])</f>
        <v>REG-43981-3004597775-1456,3</v>
      </c>
      <c r="AR450" s="683" t="str">
        <f>CONCATENATE("MARCA: ",BDEGENER[[#This Row],[MARCA]],"
 MODELO: ",BDEGENER[[#This Row],[MODELO]])</f>
        <v>MARCA: GENERAC
 MODELO: RG022</v>
      </c>
      <c r="AS450" s="683" t="str">
        <f>CONCATENATE("MARCA: ",BDEGENER[[#This Row],[MARCA DE MOTOR]],"
SERIE: ",BDEGENER[[#This Row],[SERIE DE MOTOR]])</f>
        <v xml:space="preserve">MARCA: 
SERIE: </v>
      </c>
      <c r="AT450" s="683" t="str">
        <f>CONCATENATE("MARCA: ",BDEGENER[[#This Row],[MARCA ALTERNADOR ]],"
SERIE: ",BDEGENER[[#This Row],[SERIE DE ALTERNADOR]])</f>
        <v xml:space="preserve">MARCA: 
SERIE: </v>
      </c>
      <c r="AU450" s="683" t="str">
        <f>CONCATENATE("HORAS: ",BDEGENER[[#This Row],[HORAS]],"
KW-HR: ",BDEGENER[[#This Row],[KW-HORA]],"
VOLT.BATERIA: ",BDEGENER[[#This Row],[VOLTAJE DE BATERIA]],"
TEMPERATURA: ",BDEGENER[[#This Row],[TEMPERATURA DE AGUA]],"
PRES. ACEITE: ",BDEGENER[[#This Row],[PRESION DE ACEITE]])</f>
        <v xml:space="preserve">HORAS: 1456,3
KW-HR: 
VOLT.BATERIA: 12.1 V
TEMPERATURA: 72 °C
PRES. ACEITE: </v>
      </c>
      <c r="AV450" s="683">
        <f>COUNTIFS(Q450:Q2450,"MANTENIMIENTO CORRECTIVO",Y450:Y2450,BDEGENER[[#This Row],[SERIE]])</f>
        <v>0</v>
      </c>
      <c r="AW450" s="683">
        <f>COUNTIFS(Q450:Q2450,"MANTENIMIENTO PREVENTIVO",Y450:Y2450,BDEGENER[[#This Row],[SERIE]])</f>
        <v>3</v>
      </c>
      <c r="AX45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50" s="683">
        <f>COUNTIFS(BDEGENER[SERIE],BDEGENER[[#This Row],[SERIE]],BDEGENER[TIPO DE SERVICIO],"MANTENIMIENTO PREVENTIVO")</f>
        <v>7</v>
      </c>
      <c r="AZ450" s="683" t="str">
        <f>CONCATENATE("MANTENIMIENTO PREVENTIVO N°",BDEGENER[[#This Row],[GA1]])</f>
        <v>MANTENIMIENTO PREVENTIVO N°7</v>
      </c>
      <c r="BA450" s="683" t="str">
        <f>IF(BDEGENER[[#This Row],[SERVICIO]]=BDEGENER[[#This Row],[GA2]],BDEGENER[[#This Row],[HORAS]],"0")</f>
        <v>0</v>
      </c>
      <c r="BB450" s="683">
        <f>SUMIF(BDEGENER[SERIE],BDEGENER[[#This Row],[SERIE]],BDEGENER[GA3])</f>
        <v>2487</v>
      </c>
      <c r="BC450" s="683" t="str">
        <f>CONCATENATE("MANT",COUNTIF($Y$7:Y450,Y450))</f>
        <v>MANT5</v>
      </c>
      <c r="BD450" s="683" t="str">
        <f>CONCATENATE(BDEGENER[[#This Row],[SERIE]],BDEGENER[[#This Row],[GA5]])</f>
        <v>3004597775MANT5</v>
      </c>
      <c r="BE450" s="683" t="str">
        <f>CONCATENATE(BDEGENER[[#This Row],[CODIGO PATRIMONIAL]],BDEGENER[[#This Row],[GA5]])</f>
        <v>SUR-GEG-0012MANT5</v>
      </c>
      <c r="BF450" s="683">
        <f>COUNTIF(BDEGENER[SERIE],BDEGENER[[#This Row],[SERIE]])</f>
        <v>8</v>
      </c>
      <c r="BG450" s="683" t="str">
        <f>CONCATENATE("F",COUNTIF($K$7:K450,K450))</f>
        <v>F9</v>
      </c>
      <c r="BH450" s="683" t="str">
        <f>CONCATENATE(BDEGENER[[#This Row],[FECHA DE SERVICIO]],BDEGENER[[#This Row],[N° DE REGISTROS DEL DIA]])</f>
        <v>43981F9</v>
      </c>
      <c r="BI450" s="684"/>
      <c r="BJ450" s="683" t="s">
        <v>1544</v>
      </c>
      <c r="BK450" s="736"/>
    </row>
    <row r="451" spans="2:63" ht="69" hidden="1" x14ac:dyDescent="0.3">
      <c r="B451" s="2"/>
      <c r="C451" s="2"/>
      <c r="D451" s="2"/>
      <c r="E451" s="2"/>
      <c r="F451" s="2"/>
      <c r="G451" s="2"/>
      <c r="H451" s="2"/>
      <c r="I451" s="2"/>
      <c r="J451" s="685"/>
      <c r="K451" s="682">
        <v>43981</v>
      </c>
      <c r="L451" s="683" t="s">
        <v>561</v>
      </c>
      <c r="M451" s="683" t="s">
        <v>1245</v>
      </c>
      <c r="N451" s="683" t="s">
        <v>570</v>
      </c>
      <c r="O451" s="683"/>
      <c r="P451" s="683"/>
      <c r="Q451" s="683" t="s">
        <v>108</v>
      </c>
      <c r="R451" s="683" t="s">
        <v>2473</v>
      </c>
      <c r="S451" s="686" t="s">
        <v>2474</v>
      </c>
      <c r="T451" s="683" t="s">
        <v>2475</v>
      </c>
      <c r="U451" s="683"/>
      <c r="V451" s="683" t="s">
        <v>149</v>
      </c>
      <c r="W451" s="683" t="s">
        <v>913</v>
      </c>
      <c r="X451" s="691" t="s">
        <v>918</v>
      </c>
      <c r="Y451" s="687">
        <v>3004555912</v>
      </c>
      <c r="Z451" s="692" t="s">
        <v>2607</v>
      </c>
      <c r="AA451" s="683" t="s">
        <v>33</v>
      </c>
      <c r="AB451" s="683" t="s">
        <v>217</v>
      </c>
      <c r="AC451" s="683" t="s">
        <v>749</v>
      </c>
      <c r="AD451" s="683" t="s">
        <v>1123</v>
      </c>
      <c r="AE451" s="683">
        <v>60.6</v>
      </c>
      <c r="AF451" s="684">
        <v>1716</v>
      </c>
      <c r="AG451" s="683" t="s">
        <v>243</v>
      </c>
      <c r="AH451" s="683"/>
      <c r="AI451" s="683"/>
      <c r="AJ451" s="683"/>
      <c r="AK451" s="683"/>
      <c r="AL451" s="683"/>
      <c r="AM451" s="683" t="s">
        <v>1139</v>
      </c>
      <c r="AN451" s="683" t="s">
        <v>2434</v>
      </c>
      <c r="AO451" s="683"/>
      <c r="AP451" s="683" t="s">
        <v>240</v>
      </c>
      <c r="AQ451" s="688" t="str">
        <f>CONCATENATE("REG-",BDEGENER[[#This Row],[FECHA DE SERVICIO]],"-",BDEGENER[[#This Row],[SERIE]],"-",BDEGENER[[#This Row],[HORAS]])</f>
        <v>REG-43981-3004555912-1716</v>
      </c>
      <c r="AR451" s="683" t="str">
        <f>CONCATENATE("MARCA: ",BDEGENER[[#This Row],[MARCA]],"
 MODELO: ",BDEGENER[[#This Row],[MODELO]])</f>
        <v>MARCA: GENERAC
 MODELO: RG022</v>
      </c>
      <c r="AS451" s="683" t="str">
        <f>CONCATENATE("MARCA: ",BDEGENER[[#This Row],[MARCA DE MOTOR]],"
SERIE: ",BDEGENER[[#This Row],[SERIE DE MOTOR]])</f>
        <v xml:space="preserve">MARCA: 
SERIE: </v>
      </c>
      <c r="AT451" s="683" t="str">
        <f>CONCATENATE("MARCA: ",BDEGENER[[#This Row],[MARCA ALTERNADOR ]],"
SERIE: ",BDEGENER[[#This Row],[SERIE DE ALTERNADOR]])</f>
        <v xml:space="preserve">MARCA: 
SERIE: </v>
      </c>
      <c r="AU451" s="683" t="str">
        <f>CONCATENATE("HORAS: ",BDEGENER[[#This Row],[HORAS]],"
KW-HR: ",BDEGENER[[#This Row],[KW-HORA]],"
VOLT.BATERIA: ",BDEGENER[[#This Row],[VOLTAJE DE BATERIA]],"
TEMPERATURA: ",BDEGENER[[#This Row],[TEMPERATURA DE AGUA]],"
PRES. ACEITE: ",BDEGENER[[#This Row],[PRESION DE ACEITE]])</f>
        <v xml:space="preserve">HORAS: 1716
KW-HR: 
VOLT.BATERIA: 12.8 V
TEMPERATURA: 60 °C
PRES. ACEITE: </v>
      </c>
      <c r="AV451" s="761">
        <f>COUNTIFS(Q451:Q2451,"MANTENIMIENTO CORRECTIVO",Y451:Y2451,BDEGENER[[#This Row],[SERIE]])</f>
        <v>0</v>
      </c>
      <c r="AW451" s="761">
        <f>COUNTIFS(Q451:Q2451,"MANTENIMIENTO PREVENTIVO",Y451:Y2451,BDEGENER[[#This Row],[SERIE]])</f>
        <v>3</v>
      </c>
      <c r="AX45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51" s="683">
        <f>COUNTIFS(BDEGENER[SERIE],BDEGENER[[#This Row],[SERIE]],BDEGENER[TIPO DE SERVICIO],"MANTENIMIENTO PREVENTIVO")</f>
        <v>6</v>
      </c>
      <c r="AZ451" s="683" t="str">
        <f>CONCATENATE("MANTENIMIENTO PREVENTIVO N°",BDEGENER[[#This Row],[GA1]])</f>
        <v>MANTENIMIENTO PREVENTIVO N°6</v>
      </c>
      <c r="BA451" s="683" t="str">
        <f>IF(BDEGENER[[#This Row],[SERVICIO]]=BDEGENER[[#This Row],[GA2]],BDEGENER[[#This Row],[HORAS]],"0")</f>
        <v>0</v>
      </c>
      <c r="BB451" s="683">
        <f>SUMIF(BDEGENER[SERIE],BDEGENER[[#This Row],[SERIE]],BDEGENER[GA3])</f>
        <v>2869.9</v>
      </c>
      <c r="BC451" s="761" t="str">
        <f>CONCATENATE("MANT",COUNTIF($Y$7:Y451,Y451))</f>
        <v>MANT7</v>
      </c>
      <c r="BD451" s="683" t="str">
        <f>CONCATENATE(BDEGENER[[#This Row],[SERIE]],BDEGENER[[#This Row],[GA5]])</f>
        <v>3004555912MANT7</v>
      </c>
      <c r="BE451" s="683" t="str">
        <f>CONCATENATE(BDEGENER[[#This Row],[CODIGO PATRIMONIAL]],BDEGENER[[#This Row],[GA5]])</f>
        <v>SUR-GEG-0011MANT7</v>
      </c>
      <c r="BF451" s="683">
        <f>COUNTIF(BDEGENER[SERIE],BDEGENER[[#This Row],[SERIE]])</f>
        <v>11</v>
      </c>
      <c r="BG451" s="761" t="str">
        <f>CONCATENATE("F",COUNTIF($K$7:K451,K451))</f>
        <v>F10</v>
      </c>
      <c r="BH451" s="683" t="str">
        <f>CONCATENATE(BDEGENER[[#This Row],[FECHA DE SERVICIO]],BDEGENER[[#This Row],[N° DE REGISTROS DEL DIA]])</f>
        <v>43981F10</v>
      </c>
      <c r="BI451" s="684"/>
      <c r="BJ451" s="683" t="s">
        <v>1544</v>
      </c>
      <c r="BK451" s="736"/>
    </row>
    <row r="452" spans="2:63" ht="69" hidden="1" x14ac:dyDescent="0.3">
      <c r="B452" s="2"/>
      <c r="C452" s="2"/>
      <c r="D452" s="2"/>
      <c r="E452" s="2"/>
      <c r="F452" s="2"/>
      <c r="G452" s="2"/>
      <c r="H452" s="2"/>
      <c r="I452" s="2"/>
      <c r="J452" s="685"/>
      <c r="K452" s="682">
        <v>43981</v>
      </c>
      <c r="L452" s="683" t="s">
        <v>561</v>
      </c>
      <c r="M452" s="683" t="s">
        <v>567</v>
      </c>
      <c r="N452" s="683" t="s">
        <v>568</v>
      </c>
      <c r="O452" s="683"/>
      <c r="P452" s="683"/>
      <c r="Q452" s="683" t="s">
        <v>108</v>
      </c>
      <c r="R452" s="683" t="s">
        <v>2468</v>
      </c>
      <c r="S452" s="686" t="s">
        <v>2469</v>
      </c>
      <c r="T452" s="683" t="s">
        <v>2470</v>
      </c>
      <c r="U452" s="683"/>
      <c r="V452" s="683" t="s">
        <v>149</v>
      </c>
      <c r="W452" s="683" t="s">
        <v>914</v>
      </c>
      <c r="X452" s="691" t="s">
        <v>918</v>
      </c>
      <c r="Y452" s="687">
        <v>3003962766</v>
      </c>
      <c r="Z452" s="692" t="s">
        <v>2602</v>
      </c>
      <c r="AA452" s="683" t="s">
        <v>33</v>
      </c>
      <c r="AB452" s="683" t="s">
        <v>34</v>
      </c>
      <c r="AC452" s="683" t="s">
        <v>230</v>
      </c>
      <c r="AD452" s="683" t="s">
        <v>1416</v>
      </c>
      <c r="AE452" s="683" t="s">
        <v>2471</v>
      </c>
      <c r="AF452" s="684">
        <v>2455.6999999999998</v>
      </c>
      <c r="AG452" s="683" t="s">
        <v>243</v>
      </c>
      <c r="AH452" s="683" t="s">
        <v>220</v>
      </c>
      <c r="AI452" s="683" t="s">
        <v>33</v>
      </c>
      <c r="AJ452" s="683"/>
      <c r="AK452" s="683" t="s">
        <v>33</v>
      </c>
      <c r="AL452" s="683"/>
      <c r="AM452" s="683" t="s">
        <v>2472</v>
      </c>
      <c r="AN452" s="683" t="s">
        <v>1352</v>
      </c>
      <c r="AO452" s="683" t="s">
        <v>1095</v>
      </c>
      <c r="AP452" s="683" t="s">
        <v>240</v>
      </c>
      <c r="AQ452" s="688" t="str">
        <f>CONCATENATE("REG-",BDEGENER[[#This Row],[FECHA DE SERVICIO]],"-",BDEGENER[[#This Row],[SERIE]],"-",BDEGENER[[#This Row],[HORAS]])</f>
        <v>REG-43981-3003962766-2455,7</v>
      </c>
      <c r="AR452" s="683" t="str">
        <f>CONCATENATE("MARCA: ",BDEGENER[[#This Row],[MARCA]],"
 MODELO: ",BDEGENER[[#This Row],[MODELO]])</f>
        <v>MARCA: GENERAC
 MODELO: PG090</v>
      </c>
      <c r="AS452" s="683" t="str">
        <f>CONCATENATE("MARCA: ",BDEGENER[[#This Row],[MARCA DE MOTOR]],"
SERIE: ",BDEGENER[[#This Row],[SERIE DE MOTOR]])</f>
        <v xml:space="preserve">MARCA: GENERAC
SERIE: </v>
      </c>
      <c r="AT452" s="683" t="str">
        <f>CONCATENATE("MARCA: ",BDEGENER[[#This Row],[MARCA ALTERNADOR ]],"
SERIE: ",BDEGENER[[#This Row],[SERIE DE ALTERNADOR]])</f>
        <v xml:space="preserve">MARCA: GENERAC
SERIE: </v>
      </c>
      <c r="AU452" s="683" t="str">
        <f>CONCATENATE("HORAS: ",BDEGENER[[#This Row],[HORAS]],"
KW-HR: ",BDEGENER[[#This Row],[KW-HORA]],"
VOLT.BATERIA: ",BDEGENER[[#This Row],[VOLTAJE DE BATERIA]],"
TEMPERATURA: ",BDEGENER[[#This Row],[TEMPERATURA DE AGUA]],"
PRES. ACEITE: ",BDEGENER[[#This Row],[PRESION DE ACEITE]])</f>
        <v>HORAS: 2455,7
KW-HR: 70369,6
VOLT.BATERIA: 12.9 V
TEMPERATURA: 196 °F
PRES. ACEITE: 54 PSI</v>
      </c>
      <c r="AV452" s="683">
        <f>COUNTIFS(Q452:Q2452,"MANTENIMIENTO CORRECTIVO",Y452:Y2452,BDEGENER[[#This Row],[SERIE]])</f>
        <v>1</v>
      </c>
      <c r="AW452" s="683">
        <f>COUNTIFS(Q452:Q2452,"MANTENIMIENTO PREVENTIVO",Y452:Y2452,BDEGENER[[#This Row],[SERIE]])</f>
        <v>4</v>
      </c>
      <c r="AX45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52" s="683">
        <f>COUNTIFS(BDEGENER[SERIE],BDEGENER[[#This Row],[SERIE]],BDEGENER[TIPO DE SERVICIO],"MANTENIMIENTO PREVENTIVO")</f>
        <v>9</v>
      </c>
      <c r="AZ452" s="683" t="str">
        <f>CONCATENATE("MANTENIMIENTO PREVENTIVO N°",BDEGENER[[#This Row],[GA1]])</f>
        <v>MANTENIMIENTO PREVENTIVO N°9</v>
      </c>
      <c r="BA452" s="683" t="str">
        <f>IF(BDEGENER[[#This Row],[SERVICIO]]=BDEGENER[[#This Row],[GA2]],BDEGENER[[#This Row],[HORAS]],"0")</f>
        <v>0</v>
      </c>
      <c r="BB452" s="683">
        <f>SUMIF(BDEGENER[SERIE],BDEGENER[[#This Row],[SERIE]],BDEGENER[GA3])</f>
        <v>4662.2</v>
      </c>
      <c r="BC452" s="683" t="str">
        <f>CONCATENATE("MANT",COUNTIF($Y$7:Y452,Y452))</f>
        <v>MANT10</v>
      </c>
      <c r="BD452" s="683" t="str">
        <f>CONCATENATE(BDEGENER[[#This Row],[SERIE]],BDEGENER[[#This Row],[GA5]])</f>
        <v>3003962766MANT10</v>
      </c>
      <c r="BE452" s="683" t="str">
        <f>CONCATENATE(BDEGENER[[#This Row],[CODIGO PATRIMONIAL]],BDEGENER[[#This Row],[GA5]])</f>
        <v>SUR-GEG-0006MANT10</v>
      </c>
      <c r="BF452" s="683">
        <f>COUNTIF(BDEGENER[SERIE],BDEGENER[[#This Row],[SERIE]])</f>
        <v>16</v>
      </c>
      <c r="BG452" s="683" t="str">
        <f>CONCATENATE("F",COUNTIF($K$7:K452,K452))</f>
        <v>F11</v>
      </c>
      <c r="BH452" s="683" t="str">
        <f>CONCATENATE(BDEGENER[[#This Row],[FECHA DE SERVICIO]],BDEGENER[[#This Row],[N° DE REGISTROS DEL DIA]])</f>
        <v>43981F11</v>
      </c>
      <c r="BI452" s="684">
        <v>70369.600000000006</v>
      </c>
      <c r="BJ452" s="683" t="s">
        <v>1544</v>
      </c>
      <c r="BK452" s="736" t="s">
        <v>2164</v>
      </c>
    </row>
    <row r="453" spans="2:63" ht="82.8" hidden="1" x14ac:dyDescent="0.3">
      <c r="B453" s="2"/>
      <c r="C453" s="2"/>
      <c r="D453" s="2"/>
      <c r="E453" s="2"/>
      <c r="F453" s="2"/>
      <c r="G453" s="2"/>
      <c r="H453" s="2"/>
      <c r="I453" s="2"/>
      <c r="J453" s="685"/>
      <c r="K453" s="682">
        <v>43981</v>
      </c>
      <c r="L453" s="683" t="s">
        <v>561</v>
      </c>
      <c r="M453" s="683" t="s">
        <v>2453</v>
      </c>
      <c r="N453" s="683" t="s">
        <v>584</v>
      </c>
      <c r="O453" s="683"/>
      <c r="P453" s="683"/>
      <c r="Q453" s="683" t="s">
        <v>108</v>
      </c>
      <c r="R453" s="683" t="s">
        <v>2463</v>
      </c>
      <c r="S453" s="686" t="s">
        <v>2464</v>
      </c>
      <c r="T453" s="683" t="s">
        <v>2465</v>
      </c>
      <c r="U453" s="683"/>
      <c r="V453" s="683" t="s">
        <v>149</v>
      </c>
      <c r="W453" s="683" t="s">
        <v>914</v>
      </c>
      <c r="X453" s="691" t="s">
        <v>918</v>
      </c>
      <c r="Y453" s="687">
        <v>3003566705</v>
      </c>
      <c r="Z453" s="692" t="s">
        <v>2613</v>
      </c>
      <c r="AA453" s="683" t="s">
        <v>33</v>
      </c>
      <c r="AB453" s="683" t="s">
        <v>34</v>
      </c>
      <c r="AC453" s="683" t="s">
        <v>230</v>
      </c>
      <c r="AD453" s="683" t="s">
        <v>1123</v>
      </c>
      <c r="AE453" s="683">
        <v>59.2</v>
      </c>
      <c r="AF453" s="684">
        <v>5426.2</v>
      </c>
      <c r="AG453" s="683" t="s">
        <v>243</v>
      </c>
      <c r="AH453" s="683" t="s">
        <v>220</v>
      </c>
      <c r="AI453" s="683" t="s">
        <v>33</v>
      </c>
      <c r="AJ453" s="683"/>
      <c r="AK453" s="683" t="s">
        <v>33</v>
      </c>
      <c r="AL453" s="683"/>
      <c r="AM453" s="683" t="s">
        <v>1126</v>
      </c>
      <c r="AN453" s="683" t="s">
        <v>2466</v>
      </c>
      <c r="AO453" s="683" t="s">
        <v>2019</v>
      </c>
      <c r="AP453" s="683" t="s">
        <v>557</v>
      </c>
      <c r="AQ453" s="688" t="str">
        <f>CONCATENATE("REG-",BDEGENER[[#This Row],[FECHA DE SERVICIO]],"-",BDEGENER[[#This Row],[SERIE]],"-",BDEGENER[[#This Row],[HORAS]])</f>
        <v>REG-43981-3003566705-5426,2</v>
      </c>
      <c r="AR453" s="683" t="str">
        <f>CONCATENATE("MARCA: ",BDEGENER[[#This Row],[MARCA]],"
 MODELO: ",BDEGENER[[#This Row],[MODELO]])</f>
        <v>MARCA: GENERAC
 MODELO: PG090</v>
      </c>
      <c r="AS453" s="683" t="str">
        <f>CONCATENATE("MARCA: ",BDEGENER[[#This Row],[MARCA DE MOTOR]],"
SERIE: ",BDEGENER[[#This Row],[SERIE DE MOTOR]])</f>
        <v xml:space="preserve">MARCA: GENERAC
SERIE: </v>
      </c>
      <c r="AT453" s="683" t="str">
        <f>CONCATENATE("MARCA: ",BDEGENER[[#This Row],[MARCA ALTERNADOR ]],"
SERIE: ",BDEGENER[[#This Row],[SERIE DE ALTERNADOR]])</f>
        <v xml:space="preserve">MARCA: GENERAC
SERIE: </v>
      </c>
      <c r="AU453" s="683" t="str">
        <f>CONCATENATE("HORAS: ",BDEGENER[[#This Row],[HORAS]],"
KW-HR: ",BDEGENER[[#This Row],[KW-HORA]],"
VOLT.BATERIA: ",BDEGENER[[#This Row],[VOLTAJE DE BATERIA]],"
TEMPERATURA: ",BDEGENER[[#This Row],[TEMPERATURA DE AGUA]],"
PRES. ACEITE: ",BDEGENER[[#This Row],[PRESION DE ACEITE]])</f>
        <v>HORAS: 5426,2
KW-HR: 72230,6
VOLT.BATERIA: 13 V
TEMPERATURA: 156 °F
PRES. ACEITE: 64 PSI</v>
      </c>
      <c r="AV453" s="683">
        <f>COUNTIFS(Q453:Q2453,"MANTENIMIENTO CORRECTIVO",Y453:Y2453,BDEGENER[[#This Row],[SERIE]])</f>
        <v>0</v>
      </c>
      <c r="AW453" s="683">
        <f>COUNTIFS(Q453:Q2453,"MANTENIMIENTO PREVENTIVO",Y453:Y2453,BDEGENER[[#This Row],[SERIE]])</f>
        <v>4</v>
      </c>
      <c r="AX45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53" s="683">
        <f>COUNTIFS(BDEGENER[SERIE],BDEGENER[[#This Row],[SERIE]],BDEGENER[TIPO DE SERVICIO],"MANTENIMIENTO PREVENTIVO")</f>
        <v>6</v>
      </c>
      <c r="AZ453" s="683" t="str">
        <f>CONCATENATE("MANTENIMIENTO PREVENTIVO N°",BDEGENER[[#This Row],[GA1]])</f>
        <v>MANTENIMIENTO PREVENTIVO N°6</v>
      </c>
      <c r="BA453" s="683" t="str">
        <f>IF(BDEGENER[[#This Row],[SERVICIO]]=BDEGENER[[#This Row],[GA2]],BDEGENER[[#This Row],[HORAS]],"0")</f>
        <v>0</v>
      </c>
      <c r="BB453" s="683">
        <f>SUMIF(BDEGENER[SERIE],BDEGENER[[#This Row],[SERIE]],BDEGENER[GA3])</f>
        <v>6247.9</v>
      </c>
      <c r="BC453" s="683" t="str">
        <f>CONCATENATE("MANT",COUNTIF($Y$7:Y453,Y453))</f>
        <v>MANT4</v>
      </c>
      <c r="BD453" s="683" t="str">
        <f>CONCATENATE(BDEGENER[[#This Row],[SERIE]],BDEGENER[[#This Row],[GA5]])</f>
        <v>3003566705MANT4</v>
      </c>
      <c r="BE453" s="683" t="str">
        <f>CONCATENATE(BDEGENER[[#This Row],[CODIGO PATRIMONIAL]],BDEGENER[[#This Row],[GA5]])</f>
        <v>NOR-GEG-0015MANT4</v>
      </c>
      <c r="BF453" s="683">
        <f>COUNTIF(BDEGENER[SERIE],BDEGENER[[#This Row],[SERIE]])</f>
        <v>8</v>
      </c>
      <c r="BG453" s="683" t="str">
        <f>CONCATENATE("F",COUNTIF($K$7:K453,K453))</f>
        <v>F12</v>
      </c>
      <c r="BH453" s="683" t="str">
        <f>CONCATENATE(BDEGENER[[#This Row],[FECHA DE SERVICIO]],BDEGENER[[#This Row],[N° DE REGISTROS DEL DIA]])</f>
        <v>43981F12</v>
      </c>
      <c r="BI453" s="684">
        <v>72230.600000000006</v>
      </c>
      <c r="BJ453" s="683" t="s">
        <v>1544</v>
      </c>
      <c r="BK453" s="736" t="s">
        <v>2467</v>
      </c>
    </row>
    <row r="454" spans="2:63" ht="69" hidden="1" x14ac:dyDescent="0.3">
      <c r="B454" s="2"/>
      <c r="C454" s="2"/>
      <c r="D454" s="2"/>
      <c r="E454" s="2"/>
      <c r="F454" s="2"/>
      <c r="G454" s="2"/>
      <c r="H454" s="2"/>
      <c r="I454" s="2"/>
      <c r="J454" s="685"/>
      <c r="K454" s="682">
        <v>43981</v>
      </c>
      <c r="L454" s="683" t="s">
        <v>561</v>
      </c>
      <c r="M454" s="683" t="s">
        <v>577</v>
      </c>
      <c r="N454" s="683" t="s">
        <v>578</v>
      </c>
      <c r="O454" s="683"/>
      <c r="P454" s="683"/>
      <c r="Q454" s="683" t="s">
        <v>108</v>
      </c>
      <c r="R454" s="683" t="s">
        <v>2435</v>
      </c>
      <c r="S454" s="686" t="s">
        <v>2436</v>
      </c>
      <c r="T454" s="683" t="s">
        <v>2437</v>
      </c>
      <c r="U454" s="683"/>
      <c r="V454" s="683" t="s">
        <v>149</v>
      </c>
      <c r="W454" s="683" t="s">
        <v>913</v>
      </c>
      <c r="X454" s="691" t="s">
        <v>918</v>
      </c>
      <c r="Y454" s="687">
        <v>3003415536</v>
      </c>
      <c r="Z454" s="692" t="s">
        <v>2604</v>
      </c>
      <c r="AA454" s="683" t="s">
        <v>33</v>
      </c>
      <c r="AB454" s="683" t="s">
        <v>217</v>
      </c>
      <c r="AC454" s="683" t="s">
        <v>749</v>
      </c>
      <c r="AD454" s="683" t="s">
        <v>1123</v>
      </c>
      <c r="AE454" s="683">
        <v>60</v>
      </c>
      <c r="AF454" s="684">
        <v>3915</v>
      </c>
      <c r="AG454" s="683" t="s">
        <v>243</v>
      </c>
      <c r="AH454" s="683"/>
      <c r="AI454" s="683"/>
      <c r="AJ454" s="683"/>
      <c r="AK454" s="683"/>
      <c r="AL454" s="683"/>
      <c r="AM454" s="683" t="s">
        <v>2221</v>
      </c>
      <c r="AN454" s="683" t="s">
        <v>2438</v>
      </c>
      <c r="AO454" s="683"/>
      <c r="AP454" s="683" t="s">
        <v>240</v>
      </c>
      <c r="AQ454" s="688" t="str">
        <f>CONCATENATE("REG-",BDEGENER[[#This Row],[FECHA DE SERVICIO]],"-",BDEGENER[[#This Row],[SERIE]],"-",BDEGENER[[#This Row],[HORAS]])</f>
        <v>REG-43981-3003415536-3915</v>
      </c>
      <c r="AR454" s="683" t="str">
        <f>CONCATENATE("MARCA: ",BDEGENER[[#This Row],[MARCA]],"
 MODELO: ",BDEGENER[[#This Row],[MODELO]])</f>
        <v>MARCA: GENERAC
 MODELO: RG022</v>
      </c>
      <c r="AS454" s="683" t="str">
        <f>CONCATENATE("MARCA: ",BDEGENER[[#This Row],[MARCA DE MOTOR]],"
SERIE: ",BDEGENER[[#This Row],[SERIE DE MOTOR]])</f>
        <v xml:space="preserve">MARCA: 
SERIE: </v>
      </c>
      <c r="AT454" s="683" t="str">
        <f>CONCATENATE("MARCA: ",BDEGENER[[#This Row],[MARCA ALTERNADOR ]],"
SERIE: ",BDEGENER[[#This Row],[SERIE DE ALTERNADOR]])</f>
        <v xml:space="preserve">MARCA: 
SERIE: </v>
      </c>
      <c r="AU454" s="683" t="str">
        <f>CONCATENATE("HORAS: ",BDEGENER[[#This Row],[HORAS]],"
KW-HR: ",BDEGENER[[#This Row],[KW-HORA]],"
VOLT.BATERIA: ",BDEGENER[[#This Row],[VOLTAJE DE BATERIA]],"
TEMPERATURA: ",BDEGENER[[#This Row],[TEMPERATURA DE AGUA]],"
PRES. ACEITE: ",BDEGENER[[#This Row],[PRESION DE ACEITE]])</f>
        <v xml:space="preserve">HORAS: 3915
KW-HR: 
VOLT.BATERIA: 12 V
TEMPERATURA: 75 °C
PRES. ACEITE: </v>
      </c>
      <c r="AV454" s="761">
        <f>COUNTIFS(Q454:Q2454,"MANTENIMIENTO CORRECTIVO",Y454:Y2454,BDEGENER[[#This Row],[SERIE]])</f>
        <v>0</v>
      </c>
      <c r="AW454" s="761">
        <f>COUNTIFS(Q454:Q2454,"MANTENIMIENTO PREVENTIVO",Y454:Y2454,BDEGENER[[#This Row],[SERIE]])</f>
        <v>4</v>
      </c>
      <c r="AX45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54" s="683">
        <f>COUNTIFS(BDEGENER[SERIE],BDEGENER[[#This Row],[SERIE]],BDEGENER[TIPO DE SERVICIO],"MANTENIMIENTO PREVENTIVO")</f>
        <v>10</v>
      </c>
      <c r="AZ454" s="683" t="str">
        <f>CONCATENATE("MANTENIMIENTO PREVENTIVO N°",BDEGENER[[#This Row],[GA1]])</f>
        <v>MANTENIMIENTO PREVENTIVO N°10</v>
      </c>
      <c r="BA454" s="683" t="str">
        <f>IF(BDEGENER[[#This Row],[SERVICIO]]=BDEGENER[[#This Row],[GA2]],BDEGENER[[#This Row],[HORAS]],"0")</f>
        <v>0</v>
      </c>
      <c r="BB454" s="683">
        <f>SUMIF(BDEGENER[SERIE],BDEGENER[[#This Row],[SERIE]],BDEGENER[GA3])</f>
        <v>5559.8</v>
      </c>
      <c r="BC454" s="761" t="str">
        <f>CONCATENATE("MANT",COUNTIF($Y$7:Y454,Y454))</f>
        <v>MANT8</v>
      </c>
      <c r="BD454" s="683" t="str">
        <f>CONCATENATE(BDEGENER[[#This Row],[SERIE]],BDEGENER[[#This Row],[GA5]])</f>
        <v>3003415536MANT8</v>
      </c>
      <c r="BE454" s="683" t="str">
        <f>CONCATENATE(BDEGENER[[#This Row],[CODIGO PATRIMONIAL]],BDEGENER[[#This Row],[GA5]])</f>
        <v>SUR-GEG-0008MANT8</v>
      </c>
      <c r="BF454" s="683">
        <f>COUNTIF(BDEGENER[SERIE],BDEGENER[[#This Row],[SERIE]])</f>
        <v>12</v>
      </c>
      <c r="BG454" s="761" t="str">
        <f>CONCATENATE("F",COUNTIF($K$7:K454,K454))</f>
        <v>F13</v>
      </c>
      <c r="BH454" s="683" t="str">
        <f>CONCATENATE(BDEGENER[[#This Row],[FECHA DE SERVICIO]],BDEGENER[[#This Row],[N° DE REGISTROS DEL DIA]])</f>
        <v>43981F13</v>
      </c>
      <c r="BI454" s="684"/>
      <c r="BJ454" s="683" t="s">
        <v>1544</v>
      </c>
      <c r="BK454" s="736"/>
    </row>
    <row r="455" spans="2:63" ht="69" hidden="1" x14ac:dyDescent="0.3">
      <c r="B455" s="2"/>
      <c r="C455" s="2"/>
      <c r="D455" s="2"/>
      <c r="E455" s="2"/>
      <c r="F455" s="2"/>
      <c r="G455" s="2"/>
      <c r="H455" s="2"/>
      <c r="I455" s="2"/>
      <c r="J455" s="685"/>
      <c r="K455" s="682">
        <v>43978</v>
      </c>
      <c r="L455" s="683" t="s">
        <v>181</v>
      </c>
      <c r="M455" s="683" t="s">
        <v>189</v>
      </c>
      <c r="N455" s="683" t="s">
        <v>1982</v>
      </c>
      <c r="O455" s="683">
        <v>4500853877</v>
      </c>
      <c r="P455" s="683" t="s">
        <v>2380</v>
      </c>
      <c r="Q455" s="683" t="s">
        <v>37</v>
      </c>
      <c r="R455" s="683" t="s">
        <v>1782</v>
      </c>
      <c r="S455" s="686" t="s">
        <v>2381</v>
      </c>
      <c r="T455" s="683" t="s">
        <v>2382</v>
      </c>
      <c r="U455" s="683" t="s">
        <v>2053</v>
      </c>
      <c r="V455" s="683" t="s">
        <v>149</v>
      </c>
      <c r="W455" s="683" t="s">
        <v>914</v>
      </c>
      <c r="X455" s="691" t="s">
        <v>918</v>
      </c>
      <c r="Y455" s="687">
        <v>3004327723</v>
      </c>
      <c r="Z455" s="692"/>
      <c r="AA455" s="683" t="s">
        <v>33</v>
      </c>
      <c r="AB455" s="683" t="s">
        <v>34</v>
      </c>
      <c r="AC455" s="683" t="s">
        <v>230</v>
      </c>
      <c r="AD455" s="683" t="s">
        <v>1112</v>
      </c>
      <c r="AE455" s="683">
        <v>60.1</v>
      </c>
      <c r="AF455" s="684">
        <v>1546.1</v>
      </c>
      <c r="AG455" s="683" t="s">
        <v>243</v>
      </c>
      <c r="AH455" s="683" t="s">
        <v>220</v>
      </c>
      <c r="AI455" s="683" t="s">
        <v>33</v>
      </c>
      <c r="AJ455" s="683">
        <v>3004346813</v>
      </c>
      <c r="AK455" s="683" t="s">
        <v>33</v>
      </c>
      <c r="AL455" s="683">
        <v>106302070</v>
      </c>
      <c r="AM455" s="683" t="s">
        <v>1121</v>
      </c>
      <c r="AN455" s="683" t="s">
        <v>2383</v>
      </c>
      <c r="AO455" s="683" t="s">
        <v>1383</v>
      </c>
      <c r="AP455" s="683" t="s">
        <v>240</v>
      </c>
      <c r="AQ455" s="688" t="str">
        <f>CONCATENATE("REG-",BDEGENER[[#This Row],[FECHA DE SERVICIO]],"-",BDEGENER[[#This Row],[SERIE]],"-",BDEGENER[[#This Row],[HORAS]])</f>
        <v>REG-43978-3004327723-1546,1</v>
      </c>
      <c r="AR455" s="683" t="str">
        <f>CONCATENATE("MARCA: ",BDEGENER[[#This Row],[MARCA]],"
 MODELO: ",BDEGENER[[#This Row],[MODELO]])</f>
        <v>MARCA: GENERAC
 MODELO: PG090</v>
      </c>
      <c r="AS455" s="683" t="str">
        <f>CONCATENATE("MARCA: ",BDEGENER[[#This Row],[MARCA DE MOTOR]],"
SERIE: ",BDEGENER[[#This Row],[SERIE DE MOTOR]])</f>
        <v>MARCA: GENERAC
SERIE: 3004346813</v>
      </c>
      <c r="AT455" s="683" t="str">
        <f>CONCATENATE("MARCA: ",BDEGENER[[#This Row],[MARCA ALTERNADOR ]],"
SERIE: ",BDEGENER[[#This Row],[SERIE DE ALTERNADOR]])</f>
        <v>MARCA: GENERAC
SERIE: 106302070</v>
      </c>
      <c r="AU455" s="683" t="str">
        <f>CONCATENATE("HORAS: ",BDEGENER[[#This Row],[HORAS]],"
KW-HR: ",BDEGENER[[#This Row],[KW-HORA]],"
VOLT.BATERIA: ",BDEGENER[[#This Row],[VOLTAJE DE BATERIA]],"
TEMPERATURA: ",BDEGENER[[#This Row],[TEMPERATURA DE AGUA]],"
PRES. ACEITE: ",BDEGENER[[#This Row],[PRESION DE ACEITE]])</f>
        <v>HORAS: 1546,1
KW-HR: 33160,2
VOLT.BATERIA: 13.7 V
TEMPERATURA: 140 °F
PRES. ACEITE: 68 PSI</v>
      </c>
      <c r="AV455" s="683">
        <f>COUNTIFS(Q455:Q2455,"MANTENIMIENTO CORRECTIVO",Y455:Y2455,BDEGENER[[#This Row],[SERIE]])</f>
        <v>1</v>
      </c>
      <c r="AW455" s="683">
        <f>COUNTIFS(Q455:Q2455,"MANTENIMIENTO PREVENTIVO",Y455:Y2455,BDEGENER[[#This Row],[SERIE]])</f>
        <v>5</v>
      </c>
      <c r="AX45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55" s="683">
        <f>COUNTIFS(BDEGENER[SERIE],BDEGENER[[#This Row],[SERIE]],BDEGENER[TIPO DE SERVICIO],"MANTENIMIENTO PREVENTIVO")</f>
        <v>8</v>
      </c>
      <c r="AZ455" s="683" t="str">
        <f>CONCATENATE("MANTENIMIENTO PREVENTIVO N°",BDEGENER[[#This Row],[GA1]])</f>
        <v>MANTENIMIENTO PREVENTIVO N°8</v>
      </c>
      <c r="BA455" s="683" t="str">
        <f>IF(BDEGENER[[#This Row],[SERVICIO]]=BDEGENER[[#This Row],[GA2]],BDEGENER[[#This Row],[HORAS]],"0")</f>
        <v>0</v>
      </c>
      <c r="BB455" s="683">
        <f>SUMIF(BDEGENER[SERIE],BDEGENER[[#This Row],[SERIE]],BDEGENER[GA3])</f>
        <v>6883.3</v>
      </c>
      <c r="BC455" s="683" t="str">
        <f>CONCATENATE("MANT",COUNTIF($Y$7:Y455,Y455))</f>
        <v>MANT4</v>
      </c>
      <c r="BD455" s="683" t="str">
        <f>CONCATENATE(BDEGENER[[#This Row],[SERIE]],BDEGENER[[#This Row],[GA5]])</f>
        <v>3004327723MANT4</v>
      </c>
      <c r="BE455" s="683" t="str">
        <f>CONCATENATE(BDEGENER[[#This Row],[CODIGO PATRIMONIAL]],BDEGENER[[#This Row],[GA5]])</f>
        <v>MANT4</v>
      </c>
      <c r="BF455" s="683">
        <f>COUNTIF(BDEGENER[SERIE],BDEGENER[[#This Row],[SERIE]])</f>
        <v>11</v>
      </c>
      <c r="BG455" s="683" t="str">
        <f>CONCATENATE("F",COUNTIF($K$7:K455,K455))</f>
        <v>F1</v>
      </c>
      <c r="BH455" s="683" t="str">
        <f>CONCATENATE(BDEGENER[[#This Row],[FECHA DE SERVICIO]],BDEGENER[[#This Row],[N° DE REGISTROS DEL DIA]])</f>
        <v>43978F1</v>
      </c>
      <c r="BI455" s="684">
        <v>33160.199999999997</v>
      </c>
      <c r="BJ455" s="683" t="s">
        <v>1544</v>
      </c>
      <c r="BK455" s="736" t="s">
        <v>2326</v>
      </c>
    </row>
    <row r="456" spans="2:63" ht="69" hidden="1" x14ac:dyDescent="0.3">
      <c r="B456" s="2"/>
      <c r="C456" s="2"/>
      <c r="D456" s="2"/>
      <c r="E456" s="2"/>
      <c r="F456" s="2"/>
      <c r="G456" s="2"/>
      <c r="H456" s="2"/>
      <c r="I456" s="2"/>
      <c r="J456" s="685"/>
      <c r="K456" s="682">
        <v>43978</v>
      </c>
      <c r="L456" s="683" t="s">
        <v>181</v>
      </c>
      <c r="M456" s="683" t="s">
        <v>189</v>
      </c>
      <c r="N456" s="683" t="s">
        <v>1982</v>
      </c>
      <c r="O456" s="683">
        <v>4500853877</v>
      </c>
      <c r="P456" s="688" t="s">
        <v>2380</v>
      </c>
      <c r="Q456" s="683" t="s">
        <v>37</v>
      </c>
      <c r="R456" s="683" t="s">
        <v>1782</v>
      </c>
      <c r="S456" s="686" t="s">
        <v>2381</v>
      </c>
      <c r="T456" s="683" t="s">
        <v>2382</v>
      </c>
      <c r="U456" s="683" t="s">
        <v>2053</v>
      </c>
      <c r="V456" s="683" t="s">
        <v>149</v>
      </c>
      <c r="W456" s="683" t="s">
        <v>914</v>
      </c>
      <c r="X456" s="691" t="s">
        <v>918</v>
      </c>
      <c r="Y456" s="687">
        <v>3004331709</v>
      </c>
      <c r="Z456" s="692"/>
      <c r="AA456" s="683" t="s">
        <v>33</v>
      </c>
      <c r="AB456" s="683" t="s">
        <v>34</v>
      </c>
      <c r="AC456" s="683" t="s">
        <v>230</v>
      </c>
      <c r="AD456" s="683" t="s">
        <v>1112</v>
      </c>
      <c r="AE456" s="683">
        <v>60.2</v>
      </c>
      <c r="AF456" s="684">
        <v>1580</v>
      </c>
      <c r="AG456" s="683" t="s">
        <v>243</v>
      </c>
      <c r="AH456" s="683" t="s">
        <v>220</v>
      </c>
      <c r="AI456" s="683" t="s">
        <v>33</v>
      </c>
      <c r="AJ456" s="683"/>
      <c r="AK456" s="683" t="s">
        <v>33</v>
      </c>
      <c r="AL456" s="683">
        <v>106302870</v>
      </c>
      <c r="AM456" s="683" t="s">
        <v>1157</v>
      </c>
      <c r="AN456" s="683" t="s">
        <v>1430</v>
      </c>
      <c r="AO456" s="683" t="s">
        <v>2019</v>
      </c>
      <c r="AP456" s="683" t="s">
        <v>240</v>
      </c>
      <c r="AQ456" s="688" t="str">
        <f>CONCATENATE("REG-",BDEGENER[[#This Row],[FECHA DE SERVICIO]],"-",BDEGENER[[#This Row],[SERIE]],"-",BDEGENER[[#This Row],[HORAS]])</f>
        <v>REG-43978-3004331709-1580</v>
      </c>
      <c r="AR456" s="683" t="str">
        <f>CONCATENATE("MARCA: ",BDEGENER[[#This Row],[MARCA]],"
 MODELO: ",BDEGENER[[#This Row],[MODELO]])</f>
        <v>MARCA: GENERAC
 MODELO: PG090</v>
      </c>
      <c r="AS456" s="683" t="str">
        <f>CONCATENATE("MARCA: ",BDEGENER[[#This Row],[MARCA DE MOTOR]],"
SERIE: ",BDEGENER[[#This Row],[SERIE DE MOTOR]])</f>
        <v xml:space="preserve">MARCA: GENERAC
SERIE: </v>
      </c>
      <c r="AT456" s="683" t="str">
        <f>CONCATENATE("MARCA: ",BDEGENER[[#This Row],[MARCA ALTERNADOR ]],"
SERIE: ",BDEGENER[[#This Row],[SERIE DE ALTERNADOR]])</f>
        <v>MARCA: GENERAC
SERIE: 106302870</v>
      </c>
      <c r="AU456" s="683" t="str">
        <f>CONCATENATE("HORAS: ",BDEGENER[[#This Row],[HORAS]],"
KW-HR: ",BDEGENER[[#This Row],[KW-HORA]],"
VOLT.BATERIA: ",BDEGENER[[#This Row],[VOLTAJE DE BATERIA]],"
TEMPERATURA: ",BDEGENER[[#This Row],[TEMPERATURA DE AGUA]],"
PRES. ACEITE: ",BDEGENER[[#This Row],[PRESION DE ACEITE]])</f>
        <v>HORAS: 1580
KW-HR: 36842
VOLT.BATERIA: 13.9 V
TEMPERATURA: 182 °F
PRES. ACEITE: 64 PSI</v>
      </c>
      <c r="AV456" s="683">
        <f>COUNTIFS(Q456:Q2456,"MANTENIMIENTO CORRECTIVO",Y456:Y2456,BDEGENER[[#This Row],[SERIE]])</f>
        <v>2</v>
      </c>
      <c r="AW456" s="683">
        <f>COUNTIFS(Q456:Q2456,"MANTENIMIENTO PREVENTIVO",Y456:Y2456,BDEGENER[[#This Row],[SERIE]])</f>
        <v>5</v>
      </c>
      <c r="AX45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56" s="683">
        <f>COUNTIFS(BDEGENER[SERIE],BDEGENER[[#This Row],[SERIE]],BDEGENER[TIPO DE SERVICIO],"MANTENIMIENTO PREVENTIVO")</f>
        <v>7</v>
      </c>
      <c r="AZ456" s="683" t="str">
        <f>CONCATENATE("MANTENIMIENTO PREVENTIVO N°",BDEGENER[[#This Row],[GA1]])</f>
        <v>MANTENIMIENTO PREVENTIVO N°7</v>
      </c>
      <c r="BA456" s="683" t="str">
        <f>IF(BDEGENER[[#This Row],[SERVICIO]]=BDEGENER[[#This Row],[GA2]],BDEGENER[[#This Row],[HORAS]],"0")</f>
        <v>0</v>
      </c>
      <c r="BB456" s="683">
        <f>SUMIF(BDEGENER[SERIE],BDEGENER[[#This Row],[SERIE]],BDEGENER[GA3])</f>
        <v>2248.5</v>
      </c>
      <c r="BC456" s="683" t="str">
        <f>CONCATENATE("MANT",COUNTIF($Y$7:Y456,Y456))</f>
        <v>MANT3</v>
      </c>
      <c r="BD456" s="683" t="str">
        <f>CONCATENATE(BDEGENER[[#This Row],[SERIE]],BDEGENER[[#This Row],[GA5]])</f>
        <v>3004331709MANT3</v>
      </c>
      <c r="BE456" s="683" t="str">
        <f>CONCATENATE(BDEGENER[[#This Row],[CODIGO PATRIMONIAL]],BDEGENER[[#This Row],[GA5]])</f>
        <v>MANT3</v>
      </c>
      <c r="BF456" s="683">
        <f>COUNTIF(BDEGENER[SERIE],BDEGENER[[#This Row],[SERIE]])</f>
        <v>11</v>
      </c>
      <c r="BG456" s="683" t="str">
        <f>CONCATENATE("F",COUNTIF($K$7:K456,K456))</f>
        <v>F2</v>
      </c>
      <c r="BH456" s="683" t="str">
        <f>CONCATENATE(BDEGENER[[#This Row],[FECHA DE SERVICIO]],BDEGENER[[#This Row],[N° DE REGISTROS DEL DIA]])</f>
        <v>43978F2</v>
      </c>
      <c r="BI456" s="684">
        <v>36842</v>
      </c>
      <c r="BJ456" s="683" t="s">
        <v>1544</v>
      </c>
      <c r="BK456" s="736" t="s">
        <v>2326</v>
      </c>
    </row>
    <row r="457" spans="2:63" ht="69" hidden="1" x14ac:dyDescent="0.3">
      <c r="B457" s="2"/>
      <c r="C457" s="2"/>
      <c r="D457" s="2"/>
      <c r="E457" s="2"/>
      <c r="F457" s="2"/>
      <c r="G457" s="2"/>
      <c r="H457" s="2"/>
      <c r="I457" s="2"/>
      <c r="J457" s="685"/>
      <c r="K457" s="682">
        <v>43978</v>
      </c>
      <c r="L457" s="683" t="s">
        <v>181</v>
      </c>
      <c r="M457" s="683" t="s">
        <v>185</v>
      </c>
      <c r="N457" s="683" t="s">
        <v>183</v>
      </c>
      <c r="O457" s="683"/>
      <c r="P457" s="683"/>
      <c r="Q457" s="683" t="s">
        <v>108</v>
      </c>
      <c r="R457" s="683" t="s">
        <v>2365</v>
      </c>
      <c r="S457" s="686" t="s">
        <v>2366</v>
      </c>
      <c r="T457" s="683" t="s">
        <v>3446</v>
      </c>
      <c r="U457" s="683"/>
      <c r="V457" s="683" t="s">
        <v>146</v>
      </c>
      <c r="W457" s="683" t="s">
        <v>914</v>
      </c>
      <c r="X457" s="691" t="s">
        <v>918</v>
      </c>
      <c r="Y457" s="687">
        <v>3004290368</v>
      </c>
      <c r="Z457" s="692"/>
      <c r="AA457" s="683" t="s">
        <v>33</v>
      </c>
      <c r="AB457" s="683" t="s">
        <v>34</v>
      </c>
      <c r="AC457" s="683" t="s">
        <v>230</v>
      </c>
      <c r="AD457" s="683"/>
      <c r="AE457" s="683"/>
      <c r="AF457" s="684">
        <v>1895</v>
      </c>
      <c r="AG457" s="683" t="s">
        <v>243</v>
      </c>
      <c r="AH457" s="683" t="s">
        <v>220</v>
      </c>
      <c r="AI457" s="683" t="s">
        <v>33</v>
      </c>
      <c r="AJ457" s="683">
        <v>3004034816</v>
      </c>
      <c r="AK457" s="683" t="s">
        <v>33</v>
      </c>
      <c r="AL457" s="683">
        <v>106312930</v>
      </c>
      <c r="AM457" s="683"/>
      <c r="AN457" s="683"/>
      <c r="AO457" s="683"/>
      <c r="AP457" s="683" t="s">
        <v>240</v>
      </c>
      <c r="AQ457" s="688" t="str">
        <f>CONCATENATE("REG-",BDEGENER[[#This Row],[FECHA DE SERVICIO]],"-",BDEGENER[[#This Row],[SERIE]],"-",BDEGENER[[#This Row],[HORAS]])</f>
        <v>REG-43978-3004290368-1895</v>
      </c>
      <c r="AR457" s="683" t="str">
        <f>CONCATENATE("MARCA: ",BDEGENER[[#This Row],[MARCA]],"
 MODELO: ",BDEGENER[[#This Row],[MODELO]])</f>
        <v>MARCA: GENERAC
 MODELO: PG090</v>
      </c>
      <c r="AS457" s="683" t="str">
        <f>CONCATENATE("MARCA: ",BDEGENER[[#This Row],[MARCA DE MOTOR]],"
SERIE: ",BDEGENER[[#This Row],[SERIE DE MOTOR]])</f>
        <v>MARCA: GENERAC
SERIE: 3004034816</v>
      </c>
      <c r="AT457" s="683" t="str">
        <f>CONCATENATE("MARCA: ",BDEGENER[[#This Row],[MARCA ALTERNADOR ]],"
SERIE: ",BDEGENER[[#This Row],[SERIE DE ALTERNADOR]])</f>
        <v>MARCA: GENERAC
SERIE: 106312930</v>
      </c>
      <c r="AU457" s="683" t="str">
        <f>CONCATENATE("HORAS: ",BDEGENER[[#This Row],[HORAS]],"
KW-HR: ",BDEGENER[[#This Row],[KW-HORA]],"
VOLT.BATERIA: ",BDEGENER[[#This Row],[VOLTAJE DE BATERIA]],"
TEMPERATURA: ",BDEGENER[[#This Row],[TEMPERATURA DE AGUA]],"
PRES. ACEITE: ",BDEGENER[[#This Row],[PRESION DE ACEITE]])</f>
        <v xml:space="preserve">HORAS: 1895
KW-HR: 19870,8
VOLT.BATERIA: 
TEMPERATURA: 
PRES. ACEITE: </v>
      </c>
      <c r="AV457" s="761">
        <f>COUNTIFS(Q457:Q2457,"MANTENIMIENTO CORRECTIVO",Y457:Y2457,BDEGENER[[#This Row],[SERIE]])</f>
        <v>3</v>
      </c>
      <c r="AW457" s="761">
        <f>COUNTIFS(Q457:Q2457,"MANTENIMIENTO PREVENTIVO",Y457:Y2457,BDEGENER[[#This Row],[SERIE]])</f>
        <v>4</v>
      </c>
      <c r="AX45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57" s="683">
        <f>COUNTIFS(BDEGENER[SERIE],BDEGENER[[#This Row],[SERIE]],BDEGENER[TIPO DE SERVICIO],"MANTENIMIENTO PREVENTIVO")</f>
        <v>6</v>
      </c>
      <c r="AZ457" s="683" t="str">
        <f>CONCATENATE("MANTENIMIENTO PREVENTIVO N°",BDEGENER[[#This Row],[GA1]])</f>
        <v>MANTENIMIENTO PREVENTIVO N°6</v>
      </c>
      <c r="BA457" s="683" t="str">
        <f>IF(BDEGENER[[#This Row],[SERVICIO]]=BDEGENER[[#This Row],[GA2]],BDEGENER[[#This Row],[HORAS]],"0")</f>
        <v>0</v>
      </c>
      <c r="BB457" s="683">
        <f>SUMIF(BDEGENER[SERIE],BDEGENER[[#This Row],[SERIE]],BDEGENER[GA3])</f>
        <v>2259.3000000000002</v>
      </c>
      <c r="BC457" s="761" t="str">
        <f>CONCATENATE("MANT",COUNTIF($Y$7:Y457,Y457))</f>
        <v>MANT7</v>
      </c>
      <c r="BD457" s="683" t="str">
        <f>CONCATENATE(BDEGENER[[#This Row],[SERIE]],BDEGENER[[#This Row],[GA5]])</f>
        <v>3004290368MANT7</v>
      </c>
      <c r="BE457" s="683" t="str">
        <f>CONCATENATE(BDEGENER[[#This Row],[CODIGO PATRIMONIAL]],BDEGENER[[#This Row],[GA5]])</f>
        <v>MANT7</v>
      </c>
      <c r="BF457" s="683">
        <f>COUNTIF(BDEGENER[SERIE],BDEGENER[[#This Row],[SERIE]])</f>
        <v>15</v>
      </c>
      <c r="BG457" s="761" t="str">
        <f>CONCATENATE("F",COUNTIF($K$7:K457,K457))</f>
        <v>F3</v>
      </c>
      <c r="BH457" s="683" t="str">
        <f>CONCATENATE(BDEGENER[[#This Row],[FECHA DE SERVICIO]],BDEGENER[[#This Row],[N° DE REGISTROS DEL DIA]])</f>
        <v>43978F3</v>
      </c>
      <c r="BI457" s="684">
        <v>19870.8</v>
      </c>
      <c r="BJ457" s="683" t="s">
        <v>1544</v>
      </c>
      <c r="BK457" s="736" t="s">
        <v>2368</v>
      </c>
    </row>
    <row r="458" spans="2:63" ht="69" hidden="1" x14ac:dyDescent="0.3">
      <c r="B458" s="2"/>
      <c r="C458" s="2"/>
      <c r="D458" s="2"/>
      <c r="E458" s="2"/>
      <c r="F458" s="2"/>
      <c r="G458" s="2"/>
      <c r="H458" s="2"/>
      <c r="I458" s="2"/>
      <c r="J458" s="685"/>
      <c r="K458" s="682">
        <v>43978</v>
      </c>
      <c r="L458" s="683" t="s">
        <v>181</v>
      </c>
      <c r="M458" s="683" t="s">
        <v>185</v>
      </c>
      <c r="N458" s="683" t="s">
        <v>183</v>
      </c>
      <c r="O458" s="683"/>
      <c r="P458" s="683"/>
      <c r="Q458" s="683" t="s">
        <v>108</v>
      </c>
      <c r="R458" s="683" t="s">
        <v>2365</v>
      </c>
      <c r="S458" s="686" t="s">
        <v>2366</v>
      </c>
      <c r="T458" s="683" t="s">
        <v>2367</v>
      </c>
      <c r="U458" s="683"/>
      <c r="V458" s="683" t="s">
        <v>146</v>
      </c>
      <c r="W458" s="683" t="s">
        <v>914</v>
      </c>
      <c r="X458" s="691" t="s">
        <v>918</v>
      </c>
      <c r="Y458" s="687">
        <v>3004290366</v>
      </c>
      <c r="Z458" s="692"/>
      <c r="AA458" s="683" t="s">
        <v>33</v>
      </c>
      <c r="AB458" s="683" t="s">
        <v>34</v>
      </c>
      <c r="AC458" s="683" t="s">
        <v>230</v>
      </c>
      <c r="AD458" s="683"/>
      <c r="AE458" s="683"/>
      <c r="AF458" s="684">
        <v>2118.4</v>
      </c>
      <c r="AG458" s="683" t="s">
        <v>243</v>
      </c>
      <c r="AH458" s="683" t="s">
        <v>220</v>
      </c>
      <c r="AI458" s="683" t="s">
        <v>33</v>
      </c>
      <c r="AJ458" s="683">
        <v>3004295604</v>
      </c>
      <c r="AK458" s="683" t="s">
        <v>33</v>
      </c>
      <c r="AL458" s="683">
        <v>10631290</v>
      </c>
      <c r="AM458" s="683"/>
      <c r="AN458" s="683"/>
      <c r="AO458" s="683"/>
      <c r="AP458" s="683" t="s">
        <v>240</v>
      </c>
      <c r="AQ458" s="688" t="str">
        <f>CONCATENATE("REG-",BDEGENER[[#This Row],[FECHA DE SERVICIO]],"-",BDEGENER[[#This Row],[SERIE]],"-",BDEGENER[[#This Row],[HORAS]])</f>
        <v>REG-43978-3004290366-2118,4</v>
      </c>
      <c r="AR458" s="683" t="str">
        <f>CONCATENATE("MARCA: ",BDEGENER[[#This Row],[MARCA]],"
 MODELO: ",BDEGENER[[#This Row],[MODELO]])</f>
        <v>MARCA: GENERAC
 MODELO: PG090</v>
      </c>
      <c r="AS458" s="683" t="str">
        <f>CONCATENATE("MARCA: ",BDEGENER[[#This Row],[MARCA DE MOTOR]],"
SERIE: ",BDEGENER[[#This Row],[SERIE DE MOTOR]])</f>
        <v>MARCA: GENERAC
SERIE: 3004295604</v>
      </c>
      <c r="AT458" s="683" t="str">
        <f>CONCATENATE("MARCA: ",BDEGENER[[#This Row],[MARCA ALTERNADOR ]],"
SERIE: ",BDEGENER[[#This Row],[SERIE DE ALTERNADOR]])</f>
        <v>MARCA: GENERAC
SERIE: 10631290</v>
      </c>
      <c r="AU458" s="683" t="str">
        <f>CONCATENATE("HORAS: ",BDEGENER[[#This Row],[HORAS]],"
KW-HR: ",BDEGENER[[#This Row],[KW-HORA]],"
VOLT.BATERIA: ",BDEGENER[[#This Row],[VOLTAJE DE BATERIA]],"
TEMPERATURA: ",BDEGENER[[#This Row],[TEMPERATURA DE AGUA]],"
PRES. ACEITE: ",BDEGENER[[#This Row],[PRESION DE ACEITE]])</f>
        <v xml:space="preserve">HORAS: 2118,4
KW-HR: 24202,1
VOLT.BATERIA: 
TEMPERATURA: 
PRES. ACEITE: </v>
      </c>
      <c r="AV458" s="683">
        <f>COUNTIFS(Q458:Q2458,"MANTENIMIENTO CORRECTIVO",Y458:Y2458,BDEGENER[[#This Row],[SERIE]])</f>
        <v>2</v>
      </c>
      <c r="AW458" s="683">
        <f>COUNTIFS(Q458:Q2458,"MANTENIMIENTO PREVENTIVO",Y458:Y2458,BDEGENER[[#This Row],[SERIE]])</f>
        <v>5</v>
      </c>
      <c r="AX45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58" s="683">
        <f>COUNTIFS(BDEGENER[SERIE],BDEGENER[[#This Row],[SERIE]],BDEGENER[TIPO DE SERVICIO],"MANTENIMIENTO PREVENTIVO")</f>
        <v>7</v>
      </c>
      <c r="AZ458" s="683" t="str">
        <f>CONCATENATE("MANTENIMIENTO PREVENTIVO N°",BDEGENER[[#This Row],[GA1]])</f>
        <v>MANTENIMIENTO PREVENTIVO N°7</v>
      </c>
      <c r="BA458" s="683" t="str">
        <f>IF(BDEGENER[[#This Row],[SERVICIO]]=BDEGENER[[#This Row],[GA2]],BDEGENER[[#This Row],[HORAS]],"0")</f>
        <v>0</v>
      </c>
      <c r="BB458" s="683">
        <f>SUMIF(BDEGENER[SERIE],BDEGENER[[#This Row],[SERIE]],BDEGENER[GA3])</f>
        <v>2629.6</v>
      </c>
      <c r="BC458" s="683" t="str">
        <f>CONCATENATE("MANT",COUNTIF($Y$7:Y458,Y458))</f>
        <v>MANT6</v>
      </c>
      <c r="BD458" s="683" t="str">
        <f>CONCATENATE(BDEGENER[[#This Row],[SERIE]],BDEGENER[[#This Row],[GA5]])</f>
        <v>3004290366MANT6</v>
      </c>
      <c r="BE458" s="683" t="str">
        <f>CONCATENATE(BDEGENER[[#This Row],[CODIGO PATRIMONIAL]],BDEGENER[[#This Row],[GA5]])</f>
        <v>MANT6</v>
      </c>
      <c r="BF458" s="683">
        <f>COUNTIF(BDEGENER[SERIE],BDEGENER[[#This Row],[SERIE]])</f>
        <v>14</v>
      </c>
      <c r="BG458" s="683" t="str">
        <f>CONCATENATE("F",COUNTIF($K$7:K458,K458))</f>
        <v>F4</v>
      </c>
      <c r="BH458" s="683" t="str">
        <f>CONCATENATE(BDEGENER[[#This Row],[FECHA DE SERVICIO]],BDEGENER[[#This Row],[N° DE REGISTROS DEL DIA]])</f>
        <v>43978F4</v>
      </c>
      <c r="BI458" s="684">
        <v>24202.1</v>
      </c>
      <c r="BJ458" s="683" t="s">
        <v>1544</v>
      </c>
      <c r="BK458" s="736" t="s">
        <v>2368</v>
      </c>
    </row>
    <row r="459" spans="2:63" ht="69" hidden="1" x14ac:dyDescent="0.3">
      <c r="B459" s="2"/>
      <c r="C459" s="2"/>
      <c r="D459" s="2"/>
      <c r="E459" s="2"/>
      <c r="F459" s="2"/>
      <c r="G459" s="2"/>
      <c r="H459" s="2"/>
      <c r="I459" s="2"/>
      <c r="J459" s="685"/>
      <c r="K459" s="682">
        <v>43978</v>
      </c>
      <c r="L459" s="683" t="s">
        <v>181</v>
      </c>
      <c r="M459" s="683" t="s">
        <v>185</v>
      </c>
      <c r="N459" s="683" t="s">
        <v>183</v>
      </c>
      <c r="O459" s="683"/>
      <c r="P459" s="683"/>
      <c r="Q459" s="683" t="s">
        <v>107</v>
      </c>
      <c r="R459" s="683" t="s">
        <v>2350</v>
      </c>
      <c r="S459" s="686" t="s">
        <v>2364</v>
      </c>
      <c r="T459" s="683" t="s">
        <v>2042</v>
      </c>
      <c r="U459" s="683" t="s">
        <v>2353</v>
      </c>
      <c r="V459" s="683" t="s">
        <v>146</v>
      </c>
      <c r="W459" s="683" t="s">
        <v>914</v>
      </c>
      <c r="X459" s="691" t="s">
        <v>918</v>
      </c>
      <c r="Y459" s="687">
        <v>3004344017</v>
      </c>
      <c r="Z459" s="692"/>
      <c r="AA459" s="683" t="s">
        <v>33</v>
      </c>
      <c r="AB459" s="683" t="s">
        <v>34</v>
      </c>
      <c r="AC459" s="683" t="s">
        <v>230</v>
      </c>
      <c r="AD459" s="683"/>
      <c r="AE459" s="683"/>
      <c r="AF459" s="684">
        <v>1512.3</v>
      </c>
      <c r="AG459" s="683" t="s">
        <v>243</v>
      </c>
      <c r="AH459" s="683" t="s">
        <v>220</v>
      </c>
      <c r="AI459" s="683" t="s">
        <v>33</v>
      </c>
      <c r="AJ459" s="683">
        <v>3004346832</v>
      </c>
      <c r="AK459" s="683" t="s">
        <v>33</v>
      </c>
      <c r="AL459" s="683">
        <v>106308750</v>
      </c>
      <c r="AM459" s="683"/>
      <c r="AN459" s="683"/>
      <c r="AO459" s="683"/>
      <c r="AP459" s="683" t="s">
        <v>240</v>
      </c>
      <c r="AQ459" s="688" t="str">
        <f>CONCATENATE("REG-",BDEGENER[[#This Row],[FECHA DE SERVICIO]],"-",BDEGENER[[#This Row],[SERIE]],"-",BDEGENER[[#This Row],[HORAS]])</f>
        <v>REG-43978-3004344017-1512,3</v>
      </c>
      <c r="AR459" s="683" t="str">
        <f>CONCATENATE("MARCA: ",BDEGENER[[#This Row],[MARCA]],"
 MODELO: ",BDEGENER[[#This Row],[MODELO]])</f>
        <v>MARCA: GENERAC
 MODELO: PG090</v>
      </c>
      <c r="AS459" s="683" t="str">
        <f>CONCATENATE("MARCA: ",BDEGENER[[#This Row],[MARCA DE MOTOR]],"
SERIE: ",BDEGENER[[#This Row],[SERIE DE MOTOR]])</f>
        <v>MARCA: GENERAC
SERIE: 3004346832</v>
      </c>
      <c r="AT459" s="683" t="str">
        <f>CONCATENATE("MARCA: ",BDEGENER[[#This Row],[MARCA ALTERNADOR ]],"
SERIE: ",BDEGENER[[#This Row],[SERIE DE ALTERNADOR]])</f>
        <v>MARCA: GENERAC
SERIE: 106308750</v>
      </c>
      <c r="AU459" s="683" t="str">
        <f>CONCATENATE("HORAS: ",BDEGENER[[#This Row],[HORAS]],"
KW-HR: ",BDEGENER[[#This Row],[KW-HORA]],"
VOLT.BATERIA: ",BDEGENER[[#This Row],[VOLTAJE DE BATERIA]],"
TEMPERATURA: ",BDEGENER[[#This Row],[TEMPERATURA DE AGUA]],"
PRES. ACEITE: ",BDEGENER[[#This Row],[PRESION DE ACEITE]])</f>
        <v xml:space="preserve">HORAS: 1512,3
KW-HR: 
VOLT.BATERIA: 
TEMPERATURA: 
PRES. ACEITE: </v>
      </c>
      <c r="AV459" s="683">
        <f>COUNTIFS(Q459:Q2459,"MANTENIMIENTO CORRECTIVO",Y459:Y2459,BDEGENER[[#This Row],[SERIE]])</f>
        <v>3</v>
      </c>
      <c r="AW459" s="683">
        <f>COUNTIFS(Q459:Q2459,"MANTENIMIENTO PREVENTIVO",Y459:Y2459,BDEGENER[[#This Row],[SERIE]])</f>
        <v>3</v>
      </c>
      <c r="AX45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459" s="683">
        <f>COUNTIFS(BDEGENER[SERIE],BDEGENER[[#This Row],[SERIE]],BDEGENER[TIPO DE SERVICIO],"MANTENIMIENTO PREVENTIVO")</f>
        <v>6</v>
      </c>
      <c r="AZ459" s="683" t="str">
        <f>CONCATENATE("MANTENIMIENTO PREVENTIVO N°",BDEGENER[[#This Row],[GA1]])</f>
        <v>MANTENIMIENTO PREVENTIVO N°6</v>
      </c>
      <c r="BA459" s="683" t="str">
        <f>IF(BDEGENER[[#This Row],[SERVICIO]]=BDEGENER[[#This Row],[GA2]],BDEGENER[[#This Row],[HORAS]],"0")</f>
        <v>0</v>
      </c>
      <c r="BB459" s="683">
        <f>SUMIF(BDEGENER[SERIE],BDEGENER[[#This Row],[SERIE]],BDEGENER[GA3])</f>
        <v>2140.9</v>
      </c>
      <c r="BC459" s="683" t="str">
        <f>CONCATENATE("MANT",COUNTIF($Y$7:Y459,Y459))</f>
        <v>MANT6</v>
      </c>
      <c r="BD459" s="683" t="str">
        <f>CONCATENATE(BDEGENER[[#This Row],[SERIE]],BDEGENER[[#This Row],[GA5]])</f>
        <v>3004344017MANT6</v>
      </c>
      <c r="BE459" s="683" t="str">
        <f>CONCATENATE(BDEGENER[[#This Row],[CODIGO PATRIMONIAL]],BDEGENER[[#This Row],[GA5]])</f>
        <v>MANT6</v>
      </c>
      <c r="BF459" s="683">
        <f>COUNTIF(BDEGENER[SERIE],BDEGENER[[#This Row],[SERIE]])</f>
        <v>12</v>
      </c>
      <c r="BG459" s="683" t="str">
        <f>CONCATENATE("F",COUNTIF($K$7:K459,K459))</f>
        <v>F5</v>
      </c>
      <c r="BH459" s="683" t="str">
        <f>CONCATENATE(BDEGENER[[#This Row],[FECHA DE SERVICIO]],BDEGENER[[#This Row],[N° DE REGISTROS DEL DIA]])</f>
        <v>43978F5</v>
      </c>
      <c r="BI459" s="684"/>
      <c r="BJ459" s="683" t="s">
        <v>1544</v>
      </c>
      <c r="BK459" s="736"/>
    </row>
    <row r="460" spans="2:63" ht="69" hidden="1" x14ac:dyDescent="0.3">
      <c r="B460" s="2"/>
      <c r="C460" s="2"/>
      <c r="D460" s="2"/>
      <c r="E460" s="2"/>
      <c r="F460" s="2"/>
      <c r="G460" s="2"/>
      <c r="H460" s="2"/>
      <c r="I460" s="2"/>
      <c r="J460" s="685"/>
      <c r="K460" s="682">
        <v>43977</v>
      </c>
      <c r="L460" s="683" t="s">
        <v>181</v>
      </c>
      <c r="M460" s="683" t="s">
        <v>184</v>
      </c>
      <c r="N460" s="683" t="s">
        <v>183</v>
      </c>
      <c r="O460" s="683"/>
      <c r="P460" s="683"/>
      <c r="Q460" s="683" t="s">
        <v>108</v>
      </c>
      <c r="R460" s="683" t="s">
        <v>2316</v>
      </c>
      <c r="S460" s="686" t="s">
        <v>2318</v>
      </c>
      <c r="T460" s="683" t="s">
        <v>2317</v>
      </c>
      <c r="U460" s="683"/>
      <c r="V460" s="683" t="s">
        <v>146</v>
      </c>
      <c r="W460" s="683" t="s">
        <v>914</v>
      </c>
      <c r="X460" s="691" t="s">
        <v>918</v>
      </c>
      <c r="Y460" s="687">
        <v>3004416580</v>
      </c>
      <c r="Z460" s="85"/>
      <c r="AA460" s="683" t="s">
        <v>33</v>
      </c>
      <c r="AB460" s="683" t="s">
        <v>34</v>
      </c>
      <c r="AC460" s="683" t="s">
        <v>230</v>
      </c>
      <c r="AD460" s="683">
        <v>450</v>
      </c>
      <c r="AE460" s="683">
        <v>60</v>
      </c>
      <c r="AF460" s="684">
        <v>2056.8000000000002</v>
      </c>
      <c r="AG460" s="683" t="s">
        <v>243</v>
      </c>
      <c r="AH460" s="683" t="s">
        <v>220</v>
      </c>
      <c r="AI460" s="683" t="s">
        <v>33</v>
      </c>
      <c r="AJ460" s="683">
        <v>3004426061</v>
      </c>
      <c r="AK460" s="683" t="s">
        <v>33</v>
      </c>
      <c r="AL460" s="683">
        <v>107746810</v>
      </c>
      <c r="AM460" s="683" t="s">
        <v>2319</v>
      </c>
      <c r="AN460" s="683" t="s">
        <v>246</v>
      </c>
      <c r="AO460" s="683" t="s">
        <v>247</v>
      </c>
      <c r="AP460" s="683" t="s">
        <v>240</v>
      </c>
      <c r="AQ460" s="688" t="str">
        <f>CONCATENATE("REG-",BDEGENER[[#This Row],[FECHA DE SERVICIO]],"-",BDEGENER[[#This Row],[SERIE]],"-",BDEGENER[[#This Row],[HORAS]])</f>
        <v>REG-43977-3004416580-2056,8</v>
      </c>
      <c r="AR460" s="683" t="str">
        <f>CONCATENATE("MARCA: ",BDEGENER[[#This Row],[MARCA]],"
 MODELO: ",BDEGENER[[#This Row],[MODELO]])</f>
        <v>MARCA: GENERAC
 MODELO: PG090</v>
      </c>
      <c r="AS460" s="683" t="str">
        <f>CONCATENATE("MARCA: ",BDEGENER[[#This Row],[MARCA DE MOTOR]],"
SERIE: ",BDEGENER[[#This Row],[SERIE DE MOTOR]])</f>
        <v>MARCA: GENERAC
SERIE: 3004426061</v>
      </c>
      <c r="AT460" s="683" t="str">
        <f>CONCATENATE("MARCA: ",BDEGENER[[#This Row],[MARCA ALTERNADOR ]],"
SERIE: ",BDEGENER[[#This Row],[SERIE DE ALTERNADOR]])</f>
        <v>MARCA: GENERAC
SERIE: 107746810</v>
      </c>
      <c r="AU460" s="683" t="str">
        <f>CONCATENATE("HORAS: ",BDEGENER[[#This Row],[HORAS]],"
KW-HR: ",BDEGENER[[#This Row],[KW-HORA]],"
VOLT.BATERIA: ",BDEGENER[[#This Row],[VOLTAJE DE BATERIA]],"
TEMPERATURA: ",BDEGENER[[#This Row],[TEMPERATURA DE AGUA]],"
PRES. ACEITE: ",BDEGENER[[#This Row],[PRESION DE ACEITE]])</f>
        <v>HORAS: 2056,8
KW-HR: 23361,8
VOLT.BATERIA: 14.3 V
TEMPERATURA: 198 °F
PRES. ACEITE: 55 PSI</v>
      </c>
      <c r="AV460" s="761">
        <f>COUNTIFS(Q460:Q2460,"MANTENIMIENTO CORRECTIVO",Y460:Y2460,BDEGENER[[#This Row],[SERIE]])</f>
        <v>2</v>
      </c>
      <c r="AW460" s="761">
        <f>COUNTIFS(Q460:Q2460,"MANTENIMIENTO PREVENTIVO",Y460:Y2460,BDEGENER[[#This Row],[SERIE]])</f>
        <v>6</v>
      </c>
      <c r="AX46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60" s="683">
        <f>COUNTIFS(BDEGENER[SERIE],BDEGENER[[#This Row],[SERIE]],BDEGENER[TIPO DE SERVICIO],"MANTENIMIENTO PREVENTIVO")</f>
        <v>8</v>
      </c>
      <c r="AZ460" s="683" t="str">
        <f>CONCATENATE("MANTENIMIENTO PREVENTIVO N°",BDEGENER[[#This Row],[GA1]])</f>
        <v>MANTENIMIENTO PREVENTIVO N°8</v>
      </c>
      <c r="BA460" s="683" t="str">
        <f>IF(BDEGENER[[#This Row],[SERVICIO]]=BDEGENER[[#This Row],[GA2]],BDEGENER[[#This Row],[HORAS]],"0")</f>
        <v>0</v>
      </c>
      <c r="BB460" s="683">
        <f>SUMIF(BDEGENER[SERIE],BDEGENER[[#This Row],[SERIE]],BDEGENER[GA3])</f>
        <v>3113.9</v>
      </c>
      <c r="BC460" s="761" t="str">
        <f>CONCATENATE("MANT",COUNTIF($Y$7:Y460,Y460))</f>
        <v>MANT5</v>
      </c>
      <c r="BD460" s="683" t="str">
        <f>CONCATENATE(BDEGENER[[#This Row],[SERIE]],BDEGENER[[#This Row],[GA5]])</f>
        <v>3004416580MANT5</v>
      </c>
      <c r="BE460" s="683" t="str">
        <f>CONCATENATE(BDEGENER[[#This Row],[CODIGO PATRIMONIAL]],BDEGENER[[#This Row],[GA5]])</f>
        <v>MANT5</v>
      </c>
      <c r="BF460" s="683">
        <f>COUNTIF(BDEGENER[SERIE],BDEGENER[[#This Row],[SERIE]])</f>
        <v>14</v>
      </c>
      <c r="BG460" s="761" t="str">
        <f>CONCATENATE("F",COUNTIF($K$7:K460,K460))</f>
        <v>F1</v>
      </c>
      <c r="BH460" s="683" t="str">
        <f>CONCATENATE(BDEGENER[[#This Row],[FECHA DE SERVICIO]],BDEGENER[[#This Row],[N° DE REGISTROS DEL DIA]])</f>
        <v>43977F1</v>
      </c>
      <c r="BI460" s="684">
        <v>23361.8</v>
      </c>
      <c r="BJ460" s="683" t="s">
        <v>1544</v>
      </c>
      <c r="BK460" s="736"/>
    </row>
    <row r="461" spans="2:63" ht="69" hidden="1" x14ac:dyDescent="0.3">
      <c r="B461" s="2"/>
      <c r="C461" s="2"/>
      <c r="D461" s="2"/>
      <c r="E461" s="2"/>
      <c r="F461" s="2"/>
      <c r="G461" s="2"/>
      <c r="H461" s="2"/>
      <c r="I461" s="2"/>
      <c r="J461" s="685"/>
      <c r="K461" s="682">
        <v>43977</v>
      </c>
      <c r="L461" s="683" t="s">
        <v>181</v>
      </c>
      <c r="M461" s="683" t="s">
        <v>184</v>
      </c>
      <c r="N461" s="683" t="s">
        <v>183</v>
      </c>
      <c r="O461" s="683">
        <v>4500873022</v>
      </c>
      <c r="P461" s="683" t="s">
        <v>2310</v>
      </c>
      <c r="Q461" s="683" t="s">
        <v>37</v>
      </c>
      <c r="R461" s="683" t="s">
        <v>1782</v>
      </c>
      <c r="S461" s="686" t="s">
        <v>2314</v>
      </c>
      <c r="T461" s="683" t="s">
        <v>2312</v>
      </c>
      <c r="U461" s="683" t="s">
        <v>2315</v>
      </c>
      <c r="V461" s="683" t="s">
        <v>146</v>
      </c>
      <c r="W461" s="683" t="s">
        <v>914</v>
      </c>
      <c r="X461" s="691" t="s">
        <v>918</v>
      </c>
      <c r="Y461" s="687">
        <v>3004227749</v>
      </c>
      <c r="Z461" s="692"/>
      <c r="AA461" s="683" t="s">
        <v>33</v>
      </c>
      <c r="AB461" s="683" t="s">
        <v>34</v>
      </c>
      <c r="AC461" s="683" t="s">
        <v>230</v>
      </c>
      <c r="AD461" s="683" t="s">
        <v>1110</v>
      </c>
      <c r="AE461" s="683">
        <v>60</v>
      </c>
      <c r="AF461" s="684">
        <v>1347.3</v>
      </c>
      <c r="AG461" s="683" t="s">
        <v>243</v>
      </c>
      <c r="AH461" s="683" t="s">
        <v>220</v>
      </c>
      <c r="AI461" s="683" t="s">
        <v>33</v>
      </c>
      <c r="AJ461" s="683">
        <v>3004231901</v>
      </c>
      <c r="AK461" s="683" t="s">
        <v>33</v>
      </c>
      <c r="AL461" s="683">
        <v>10630140</v>
      </c>
      <c r="AM461" s="683" t="s">
        <v>1121</v>
      </c>
      <c r="AN461" s="683" t="s">
        <v>1505</v>
      </c>
      <c r="AO461" s="683" t="s">
        <v>247</v>
      </c>
      <c r="AP461" s="683" t="s">
        <v>240</v>
      </c>
      <c r="AQ461" s="683" t="str">
        <f>CONCATENATE("REG-",BDEGENER[[#This Row],[FECHA DE SERVICIO]],"-",BDEGENER[[#This Row],[SERIE]],"-",BDEGENER[[#This Row],[HORAS]])</f>
        <v>REG-43977-3004227749-1347,3</v>
      </c>
      <c r="AR461" s="683" t="str">
        <f>CONCATENATE("MARCA: ",BDEGENER[[#This Row],[MARCA]],"
 MODELO: ",BDEGENER[[#This Row],[MODELO]])</f>
        <v>MARCA: GENERAC
 MODELO: PG090</v>
      </c>
      <c r="AS461" s="683" t="str">
        <f>CONCATENATE("MARCA: ",BDEGENER[[#This Row],[MARCA DE MOTOR]],"
SERIE: ",BDEGENER[[#This Row],[SERIE DE MOTOR]])</f>
        <v>MARCA: GENERAC
SERIE: 3004231901</v>
      </c>
      <c r="AT461" s="683" t="str">
        <f>CONCATENATE("MARCA: ",BDEGENER[[#This Row],[MARCA ALTERNADOR ]],"
SERIE: ",BDEGENER[[#This Row],[SERIE DE ALTERNADOR]])</f>
        <v>MARCA: GENERAC
SERIE: 10630140</v>
      </c>
      <c r="AU461" s="683" t="str">
        <f>CONCATENATE("HORAS: ",BDEGENER[[#This Row],[HORAS]],"
KW-HR: ",BDEGENER[[#This Row],[KW-HORA]],"
VOLT.BATERIA: ",BDEGENER[[#This Row],[VOLTAJE DE BATERIA]],"
TEMPERATURA: ",BDEGENER[[#This Row],[TEMPERATURA DE AGUA]],"
PRES. ACEITE: ",BDEGENER[[#This Row],[PRESION DE ACEITE]])</f>
        <v>HORAS: 1347,3
KW-HR: 34868,5
VOLT.BATERIA: 13.7 V
TEMPERATURA: 194 °F
PRES. ACEITE: 55 PSI</v>
      </c>
      <c r="AV461" s="683">
        <f>COUNTIFS(Q461:Q2461,"MANTENIMIENTO CORRECTIVO",Y461:Y2461,BDEGENER[[#This Row],[SERIE]])</f>
        <v>3</v>
      </c>
      <c r="AW461" s="683">
        <f>COUNTIFS(Q461:Q2461,"MANTENIMIENTO PREVENTIVO",Y461:Y2461,BDEGENER[[#This Row],[SERIE]])</f>
        <v>5</v>
      </c>
      <c r="AX46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61" s="683">
        <f>COUNTIFS(BDEGENER[SERIE],BDEGENER[[#This Row],[SERIE]],BDEGENER[TIPO DE SERVICIO],"MANTENIMIENTO PREVENTIVO")</f>
        <v>8</v>
      </c>
      <c r="AZ461" s="683" t="str">
        <f>CONCATENATE("MANTENIMIENTO PREVENTIVO N°",BDEGENER[[#This Row],[GA1]])</f>
        <v>MANTENIMIENTO PREVENTIVO N°8</v>
      </c>
      <c r="BA461" s="683" t="str">
        <f>IF(BDEGENER[[#This Row],[SERVICIO]]=BDEGENER[[#This Row],[GA2]],BDEGENER[[#This Row],[HORAS]],"0")</f>
        <v>0</v>
      </c>
      <c r="BB461" s="683">
        <f>SUMIF(BDEGENER[SERIE],BDEGENER[[#This Row],[SERIE]],BDEGENER[GA3])</f>
        <v>2404.1999999999998</v>
      </c>
      <c r="BC461" s="683" t="str">
        <f>CONCATENATE("MANT",COUNTIF($Y$7:Y461,Y461))</f>
        <v>MANT6</v>
      </c>
      <c r="BD461" s="683" t="str">
        <f>CONCATENATE(BDEGENER[[#This Row],[SERIE]],BDEGENER[[#This Row],[GA5]])</f>
        <v>3004227749MANT6</v>
      </c>
      <c r="BE461" s="683" t="str">
        <f>CONCATENATE(BDEGENER[[#This Row],[CODIGO PATRIMONIAL]],BDEGENER[[#This Row],[GA5]])</f>
        <v>MANT6</v>
      </c>
      <c r="BF461" s="683">
        <f>COUNTIF(BDEGENER[SERIE],BDEGENER[[#This Row],[SERIE]])</f>
        <v>16</v>
      </c>
      <c r="BG461" s="683" t="str">
        <f>CONCATENATE("F",COUNTIF($K$7:K461,K461))</f>
        <v>F2</v>
      </c>
      <c r="BH461" s="683" t="str">
        <f>CONCATENATE(BDEGENER[[#This Row],[FECHA DE SERVICIO]],BDEGENER[[#This Row],[N° DE REGISTROS DEL DIA]])</f>
        <v>43977F2</v>
      </c>
      <c r="BI461" s="684">
        <v>34868.5</v>
      </c>
      <c r="BJ461" s="683" t="s">
        <v>1544</v>
      </c>
      <c r="BK461" s="736" t="s">
        <v>2261</v>
      </c>
    </row>
    <row r="462" spans="2:63" ht="69" hidden="1" x14ac:dyDescent="0.3">
      <c r="B462" s="2"/>
      <c r="C462" s="2"/>
      <c r="D462" s="2"/>
      <c r="E462" s="2"/>
      <c r="F462" s="2"/>
      <c r="G462" s="2"/>
      <c r="H462" s="2"/>
      <c r="I462" s="2"/>
      <c r="J462" s="685"/>
      <c r="K462" s="682">
        <v>43977</v>
      </c>
      <c r="L462" s="683" t="s">
        <v>181</v>
      </c>
      <c r="M462" s="683" t="s">
        <v>184</v>
      </c>
      <c r="N462" s="683" t="s">
        <v>183</v>
      </c>
      <c r="O462" s="683">
        <v>4500873022</v>
      </c>
      <c r="P462" s="688" t="s">
        <v>2310</v>
      </c>
      <c r="Q462" s="683" t="s">
        <v>37</v>
      </c>
      <c r="R462" s="683" t="s">
        <v>1782</v>
      </c>
      <c r="S462" s="686" t="s">
        <v>2311</v>
      </c>
      <c r="T462" s="683" t="s">
        <v>2312</v>
      </c>
      <c r="U462" s="683" t="s">
        <v>2313</v>
      </c>
      <c r="V462" s="683" t="s">
        <v>146</v>
      </c>
      <c r="W462" s="683" t="s">
        <v>914</v>
      </c>
      <c r="X462" s="691" t="s">
        <v>918</v>
      </c>
      <c r="Y462" s="687">
        <v>3004336197</v>
      </c>
      <c r="Z462" s="692"/>
      <c r="AA462" s="683" t="s">
        <v>33</v>
      </c>
      <c r="AB462" s="683" t="s">
        <v>34</v>
      </c>
      <c r="AC462" s="683" t="s">
        <v>230</v>
      </c>
      <c r="AD462" s="683" t="s">
        <v>1110</v>
      </c>
      <c r="AE462" s="683">
        <v>60</v>
      </c>
      <c r="AF462" s="684">
        <v>1382.9</v>
      </c>
      <c r="AG462" s="683" t="s">
        <v>243</v>
      </c>
      <c r="AH462" s="683" t="s">
        <v>220</v>
      </c>
      <c r="AI462" s="683" t="s">
        <v>33</v>
      </c>
      <c r="AJ462" s="683">
        <v>3004309062</v>
      </c>
      <c r="AK462" s="683" t="s">
        <v>33</v>
      </c>
      <c r="AL462" s="683">
        <v>10650720</v>
      </c>
      <c r="AM462" s="683" t="s">
        <v>1121</v>
      </c>
      <c r="AN462" s="683" t="s">
        <v>1122</v>
      </c>
      <c r="AO462" s="683" t="s">
        <v>1349</v>
      </c>
      <c r="AP462" s="683" t="s">
        <v>240</v>
      </c>
      <c r="AQ462" s="688" t="str">
        <f>CONCATENATE("REG-",BDEGENER[[#This Row],[FECHA DE SERVICIO]],"-",BDEGENER[[#This Row],[SERIE]],"-",BDEGENER[[#This Row],[HORAS]])</f>
        <v>REG-43977-3004336197-1382,9</v>
      </c>
      <c r="AR462" s="683" t="str">
        <f>CONCATENATE("MARCA: ",BDEGENER[[#This Row],[MARCA]],"
 MODELO: ",BDEGENER[[#This Row],[MODELO]])</f>
        <v>MARCA: GENERAC
 MODELO: PG090</v>
      </c>
      <c r="AS462" s="683" t="str">
        <f>CONCATENATE("MARCA: ",BDEGENER[[#This Row],[MARCA DE MOTOR]],"
SERIE: ",BDEGENER[[#This Row],[SERIE DE MOTOR]])</f>
        <v>MARCA: GENERAC
SERIE: 3004309062</v>
      </c>
      <c r="AT462" s="683" t="str">
        <f>CONCATENATE("MARCA: ",BDEGENER[[#This Row],[MARCA ALTERNADOR ]],"
SERIE: ",BDEGENER[[#This Row],[SERIE DE ALTERNADOR]])</f>
        <v>MARCA: GENERAC
SERIE: 10650720</v>
      </c>
      <c r="AU462" s="683" t="str">
        <f>CONCATENATE("HORAS: ",BDEGENER[[#This Row],[HORAS]],"
KW-HR: ",BDEGENER[[#This Row],[KW-HORA]],"
VOLT.BATERIA: ",BDEGENER[[#This Row],[VOLTAJE DE BATERIA]],"
TEMPERATURA: ",BDEGENER[[#This Row],[TEMPERATURA DE AGUA]],"
PRES. ACEITE: ",BDEGENER[[#This Row],[PRESION DE ACEITE]])</f>
        <v>HORAS: 1382,9
KW-HR: 31998,5
VOLT.BATERIA: 13.7 V
TEMPERATURA: 195 °F
PRES. ACEITE: 56 PSI</v>
      </c>
      <c r="AV462" s="683">
        <f>COUNTIFS(Q462:Q2462,"MANTENIMIENTO CORRECTIVO",Y462:Y2462,BDEGENER[[#This Row],[SERIE]])</f>
        <v>4</v>
      </c>
      <c r="AW462" s="683">
        <f>COUNTIFS(Q462:Q2462,"MANTENIMIENTO PREVENTIVO",Y462:Y2462,BDEGENER[[#This Row],[SERIE]])</f>
        <v>5</v>
      </c>
      <c r="AX46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62" s="683">
        <f>COUNTIFS(BDEGENER[SERIE],BDEGENER[[#This Row],[SERIE]],BDEGENER[TIPO DE SERVICIO],"MANTENIMIENTO PREVENTIVO")</f>
        <v>9</v>
      </c>
      <c r="AZ462" s="683" t="str">
        <f>CONCATENATE("MANTENIMIENTO PREVENTIVO N°",BDEGENER[[#This Row],[GA1]])</f>
        <v>MANTENIMIENTO PREVENTIVO N°9</v>
      </c>
      <c r="BA462" s="683" t="str">
        <f>IF(BDEGENER[[#This Row],[SERVICIO]]=BDEGENER[[#This Row],[GA2]],BDEGENER[[#This Row],[HORAS]],"0")</f>
        <v>0</v>
      </c>
      <c r="BB462" s="683">
        <f>SUMIF(BDEGENER[SERIE],BDEGENER[[#This Row],[SERIE]],BDEGENER[GA3])</f>
        <v>2922.3</v>
      </c>
      <c r="BC462" s="683" t="str">
        <f>CONCATENATE("MANT",COUNTIF($Y$7:Y462,Y462))</f>
        <v>MANT7</v>
      </c>
      <c r="BD462" s="683" t="str">
        <f>CONCATENATE(BDEGENER[[#This Row],[SERIE]],BDEGENER[[#This Row],[GA5]])</f>
        <v>3004336197MANT7</v>
      </c>
      <c r="BE462" s="683" t="str">
        <f>CONCATENATE(BDEGENER[[#This Row],[CODIGO PATRIMONIAL]],BDEGENER[[#This Row],[GA5]])</f>
        <v>MANT7</v>
      </c>
      <c r="BF462" s="683">
        <f>COUNTIF(BDEGENER[SERIE],BDEGENER[[#This Row],[SERIE]])</f>
        <v>17</v>
      </c>
      <c r="BG462" s="683" t="str">
        <f>CONCATENATE("F",COUNTIF($K$7:K462,K462))</f>
        <v>F3</v>
      </c>
      <c r="BH462" s="683" t="str">
        <f>CONCATENATE(BDEGENER[[#This Row],[FECHA DE SERVICIO]],BDEGENER[[#This Row],[N° DE REGISTROS DEL DIA]])</f>
        <v>43977F3</v>
      </c>
      <c r="BI462" s="684">
        <v>31998.5</v>
      </c>
      <c r="BJ462" s="683" t="s">
        <v>1544</v>
      </c>
      <c r="BK462" s="736" t="s">
        <v>2261</v>
      </c>
    </row>
    <row r="463" spans="2:63" ht="69" hidden="1" x14ac:dyDescent="0.3">
      <c r="B463" s="2"/>
      <c r="C463" s="2"/>
      <c r="D463" s="2"/>
      <c r="E463" s="2"/>
      <c r="F463" s="2"/>
      <c r="G463" s="2"/>
      <c r="H463" s="2"/>
      <c r="I463" s="2"/>
      <c r="J463" s="685"/>
      <c r="K463" s="682">
        <v>43974</v>
      </c>
      <c r="L463" s="683" t="s">
        <v>764</v>
      </c>
      <c r="M463" s="683" t="s">
        <v>2715</v>
      </c>
      <c r="N463" s="683" t="s">
        <v>2714</v>
      </c>
      <c r="O463" s="683"/>
      <c r="P463" s="683"/>
      <c r="Q463" s="683" t="s">
        <v>37</v>
      </c>
      <c r="R463" s="683" t="s">
        <v>2716</v>
      </c>
      <c r="S463" s="686" t="s">
        <v>2720</v>
      </c>
      <c r="T463" s="683" t="s">
        <v>2721</v>
      </c>
      <c r="U463" s="683" t="s">
        <v>2722</v>
      </c>
      <c r="V463" s="683" t="s">
        <v>149</v>
      </c>
      <c r="W463" s="683" t="s">
        <v>914</v>
      </c>
      <c r="X463" s="691" t="s">
        <v>917</v>
      </c>
      <c r="Y463" s="687" t="s">
        <v>784</v>
      </c>
      <c r="Z463" s="692"/>
      <c r="AA463" s="683" t="s">
        <v>1387</v>
      </c>
      <c r="AB463" s="683" t="s">
        <v>2717</v>
      </c>
      <c r="AC463" s="683" t="s">
        <v>790</v>
      </c>
      <c r="AD463" s="683" t="s">
        <v>1945</v>
      </c>
      <c r="AE463" s="683">
        <v>60.1</v>
      </c>
      <c r="AF463" s="684">
        <v>30.1</v>
      </c>
      <c r="AG463" s="683" t="s">
        <v>243</v>
      </c>
      <c r="AH463" s="683" t="s">
        <v>2713</v>
      </c>
      <c r="AI463" s="683" t="s">
        <v>1966</v>
      </c>
      <c r="AJ463" s="683">
        <v>78392098</v>
      </c>
      <c r="AK463" s="683" t="s">
        <v>1448</v>
      </c>
      <c r="AL463" s="683">
        <v>35211003</v>
      </c>
      <c r="AM463" s="683" t="s">
        <v>1441</v>
      </c>
      <c r="AN463" s="683" t="s">
        <v>2438</v>
      </c>
      <c r="AO463" s="683" t="s">
        <v>2719</v>
      </c>
      <c r="AP463" s="683" t="s">
        <v>240</v>
      </c>
      <c r="AQ463" s="688" t="str">
        <f>CONCATENATE("REG-",BDEGENER[[#This Row],[FECHA DE SERVICIO]],"-",BDEGENER[[#This Row],[SERIE]],"-",BDEGENER[[#This Row],[HORAS]])</f>
        <v>REG-43974-59G12-443-1979-30,1</v>
      </c>
      <c r="AR463" s="683" t="str">
        <f>CONCATENATE("MARCA: ",BDEGENER[[#This Row],[MARCA]],"
 MODELO: ",BDEGENER[[#This Row],[MODELO]])</f>
        <v>MARCA: GAMMA
 MODELO: GCLS-150I</v>
      </c>
      <c r="AS463" s="683" t="str">
        <f>CONCATENATE("MARCA: ",BDEGENER[[#This Row],[MARCA DE MOTOR]],"
SERIE: ",BDEGENER[[#This Row],[SERIE DE MOTOR]])</f>
        <v>MARCA: CUMMINS
SERIE: 78392098</v>
      </c>
      <c r="AT463" s="683" t="str">
        <f>CONCATENATE("MARCA: ",BDEGENER[[#This Row],[MARCA ALTERNADOR ]],"
SERIE: ",BDEGENER[[#This Row],[SERIE DE ALTERNADOR]])</f>
        <v>MARCA: LEROY SOMER
SERIE: 35211003</v>
      </c>
      <c r="AU463" s="683" t="str">
        <f>CONCATENATE("HORAS: ",BDEGENER[[#This Row],[HORAS]],"
KW-HR: ",BDEGENER[[#This Row],[KW-HORA]],"
VOLT.BATERIA: ",BDEGENER[[#This Row],[VOLTAJE DE BATERIA]],"
TEMPERATURA: ",BDEGENER[[#This Row],[TEMPERATURA DE AGUA]],"
PRES. ACEITE: ",BDEGENER[[#This Row],[PRESION DE ACEITE]])</f>
        <v>HORAS: 30,1
KW-HR: 
VOLT.BATERIA: 26 V
TEMPERATURA: 75 °C
PRES. ACEITE: 5.7 Bar</v>
      </c>
      <c r="AV463" s="761">
        <f>COUNTIFS(Q463:Q2463,"MANTENIMIENTO CORRECTIVO",Y463:Y2463,BDEGENER[[#This Row],[SERIE]])</f>
        <v>0</v>
      </c>
      <c r="AW463" s="761">
        <f>COUNTIFS(Q463:Q2463,"MANTENIMIENTO PREVENTIVO",Y463:Y2463,BDEGENER[[#This Row],[SERIE]])</f>
        <v>2</v>
      </c>
      <c r="AX46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463" s="683">
        <f>COUNTIFS(BDEGENER[SERIE],BDEGENER[[#This Row],[SERIE]],BDEGENER[TIPO DE SERVICIO],"MANTENIMIENTO PREVENTIVO")</f>
        <v>2</v>
      </c>
      <c r="AZ463" s="683" t="str">
        <f>CONCATENATE("MANTENIMIENTO PREVENTIVO N°",BDEGENER[[#This Row],[GA1]])</f>
        <v>MANTENIMIENTO PREVENTIVO N°2</v>
      </c>
      <c r="BA463" s="683">
        <f>IF(BDEGENER[[#This Row],[SERVICIO]]=BDEGENER[[#This Row],[GA2]],BDEGENER[[#This Row],[HORAS]],"0")</f>
        <v>30.1</v>
      </c>
      <c r="BB463" s="683">
        <f>SUMIF(BDEGENER[SERIE],BDEGENER[[#This Row],[SERIE]],BDEGENER[GA3])</f>
        <v>30.1</v>
      </c>
      <c r="BC463" s="761" t="str">
        <f>CONCATENATE("MANT",COUNTIF($Y$7:Y463,Y463))</f>
        <v>MANT1</v>
      </c>
      <c r="BD463" s="683" t="str">
        <f>CONCATENATE(BDEGENER[[#This Row],[SERIE]],BDEGENER[[#This Row],[GA5]])</f>
        <v>59G12-443-1979MANT1</v>
      </c>
      <c r="BE463" s="683" t="str">
        <f>CONCATENATE(BDEGENER[[#This Row],[CODIGO PATRIMONIAL]],BDEGENER[[#This Row],[GA5]])</f>
        <v>MANT1</v>
      </c>
      <c r="BF463" s="683">
        <f>COUNTIF(BDEGENER[SERIE],BDEGENER[[#This Row],[SERIE]])</f>
        <v>2</v>
      </c>
      <c r="BG463" s="761" t="str">
        <f>CONCATENATE("F",COUNTIF($K$7:K463,K463))</f>
        <v>F1</v>
      </c>
      <c r="BH463" s="683" t="str">
        <f>CONCATENATE(BDEGENER[[#This Row],[FECHA DE SERVICIO]],BDEGENER[[#This Row],[N° DE REGISTROS DEL DIA]])</f>
        <v>43974F1</v>
      </c>
      <c r="BI463" s="684"/>
      <c r="BJ463" s="683" t="s">
        <v>1544</v>
      </c>
      <c r="BK463" s="736"/>
    </row>
    <row r="464" spans="2:63" ht="69" hidden="1" x14ac:dyDescent="0.3">
      <c r="B464" s="2"/>
      <c r="C464" s="2"/>
      <c r="D464" s="2"/>
      <c r="E464" s="2"/>
      <c r="F464" s="2"/>
      <c r="G464" s="2"/>
      <c r="H464" s="2"/>
      <c r="I464" s="2"/>
      <c r="J464" s="685"/>
      <c r="K464" s="682">
        <v>43974</v>
      </c>
      <c r="L464" s="683" t="s">
        <v>764</v>
      </c>
      <c r="M464" s="683" t="s">
        <v>2645</v>
      </c>
      <c r="N464" s="683" t="s">
        <v>2641</v>
      </c>
      <c r="O464" s="683"/>
      <c r="P464" s="683"/>
      <c r="Q464" s="683" t="s">
        <v>37</v>
      </c>
      <c r="R464" s="683" t="s">
        <v>2709</v>
      </c>
      <c r="S464" s="686" t="s">
        <v>2710</v>
      </c>
      <c r="T464" s="683" t="s">
        <v>2711</v>
      </c>
      <c r="U464" s="683" t="s">
        <v>2712</v>
      </c>
      <c r="V464" s="683" t="s">
        <v>149</v>
      </c>
      <c r="W464" s="683" t="s">
        <v>913</v>
      </c>
      <c r="X464" s="691" t="s">
        <v>917</v>
      </c>
      <c r="Y464" s="687" t="s">
        <v>2635</v>
      </c>
      <c r="Z464" s="692" t="s">
        <v>159</v>
      </c>
      <c r="AA464" s="683" t="s">
        <v>2637</v>
      </c>
      <c r="AB464" s="683" t="s">
        <v>782</v>
      </c>
      <c r="AC464" s="683" t="s">
        <v>788</v>
      </c>
      <c r="AD464" s="683" t="s">
        <v>2344</v>
      </c>
      <c r="AE464" s="683">
        <v>61.5</v>
      </c>
      <c r="AF464" s="684">
        <v>336.2</v>
      </c>
      <c r="AG464" s="683" t="s">
        <v>243</v>
      </c>
      <c r="AH464" s="683" t="s">
        <v>2638</v>
      </c>
      <c r="AI464" s="683" t="s">
        <v>1966</v>
      </c>
      <c r="AJ464" s="683" t="s">
        <v>2639</v>
      </c>
      <c r="AK464" s="683" t="s">
        <v>2637</v>
      </c>
      <c r="AL464" s="683" t="s">
        <v>2635</v>
      </c>
      <c r="AM464" s="683" t="s">
        <v>2503</v>
      </c>
      <c r="AN464" s="683" t="s">
        <v>2584</v>
      </c>
      <c r="AO464" s="683" t="s">
        <v>1097</v>
      </c>
      <c r="AP464" s="683" t="s">
        <v>240</v>
      </c>
      <c r="AQ464" s="688" t="str">
        <f>CONCATENATE("REG-",BDEGENER[[#This Row],[FECHA DE SERVICIO]],"-",BDEGENER[[#This Row],[SERIE]],"-",BDEGENER[[#This Row],[HORAS]])</f>
        <v>REG-43974-F930510270-336,2</v>
      </c>
      <c r="AR464" s="683" t="str">
        <f>CONCATENATE("MARCA: ",BDEGENER[[#This Row],[MARCA]],"
 MODELO: ",BDEGENER[[#This Row],[MODELO]])</f>
        <v>MARCA: ONAN
 MODELO: 15RDJCL</v>
      </c>
      <c r="AS464" s="683" t="str">
        <f>CONCATENATE("MARCA: ",BDEGENER[[#This Row],[MARCA DE MOTOR]],"
SERIE: ",BDEGENER[[#This Row],[SERIE DE MOTOR]])</f>
        <v>MARCA: CUMMINS
SERIE: 170-2305</v>
      </c>
      <c r="AT464" s="683" t="str">
        <f>CONCATENATE("MARCA: ",BDEGENER[[#This Row],[MARCA ALTERNADOR ]],"
SERIE: ",BDEGENER[[#This Row],[SERIE DE ALTERNADOR]])</f>
        <v>MARCA: ONAN
SERIE: F930510270</v>
      </c>
      <c r="AU464" s="683" t="str">
        <f>CONCATENATE("HORAS: ",BDEGENER[[#This Row],[HORAS]],"
KW-HR: ",BDEGENER[[#This Row],[KW-HORA]],"
VOLT.BATERIA: ",BDEGENER[[#This Row],[VOLTAJE DE BATERIA]],"
TEMPERATURA: ",BDEGENER[[#This Row],[TEMPERATURA DE AGUA]],"
PRES. ACEITE: ",BDEGENER[[#This Row],[PRESION DE ACEITE]])</f>
        <v>HORAS: 336,2
KW-HR: 
VOLT.BATERIA: 12.6 V
TEMPERATURA: 70 °C
PRES. ACEITE: 48 PSI</v>
      </c>
      <c r="AV464" s="683">
        <f>COUNTIFS(Q464:Q2464,"MANTENIMIENTO CORRECTIVO",Y464:Y2464,BDEGENER[[#This Row],[SERIE]])</f>
        <v>0</v>
      </c>
      <c r="AW464" s="683">
        <f>COUNTIFS(Q464:Q2464,"MANTENIMIENTO PREVENTIVO",Y464:Y2464,BDEGENER[[#This Row],[SERIE]])</f>
        <v>2</v>
      </c>
      <c r="AX46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464" s="683">
        <f>COUNTIFS(BDEGENER[SERIE],BDEGENER[[#This Row],[SERIE]],BDEGENER[TIPO DE SERVICIO],"MANTENIMIENTO PREVENTIVO")</f>
        <v>2</v>
      </c>
      <c r="AZ464" s="683" t="str">
        <f>CONCATENATE("MANTENIMIENTO PREVENTIVO N°",BDEGENER[[#This Row],[GA1]])</f>
        <v>MANTENIMIENTO PREVENTIVO N°2</v>
      </c>
      <c r="BA464" s="683">
        <f>IF(BDEGENER[[#This Row],[SERVICIO]]=BDEGENER[[#This Row],[GA2]],BDEGENER[[#This Row],[HORAS]],"0")</f>
        <v>336.2</v>
      </c>
      <c r="BB464" s="683">
        <f>SUMIF(BDEGENER[SERIE],BDEGENER[[#This Row],[SERIE]],BDEGENER[GA3])</f>
        <v>336.2</v>
      </c>
      <c r="BC464" s="683" t="str">
        <f>CONCATENATE("MANT",COUNTIF($Y$7:Y464,Y464))</f>
        <v>MANT3</v>
      </c>
      <c r="BD464" s="683" t="str">
        <f>CONCATENATE(BDEGENER[[#This Row],[SERIE]],BDEGENER[[#This Row],[GA5]])</f>
        <v>F930510270MANT3</v>
      </c>
      <c r="BE464" s="683" t="str">
        <f>CONCATENATE(BDEGENER[[#This Row],[CODIGO PATRIMONIAL]],BDEGENER[[#This Row],[GA5]])</f>
        <v>MANT3</v>
      </c>
      <c r="BF464" s="683">
        <f>COUNTIF(BDEGENER[SERIE],BDEGENER[[#This Row],[SERIE]])</f>
        <v>4</v>
      </c>
      <c r="BG464" s="683" t="str">
        <f>CONCATENATE("F",COUNTIF($K$7:K464,K464))</f>
        <v>F2</v>
      </c>
      <c r="BH464" s="683" t="str">
        <f>CONCATENATE(BDEGENER[[#This Row],[FECHA DE SERVICIO]],BDEGENER[[#This Row],[N° DE REGISTROS DEL DIA]])</f>
        <v>43974F2</v>
      </c>
      <c r="BI464" s="684"/>
      <c r="BJ464" s="683" t="s">
        <v>1544</v>
      </c>
      <c r="BK464" s="736"/>
    </row>
    <row r="465" spans="2:63" ht="69" hidden="1" x14ac:dyDescent="0.3">
      <c r="B465" s="2"/>
      <c r="C465" s="2"/>
      <c r="D465" s="2"/>
      <c r="E465" s="2"/>
      <c r="F465" s="2"/>
      <c r="G465" s="2"/>
      <c r="H465" s="2"/>
      <c r="I465" s="2"/>
      <c r="J465" s="685"/>
      <c r="K465" s="682">
        <v>43974</v>
      </c>
      <c r="L465" s="683" t="s">
        <v>764</v>
      </c>
      <c r="M465" s="683" t="s">
        <v>2645</v>
      </c>
      <c r="N465" s="683" t="s">
        <v>2641</v>
      </c>
      <c r="O465" s="683"/>
      <c r="P465" s="683"/>
      <c r="Q465" s="683" t="s">
        <v>37</v>
      </c>
      <c r="R465" s="683" t="s">
        <v>2704</v>
      </c>
      <c r="S465" s="686" t="s">
        <v>2705</v>
      </c>
      <c r="T465" s="683" t="s">
        <v>2706</v>
      </c>
      <c r="U465" s="683" t="s">
        <v>2707</v>
      </c>
      <c r="V465" s="683" t="s">
        <v>149</v>
      </c>
      <c r="W465" s="683" t="s">
        <v>914</v>
      </c>
      <c r="X465" s="691" t="s">
        <v>917</v>
      </c>
      <c r="Y465" s="687" t="s">
        <v>2644</v>
      </c>
      <c r="Z465" s="692" t="s">
        <v>159</v>
      </c>
      <c r="AA465" s="683" t="s">
        <v>840</v>
      </c>
      <c r="AB465" s="683" t="s">
        <v>1921</v>
      </c>
      <c r="AC465" s="683" t="s">
        <v>1922</v>
      </c>
      <c r="AD465" s="683" t="s">
        <v>2649</v>
      </c>
      <c r="AE465" s="683">
        <v>60</v>
      </c>
      <c r="AF465" s="684">
        <v>185.7</v>
      </c>
      <c r="AG465" s="683" t="s">
        <v>1412</v>
      </c>
      <c r="AH465" s="683" t="s">
        <v>1578</v>
      </c>
      <c r="AI465" s="683" t="s">
        <v>844</v>
      </c>
      <c r="AJ465" s="683" t="s">
        <v>2651</v>
      </c>
      <c r="AK465" s="683" t="s">
        <v>1923</v>
      </c>
      <c r="AL465" s="683" t="s">
        <v>159</v>
      </c>
      <c r="AM465" s="683" t="s">
        <v>1139</v>
      </c>
      <c r="AN465" s="683"/>
      <c r="AO465" s="683" t="s">
        <v>1365</v>
      </c>
      <c r="AP465" s="683" t="s">
        <v>240</v>
      </c>
      <c r="AQ465" s="688" t="str">
        <f>CONCATENATE("REG-",BDEGENER[[#This Row],[FECHA DE SERVICIO]],"-",BDEGENER[[#This Row],[SERIE]],"-",BDEGENER[[#This Row],[HORAS]])</f>
        <v>REG-43974-B5524F-001-185,7</v>
      </c>
      <c r="AR465" s="683" t="str">
        <f>CONCATENATE("MARCA: ",BDEGENER[[#This Row],[MARCA]],"
 MODELO: ",BDEGENER[[#This Row],[MODELO]])</f>
        <v>MARCA: FG - WILSON
 MODELO: P110E</v>
      </c>
      <c r="AS465" s="683" t="str">
        <f>CONCATENATE("MARCA: ",BDEGENER[[#This Row],[MARCA DE MOTOR]],"
SERIE: ",BDEGENER[[#This Row],[SERIE DE MOTOR]])</f>
        <v>MARCA: PERKINS
SERIE: 1797/1500</v>
      </c>
      <c r="AT465" s="683" t="str">
        <f>CONCATENATE("MARCA: ",BDEGENER[[#This Row],[MARCA ALTERNADOR ]],"
SERIE: ",BDEGENER[[#This Row],[SERIE DE ALTERNADOR]])</f>
        <v xml:space="preserve">MARCA: FG WILSON
SERIE: </v>
      </c>
      <c r="AU465" s="683" t="str">
        <f>CONCATENATE("HORAS: ",BDEGENER[[#This Row],[HORAS]],"
KW-HR: ",BDEGENER[[#This Row],[KW-HORA]],"
VOLT.BATERIA: ",BDEGENER[[#This Row],[VOLTAJE DE BATERIA]],"
TEMPERATURA: ",BDEGENER[[#This Row],[TEMPERATURA DE AGUA]],"
PRES. ACEITE: ",BDEGENER[[#This Row],[PRESION DE ACEITE]])</f>
        <v>HORAS: 185,7
KW-HR: 
VOLT.BATERIA: 12.8 V
TEMPERATURA: 
PRES. ACEITE: 70 PSI</v>
      </c>
      <c r="AV465" s="683">
        <f>COUNTIFS(Q465:Q2465,"MANTENIMIENTO CORRECTIVO",Y465:Y2465,BDEGENER[[#This Row],[SERIE]])</f>
        <v>0</v>
      </c>
      <c r="AW465" s="683">
        <f>COUNTIFS(Q465:Q2465,"MANTENIMIENTO PREVENTIVO",Y465:Y2465,BDEGENER[[#This Row],[SERIE]])</f>
        <v>2</v>
      </c>
      <c r="AX46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465" s="683">
        <f>COUNTIFS(BDEGENER[SERIE],BDEGENER[[#This Row],[SERIE]],BDEGENER[TIPO DE SERVICIO],"MANTENIMIENTO PREVENTIVO")</f>
        <v>2</v>
      </c>
      <c r="AZ465" s="683" t="str">
        <f>CONCATENATE("MANTENIMIENTO PREVENTIVO N°",BDEGENER[[#This Row],[GA1]])</f>
        <v>MANTENIMIENTO PREVENTIVO N°2</v>
      </c>
      <c r="BA465" s="683">
        <f>IF(BDEGENER[[#This Row],[SERVICIO]]=BDEGENER[[#This Row],[GA2]],BDEGENER[[#This Row],[HORAS]],"0")</f>
        <v>185.7</v>
      </c>
      <c r="BB465" s="683">
        <f>SUMIF(BDEGENER[SERIE],BDEGENER[[#This Row],[SERIE]],BDEGENER[GA3])</f>
        <v>185.7</v>
      </c>
      <c r="BC465" s="683" t="str">
        <f>CONCATENATE("MANT",COUNTIF($Y$7:Y465,Y465))</f>
        <v>MANT5</v>
      </c>
      <c r="BD465" s="683" t="str">
        <f>CONCATENATE(BDEGENER[[#This Row],[SERIE]],BDEGENER[[#This Row],[GA5]])</f>
        <v>B5524F-001MANT5</v>
      </c>
      <c r="BE465" s="683" t="str">
        <f>CONCATENATE(BDEGENER[[#This Row],[CODIGO PATRIMONIAL]],BDEGENER[[#This Row],[GA5]])</f>
        <v>MANT5</v>
      </c>
      <c r="BF465" s="683">
        <f>COUNTIF(BDEGENER[SERIE],BDEGENER[[#This Row],[SERIE]])</f>
        <v>7</v>
      </c>
      <c r="BG465" s="683" t="str">
        <f>CONCATENATE("F",COUNTIF($K$7:K465,K465))</f>
        <v>F3</v>
      </c>
      <c r="BH465" s="683" t="str">
        <f>CONCATENATE(BDEGENER[[#This Row],[FECHA DE SERVICIO]],BDEGENER[[#This Row],[N° DE REGISTROS DEL DIA]])</f>
        <v>43974F3</v>
      </c>
      <c r="BI465" s="684"/>
      <c r="BJ465" s="683" t="s">
        <v>1544</v>
      </c>
      <c r="BK465" s="736"/>
    </row>
    <row r="466" spans="2:63" ht="69" hidden="1" x14ac:dyDescent="0.3">
      <c r="B466" s="2"/>
      <c r="C466" s="2"/>
      <c r="D466" s="2"/>
      <c r="E466" s="2"/>
      <c r="F466" s="2"/>
      <c r="G466" s="2"/>
      <c r="H466" s="2"/>
      <c r="I466" s="2"/>
      <c r="J466" s="685"/>
      <c r="K466" s="682">
        <v>43974</v>
      </c>
      <c r="L466" s="725" t="s">
        <v>764</v>
      </c>
      <c r="M466" s="683" t="s">
        <v>2074</v>
      </c>
      <c r="N466" s="683" t="s">
        <v>1384</v>
      </c>
      <c r="O466" s="683"/>
      <c r="P466" s="683"/>
      <c r="Q466" s="683" t="s">
        <v>37</v>
      </c>
      <c r="R466" s="683" t="s">
        <v>1782</v>
      </c>
      <c r="S466" s="686" t="s">
        <v>2339</v>
      </c>
      <c r="T466" s="683" t="s">
        <v>2343</v>
      </c>
      <c r="U466" s="683" t="s">
        <v>2340</v>
      </c>
      <c r="V466" s="683" t="s">
        <v>147</v>
      </c>
      <c r="W466" s="683" t="s">
        <v>914</v>
      </c>
      <c r="X466" s="691" t="s">
        <v>917</v>
      </c>
      <c r="Y466" s="687">
        <v>8754673</v>
      </c>
      <c r="Z466" s="692"/>
      <c r="AA466" s="683" t="s">
        <v>1387</v>
      </c>
      <c r="AB466" s="683" t="s">
        <v>1393</v>
      </c>
      <c r="AC466" s="683" t="s">
        <v>787</v>
      </c>
      <c r="AD466" s="683" t="s">
        <v>2344</v>
      </c>
      <c r="AE466" s="683">
        <v>60</v>
      </c>
      <c r="AF466" s="684">
        <v>152.9</v>
      </c>
      <c r="AG466" s="683" t="s">
        <v>243</v>
      </c>
      <c r="AH466" s="683" t="s">
        <v>2342</v>
      </c>
      <c r="AI466" s="683" t="s">
        <v>844</v>
      </c>
      <c r="AJ466" s="683" t="s">
        <v>1386</v>
      </c>
      <c r="AK466" s="683"/>
      <c r="AL466" s="687" t="s">
        <v>781</v>
      </c>
      <c r="AM466" s="683" t="s">
        <v>2345</v>
      </c>
      <c r="AN466" s="683" t="s">
        <v>2347</v>
      </c>
      <c r="AO466" s="683" t="s">
        <v>2346</v>
      </c>
      <c r="AP466" s="683" t="s">
        <v>240</v>
      </c>
      <c r="AQ466" s="744" t="str">
        <f>CONCATENATE("REG-",BDEGENER[[#This Row],[FECHA DE SERVICIO]],"-",BDEGENER[[#This Row],[SERIE]],"-",BDEGENER[[#This Row],[HORAS]])</f>
        <v>REG-43974-8754673-152,9</v>
      </c>
      <c r="AR466" s="683" t="str">
        <f>CONCATENATE("MARCA: ",BDEGENER[[#This Row],[MARCA]],"
 MODELO: ",BDEGENER[[#This Row],[MODELO]])</f>
        <v>MARCA: GAMMA
 MODELO: GPLS-400I</v>
      </c>
      <c r="AS466" s="683" t="str">
        <f>CONCATENATE("MARCA: ",BDEGENER[[#This Row],[MARCA DE MOTOR]],"
SERIE: ",BDEGENER[[#This Row],[SERIE DE MOTOR]])</f>
        <v>MARCA: PERKINS
SERIE: TGHF5219</v>
      </c>
      <c r="AT466" s="683" t="str">
        <f>CONCATENATE("MARCA: ",BDEGENER[[#This Row],[MARCA ALTERNADOR ]],"
SERIE: ",BDEGENER[[#This Row],[SERIE DE ALTERNADOR]])</f>
        <v>MARCA: 
SERIE: 2206-472-0464</v>
      </c>
      <c r="AU466" s="683" t="str">
        <f>CONCATENATE("HORAS: ",BDEGENER[[#This Row],[HORAS]],"
KW-HR: ",BDEGENER[[#This Row],[KW-HORA]],"
VOLT.BATERIA: ",BDEGENER[[#This Row],[VOLTAJE DE BATERIA]],"
TEMPERATURA: ",BDEGENER[[#This Row],[TEMPERATURA DE AGUA]],"
PRES. ACEITE: ",BDEGENER[[#This Row],[PRESION DE ACEITE]])</f>
        <v>HORAS: 152,9
KW-HR: 
VOLT.BATERIA: 27.9 V
TEMPERATURA: 67 °C
PRES. ACEITE: 5 Bar</v>
      </c>
      <c r="AV466" s="761">
        <f>COUNTIFS(Q466:Q2466,"MANTENIMIENTO CORRECTIVO",Y466:Y2466,BDEGENER[[#This Row],[SERIE]])</f>
        <v>1</v>
      </c>
      <c r="AW466" s="761">
        <f>COUNTIFS(Q466:Q2466,"MANTENIMIENTO PREVENTIVO",Y466:Y2466,BDEGENER[[#This Row],[SERIE]])</f>
        <v>2</v>
      </c>
      <c r="AX46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466" s="683">
        <f>COUNTIFS(BDEGENER[SERIE],BDEGENER[[#This Row],[SERIE]],BDEGENER[TIPO DE SERVICIO],"MANTENIMIENTO PREVENTIVO")</f>
        <v>2</v>
      </c>
      <c r="AZ466" s="683" t="str">
        <f>CONCATENATE("MANTENIMIENTO PREVENTIVO N°",BDEGENER[[#This Row],[GA1]])</f>
        <v>MANTENIMIENTO PREVENTIVO N°2</v>
      </c>
      <c r="BA466" s="683">
        <f>IF(BDEGENER[[#This Row],[SERVICIO]]=BDEGENER[[#This Row],[GA2]],BDEGENER[[#This Row],[HORAS]],"0")</f>
        <v>152.9</v>
      </c>
      <c r="BB466" s="683">
        <f>SUMIF(BDEGENER[SERIE],BDEGENER[[#This Row],[SERIE]],BDEGENER[GA3])</f>
        <v>152.9</v>
      </c>
      <c r="BC466" s="761" t="str">
        <f>CONCATENATE("MANT",COUNTIF($Y$7:Y466,Y466))</f>
        <v>MANT2</v>
      </c>
      <c r="BD466" s="683" t="str">
        <f>CONCATENATE(BDEGENER[[#This Row],[SERIE]],BDEGENER[[#This Row],[GA5]])</f>
        <v>8754673MANT2</v>
      </c>
      <c r="BE466" s="683" t="str">
        <f>CONCATENATE(BDEGENER[[#This Row],[CODIGO PATRIMONIAL]],BDEGENER[[#This Row],[GA5]])</f>
        <v>MANT2</v>
      </c>
      <c r="BF466" s="683">
        <f>COUNTIF(BDEGENER[SERIE],BDEGENER[[#This Row],[SERIE]])</f>
        <v>6</v>
      </c>
      <c r="BG466" s="761" t="str">
        <f>CONCATENATE("F",COUNTIF($K$7:K466,K466))</f>
        <v>F4</v>
      </c>
      <c r="BH466" s="683" t="str">
        <f>CONCATENATE(BDEGENER[[#This Row],[FECHA DE SERVICIO]],BDEGENER[[#This Row],[N° DE REGISTROS DEL DIA]])</f>
        <v>43974F4</v>
      </c>
      <c r="BI466" s="684"/>
      <c r="BJ466" s="683" t="s">
        <v>1544</v>
      </c>
      <c r="BK466" s="736"/>
    </row>
    <row r="467" spans="2:63" ht="69" hidden="1" x14ac:dyDescent="0.3">
      <c r="B467" s="2"/>
      <c r="C467" s="2"/>
      <c r="D467" s="2"/>
      <c r="E467" s="2"/>
      <c r="F467" s="2"/>
      <c r="G467" s="2"/>
      <c r="H467" s="2"/>
      <c r="I467" s="2"/>
      <c r="J467" s="685"/>
      <c r="K467" s="682">
        <v>43973</v>
      </c>
      <c r="L467" s="683" t="s">
        <v>764</v>
      </c>
      <c r="M467" s="683" t="s">
        <v>1211</v>
      </c>
      <c r="N467" s="683" t="s">
        <v>1212</v>
      </c>
      <c r="O467" s="683"/>
      <c r="P467" s="683"/>
      <c r="Q467" s="683" t="s">
        <v>37</v>
      </c>
      <c r="R467" s="683" t="s">
        <v>1782</v>
      </c>
      <c r="S467" s="686" t="s">
        <v>2336</v>
      </c>
      <c r="T467" s="683" t="s">
        <v>2329</v>
      </c>
      <c r="U467" s="683" t="s">
        <v>2335</v>
      </c>
      <c r="V467" s="683" t="s">
        <v>149</v>
      </c>
      <c r="W467" s="683" t="s">
        <v>914</v>
      </c>
      <c r="X467" s="691" t="s">
        <v>917</v>
      </c>
      <c r="Y467" s="687" t="s">
        <v>1216</v>
      </c>
      <c r="Z467" s="692" t="s">
        <v>159</v>
      </c>
      <c r="AA467" s="683" t="s">
        <v>221</v>
      </c>
      <c r="AB467" s="683" t="s">
        <v>1217</v>
      </c>
      <c r="AC467" s="683" t="s">
        <v>530</v>
      </c>
      <c r="AD467" s="683" t="s">
        <v>2337</v>
      </c>
      <c r="AE467" s="683">
        <v>60.1</v>
      </c>
      <c r="AF467" s="684">
        <v>863.53</v>
      </c>
      <c r="AG467" s="683" t="s">
        <v>243</v>
      </c>
      <c r="AH467" s="683" t="s">
        <v>2334</v>
      </c>
      <c r="AI467" s="683" t="s">
        <v>844</v>
      </c>
      <c r="AJ467" s="683" t="s">
        <v>1222</v>
      </c>
      <c r="AK467" s="683" t="s">
        <v>2401</v>
      </c>
      <c r="AL467" s="683" t="s">
        <v>1218</v>
      </c>
      <c r="AM467" s="683" t="s">
        <v>245</v>
      </c>
      <c r="AN467" s="683" t="s">
        <v>2338</v>
      </c>
      <c r="AO467" s="683" t="s">
        <v>247</v>
      </c>
      <c r="AP467" s="683" t="s">
        <v>240</v>
      </c>
      <c r="AQ467" s="688" t="str">
        <f>CONCATENATE("REG-",BDEGENER[[#This Row],[FECHA DE SERVICIO]],"-",BDEGENER[[#This Row],[SERIE]],"-",BDEGENER[[#This Row],[HORAS]])</f>
        <v>REG-43973-X08231T-863,53</v>
      </c>
      <c r="AR467" s="683" t="str">
        <f>CONCATENATE("MARCA: ",BDEGENER[[#This Row],[MARCA]],"
 MODELO: ",BDEGENER[[#This Row],[MODELO]])</f>
        <v>MARCA: MODASA
 MODELO: MP-20I</v>
      </c>
      <c r="AS467" s="683" t="str">
        <f>CONCATENATE("MARCA: ",BDEGENER[[#This Row],[MARCA DE MOTOR]],"
SERIE: ",BDEGENER[[#This Row],[SERIE DE MOTOR]])</f>
        <v>MARCA: PERKINS
SERIE: GN65733O</v>
      </c>
      <c r="AT467" s="683" t="str">
        <f>CONCATENATE("MARCA: ",BDEGENER[[#This Row],[MARCA ALTERNADOR ]],"
SERIE: ",BDEGENER[[#This Row],[SERIE DE ALTERNADOR]])</f>
        <v>MARCA: STAMFORD
SERIE: X10E200310</v>
      </c>
      <c r="AU467" s="683" t="str">
        <f>CONCATENATE("HORAS: ",BDEGENER[[#This Row],[HORAS]],"
KW-HR: ",BDEGENER[[#This Row],[KW-HORA]],"
VOLT.BATERIA: ",BDEGENER[[#This Row],[VOLTAJE DE BATERIA]],"
TEMPERATURA: ",BDEGENER[[#This Row],[TEMPERATURA DE AGUA]],"
PRES. ACEITE: ",BDEGENER[[#This Row],[PRESION DE ACEITE]])</f>
        <v>HORAS: 863,53
KW-HR: 
VOLT.BATERIA: 13.6 V
TEMPERATURA: 79 °C
PRES. ACEITE: 55 PSI</v>
      </c>
      <c r="AV467" s="683">
        <f>COUNTIFS(Q467:Q2467,"MANTENIMIENTO CORRECTIVO",Y467:Y2467,BDEGENER[[#This Row],[SERIE]])</f>
        <v>0</v>
      </c>
      <c r="AW467" s="683">
        <f>COUNTIFS(Q467:Q2467,"MANTENIMIENTO PREVENTIVO",Y467:Y2467,BDEGENER[[#This Row],[SERIE]])</f>
        <v>2</v>
      </c>
      <c r="AX46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467" s="683">
        <f>COUNTIFS(BDEGENER[SERIE],BDEGENER[[#This Row],[SERIE]],BDEGENER[TIPO DE SERVICIO],"MANTENIMIENTO PREVENTIVO")</f>
        <v>2</v>
      </c>
      <c r="AZ467" s="683" t="str">
        <f>CONCATENATE("MANTENIMIENTO PREVENTIVO N°",BDEGENER[[#This Row],[GA1]])</f>
        <v>MANTENIMIENTO PREVENTIVO N°2</v>
      </c>
      <c r="BA467" s="683">
        <f>IF(BDEGENER[[#This Row],[SERVICIO]]=BDEGENER[[#This Row],[GA2]],BDEGENER[[#This Row],[HORAS]],"0")</f>
        <v>863.53</v>
      </c>
      <c r="BB467" s="683">
        <f>SUMIF(BDEGENER[SERIE],BDEGENER[[#This Row],[SERIE]],BDEGENER[GA3])</f>
        <v>863.53</v>
      </c>
      <c r="BC467" s="683" t="str">
        <f>CONCATENATE("MANT",COUNTIF($Y$7:Y467,Y467))</f>
        <v>MANT1</v>
      </c>
      <c r="BD467" s="683" t="str">
        <f>CONCATENATE(BDEGENER[[#This Row],[SERIE]],BDEGENER[[#This Row],[GA5]])</f>
        <v>X08231TMANT1</v>
      </c>
      <c r="BE467" s="683" t="str">
        <f>CONCATENATE(BDEGENER[[#This Row],[CODIGO PATRIMONIAL]],BDEGENER[[#This Row],[GA5]])</f>
        <v>MANT1</v>
      </c>
      <c r="BF467" s="683">
        <f>COUNTIF(BDEGENER[SERIE],BDEGENER[[#This Row],[SERIE]])</f>
        <v>2</v>
      </c>
      <c r="BG467" s="683" t="str">
        <f>CONCATENATE("F",COUNTIF($K$7:K467,K467))</f>
        <v>F1</v>
      </c>
      <c r="BH467" s="683" t="str">
        <f>CONCATENATE(BDEGENER[[#This Row],[FECHA DE SERVICIO]],BDEGENER[[#This Row],[N° DE REGISTROS DEL DIA]])</f>
        <v>43973F1</v>
      </c>
      <c r="BI467" s="684"/>
      <c r="BJ467" s="683" t="s">
        <v>1544</v>
      </c>
      <c r="BK467" s="736"/>
    </row>
    <row r="468" spans="2:63" ht="69" hidden="1" x14ac:dyDescent="0.3">
      <c r="B468" s="2"/>
      <c r="C468" s="2"/>
      <c r="D468" s="2"/>
      <c r="E468" s="2"/>
      <c r="F468" s="2"/>
      <c r="G468" s="2"/>
      <c r="H468" s="2"/>
      <c r="I468" s="2"/>
      <c r="J468" s="685"/>
      <c r="K468" s="682">
        <v>43973</v>
      </c>
      <c r="L468" s="683" t="s">
        <v>764</v>
      </c>
      <c r="M468" s="683" t="s">
        <v>1211</v>
      </c>
      <c r="N468" s="683" t="s">
        <v>1212</v>
      </c>
      <c r="O468" s="683"/>
      <c r="P468" s="688" t="s">
        <v>2331</v>
      </c>
      <c r="Q468" s="683" t="s">
        <v>37</v>
      </c>
      <c r="R468" s="683" t="s">
        <v>2327</v>
      </c>
      <c r="S468" s="686" t="s">
        <v>2328</v>
      </c>
      <c r="T468" s="683" t="s">
        <v>2329</v>
      </c>
      <c r="U468" s="683" t="s">
        <v>2330</v>
      </c>
      <c r="V468" s="683" t="s">
        <v>149</v>
      </c>
      <c r="W468" s="683" t="s">
        <v>914</v>
      </c>
      <c r="X468" s="691" t="s">
        <v>917</v>
      </c>
      <c r="Y468" s="687" t="s">
        <v>1219</v>
      </c>
      <c r="Z468" s="692" t="s">
        <v>159</v>
      </c>
      <c r="AA468" s="683" t="s">
        <v>221</v>
      </c>
      <c r="AB468" s="683" t="s">
        <v>1217</v>
      </c>
      <c r="AC468" s="683" t="s">
        <v>530</v>
      </c>
      <c r="AD468" s="683" t="s">
        <v>2332</v>
      </c>
      <c r="AE468" s="683">
        <v>60.4</v>
      </c>
      <c r="AF468" s="684">
        <v>900.33</v>
      </c>
      <c r="AG468" s="683" t="s">
        <v>243</v>
      </c>
      <c r="AH468" s="683" t="s">
        <v>2334</v>
      </c>
      <c r="AI468" s="683" t="s">
        <v>844</v>
      </c>
      <c r="AJ468" s="683" t="s">
        <v>1221</v>
      </c>
      <c r="AK468" s="683" t="s">
        <v>2401</v>
      </c>
      <c r="AL468" s="683" t="s">
        <v>1220</v>
      </c>
      <c r="AM468" s="683" t="s">
        <v>1157</v>
      </c>
      <c r="AN468" s="683" t="s">
        <v>2333</v>
      </c>
      <c r="AO468" s="683" t="s">
        <v>1103</v>
      </c>
      <c r="AP468" s="683" t="s">
        <v>240</v>
      </c>
      <c r="AQ468" s="688" t="str">
        <f>CONCATENATE("REG-",BDEGENER[[#This Row],[FECHA DE SERVICIO]],"-",BDEGENER[[#This Row],[SERIE]],"-",BDEGENER[[#This Row],[HORAS]])</f>
        <v>REG-43973-X08331T-900,33</v>
      </c>
      <c r="AR468" s="683" t="str">
        <f>CONCATENATE("MARCA: ",BDEGENER[[#This Row],[MARCA]],"
 MODELO: ",BDEGENER[[#This Row],[MODELO]])</f>
        <v>MARCA: MODASA
 MODELO: MP-20I</v>
      </c>
      <c r="AS468" s="683" t="str">
        <f>CONCATENATE("MARCA: ",BDEGENER[[#This Row],[MARCA DE MOTOR]],"
SERIE: ",BDEGENER[[#This Row],[SERIE DE MOTOR]])</f>
        <v>MARCA: PERKINS
SERIE: GN65733U</v>
      </c>
      <c r="AT468" s="683" t="str">
        <f>CONCATENATE("MARCA: ",BDEGENER[[#This Row],[MARCA ALTERNADOR ]],"
SERIE: ",BDEGENER[[#This Row],[SERIE DE ALTERNADOR]])</f>
        <v>MARCA: STAMFORD
SERIE: X10D160143</v>
      </c>
      <c r="AU468" s="683" t="str">
        <f>CONCATENATE("HORAS: ",BDEGENER[[#This Row],[HORAS]],"
KW-HR: ",BDEGENER[[#This Row],[KW-HORA]],"
VOLT.BATERIA: ",BDEGENER[[#This Row],[VOLTAJE DE BATERIA]],"
TEMPERATURA: ",BDEGENER[[#This Row],[TEMPERATURA DE AGUA]],"
PRES. ACEITE: ",BDEGENER[[#This Row],[PRESION DE ACEITE]])</f>
        <v>HORAS: 900,33
KW-HR: 
VOLT.BATERIA: 13.9 V
TEMPERATURA: 72 °C
PRES. ACEITE: 52 PSI</v>
      </c>
      <c r="AV468" s="683">
        <f>COUNTIFS(Q468:Q2468,"MANTENIMIENTO CORRECTIVO",Y468:Y2468,BDEGENER[[#This Row],[SERIE]])</f>
        <v>0</v>
      </c>
      <c r="AW468" s="683">
        <f>COUNTIFS(Q468:Q2468,"MANTENIMIENTO PREVENTIVO",Y468:Y2468,BDEGENER[[#This Row],[SERIE]])</f>
        <v>2</v>
      </c>
      <c r="AX46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468" s="683">
        <f>COUNTIFS(BDEGENER[SERIE],BDEGENER[[#This Row],[SERIE]],BDEGENER[TIPO DE SERVICIO],"MANTENIMIENTO PREVENTIVO")</f>
        <v>2</v>
      </c>
      <c r="AZ468" s="683" t="str">
        <f>CONCATENATE("MANTENIMIENTO PREVENTIVO N°",BDEGENER[[#This Row],[GA1]])</f>
        <v>MANTENIMIENTO PREVENTIVO N°2</v>
      </c>
      <c r="BA468" s="683">
        <f>IF(BDEGENER[[#This Row],[SERVICIO]]=BDEGENER[[#This Row],[GA2]],BDEGENER[[#This Row],[HORAS]],"0")</f>
        <v>900.33</v>
      </c>
      <c r="BB468" s="683">
        <f>SUMIF(BDEGENER[SERIE],BDEGENER[[#This Row],[SERIE]],BDEGENER[GA3])</f>
        <v>900.33</v>
      </c>
      <c r="BC468" s="683" t="str">
        <f>CONCATENATE("MANT",COUNTIF($Y$7:Y468,Y468))</f>
        <v>MANT1</v>
      </c>
      <c r="BD468" s="683" t="str">
        <f>CONCATENATE(BDEGENER[[#This Row],[SERIE]],BDEGENER[[#This Row],[GA5]])</f>
        <v>X08331TMANT1</v>
      </c>
      <c r="BE468" s="683" t="str">
        <f>CONCATENATE(BDEGENER[[#This Row],[CODIGO PATRIMONIAL]],BDEGENER[[#This Row],[GA5]])</f>
        <v>MANT1</v>
      </c>
      <c r="BF468" s="683">
        <f>COUNTIF(BDEGENER[SERIE],BDEGENER[[#This Row],[SERIE]])</f>
        <v>2</v>
      </c>
      <c r="BG468" s="683" t="str">
        <f>CONCATENATE("F",COUNTIF($K$7:K468,K468))</f>
        <v>F2</v>
      </c>
      <c r="BH468" s="683" t="str">
        <f>CONCATENATE(BDEGENER[[#This Row],[FECHA DE SERVICIO]],BDEGENER[[#This Row],[N° DE REGISTROS DEL DIA]])</f>
        <v>43973F2</v>
      </c>
      <c r="BI468" s="684"/>
      <c r="BJ468" s="683" t="s">
        <v>1544</v>
      </c>
      <c r="BK468" s="736"/>
    </row>
    <row r="469" spans="2:63" ht="69" hidden="1" x14ac:dyDescent="0.3">
      <c r="B469" s="2"/>
      <c r="C469" s="2"/>
      <c r="D469" s="2"/>
      <c r="E469" s="2"/>
      <c r="F469" s="2"/>
      <c r="G469" s="2"/>
      <c r="H469" s="2"/>
      <c r="I469" s="2"/>
      <c r="J469" s="685"/>
      <c r="K469" s="682">
        <v>43972</v>
      </c>
      <c r="L469" s="683" t="s">
        <v>181</v>
      </c>
      <c r="M469" s="683" t="s">
        <v>184</v>
      </c>
      <c r="N469" s="683" t="s">
        <v>183</v>
      </c>
      <c r="O469" s="683">
        <v>4500873022</v>
      </c>
      <c r="P469" s="683" t="s">
        <v>2275</v>
      </c>
      <c r="Q469" s="683" t="s">
        <v>37</v>
      </c>
      <c r="R469" s="683" t="s">
        <v>1782</v>
      </c>
      <c r="S469" s="686" t="s">
        <v>2280</v>
      </c>
      <c r="T469" s="683" t="s">
        <v>2277</v>
      </c>
      <c r="U469" s="683" t="s">
        <v>2281</v>
      </c>
      <c r="V469" s="683" t="s">
        <v>146</v>
      </c>
      <c r="W469" s="683" t="s">
        <v>914</v>
      </c>
      <c r="X469" s="691" t="s">
        <v>918</v>
      </c>
      <c r="Y469" s="687">
        <v>3004402508</v>
      </c>
      <c r="Z469" s="692"/>
      <c r="AA469" s="683" t="s">
        <v>33</v>
      </c>
      <c r="AB469" s="683" t="s">
        <v>34</v>
      </c>
      <c r="AC469" s="683" t="s">
        <v>230</v>
      </c>
      <c r="AD469" s="683" t="s">
        <v>1110</v>
      </c>
      <c r="AE469" s="683">
        <v>60</v>
      </c>
      <c r="AF469" s="684">
        <v>1022.8</v>
      </c>
      <c r="AG469" s="683" t="s">
        <v>243</v>
      </c>
      <c r="AH469" s="683" t="s">
        <v>220</v>
      </c>
      <c r="AI469" s="683" t="s">
        <v>33</v>
      </c>
      <c r="AJ469" s="683">
        <v>3004425773</v>
      </c>
      <c r="AK469" s="683" t="s">
        <v>33</v>
      </c>
      <c r="AL469" s="683">
        <v>106310050</v>
      </c>
      <c r="AM469" s="683" t="s">
        <v>1121</v>
      </c>
      <c r="AN469" s="683" t="s">
        <v>1122</v>
      </c>
      <c r="AO469" s="683" t="s">
        <v>1349</v>
      </c>
      <c r="AP469" s="683" t="s">
        <v>240</v>
      </c>
      <c r="AQ469" s="683" t="str">
        <f>CONCATENATE("REG-",BDEGENER[[#This Row],[FECHA DE SERVICIO]],"-",BDEGENER[[#This Row],[SERIE]],"-",BDEGENER[[#This Row],[HORAS]])</f>
        <v>REG-43972-3004402508-1022,8</v>
      </c>
      <c r="AR469" s="683" t="str">
        <f>CONCATENATE("MARCA: ",BDEGENER[[#This Row],[MARCA]],"
 MODELO: ",BDEGENER[[#This Row],[MODELO]])</f>
        <v>MARCA: GENERAC
 MODELO: PG090</v>
      </c>
      <c r="AS469" s="683" t="str">
        <f>CONCATENATE("MARCA: ",BDEGENER[[#This Row],[MARCA DE MOTOR]],"
SERIE: ",BDEGENER[[#This Row],[SERIE DE MOTOR]])</f>
        <v>MARCA: GENERAC
SERIE: 3004425773</v>
      </c>
      <c r="AT469" s="683" t="str">
        <f>CONCATENATE("MARCA: ",BDEGENER[[#This Row],[MARCA ALTERNADOR ]],"
SERIE: ",BDEGENER[[#This Row],[SERIE DE ALTERNADOR]])</f>
        <v>MARCA: GENERAC
SERIE: 106310050</v>
      </c>
      <c r="AU469" s="683" t="str">
        <f>CONCATENATE("HORAS: ",BDEGENER[[#This Row],[HORAS]],"
KW-HR: ",BDEGENER[[#This Row],[KW-HORA]],"
VOLT.BATERIA: ",BDEGENER[[#This Row],[VOLTAJE DE BATERIA]],"
TEMPERATURA: ",BDEGENER[[#This Row],[TEMPERATURA DE AGUA]],"
PRES. ACEITE: ",BDEGENER[[#This Row],[PRESION DE ACEITE]])</f>
        <v>HORAS: 1022,8
KW-HR: 16381,4
VOLT.BATERIA: 13.7 V
TEMPERATURA: 195 °F
PRES. ACEITE: 56 PSI</v>
      </c>
      <c r="AV469" s="761">
        <f>COUNTIFS(Q469:Q2469,"MANTENIMIENTO CORRECTIVO",Y469:Y2469,BDEGENER[[#This Row],[SERIE]])</f>
        <v>3</v>
      </c>
      <c r="AW469" s="761">
        <f>COUNTIFS(Q469:Q2469,"MANTENIMIENTO PREVENTIVO",Y469:Y2469,BDEGENER[[#This Row],[SERIE]])</f>
        <v>4</v>
      </c>
      <c r="AX46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69" s="683">
        <f>COUNTIFS(BDEGENER[SERIE],BDEGENER[[#This Row],[SERIE]],BDEGENER[TIPO DE SERVICIO],"MANTENIMIENTO PREVENTIVO")</f>
        <v>8</v>
      </c>
      <c r="AZ469" s="683" t="str">
        <f>CONCATENATE("MANTENIMIENTO PREVENTIVO N°",BDEGENER[[#This Row],[GA1]])</f>
        <v>MANTENIMIENTO PREVENTIVO N°8</v>
      </c>
      <c r="BA469" s="683" t="str">
        <f>IF(BDEGENER[[#This Row],[SERVICIO]]=BDEGENER[[#This Row],[GA2]],BDEGENER[[#This Row],[HORAS]],"0")</f>
        <v>0</v>
      </c>
      <c r="BB469" s="683">
        <f>SUMIF(BDEGENER[SERIE],BDEGENER[[#This Row],[SERIE]],BDEGENER[GA3])</f>
        <v>2186.3000000000002</v>
      </c>
      <c r="BC469" s="761" t="str">
        <f>CONCATENATE("MANT",COUNTIF($Y$7:Y469,Y469))</f>
        <v>MANT7</v>
      </c>
      <c r="BD469" s="683" t="str">
        <f>CONCATENATE(BDEGENER[[#This Row],[SERIE]],BDEGENER[[#This Row],[GA5]])</f>
        <v>3004402508MANT7</v>
      </c>
      <c r="BE469" s="683" t="str">
        <f>CONCATENATE(BDEGENER[[#This Row],[CODIGO PATRIMONIAL]],BDEGENER[[#This Row],[GA5]])</f>
        <v>MANT7</v>
      </c>
      <c r="BF469" s="683">
        <f>COUNTIF(BDEGENER[SERIE],BDEGENER[[#This Row],[SERIE]])</f>
        <v>15</v>
      </c>
      <c r="BG469" s="761" t="str">
        <f>CONCATENATE("F",COUNTIF($K$7:K469,K469))</f>
        <v>F1</v>
      </c>
      <c r="BH469" s="683" t="str">
        <f>CONCATENATE(BDEGENER[[#This Row],[FECHA DE SERVICIO]],BDEGENER[[#This Row],[N° DE REGISTROS DEL DIA]])</f>
        <v>43972F1</v>
      </c>
      <c r="BI469" s="684">
        <v>16381.4</v>
      </c>
      <c r="BJ469" s="683" t="s">
        <v>1544</v>
      </c>
      <c r="BK469" s="736" t="s">
        <v>534</v>
      </c>
    </row>
    <row r="470" spans="2:63" ht="69" hidden="1" x14ac:dyDescent="0.3">
      <c r="B470" s="2"/>
      <c r="C470" s="2"/>
      <c r="D470" s="2"/>
      <c r="E470" s="2"/>
      <c r="F470" s="2"/>
      <c r="G470" s="2"/>
      <c r="H470" s="2"/>
      <c r="I470" s="2"/>
      <c r="J470" s="685"/>
      <c r="K470" s="682">
        <v>43972</v>
      </c>
      <c r="L470" s="683" t="s">
        <v>764</v>
      </c>
      <c r="M470" s="683" t="s">
        <v>2392</v>
      </c>
      <c r="N470" s="683" t="s">
        <v>2393</v>
      </c>
      <c r="O470" s="683"/>
      <c r="P470" s="683"/>
      <c r="Q470" s="683" t="s">
        <v>37</v>
      </c>
      <c r="R470" s="683" t="s">
        <v>2428</v>
      </c>
      <c r="S470" s="686" t="s">
        <v>2429</v>
      </c>
      <c r="T470" s="683" t="s">
        <v>2430</v>
      </c>
      <c r="U470" s="683" t="s">
        <v>2431</v>
      </c>
      <c r="V470" s="683" t="s">
        <v>148</v>
      </c>
      <c r="W470" s="683" t="s">
        <v>914</v>
      </c>
      <c r="X470" s="691" t="s">
        <v>917</v>
      </c>
      <c r="Y470" s="687" t="s">
        <v>2432</v>
      </c>
      <c r="Z470" s="692"/>
      <c r="AA470" s="683" t="s">
        <v>221</v>
      </c>
      <c r="AB470" s="683" t="s">
        <v>2417</v>
      </c>
      <c r="AC470" s="683" t="s">
        <v>789</v>
      </c>
      <c r="AD470" s="683" t="s">
        <v>2433</v>
      </c>
      <c r="AE470" s="683">
        <v>60</v>
      </c>
      <c r="AF470" s="684">
        <v>60.42</v>
      </c>
      <c r="AG470" s="683" t="s">
        <v>243</v>
      </c>
      <c r="AH470" s="683" t="s">
        <v>2418</v>
      </c>
      <c r="AI470" s="683" t="s">
        <v>844</v>
      </c>
      <c r="AJ470" s="683" t="s">
        <v>2419</v>
      </c>
      <c r="AK470" s="683" t="s">
        <v>2401</v>
      </c>
      <c r="AL470" s="683" t="s">
        <v>2420</v>
      </c>
      <c r="AM470" s="683" t="s">
        <v>2253</v>
      </c>
      <c r="AN470" s="683" t="s">
        <v>2434</v>
      </c>
      <c r="AO470" s="683" t="s">
        <v>1354</v>
      </c>
      <c r="AP470" s="683" t="s">
        <v>240</v>
      </c>
      <c r="AQ470" s="688" t="str">
        <f>CONCATENATE("REG-",BDEGENER[[#This Row],[FECHA DE SERVICIO]],"-",BDEGENER[[#This Row],[SERIE]],"-",BDEGENER[[#This Row],[HORAS]])</f>
        <v>REG-43972-S-X095140-60,42</v>
      </c>
      <c r="AR470" s="683" t="str">
        <f>CONCATENATE("MARCA: ",BDEGENER[[#This Row],[MARCA]],"
 MODELO: ",BDEGENER[[#This Row],[MODELO]])</f>
        <v>MARCA: MODASA
 MODELO: MP-400</v>
      </c>
      <c r="AS470" s="683" t="str">
        <f>CONCATENATE("MARCA: ",BDEGENER[[#This Row],[MARCA DE MOTOR]],"
SERIE: ",BDEGENER[[#This Row],[SERIE DE MOTOR]])</f>
        <v>MARCA: PERKINS
SERIE: TGHF5069-U18007U</v>
      </c>
      <c r="AT470" s="683" t="str">
        <f>CONCATENATE("MARCA: ",BDEGENER[[#This Row],[MARCA ALTERNADOR ]],"
SERIE: ",BDEGENER[[#This Row],[SERIE DE ALTERNADOR]])</f>
        <v>MARCA: STAMFORD
SERIE: M10K477346</v>
      </c>
      <c r="AU470" s="683" t="str">
        <f>CONCATENATE("HORAS: ",BDEGENER[[#This Row],[HORAS]],"
KW-HR: ",BDEGENER[[#This Row],[KW-HORA]],"
VOLT.BATERIA: ",BDEGENER[[#This Row],[VOLTAJE DE BATERIA]],"
TEMPERATURA: ",BDEGENER[[#This Row],[TEMPERATURA DE AGUA]],"
PRES. ACEITE: ",BDEGENER[[#This Row],[PRESION DE ACEITE]])</f>
        <v>HORAS: 60,42
KW-HR: 
VOLT.BATERIA: 27.5 V
TEMPERATURA: 60 °C
PRES. ACEITE: 63 PSI</v>
      </c>
      <c r="AV470" s="683">
        <f>COUNTIFS(Q470:Q2470,"MANTENIMIENTO CORRECTIVO",Y470:Y2470,BDEGENER[[#This Row],[SERIE]])</f>
        <v>0</v>
      </c>
      <c r="AW470" s="683">
        <f>COUNTIFS(Q470:Q2470,"MANTENIMIENTO PREVENTIVO",Y470:Y2470,BDEGENER[[#This Row],[SERIE]])</f>
        <v>2</v>
      </c>
      <c r="AX47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470" s="683">
        <f>COUNTIFS(BDEGENER[SERIE],BDEGENER[[#This Row],[SERIE]],BDEGENER[TIPO DE SERVICIO],"MANTENIMIENTO PREVENTIVO")</f>
        <v>2</v>
      </c>
      <c r="AZ470" s="683" t="str">
        <f>CONCATENATE("MANTENIMIENTO PREVENTIVO N°",BDEGENER[[#This Row],[GA1]])</f>
        <v>MANTENIMIENTO PREVENTIVO N°2</v>
      </c>
      <c r="BA470" s="683">
        <f>IF(BDEGENER[[#This Row],[SERVICIO]]=BDEGENER[[#This Row],[GA2]],BDEGENER[[#This Row],[HORAS]],"0")</f>
        <v>60.42</v>
      </c>
      <c r="BB470" s="683">
        <f>SUMIF(BDEGENER[SERIE],BDEGENER[[#This Row],[SERIE]],BDEGENER[GA3])</f>
        <v>60.42</v>
      </c>
      <c r="BC470" s="683" t="str">
        <f>CONCATENATE("MANT",COUNTIF($Y$7:Y470,Y470))</f>
        <v>MANT2</v>
      </c>
      <c r="BD470" s="683" t="str">
        <f>CONCATENATE(BDEGENER[[#This Row],[SERIE]],BDEGENER[[#This Row],[GA5]])</f>
        <v>S-X095140MANT2</v>
      </c>
      <c r="BE470" s="683" t="str">
        <f>CONCATENATE(BDEGENER[[#This Row],[CODIGO PATRIMONIAL]],BDEGENER[[#This Row],[GA5]])</f>
        <v>MANT2</v>
      </c>
      <c r="BF470" s="683">
        <f>COUNTIF(BDEGENER[SERIE],BDEGENER[[#This Row],[SERIE]])</f>
        <v>3</v>
      </c>
      <c r="BG470" s="683" t="str">
        <f>CONCATENATE("F",COUNTIF($K$7:K470,K470))</f>
        <v>F2</v>
      </c>
      <c r="BH470" s="683" t="str">
        <f>CONCATENATE(BDEGENER[[#This Row],[FECHA DE SERVICIO]],BDEGENER[[#This Row],[N° DE REGISTROS DEL DIA]])</f>
        <v>43972F2</v>
      </c>
      <c r="BI470" s="684"/>
      <c r="BJ470" s="683" t="s">
        <v>1544</v>
      </c>
      <c r="BK470" s="736"/>
    </row>
    <row r="471" spans="2:63" ht="69" hidden="1" x14ac:dyDescent="0.3">
      <c r="B471" s="2"/>
      <c r="C471" s="2"/>
      <c r="D471" s="2"/>
      <c r="E471" s="2"/>
      <c r="F471" s="2"/>
      <c r="G471" s="2"/>
      <c r="H471" s="2"/>
      <c r="I471" s="2"/>
      <c r="J471" s="685"/>
      <c r="K471" s="682">
        <v>43972</v>
      </c>
      <c r="L471" s="683" t="s">
        <v>764</v>
      </c>
      <c r="M471" s="683" t="s">
        <v>2392</v>
      </c>
      <c r="N471" s="85" t="s">
        <v>2393</v>
      </c>
      <c r="O471" s="683"/>
      <c r="P471" s="683"/>
      <c r="Q471" s="683" t="s">
        <v>37</v>
      </c>
      <c r="R471" s="683" t="s">
        <v>2394</v>
      </c>
      <c r="S471" s="686" t="s">
        <v>2395</v>
      </c>
      <c r="T471" s="683" t="s">
        <v>2396</v>
      </c>
      <c r="U471" s="683" t="s">
        <v>2397</v>
      </c>
      <c r="V471" s="683" t="s">
        <v>148</v>
      </c>
      <c r="W471" s="683" t="s">
        <v>914</v>
      </c>
      <c r="X471" s="691" t="s">
        <v>917</v>
      </c>
      <c r="Y471" s="687" t="s">
        <v>783</v>
      </c>
      <c r="Z471" s="692"/>
      <c r="AA471" s="683" t="s">
        <v>1966</v>
      </c>
      <c r="AB471" s="683" t="s">
        <v>2386</v>
      </c>
      <c r="AC471" s="683" t="s">
        <v>789</v>
      </c>
      <c r="AD471" s="683" t="s">
        <v>2399</v>
      </c>
      <c r="AE471" s="683">
        <v>59.6</v>
      </c>
      <c r="AF471" s="684">
        <v>2095</v>
      </c>
      <c r="AG471" s="683"/>
      <c r="AH471" s="683"/>
      <c r="AI471" s="683" t="s">
        <v>1966</v>
      </c>
      <c r="AJ471" s="683">
        <v>37131122</v>
      </c>
      <c r="AK471" s="683" t="s">
        <v>2401</v>
      </c>
      <c r="AL471" s="683" t="s">
        <v>2398</v>
      </c>
      <c r="AM471" s="683" t="s">
        <v>2253</v>
      </c>
      <c r="AN471" s="683" t="s">
        <v>2400</v>
      </c>
      <c r="AO471" s="683" t="s">
        <v>1954</v>
      </c>
      <c r="AP471" s="683" t="s">
        <v>240</v>
      </c>
      <c r="AQ471" s="688" t="str">
        <f>CONCATENATE("REG-",BDEGENER[[#This Row],[FECHA DE SERVICIO]],"-",BDEGENER[[#This Row],[SERIE]],"-",BDEGENER[[#This Row],[HORAS]])</f>
        <v>REG-43972-G-4012-2095</v>
      </c>
      <c r="AR471" s="683" t="str">
        <f>CONCATENATE("MARCA: ",BDEGENER[[#This Row],[MARCA]],"
 MODELO: ",BDEGENER[[#This Row],[MODELO]])</f>
        <v>MARCA: CUMMINS
 MODELO: 0B400K-DW63</v>
      </c>
      <c r="AS471" s="683" t="str">
        <f>CONCATENATE("MARCA: ",BDEGENER[[#This Row],[MARCA DE MOTOR]],"
SERIE: ",BDEGENER[[#This Row],[SERIE DE MOTOR]])</f>
        <v>MARCA: CUMMINS
SERIE: 37131122</v>
      </c>
      <c r="AT471" s="683" t="str">
        <f>CONCATENATE("MARCA: ",BDEGENER[[#This Row],[MARCA ALTERNADOR ]],"
SERIE: ",BDEGENER[[#This Row],[SERIE DE ALTERNADOR]])</f>
        <v>MARCA: STAMFORD
SERIE: WB3668482</v>
      </c>
      <c r="AU471" s="683" t="str">
        <f>CONCATENATE("HORAS: ",BDEGENER[[#This Row],[HORAS]],"
KW-HR: ",BDEGENER[[#This Row],[KW-HORA]],"
VOLT.BATERIA: ",BDEGENER[[#This Row],[VOLTAJE DE BATERIA]],"
TEMPERATURA: ",BDEGENER[[#This Row],[TEMPERATURA DE AGUA]],"
PRES. ACEITE: ",BDEGENER[[#This Row],[PRESION DE ACEITE]])</f>
        <v>HORAS: 2095
KW-HR: 
VOLT.BATERIA: 27.5 V
TEMPERATURA: 90 °C
PRES. ACEITE: 98 PSI</v>
      </c>
      <c r="AV471" s="683">
        <f>COUNTIFS(Q471:Q2471,"MANTENIMIENTO CORRECTIVO",Y471:Y2471,BDEGENER[[#This Row],[SERIE]])</f>
        <v>0</v>
      </c>
      <c r="AW471" s="683">
        <f>COUNTIFS(Q471:Q2471,"MANTENIMIENTO PREVENTIVO",Y471:Y2471,BDEGENER[[#This Row],[SERIE]])</f>
        <v>2</v>
      </c>
      <c r="AX47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471" s="683">
        <f>COUNTIFS(BDEGENER[SERIE],BDEGENER[[#This Row],[SERIE]],BDEGENER[TIPO DE SERVICIO],"MANTENIMIENTO PREVENTIVO")</f>
        <v>2</v>
      </c>
      <c r="AZ471" s="683" t="str">
        <f>CONCATENATE("MANTENIMIENTO PREVENTIVO N°",BDEGENER[[#This Row],[GA1]])</f>
        <v>MANTENIMIENTO PREVENTIVO N°2</v>
      </c>
      <c r="BA471" s="683">
        <f>IF(BDEGENER[[#This Row],[SERVICIO]]=BDEGENER[[#This Row],[GA2]],BDEGENER[[#This Row],[HORAS]],"0")</f>
        <v>2095</v>
      </c>
      <c r="BB471" s="683">
        <f>SUMIF(BDEGENER[SERIE],BDEGENER[[#This Row],[SERIE]],BDEGENER[GA3])</f>
        <v>2095</v>
      </c>
      <c r="BC471" s="683" t="str">
        <f>CONCATENATE("MANT",COUNTIF($Y$7:Y471,Y471))</f>
        <v>MANT3</v>
      </c>
      <c r="BD471" s="683" t="str">
        <f>CONCATENATE(BDEGENER[[#This Row],[SERIE]],BDEGENER[[#This Row],[GA5]])</f>
        <v>G-4012MANT3</v>
      </c>
      <c r="BE471" s="683" t="str">
        <f>CONCATENATE(BDEGENER[[#This Row],[CODIGO PATRIMONIAL]],BDEGENER[[#This Row],[GA5]])</f>
        <v>MANT3</v>
      </c>
      <c r="BF471" s="683">
        <f>COUNTIF(BDEGENER[SERIE],BDEGENER[[#This Row],[SERIE]])</f>
        <v>4</v>
      </c>
      <c r="BG471" s="683" t="str">
        <f>CONCATENATE("F",COUNTIF($K$7:K471,K471))</f>
        <v>F3</v>
      </c>
      <c r="BH471" s="683" t="str">
        <f>CONCATENATE(BDEGENER[[#This Row],[FECHA DE SERVICIO]],BDEGENER[[#This Row],[N° DE REGISTROS DEL DIA]])</f>
        <v>43972F3</v>
      </c>
      <c r="BI471" s="684"/>
      <c r="BJ471" s="683" t="s">
        <v>1544</v>
      </c>
      <c r="BK471" s="736"/>
    </row>
    <row r="472" spans="2:63" ht="69" hidden="1" x14ac:dyDescent="0.3">
      <c r="B472" s="2"/>
      <c r="C472" s="2"/>
      <c r="D472" s="2"/>
      <c r="E472" s="2"/>
      <c r="F472" s="2"/>
      <c r="G472" s="2"/>
      <c r="H472" s="2"/>
      <c r="I472" s="2"/>
      <c r="J472" s="685"/>
      <c r="K472" s="682">
        <v>43972</v>
      </c>
      <c r="L472" s="683" t="s">
        <v>181</v>
      </c>
      <c r="M472" s="683" t="s">
        <v>184</v>
      </c>
      <c r="N472" s="683" t="s">
        <v>183</v>
      </c>
      <c r="O472" s="683">
        <v>4500873022</v>
      </c>
      <c r="P472" s="683" t="s">
        <v>2275</v>
      </c>
      <c r="Q472" s="683" t="s">
        <v>37</v>
      </c>
      <c r="R472" s="683" t="s">
        <v>1782</v>
      </c>
      <c r="S472" s="686" t="s">
        <v>2276</v>
      </c>
      <c r="T472" s="683" t="s">
        <v>2277</v>
      </c>
      <c r="U472" s="683" t="s">
        <v>2278</v>
      </c>
      <c r="V472" s="683" t="s">
        <v>146</v>
      </c>
      <c r="W472" s="683" t="s">
        <v>914</v>
      </c>
      <c r="X472" s="691" t="s">
        <v>918</v>
      </c>
      <c r="Y472" s="687">
        <v>3004416580</v>
      </c>
      <c r="Z472" s="692"/>
      <c r="AA472" s="683" t="s">
        <v>33</v>
      </c>
      <c r="AB472" s="683" t="s">
        <v>34</v>
      </c>
      <c r="AC472" s="683" t="s">
        <v>230</v>
      </c>
      <c r="AD472" s="683" t="s">
        <v>1110</v>
      </c>
      <c r="AE472" s="683">
        <v>60</v>
      </c>
      <c r="AF472" s="684">
        <v>1995</v>
      </c>
      <c r="AG472" s="683" t="s">
        <v>243</v>
      </c>
      <c r="AH472" s="683" t="s">
        <v>220</v>
      </c>
      <c r="AI472" s="683" t="s">
        <v>33</v>
      </c>
      <c r="AJ472" s="683">
        <v>3004426061</v>
      </c>
      <c r="AK472" s="683" t="s">
        <v>33</v>
      </c>
      <c r="AL472" s="683">
        <v>107746810</v>
      </c>
      <c r="AM472" s="683" t="s">
        <v>1121</v>
      </c>
      <c r="AN472" s="683" t="s">
        <v>1352</v>
      </c>
      <c r="AO472" s="683" t="s">
        <v>1349</v>
      </c>
      <c r="AP472" s="683" t="s">
        <v>240</v>
      </c>
      <c r="AQ472" s="683" t="str">
        <f>CONCATENATE("REG-",BDEGENER[[#This Row],[FECHA DE SERVICIO]],"-",BDEGENER[[#This Row],[SERIE]],"-",BDEGENER[[#This Row],[HORAS]])</f>
        <v>REG-43972-3004416580-1995</v>
      </c>
      <c r="AR472" s="683" t="str">
        <f>CONCATENATE("MARCA: ",BDEGENER[[#This Row],[MARCA]],"
 MODELO: ",BDEGENER[[#This Row],[MODELO]])</f>
        <v>MARCA: GENERAC
 MODELO: PG090</v>
      </c>
      <c r="AS472" s="683" t="str">
        <f>CONCATENATE("MARCA: ",BDEGENER[[#This Row],[MARCA DE MOTOR]],"
SERIE: ",BDEGENER[[#This Row],[SERIE DE MOTOR]])</f>
        <v>MARCA: GENERAC
SERIE: 3004426061</v>
      </c>
      <c r="AT472" s="683" t="str">
        <f>CONCATENATE("MARCA: ",BDEGENER[[#This Row],[MARCA ALTERNADOR ]],"
SERIE: ",BDEGENER[[#This Row],[SERIE DE ALTERNADOR]])</f>
        <v>MARCA: GENERAC
SERIE: 107746810</v>
      </c>
      <c r="AU472" s="683" t="str">
        <f>CONCATENATE("HORAS: ",BDEGENER[[#This Row],[HORAS]],"
KW-HR: ",BDEGENER[[#This Row],[KW-HORA]],"
VOLT.BATERIA: ",BDEGENER[[#This Row],[VOLTAJE DE BATERIA]],"
TEMPERATURA: ",BDEGENER[[#This Row],[TEMPERATURA DE AGUA]],"
PRES. ACEITE: ",BDEGENER[[#This Row],[PRESION DE ACEITE]])</f>
        <v>HORAS: 1995
KW-HR: 22863,4
VOLT.BATERIA: 13.7 V
TEMPERATURA: 196 °F
PRES. ACEITE: 56 PSI</v>
      </c>
      <c r="AV472" s="761">
        <f>COUNTIFS(Q472:Q2472,"MANTENIMIENTO CORRECTIVO",Y472:Y2472,BDEGENER[[#This Row],[SERIE]])</f>
        <v>2</v>
      </c>
      <c r="AW472" s="761">
        <f>COUNTIFS(Q472:Q2472,"MANTENIMIENTO PREVENTIVO",Y472:Y2472,BDEGENER[[#This Row],[SERIE]])</f>
        <v>6</v>
      </c>
      <c r="AX47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472" s="683">
        <f>COUNTIFS(BDEGENER[SERIE],BDEGENER[[#This Row],[SERIE]],BDEGENER[TIPO DE SERVICIO],"MANTENIMIENTO PREVENTIVO")</f>
        <v>8</v>
      </c>
      <c r="AZ472" s="683" t="str">
        <f>CONCATENATE("MANTENIMIENTO PREVENTIVO N°",BDEGENER[[#This Row],[GA1]])</f>
        <v>MANTENIMIENTO PREVENTIVO N°8</v>
      </c>
      <c r="BA472" s="683" t="str">
        <f>IF(BDEGENER[[#This Row],[SERVICIO]]=BDEGENER[[#This Row],[GA2]],BDEGENER[[#This Row],[HORAS]],"0")</f>
        <v>0</v>
      </c>
      <c r="BB472" s="683">
        <f>SUMIF(BDEGENER[SERIE],BDEGENER[[#This Row],[SERIE]],BDEGENER[GA3])</f>
        <v>3113.9</v>
      </c>
      <c r="BC472" s="761" t="str">
        <f>CONCATENATE("MANT",COUNTIF($Y$7:Y472,Y472))</f>
        <v>MANT6</v>
      </c>
      <c r="BD472" s="683" t="str">
        <f>CONCATENATE(BDEGENER[[#This Row],[SERIE]],BDEGENER[[#This Row],[GA5]])</f>
        <v>3004416580MANT6</v>
      </c>
      <c r="BE472" s="683" t="str">
        <f>CONCATENATE(BDEGENER[[#This Row],[CODIGO PATRIMONIAL]],BDEGENER[[#This Row],[GA5]])</f>
        <v>MANT6</v>
      </c>
      <c r="BF472" s="683">
        <f>COUNTIF(BDEGENER[SERIE],BDEGENER[[#This Row],[SERIE]])</f>
        <v>14</v>
      </c>
      <c r="BG472" s="761" t="str">
        <f>CONCATENATE("F",COUNTIF($K$7:K472,K472))</f>
        <v>F4</v>
      </c>
      <c r="BH472" s="683" t="str">
        <f>CONCATENATE(BDEGENER[[#This Row],[FECHA DE SERVICIO]],BDEGENER[[#This Row],[N° DE REGISTROS DEL DIA]])</f>
        <v>43972F4</v>
      </c>
      <c r="BI472" s="684">
        <v>22863.4</v>
      </c>
      <c r="BJ472" s="683" t="s">
        <v>1544</v>
      </c>
      <c r="BK472" s="736" t="s">
        <v>2279</v>
      </c>
    </row>
    <row r="473" spans="2:63" ht="69" hidden="1" x14ac:dyDescent="0.3">
      <c r="B473" s="2"/>
      <c r="C473" s="2"/>
      <c r="D473" s="2"/>
      <c r="E473" s="2"/>
      <c r="F473" s="2"/>
      <c r="G473" s="2"/>
      <c r="H473" s="2"/>
      <c r="I473" s="2"/>
      <c r="J473" s="685"/>
      <c r="K473" s="682">
        <v>43972</v>
      </c>
      <c r="L473" s="683" t="s">
        <v>181</v>
      </c>
      <c r="M473" s="683" t="s">
        <v>182</v>
      </c>
      <c r="N473" s="683" t="s">
        <v>183</v>
      </c>
      <c r="O473" s="683">
        <v>4500873022</v>
      </c>
      <c r="P473" s="683" t="s">
        <v>2273</v>
      </c>
      <c r="Q473" s="683" t="s">
        <v>37</v>
      </c>
      <c r="R473" s="683" t="s">
        <v>1782</v>
      </c>
      <c r="S473" s="686" t="s">
        <v>2282</v>
      </c>
      <c r="T473" s="683" t="s">
        <v>2274</v>
      </c>
      <c r="U473" s="683" t="s">
        <v>2053</v>
      </c>
      <c r="V473" s="683" t="s">
        <v>146</v>
      </c>
      <c r="W473" s="683" t="s">
        <v>914</v>
      </c>
      <c r="X473" s="691" t="s">
        <v>918</v>
      </c>
      <c r="Y473" s="687">
        <v>3004381435</v>
      </c>
      <c r="Z473" s="692"/>
      <c r="AA473" s="683" t="s">
        <v>33</v>
      </c>
      <c r="AB473" s="683" t="s">
        <v>34</v>
      </c>
      <c r="AC473" s="683" t="s">
        <v>230</v>
      </c>
      <c r="AD473" s="683" t="s">
        <v>1110</v>
      </c>
      <c r="AE473" s="683">
        <v>60</v>
      </c>
      <c r="AF473" s="684">
        <v>669.1</v>
      </c>
      <c r="AG473" s="683" t="s">
        <v>243</v>
      </c>
      <c r="AH473" s="683" t="s">
        <v>220</v>
      </c>
      <c r="AI473" s="683" t="s">
        <v>33</v>
      </c>
      <c r="AJ473" s="683">
        <v>3004346796</v>
      </c>
      <c r="AK473" s="683" t="s">
        <v>33</v>
      </c>
      <c r="AL473" s="683">
        <v>10630960</v>
      </c>
      <c r="AM473" s="683" t="s">
        <v>1121</v>
      </c>
      <c r="AN473" s="683" t="s">
        <v>1122</v>
      </c>
      <c r="AO473" s="683" t="s">
        <v>1349</v>
      </c>
      <c r="AP473" s="683" t="s">
        <v>240</v>
      </c>
      <c r="AQ473" s="683" t="str">
        <f>CONCATENATE("REG-",BDEGENER[[#This Row],[FECHA DE SERVICIO]],"-",BDEGENER[[#This Row],[SERIE]],"-",BDEGENER[[#This Row],[HORAS]])</f>
        <v>REG-43972-3004381435-669,1</v>
      </c>
      <c r="AR473" s="683" t="str">
        <f>CONCATENATE("MARCA: ",BDEGENER[[#This Row],[MARCA]],"
 MODELO: ",BDEGENER[[#This Row],[MODELO]])</f>
        <v>MARCA: GENERAC
 MODELO: PG090</v>
      </c>
      <c r="AS473" s="683" t="str">
        <f>CONCATENATE("MARCA: ",BDEGENER[[#This Row],[MARCA DE MOTOR]],"
SERIE: ",BDEGENER[[#This Row],[SERIE DE MOTOR]])</f>
        <v>MARCA: GENERAC
SERIE: 3004346796</v>
      </c>
      <c r="AT473" s="683" t="str">
        <f>CONCATENATE("MARCA: ",BDEGENER[[#This Row],[MARCA ALTERNADOR ]],"
SERIE: ",BDEGENER[[#This Row],[SERIE DE ALTERNADOR]])</f>
        <v>MARCA: GENERAC
SERIE: 10630960</v>
      </c>
      <c r="AU473" s="683" t="str">
        <f>CONCATENATE("HORAS: ",BDEGENER[[#This Row],[HORAS]],"
KW-HR: ",BDEGENER[[#This Row],[KW-HORA]],"
VOLT.BATERIA: ",BDEGENER[[#This Row],[VOLTAJE DE BATERIA]],"
TEMPERATURA: ",BDEGENER[[#This Row],[TEMPERATURA DE AGUA]],"
PRES. ACEITE: ",BDEGENER[[#This Row],[PRESION DE ACEITE]])</f>
        <v>HORAS: 669,1
KW-HR: 11968,8
VOLT.BATERIA: 13.7 V
TEMPERATURA: 195 °F
PRES. ACEITE: 56 PSI</v>
      </c>
      <c r="AV473" s="683">
        <f>COUNTIFS(Q473:Q2473,"MANTENIMIENTO CORRECTIVO",Y473:Y2473,BDEGENER[[#This Row],[SERIE]])</f>
        <v>2</v>
      </c>
      <c r="AW473" s="683">
        <f>COUNTIFS(Q473:Q2473,"MANTENIMIENTO PREVENTIVO",Y473:Y2473,BDEGENER[[#This Row],[SERIE]])</f>
        <v>3</v>
      </c>
      <c r="AX47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473" s="683">
        <f>COUNTIFS(BDEGENER[SERIE],BDEGENER[[#This Row],[SERIE]],BDEGENER[TIPO DE SERVICIO],"MANTENIMIENTO PREVENTIVO")</f>
        <v>8</v>
      </c>
      <c r="AZ473" s="683" t="str">
        <f>CONCATENATE("MANTENIMIENTO PREVENTIVO N°",BDEGENER[[#This Row],[GA1]])</f>
        <v>MANTENIMIENTO PREVENTIVO N°8</v>
      </c>
      <c r="BA473" s="683" t="str">
        <f>IF(BDEGENER[[#This Row],[SERVICIO]]=BDEGENER[[#This Row],[GA2]],BDEGENER[[#This Row],[HORAS]],"0")</f>
        <v>0</v>
      </c>
      <c r="BB473" s="683">
        <f>SUMIF(BDEGENER[SERIE],BDEGENER[[#This Row],[SERIE]],BDEGENER[GA3])</f>
        <v>2141.3000000000002</v>
      </c>
      <c r="BC473" s="683" t="str">
        <f>CONCATENATE("MANT",COUNTIF($Y$7:Y473,Y473))</f>
        <v>MANT8</v>
      </c>
      <c r="BD473" s="683" t="str">
        <f>CONCATENATE(BDEGENER[[#This Row],[SERIE]],BDEGENER[[#This Row],[GA5]])</f>
        <v>3004381435MANT8</v>
      </c>
      <c r="BE473" s="683" t="str">
        <f>CONCATENATE(BDEGENER[[#This Row],[CODIGO PATRIMONIAL]],BDEGENER[[#This Row],[GA5]])</f>
        <v>MANT8</v>
      </c>
      <c r="BF473" s="683">
        <f>COUNTIF(BDEGENER[SERIE],BDEGENER[[#This Row],[SERIE]])</f>
        <v>13</v>
      </c>
      <c r="BG473" s="683" t="str">
        <f>CONCATENATE("F",COUNTIF($K$7:K473,K473))</f>
        <v>F5</v>
      </c>
      <c r="BH473" s="683" t="str">
        <f>CONCATENATE(BDEGENER[[#This Row],[FECHA DE SERVICIO]],BDEGENER[[#This Row],[N° DE REGISTROS DEL DIA]])</f>
        <v>43972F5</v>
      </c>
      <c r="BI473" s="684">
        <v>11968.8</v>
      </c>
      <c r="BJ473" s="683" t="s">
        <v>1544</v>
      </c>
      <c r="BK473" s="736" t="s">
        <v>534</v>
      </c>
    </row>
    <row r="474" spans="2:63" ht="69" hidden="1" x14ac:dyDescent="0.3">
      <c r="B474" s="2"/>
      <c r="C474" s="2"/>
      <c r="D474" s="2"/>
      <c r="E474" s="2"/>
      <c r="F474" s="2"/>
      <c r="G474" s="2"/>
      <c r="H474" s="2"/>
      <c r="I474" s="2"/>
      <c r="J474" s="685"/>
      <c r="K474" s="682">
        <v>43965</v>
      </c>
      <c r="L474" s="683" t="s">
        <v>181</v>
      </c>
      <c r="M474" s="683" t="s">
        <v>188</v>
      </c>
      <c r="N474" s="683" t="s">
        <v>183</v>
      </c>
      <c r="O474" s="683"/>
      <c r="P474" s="683"/>
      <c r="Q474" s="683" t="s">
        <v>108</v>
      </c>
      <c r="R474" s="683" t="s">
        <v>2283</v>
      </c>
      <c r="S474" s="686" t="s">
        <v>2284</v>
      </c>
      <c r="T474" s="683" t="s">
        <v>2285</v>
      </c>
      <c r="U474" s="683" t="s">
        <v>2286</v>
      </c>
      <c r="V474" s="683" t="s">
        <v>146</v>
      </c>
      <c r="W474" s="683" t="s">
        <v>914</v>
      </c>
      <c r="X474" s="691" t="s">
        <v>918</v>
      </c>
      <c r="Y474" s="687">
        <v>3004290364</v>
      </c>
      <c r="Z474" s="692"/>
      <c r="AA474" s="683" t="s">
        <v>33</v>
      </c>
      <c r="AB474" s="683" t="s">
        <v>34</v>
      </c>
      <c r="AC474" s="683" t="s">
        <v>230</v>
      </c>
      <c r="AD474" s="683">
        <v>450</v>
      </c>
      <c r="AE474" s="683">
        <v>60</v>
      </c>
      <c r="AF474" s="684">
        <v>1146.0999999999999</v>
      </c>
      <c r="AG474" s="683" t="s">
        <v>243</v>
      </c>
      <c r="AH474" s="683" t="s">
        <v>220</v>
      </c>
      <c r="AI474" s="683" t="s">
        <v>33</v>
      </c>
      <c r="AJ474" s="683">
        <v>3004301038</v>
      </c>
      <c r="AK474" s="683" t="s">
        <v>33</v>
      </c>
      <c r="AL474" s="683">
        <v>10630180</v>
      </c>
      <c r="AM474" s="683" t="s">
        <v>2072</v>
      </c>
      <c r="AN474" s="683"/>
      <c r="AO474" s="683" t="s">
        <v>1090</v>
      </c>
      <c r="AP474" s="683" t="s">
        <v>557</v>
      </c>
      <c r="AQ474" s="688" t="str">
        <f>CONCATENATE("REG-",BDEGENER[[#This Row],[FECHA DE SERVICIO]],"-",BDEGENER[[#This Row],[SERIE]],"-",BDEGENER[[#This Row],[HORAS]])</f>
        <v>REG-43965-3004290364-1146,1</v>
      </c>
      <c r="AR474" s="683" t="str">
        <f>CONCATENATE("MARCA: ",BDEGENER[[#This Row],[MARCA]],"
 MODELO: ",BDEGENER[[#This Row],[MODELO]])</f>
        <v>MARCA: GENERAC
 MODELO: PG090</v>
      </c>
      <c r="AS474" s="683" t="str">
        <f>CONCATENATE("MARCA: ",BDEGENER[[#This Row],[MARCA DE MOTOR]],"
SERIE: ",BDEGENER[[#This Row],[SERIE DE MOTOR]])</f>
        <v>MARCA: GENERAC
SERIE: 3004301038</v>
      </c>
      <c r="AT474" s="683" t="str">
        <f>CONCATENATE("MARCA: ",BDEGENER[[#This Row],[MARCA ALTERNADOR ]],"
SERIE: ",BDEGENER[[#This Row],[SERIE DE ALTERNADOR]])</f>
        <v>MARCA: GENERAC
SERIE: 10630180</v>
      </c>
      <c r="AU474" s="683" t="str">
        <f>CONCATENATE("HORAS: ",BDEGENER[[#This Row],[HORAS]],"
KW-HR: ",BDEGENER[[#This Row],[KW-HORA]],"
VOLT.BATERIA: ",BDEGENER[[#This Row],[VOLTAJE DE BATERIA]],"
TEMPERATURA: ",BDEGENER[[#This Row],[TEMPERATURA DE AGUA]],"
PRES. ACEITE: ",BDEGENER[[#This Row],[PRESION DE ACEITE]])</f>
        <v>HORAS: 1146,1
KW-HR: 23175,1
VOLT.BATERIA: 13.63 V
TEMPERATURA: 
PRES. ACEITE: 69 PSI</v>
      </c>
      <c r="AV474" s="683">
        <f>COUNTIFS(Q474:Q2474,"MANTENIMIENTO CORRECTIVO",Y474:Y2474,BDEGENER[[#This Row],[SERIE]])</f>
        <v>1</v>
      </c>
      <c r="AW474" s="683">
        <f>COUNTIFS(Q474:Q2474,"MANTENIMIENTO PREVENTIVO",Y474:Y2474,BDEGENER[[#This Row],[SERIE]])</f>
        <v>3</v>
      </c>
      <c r="AX47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74" s="683">
        <f>COUNTIFS(BDEGENER[SERIE],BDEGENER[[#This Row],[SERIE]],BDEGENER[TIPO DE SERVICIO],"MANTENIMIENTO PREVENTIVO")</f>
        <v>3</v>
      </c>
      <c r="AZ474" s="683" t="str">
        <f>CONCATENATE("MANTENIMIENTO PREVENTIVO N°",BDEGENER[[#This Row],[GA1]])</f>
        <v>MANTENIMIENTO PREVENTIVO N°3</v>
      </c>
      <c r="BA474" s="683" t="str">
        <f>IF(BDEGENER[[#This Row],[SERVICIO]]=BDEGENER[[#This Row],[GA2]],BDEGENER[[#This Row],[HORAS]],"0")</f>
        <v>0</v>
      </c>
      <c r="BB474" s="683">
        <f>SUMIF(BDEGENER[SERIE],BDEGENER[[#This Row],[SERIE]],BDEGENER[GA3])</f>
        <v>941.5</v>
      </c>
      <c r="BC474" s="683" t="str">
        <f>CONCATENATE("MANT",COUNTIF($Y$7:Y474,Y474))</f>
        <v>MANT4</v>
      </c>
      <c r="BD474" s="683" t="str">
        <f>CONCATENATE(BDEGENER[[#This Row],[SERIE]],BDEGENER[[#This Row],[GA5]])</f>
        <v>3004290364MANT4</v>
      </c>
      <c r="BE474" s="683" t="str">
        <f>CONCATENATE(BDEGENER[[#This Row],[CODIGO PATRIMONIAL]],BDEGENER[[#This Row],[GA5]])</f>
        <v>MANT4</v>
      </c>
      <c r="BF474" s="683">
        <f>COUNTIF(BDEGENER[SERIE],BDEGENER[[#This Row],[SERIE]])</f>
        <v>9</v>
      </c>
      <c r="BG474" s="683" t="str">
        <f>CONCATENATE("F",COUNTIF($K$7:K474,K474))</f>
        <v>F1</v>
      </c>
      <c r="BH474" s="683" t="str">
        <f>CONCATENATE(BDEGENER[[#This Row],[FECHA DE SERVICIO]],BDEGENER[[#This Row],[N° DE REGISTROS DEL DIA]])</f>
        <v>43965F1</v>
      </c>
      <c r="BI474" s="684">
        <v>23175.1</v>
      </c>
      <c r="BJ474" s="683" t="s">
        <v>1544</v>
      </c>
      <c r="BK474" s="736"/>
    </row>
    <row r="475" spans="2:63" ht="69" hidden="1" x14ac:dyDescent="0.3">
      <c r="B475" s="2"/>
      <c r="C475" s="2"/>
      <c r="D475" s="2"/>
      <c r="E475" s="2"/>
      <c r="F475" s="2"/>
      <c r="G475" s="2"/>
      <c r="H475" s="2"/>
      <c r="I475" s="2"/>
      <c r="J475" s="685"/>
      <c r="K475" s="682">
        <v>43964</v>
      </c>
      <c r="L475" s="683" t="s">
        <v>248</v>
      </c>
      <c r="M475" s="683" t="s">
        <v>1224</v>
      </c>
      <c r="N475" s="683" t="s">
        <v>1319</v>
      </c>
      <c r="O475" s="683"/>
      <c r="P475" s="688" t="s">
        <v>2270</v>
      </c>
      <c r="Q475" s="683" t="s">
        <v>37</v>
      </c>
      <c r="R475" s="683" t="s">
        <v>1782</v>
      </c>
      <c r="S475" s="686" t="s">
        <v>2271</v>
      </c>
      <c r="T475" s="683" t="s">
        <v>2272</v>
      </c>
      <c r="U475" s="683" t="s">
        <v>2059</v>
      </c>
      <c r="V475" s="683" t="s">
        <v>149</v>
      </c>
      <c r="W475" s="683" t="s">
        <v>914</v>
      </c>
      <c r="X475" s="691" t="s">
        <v>918</v>
      </c>
      <c r="Y475" s="687">
        <v>3004999911</v>
      </c>
      <c r="Z475" s="692">
        <v>24543</v>
      </c>
      <c r="AA475" s="683" t="s">
        <v>33</v>
      </c>
      <c r="AB475" s="683" t="s">
        <v>1728</v>
      </c>
      <c r="AC475" s="683" t="s">
        <v>528</v>
      </c>
      <c r="AD475" s="683" t="s">
        <v>1087</v>
      </c>
      <c r="AE475" s="683">
        <v>60</v>
      </c>
      <c r="AF475" s="684">
        <v>1431.3</v>
      </c>
      <c r="AG475" s="683" t="s">
        <v>243</v>
      </c>
      <c r="AH475" s="683" t="s">
        <v>220</v>
      </c>
      <c r="AI475" s="683" t="s">
        <v>1495</v>
      </c>
      <c r="AJ475" s="683" t="s">
        <v>1496</v>
      </c>
      <c r="AK475" s="683" t="s">
        <v>33</v>
      </c>
      <c r="AL475" s="683">
        <v>1395462</v>
      </c>
      <c r="AM475" s="683" t="s">
        <v>1145</v>
      </c>
      <c r="AN475" s="683" t="s">
        <v>1423</v>
      </c>
      <c r="AO475" s="683" t="s">
        <v>1146</v>
      </c>
      <c r="AP475" s="683" t="s">
        <v>240</v>
      </c>
      <c r="AQ475" s="688" t="str">
        <f>CONCATENATE("REG-",BDEGENER[[#This Row],[FECHA DE SERVICIO]],"-",BDEGENER[[#This Row],[SERIE]],"-",BDEGENER[[#This Row],[HORAS]])</f>
        <v>REG-43964-3004999911-1431,3</v>
      </c>
      <c r="AR475" s="683" t="str">
        <f>CONCATENATE("MARCA: ",BDEGENER[[#This Row],[MARCA]],"
 MODELO: ",BDEGENER[[#This Row],[MODELO]])</f>
        <v>MARCA: GENERAC
 MODELO: PG054</v>
      </c>
      <c r="AS475" s="683" t="str">
        <f>CONCATENATE("MARCA: ",BDEGENER[[#This Row],[MARCA DE MOTOR]],"
SERIE: ",BDEGENER[[#This Row],[SERIE DE MOTOR]])</f>
        <v>MARCA: FORD
SERIE: GP680AA</v>
      </c>
      <c r="AT475" s="683" t="str">
        <f>CONCATENATE("MARCA: ",BDEGENER[[#This Row],[MARCA ALTERNADOR ]],"
SERIE: ",BDEGENER[[#This Row],[SERIE DE ALTERNADOR]])</f>
        <v>MARCA: GENERAC
SERIE: 1395462</v>
      </c>
      <c r="AU475" s="683" t="str">
        <f>CONCATENATE("HORAS: ",BDEGENER[[#This Row],[HORAS]],"
KW-HR: ",BDEGENER[[#This Row],[KW-HORA]],"
VOLT.BATERIA: ",BDEGENER[[#This Row],[VOLTAJE DE BATERIA]],"
TEMPERATURA: ",BDEGENER[[#This Row],[TEMPERATURA DE AGUA]],"
PRES. ACEITE: ",BDEGENER[[#This Row],[PRESION DE ACEITE]])</f>
        <v>HORAS: 1431,3
KW-HR: 33573,7
VOLT.BATERIA: 13.4 V
TEMPERATURA: 190 °F
PRES. ACEITE: 62 PSI</v>
      </c>
      <c r="AV475" s="761">
        <f>COUNTIFS(Q475:Q2475,"MANTENIMIENTO CORRECTIVO",Y475:Y2475,BDEGENER[[#This Row],[SERIE]])</f>
        <v>0</v>
      </c>
      <c r="AW475" s="761">
        <f>COUNTIFS(Q475:Q2475,"MANTENIMIENTO PREVENTIVO",Y475:Y2475,BDEGENER[[#This Row],[SERIE]])</f>
        <v>5</v>
      </c>
      <c r="AX47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75" s="683">
        <f>COUNTIFS(BDEGENER[SERIE],BDEGENER[[#This Row],[SERIE]],BDEGENER[TIPO DE SERVICIO],"MANTENIMIENTO PREVENTIVO")</f>
        <v>12</v>
      </c>
      <c r="AZ475" s="683" t="str">
        <f>CONCATENATE("MANTENIMIENTO PREVENTIVO N°",BDEGENER[[#This Row],[GA1]])</f>
        <v>MANTENIMIENTO PREVENTIVO N°12</v>
      </c>
      <c r="BA475" s="683" t="str">
        <f>IF(BDEGENER[[#This Row],[SERVICIO]]=BDEGENER[[#This Row],[GA2]],BDEGENER[[#This Row],[HORAS]],"0")</f>
        <v>0</v>
      </c>
      <c r="BB475" s="683">
        <f>SUMIF(BDEGENER[SERIE],BDEGENER[[#This Row],[SERIE]],BDEGENER[GA3])</f>
        <v>3510.8</v>
      </c>
      <c r="BC475" s="761" t="str">
        <f>CONCATENATE("MANT",COUNTIF($Y$7:Y475,Y475))</f>
        <v>MANT8</v>
      </c>
      <c r="BD475" s="683" t="str">
        <f>CONCATENATE(BDEGENER[[#This Row],[SERIE]],BDEGENER[[#This Row],[GA5]])</f>
        <v>3004999911MANT8</v>
      </c>
      <c r="BE475" s="683" t="str">
        <f>CONCATENATE(BDEGENER[[#This Row],[CODIGO PATRIMONIAL]],BDEGENER[[#This Row],[GA5]])</f>
        <v>24543MANT8</v>
      </c>
      <c r="BF475" s="683">
        <f>COUNTIF(BDEGENER[SERIE],BDEGENER[[#This Row],[SERIE]])</f>
        <v>14</v>
      </c>
      <c r="BG475" s="761" t="str">
        <f>CONCATENATE("F",COUNTIF($K$7:K475,K475))</f>
        <v>F1</v>
      </c>
      <c r="BH475" s="683" t="str">
        <f>CONCATENATE(BDEGENER[[#This Row],[FECHA DE SERVICIO]],BDEGENER[[#This Row],[N° DE REGISTROS DEL DIA]])</f>
        <v>43964F1</v>
      </c>
      <c r="BI475" s="684">
        <v>33573.699999999997</v>
      </c>
      <c r="BJ475" s="683" t="s">
        <v>1544</v>
      </c>
      <c r="BK475" s="736"/>
    </row>
    <row r="476" spans="2:63" ht="69" hidden="1" x14ac:dyDescent="0.3">
      <c r="B476" s="2"/>
      <c r="C476" s="2"/>
      <c r="D476" s="2"/>
      <c r="E476" s="2"/>
      <c r="F476" s="2"/>
      <c r="G476" s="2"/>
      <c r="H476" s="2"/>
      <c r="I476" s="2"/>
      <c r="J476" s="685"/>
      <c r="K476" s="682">
        <v>43964</v>
      </c>
      <c r="L476" s="683" t="s">
        <v>248</v>
      </c>
      <c r="M476" s="683" t="s">
        <v>2078</v>
      </c>
      <c r="N476" s="683" t="s">
        <v>1319</v>
      </c>
      <c r="O476" s="683"/>
      <c r="P476" s="688" t="s">
        <v>2263</v>
      </c>
      <c r="Q476" s="683" t="s">
        <v>37</v>
      </c>
      <c r="R476" s="683" t="s">
        <v>1782</v>
      </c>
      <c r="S476" s="686" t="s">
        <v>2264</v>
      </c>
      <c r="T476" s="683" t="s">
        <v>2265</v>
      </c>
      <c r="U476" s="683" t="s">
        <v>2053</v>
      </c>
      <c r="V476" s="683" t="s">
        <v>149</v>
      </c>
      <c r="W476" s="683" t="s">
        <v>914</v>
      </c>
      <c r="X476" s="691" t="s">
        <v>918</v>
      </c>
      <c r="Y476" s="687">
        <v>3005005010</v>
      </c>
      <c r="Z476" s="692">
        <v>24547</v>
      </c>
      <c r="AA476" s="683" t="s">
        <v>33</v>
      </c>
      <c r="AB476" s="683" t="s">
        <v>34</v>
      </c>
      <c r="AC476" s="683" t="s">
        <v>230</v>
      </c>
      <c r="AD476" s="683" t="s">
        <v>1123</v>
      </c>
      <c r="AE476" s="683">
        <v>60</v>
      </c>
      <c r="AF476" s="684">
        <v>1433.4</v>
      </c>
      <c r="AG476" s="683" t="s">
        <v>243</v>
      </c>
      <c r="AH476" s="683" t="s">
        <v>220</v>
      </c>
      <c r="AI476" s="683" t="s">
        <v>33</v>
      </c>
      <c r="AJ476" s="683">
        <v>3005065416</v>
      </c>
      <c r="AK476" s="683" t="s">
        <v>33</v>
      </c>
      <c r="AL476" s="683">
        <v>139502910</v>
      </c>
      <c r="AM476" s="683" t="s">
        <v>1201</v>
      </c>
      <c r="AN476" s="683" t="s">
        <v>2266</v>
      </c>
      <c r="AO476" s="683" t="s">
        <v>1318</v>
      </c>
      <c r="AP476" s="683" t="s">
        <v>240</v>
      </c>
      <c r="AQ476" s="688" t="str">
        <f>CONCATENATE("REG-",BDEGENER[[#This Row],[FECHA DE SERVICIO]],"-",BDEGENER[[#This Row],[SERIE]],"-",BDEGENER[[#This Row],[HORAS]])</f>
        <v>REG-43964-3005005010-1433,4</v>
      </c>
      <c r="AR476" s="683" t="str">
        <f>CONCATENATE("MARCA: ",BDEGENER[[#This Row],[MARCA]],"
 MODELO: ",BDEGENER[[#This Row],[MODELO]])</f>
        <v>MARCA: GENERAC
 MODELO: PG090</v>
      </c>
      <c r="AS476" s="683" t="str">
        <f>CONCATENATE("MARCA: ",BDEGENER[[#This Row],[MARCA DE MOTOR]],"
SERIE: ",BDEGENER[[#This Row],[SERIE DE MOTOR]])</f>
        <v>MARCA: GENERAC
SERIE: 3005065416</v>
      </c>
      <c r="AT476" s="683" t="str">
        <f>CONCATENATE("MARCA: ",BDEGENER[[#This Row],[MARCA ALTERNADOR ]],"
SERIE: ",BDEGENER[[#This Row],[SERIE DE ALTERNADOR]])</f>
        <v>MARCA: GENERAC
SERIE: 139502910</v>
      </c>
      <c r="AU476" s="683" t="str">
        <f>CONCATENATE("HORAS: ",BDEGENER[[#This Row],[HORAS]],"
KW-HR: ",BDEGENER[[#This Row],[KW-HORA]],"
VOLT.BATERIA: ",BDEGENER[[#This Row],[VOLTAJE DE BATERIA]],"
TEMPERATURA: ",BDEGENER[[#This Row],[TEMPERATURA DE AGUA]],"
PRES. ACEITE: ",BDEGENER[[#This Row],[PRESION DE ACEITE]])</f>
        <v>HORAS: 1433,4
KW-HR: 45816,5
VOLT.BATERIA: 14.2 V
TEMPERATURA: 195 °C
PRES. ACEITE: 58 PSI</v>
      </c>
      <c r="AV476" s="683">
        <f>COUNTIFS(Q476:Q2476,"MANTENIMIENTO CORRECTIVO",Y476:Y2476,BDEGENER[[#This Row],[SERIE]])</f>
        <v>0</v>
      </c>
      <c r="AW476" s="683">
        <f>COUNTIFS(Q476:Q2476,"MANTENIMIENTO PREVENTIVO",Y476:Y2476,BDEGENER[[#This Row],[SERIE]])</f>
        <v>5</v>
      </c>
      <c r="AX47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76" s="683">
        <f>COUNTIFS(BDEGENER[SERIE],BDEGENER[[#This Row],[SERIE]],BDEGENER[TIPO DE SERVICIO],"MANTENIMIENTO PREVENTIVO")</f>
        <v>9</v>
      </c>
      <c r="AZ476" s="683" t="str">
        <f>CONCATENATE("MANTENIMIENTO PREVENTIVO N°",BDEGENER[[#This Row],[GA1]])</f>
        <v>MANTENIMIENTO PREVENTIVO N°9</v>
      </c>
      <c r="BA476" s="683" t="str">
        <f>IF(BDEGENER[[#This Row],[SERVICIO]]=BDEGENER[[#This Row],[GA2]],BDEGENER[[#This Row],[HORAS]],"0")</f>
        <v>0</v>
      </c>
      <c r="BB476" s="683">
        <f>SUMIF(BDEGENER[SERIE],BDEGENER[[#This Row],[SERIE]],BDEGENER[GA3])</f>
        <v>2557.3000000000002</v>
      </c>
      <c r="BC476" s="683" t="str">
        <f>CONCATENATE("MANT",COUNTIF($Y$7:Y476,Y476))</f>
        <v>MANT8</v>
      </c>
      <c r="BD476" s="683" t="str">
        <f>CONCATENATE(BDEGENER[[#This Row],[SERIE]],BDEGENER[[#This Row],[GA5]])</f>
        <v>3005005010MANT8</v>
      </c>
      <c r="BE476" s="683" t="str">
        <f>CONCATENATE(BDEGENER[[#This Row],[CODIGO PATRIMONIAL]],BDEGENER[[#This Row],[GA5]])</f>
        <v>24547MANT8</v>
      </c>
      <c r="BF476" s="683">
        <f>COUNTIF(BDEGENER[SERIE],BDEGENER[[#This Row],[SERIE]])</f>
        <v>14</v>
      </c>
      <c r="BG476" s="683" t="str">
        <f>CONCATENATE("F",COUNTIF($K$7:K476,K476))</f>
        <v>F2</v>
      </c>
      <c r="BH476" s="683" t="str">
        <f>CONCATENATE(BDEGENER[[#This Row],[FECHA DE SERVICIO]],BDEGENER[[#This Row],[N° DE REGISTROS DEL DIA]])</f>
        <v>43964F2</v>
      </c>
      <c r="BI476" s="684">
        <v>45816.5</v>
      </c>
      <c r="BJ476" s="683" t="s">
        <v>1544</v>
      </c>
      <c r="BK476" s="736"/>
    </row>
    <row r="477" spans="2:63" ht="69" hidden="1" x14ac:dyDescent="0.3">
      <c r="B477" s="2"/>
      <c r="C477" s="2"/>
      <c r="D477" s="2"/>
      <c r="E477" s="2"/>
      <c r="F477" s="2"/>
      <c r="G477" s="2"/>
      <c r="H477" s="2"/>
      <c r="I477" s="2"/>
      <c r="J477" s="685"/>
      <c r="K477" s="682">
        <v>43964</v>
      </c>
      <c r="L477" s="683" t="s">
        <v>181</v>
      </c>
      <c r="M477" s="683" t="s">
        <v>2169</v>
      </c>
      <c r="N477" s="683" t="s">
        <v>2170</v>
      </c>
      <c r="O477" s="683">
        <v>4500926217</v>
      </c>
      <c r="P477" s="688" t="s">
        <v>2262</v>
      </c>
      <c r="Q477" s="683" t="s">
        <v>37</v>
      </c>
      <c r="R477" s="683" t="s">
        <v>1782</v>
      </c>
      <c r="S477" s="686" t="s">
        <v>2259</v>
      </c>
      <c r="T477" s="683" t="s">
        <v>2258</v>
      </c>
      <c r="U477" s="683" t="s">
        <v>2260</v>
      </c>
      <c r="V477" s="683" t="s">
        <v>149</v>
      </c>
      <c r="W477" s="683" t="s">
        <v>914</v>
      </c>
      <c r="X477" s="691" t="s">
        <v>918</v>
      </c>
      <c r="Y477" s="687">
        <v>3005167422</v>
      </c>
      <c r="Z477" s="692" t="s">
        <v>159</v>
      </c>
      <c r="AA477" s="683" t="s">
        <v>33</v>
      </c>
      <c r="AB477" s="683" t="s">
        <v>2174</v>
      </c>
      <c r="AC477" s="683" t="s">
        <v>2175</v>
      </c>
      <c r="AD477" s="683" t="s">
        <v>1110</v>
      </c>
      <c r="AE477" s="683">
        <v>60</v>
      </c>
      <c r="AF477" s="684">
        <v>423.6</v>
      </c>
      <c r="AG477" s="683" t="s">
        <v>243</v>
      </c>
      <c r="AH477" s="683" t="s">
        <v>220</v>
      </c>
      <c r="AI477" s="683" t="s">
        <v>33</v>
      </c>
      <c r="AJ477" s="683" t="s">
        <v>2176</v>
      </c>
      <c r="AK477" s="683" t="s">
        <v>33</v>
      </c>
      <c r="AL477" s="683">
        <v>147951510</v>
      </c>
      <c r="AM477" s="683" t="s">
        <v>1377</v>
      </c>
      <c r="AN477" s="683" t="s">
        <v>1122</v>
      </c>
      <c r="AO477" s="683" t="s">
        <v>1367</v>
      </c>
      <c r="AP477" s="683" t="s">
        <v>240</v>
      </c>
      <c r="AQ477" s="688" t="str">
        <f>CONCATENATE("REG-",BDEGENER[[#This Row],[FECHA DE SERVICIO]],"-",BDEGENER[[#This Row],[SERIE]],"-",BDEGENER[[#This Row],[HORAS]])</f>
        <v>REG-43964-3005167422-423,6</v>
      </c>
      <c r="AR477" s="683" t="str">
        <f>CONCATENATE("MARCA: ",BDEGENER[[#This Row],[MARCA]],"
 MODELO: ",BDEGENER[[#This Row],[MODELO]])</f>
        <v>MARCA: GENERAC
 MODELO: SG070</v>
      </c>
      <c r="AS477" s="683" t="str">
        <f>CONCATENATE("MARCA: ",BDEGENER[[#This Row],[MARCA DE MOTOR]],"
SERIE: ",BDEGENER[[#This Row],[SERIE DE MOTOR]])</f>
        <v>MARCA: GENERAC
SERIE: GP680AA-EH2A 250619</v>
      </c>
      <c r="AT477" s="683" t="str">
        <f>CONCATENATE("MARCA: ",BDEGENER[[#This Row],[MARCA ALTERNADOR ]],"
SERIE: ",BDEGENER[[#This Row],[SERIE DE ALTERNADOR]])</f>
        <v>MARCA: GENERAC
SERIE: 147951510</v>
      </c>
      <c r="AU477" s="683" t="str">
        <f>CONCATENATE("HORAS: ",BDEGENER[[#This Row],[HORAS]],"
KW-HR: ",BDEGENER[[#This Row],[KW-HORA]],"
VOLT.BATERIA: ",BDEGENER[[#This Row],[VOLTAJE DE BATERIA]],"
TEMPERATURA: ",BDEGENER[[#This Row],[TEMPERATURA DE AGUA]],"
PRES. ACEITE: ",BDEGENER[[#This Row],[PRESION DE ACEITE]])</f>
        <v>HORAS: 423,6
KW-HR: 15 KW
VOLT.BATERIA: 13.8 V
TEMPERATURA: 195 °F
PRES. ACEITE: 72 PSI</v>
      </c>
      <c r="AV477" s="683">
        <f>COUNTIFS(Q477:Q2477,"MANTENIMIENTO CORRECTIVO",Y477:Y2477,BDEGENER[[#This Row],[SERIE]])</f>
        <v>0</v>
      </c>
      <c r="AW477" s="683">
        <f>COUNTIFS(Q477:Q2477,"MANTENIMIENTO PREVENTIVO",Y477:Y2477,BDEGENER[[#This Row],[SERIE]])</f>
        <v>2</v>
      </c>
      <c r="AX47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477" s="683">
        <f>COUNTIFS(BDEGENER[SERIE],BDEGENER[[#This Row],[SERIE]],BDEGENER[TIPO DE SERVICIO],"MANTENIMIENTO PREVENTIVO")</f>
        <v>6</v>
      </c>
      <c r="AZ477" s="683" t="str">
        <f>CONCATENATE("MANTENIMIENTO PREVENTIVO N°",BDEGENER[[#This Row],[GA1]])</f>
        <v>MANTENIMIENTO PREVENTIVO N°6</v>
      </c>
      <c r="BA477" s="683" t="str">
        <f>IF(BDEGENER[[#This Row],[SERVICIO]]=BDEGENER[[#This Row],[GA2]],BDEGENER[[#This Row],[HORAS]],"0")</f>
        <v>0</v>
      </c>
      <c r="BB477" s="683">
        <f>SUMIF(BDEGENER[SERIE],BDEGENER[[#This Row],[SERIE]],BDEGENER[GA3])</f>
        <v>1906.8</v>
      </c>
      <c r="BC477" s="683" t="str">
        <f>CONCATENATE("MANT",COUNTIF($Y$7:Y477,Y477))</f>
        <v>MANT5</v>
      </c>
      <c r="BD477" s="683" t="str">
        <f>CONCATENATE(BDEGENER[[#This Row],[SERIE]],BDEGENER[[#This Row],[GA5]])</f>
        <v>3005167422MANT5</v>
      </c>
      <c r="BE477" s="683" t="str">
        <f>CONCATENATE(BDEGENER[[#This Row],[CODIGO PATRIMONIAL]],BDEGENER[[#This Row],[GA5]])</f>
        <v>MANT5</v>
      </c>
      <c r="BF477" s="683">
        <f>COUNTIF(BDEGENER[SERIE],BDEGENER[[#This Row],[SERIE]])</f>
        <v>7</v>
      </c>
      <c r="BG477" s="683" t="str">
        <f>CONCATENATE("F",COUNTIF($K$7:K477,K477))</f>
        <v>F3</v>
      </c>
      <c r="BH477" s="683" t="str">
        <f>CONCATENATE(BDEGENER[[#This Row],[FECHA DE SERVICIO]],BDEGENER[[#This Row],[N° DE REGISTROS DEL DIA]])</f>
        <v>43964F3</v>
      </c>
      <c r="BI477" s="684" t="s">
        <v>788</v>
      </c>
      <c r="BJ477" s="683" t="s">
        <v>1544</v>
      </c>
      <c r="BK477" s="736">
        <v>3417.9</v>
      </c>
    </row>
    <row r="478" spans="2:63" ht="69" hidden="1" x14ac:dyDescent="0.3">
      <c r="B478" s="2"/>
      <c r="C478" s="2"/>
      <c r="D478" s="2"/>
      <c r="E478" s="2"/>
      <c r="F478" s="2"/>
      <c r="G478" s="2"/>
      <c r="H478" s="2"/>
      <c r="I478" s="2"/>
      <c r="J478" s="685"/>
      <c r="K478" s="682">
        <v>43964</v>
      </c>
      <c r="L478" s="683" t="s">
        <v>181</v>
      </c>
      <c r="M478" s="683" t="s">
        <v>2179</v>
      </c>
      <c r="N478" s="683" t="s">
        <v>2170</v>
      </c>
      <c r="O478" s="683">
        <v>4500926217</v>
      </c>
      <c r="P478" s="688" t="s">
        <v>2257</v>
      </c>
      <c r="Q478" s="683" t="s">
        <v>37</v>
      </c>
      <c r="R478" s="683" t="s">
        <v>1782</v>
      </c>
      <c r="S478" s="686" t="s">
        <v>2259</v>
      </c>
      <c r="T478" s="683" t="s">
        <v>2258</v>
      </c>
      <c r="U478" s="683" t="s">
        <v>2260</v>
      </c>
      <c r="V478" s="683" t="s">
        <v>149</v>
      </c>
      <c r="W478" s="683" t="s">
        <v>914</v>
      </c>
      <c r="X478" s="691" t="s">
        <v>918</v>
      </c>
      <c r="Y478" s="687">
        <v>3005167425</v>
      </c>
      <c r="Z478" s="692" t="s">
        <v>159</v>
      </c>
      <c r="AA478" s="683" t="s">
        <v>33</v>
      </c>
      <c r="AB478" s="683" t="s">
        <v>2174</v>
      </c>
      <c r="AC478" s="683" t="s">
        <v>2175</v>
      </c>
      <c r="AD478" s="683" t="s">
        <v>1110</v>
      </c>
      <c r="AE478" s="683">
        <v>60</v>
      </c>
      <c r="AF478" s="684">
        <v>464.5</v>
      </c>
      <c r="AG478" s="683" t="s">
        <v>243</v>
      </c>
      <c r="AH478" s="683" t="s">
        <v>220</v>
      </c>
      <c r="AI478" s="683" t="s">
        <v>33</v>
      </c>
      <c r="AJ478" s="683" t="s">
        <v>2222</v>
      </c>
      <c r="AK478" s="683" t="s">
        <v>33</v>
      </c>
      <c r="AL478" s="683">
        <v>147951510</v>
      </c>
      <c r="AM478" s="683" t="s">
        <v>1121</v>
      </c>
      <c r="AN478" s="683" t="s">
        <v>2066</v>
      </c>
      <c r="AO478" s="683" t="s">
        <v>1365</v>
      </c>
      <c r="AP478" s="683" t="s">
        <v>240</v>
      </c>
      <c r="AQ478" s="688" t="str">
        <f>CONCATENATE("REG-",BDEGENER[[#This Row],[FECHA DE SERVICIO]],"-",BDEGENER[[#This Row],[SERIE]],"-",BDEGENER[[#This Row],[HORAS]])</f>
        <v>REG-43964-3005167425-464,5</v>
      </c>
      <c r="AR478" s="683" t="str">
        <f>CONCATENATE("MARCA: ",BDEGENER[[#This Row],[MARCA]],"
 MODELO: ",BDEGENER[[#This Row],[MODELO]])</f>
        <v>MARCA: GENERAC
 MODELO: SG070</v>
      </c>
      <c r="AS478" s="683" t="str">
        <f>CONCATENATE("MARCA: ",BDEGENER[[#This Row],[MARCA DE MOTOR]],"
SERIE: ",BDEGENER[[#This Row],[SERIE DE MOTOR]])</f>
        <v>MARCA: GENERAC
SERIE: GP680AA-EH2A 250618</v>
      </c>
      <c r="AT478" s="683" t="str">
        <f>CONCATENATE("MARCA: ",BDEGENER[[#This Row],[MARCA ALTERNADOR ]],"
SERIE: ",BDEGENER[[#This Row],[SERIE DE ALTERNADOR]])</f>
        <v>MARCA: GENERAC
SERIE: 147951510</v>
      </c>
      <c r="AU478" s="683" t="str">
        <f>CONCATENATE("HORAS: ",BDEGENER[[#This Row],[HORAS]],"
KW-HR: ",BDEGENER[[#This Row],[KW-HORA]],"
VOLT.BATERIA: ",BDEGENER[[#This Row],[VOLTAJE DE BATERIA]],"
TEMPERATURA: ",BDEGENER[[#This Row],[TEMPERATURA DE AGUA]],"
PRES. ACEITE: ",BDEGENER[[#This Row],[PRESION DE ACEITE]])</f>
        <v>HORAS: 464,5
KW-HR: 14 KW
VOLT.BATERIA: 13.7 V
TEMPERATURA: 202 °F
PRES. ACEITE: 70 PSI</v>
      </c>
      <c r="AV478" s="761">
        <f>COUNTIFS(Q478:Q2478,"MANTENIMIENTO CORRECTIVO",Y478:Y2478,BDEGENER[[#This Row],[SERIE]])</f>
        <v>0</v>
      </c>
      <c r="AW478" s="761">
        <f>COUNTIFS(Q478:Q2478,"MANTENIMIENTO PREVENTIVO",Y478:Y2478,BDEGENER[[#This Row],[SERIE]])</f>
        <v>2</v>
      </c>
      <c r="AX47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478" s="683">
        <f>COUNTIFS(BDEGENER[SERIE],BDEGENER[[#This Row],[SERIE]],BDEGENER[TIPO DE SERVICIO],"MANTENIMIENTO PREVENTIVO")</f>
        <v>6</v>
      </c>
      <c r="AZ478" s="683" t="str">
        <f>CONCATENATE("MANTENIMIENTO PREVENTIVO N°",BDEGENER[[#This Row],[GA1]])</f>
        <v>MANTENIMIENTO PREVENTIVO N°6</v>
      </c>
      <c r="BA478" s="683" t="str">
        <f>IF(BDEGENER[[#This Row],[SERVICIO]]=BDEGENER[[#This Row],[GA2]],BDEGENER[[#This Row],[HORAS]],"0")</f>
        <v>0</v>
      </c>
      <c r="BB478" s="683">
        <f>SUMIF(BDEGENER[SERIE],BDEGENER[[#This Row],[SERIE]],BDEGENER[GA3])</f>
        <v>1939.8</v>
      </c>
      <c r="BC478" s="761" t="str">
        <f>CONCATENATE("MANT",COUNTIF($Y$7:Y478,Y478))</f>
        <v>MANT5</v>
      </c>
      <c r="BD478" s="683" t="str">
        <f>CONCATENATE(BDEGENER[[#This Row],[SERIE]],BDEGENER[[#This Row],[GA5]])</f>
        <v>3005167425MANT5</v>
      </c>
      <c r="BE478" s="683" t="str">
        <f>CONCATENATE(BDEGENER[[#This Row],[CODIGO PATRIMONIAL]],BDEGENER[[#This Row],[GA5]])</f>
        <v>MANT5</v>
      </c>
      <c r="BF478" s="683">
        <f>COUNTIF(BDEGENER[SERIE],BDEGENER[[#This Row],[SERIE]])</f>
        <v>7</v>
      </c>
      <c r="BG478" s="761" t="str">
        <f>CONCATENATE("F",COUNTIF($K$7:K478,K478))</f>
        <v>F4</v>
      </c>
      <c r="BH478" s="683" t="str">
        <f>CONCATENATE(BDEGENER[[#This Row],[FECHA DE SERVICIO]],BDEGENER[[#This Row],[N° DE REGISTROS DEL DIA]])</f>
        <v>43964F4</v>
      </c>
      <c r="BI478" s="684" t="s">
        <v>2261</v>
      </c>
      <c r="BJ478" s="683" t="s">
        <v>1544</v>
      </c>
      <c r="BK478" s="736">
        <v>3614.2</v>
      </c>
    </row>
    <row r="479" spans="2:63" ht="69" hidden="1" x14ac:dyDescent="0.3">
      <c r="B479" s="2"/>
      <c r="C479" s="2"/>
      <c r="D479" s="2"/>
      <c r="E479" s="2"/>
      <c r="F479" s="2"/>
      <c r="G479" s="2"/>
      <c r="H479" s="2"/>
      <c r="I479" s="2"/>
      <c r="J479" s="685"/>
      <c r="K479" s="682">
        <v>43964</v>
      </c>
      <c r="L479" s="683" t="s">
        <v>181</v>
      </c>
      <c r="M479" s="683" t="s">
        <v>186</v>
      </c>
      <c r="N479" s="683" t="s">
        <v>1982</v>
      </c>
      <c r="O479" s="683">
        <v>4500853877</v>
      </c>
      <c r="P479" s="688" t="s">
        <v>2268</v>
      </c>
      <c r="Q479" s="683" t="s">
        <v>37</v>
      </c>
      <c r="R479" s="683" t="s">
        <v>1782</v>
      </c>
      <c r="S479" s="686" t="s">
        <v>2269</v>
      </c>
      <c r="T479" s="683" t="s">
        <v>2965</v>
      </c>
      <c r="U479" s="683" t="s">
        <v>124</v>
      </c>
      <c r="V479" s="683" t="s">
        <v>149</v>
      </c>
      <c r="W479" s="683" t="s">
        <v>914</v>
      </c>
      <c r="X479" s="691" t="s">
        <v>918</v>
      </c>
      <c r="Y479" s="687">
        <v>3004327721</v>
      </c>
      <c r="Z479" s="692"/>
      <c r="AA479" s="683" t="s">
        <v>33</v>
      </c>
      <c r="AB479" s="683" t="s">
        <v>34</v>
      </c>
      <c r="AC479" s="683" t="s">
        <v>230</v>
      </c>
      <c r="AD479" s="683" t="s">
        <v>1110</v>
      </c>
      <c r="AE479" s="683">
        <v>60</v>
      </c>
      <c r="AF479" s="684">
        <v>1555.2</v>
      </c>
      <c r="AG479" s="683" t="s">
        <v>243</v>
      </c>
      <c r="AH479" s="683" t="s">
        <v>244</v>
      </c>
      <c r="AI479" s="683" t="s">
        <v>33</v>
      </c>
      <c r="AJ479" s="683">
        <v>3004346806</v>
      </c>
      <c r="AK479" s="683" t="s">
        <v>33</v>
      </c>
      <c r="AL479" s="683"/>
      <c r="AM479" s="683" t="s">
        <v>1377</v>
      </c>
      <c r="AN479" s="683" t="s">
        <v>1423</v>
      </c>
      <c r="AO479" s="683" t="s">
        <v>1166</v>
      </c>
      <c r="AP479" s="761" t="s">
        <v>240</v>
      </c>
      <c r="AQ479" s="769" t="str">
        <f>CONCATENATE("REG-",BDEGENER[[#This Row],[FECHA DE SERVICIO]],"-",BDEGENER[[#This Row],[SERIE]],"-",BDEGENER[[#This Row],[HORAS]])</f>
        <v>REG-43964-3004327721-1555,2</v>
      </c>
      <c r="AR479" s="761" t="str">
        <f>CONCATENATE("MARCA: ",BDEGENER[[#This Row],[MARCA]],"
 MODELO: ",BDEGENER[[#This Row],[MODELO]])</f>
        <v>MARCA: GENERAC
 MODELO: PG090</v>
      </c>
      <c r="AS479" s="683" t="str">
        <f>CONCATENATE("MARCA: ",BDEGENER[[#This Row],[MARCA DE MOTOR]],"
SERIE: ",BDEGENER[[#This Row],[SERIE DE MOTOR]])</f>
        <v>MARCA: GENERAC
SERIE: 3004346806</v>
      </c>
      <c r="AT479" s="683" t="str">
        <f>CONCATENATE("MARCA: ",BDEGENER[[#This Row],[MARCA ALTERNADOR ]],"
SERIE: ",BDEGENER[[#This Row],[SERIE DE ALTERNADOR]])</f>
        <v xml:space="preserve">MARCA: GENERAC
SERIE: </v>
      </c>
      <c r="AU479" s="683" t="str">
        <f>CONCATENATE("HORAS: ",BDEGENER[[#This Row],[HORAS]],"
KW-HR: ",BDEGENER[[#This Row],[KW-HORA]],"
VOLT.BATERIA: ",BDEGENER[[#This Row],[VOLTAJE DE BATERIA]],"
TEMPERATURA: ",BDEGENER[[#This Row],[TEMPERATURA DE AGUA]],"
PRES. ACEITE: ",BDEGENER[[#This Row],[PRESION DE ACEITE]])</f>
        <v>HORAS: 1555,2
KW-HR: 39146
VOLT.BATERIA: 13.8 V
TEMPERATURA: 190 °F
PRES. ACEITE: 57 PSI</v>
      </c>
      <c r="AV479" s="683">
        <f>COUNTIFS(Q479:Q2479,"MANTENIMIENTO CORRECTIVO",Y479:Y2479,BDEGENER[[#This Row],[SERIE]])</f>
        <v>1</v>
      </c>
      <c r="AW479" s="683">
        <f>COUNTIFS(Q479:Q2479,"MANTENIMIENTO PREVENTIVO",Y479:Y2479,BDEGENER[[#This Row],[SERIE]])</f>
        <v>5</v>
      </c>
      <c r="AX47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79" s="683">
        <f>COUNTIFS(BDEGENER[SERIE],BDEGENER[[#This Row],[SERIE]],BDEGENER[TIPO DE SERVICIO],"MANTENIMIENTO PREVENTIVO")</f>
        <v>7</v>
      </c>
      <c r="AZ479" s="683" t="str">
        <f>CONCATENATE("MANTENIMIENTO PREVENTIVO N°",BDEGENER[[#This Row],[GA1]])</f>
        <v>MANTENIMIENTO PREVENTIVO N°7</v>
      </c>
      <c r="BA479" s="683" t="str">
        <f>IF(BDEGENER[[#This Row],[SERVICIO]]=BDEGENER[[#This Row],[GA2]],BDEGENER[[#This Row],[HORAS]],"0")</f>
        <v>0</v>
      </c>
      <c r="BB479" s="683">
        <f>SUMIF(BDEGENER[SERIE],BDEGENER[[#This Row],[SERIE]],BDEGENER[GA3])</f>
        <v>2098.4</v>
      </c>
      <c r="BC479" s="683" t="str">
        <f>CONCATENATE("MANT",COUNTIF($Y$7:Y479,Y479))</f>
        <v>MANT5</v>
      </c>
      <c r="BD479" s="683" t="str">
        <f>CONCATENATE(BDEGENER[[#This Row],[SERIE]],BDEGENER[[#This Row],[GA5]])</f>
        <v>3004327721MANT5</v>
      </c>
      <c r="BE479" s="683" t="str">
        <f>CONCATENATE(BDEGENER[[#This Row],[CODIGO PATRIMONIAL]],BDEGENER[[#This Row],[GA5]])</f>
        <v>MANT5</v>
      </c>
      <c r="BF479" s="683">
        <f>COUNTIF(BDEGENER[SERIE],BDEGENER[[#This Row],[SERIE]])</f>
        <v>11</v>
      </c>
      <c r="BG479" s="683" t="str">
        <f>CONCATENATE("F",COUNTIF($K$7:K479,K479))</f>
        <v>F5</v>
      </c>
      <c r="BH479" s="683" t="str">
        <f>CONCATENATE(BDEGENER[[#This Row],[FECHA DE SERVICIO]],BDEGENER[[#This Row],[N° DE REGISTROS DEL DIA]])</f>
        <v>43964F5</v>
      </c>
      <c r="BI479" s="684">
        <v>39146</v>
      </c>
      <c r="BJ479" s="683" t="s">
        <v>1544</v>
      </c>
      <c r="BK479" s="736" t="s">
        <v>2267</v>
      </c>
    </row>
    <row r="480" spans="2:63" ht="69" hidden="1" x14ac:dyDescent="0.3">
      <c r="B480" s="2"/>
      <c r="C480" s="2"/>
      <c r="D480" s="2"/>
      <c r="E480" s="2"/>
      <c r="F480" s="2"/>
      <c r="G480" s="2"/>
      <c r="H480" s="2"/>
      <c r="I480" s="2"/>
      <c r="J480" s="685"/>
      <c r="K480" s="682">
        <v>43962</v>
      </c>
      <c r="L480" s="683" t="s">
        <v>181</v>
      </c>
      <c r="M480" s="683" t="s">
        <v>1388</v>
      </c>
      <c r="N480" s="683" t="s">
        <v>1538</v>
      </c>
      <c r="O480" s="683">
        <v>4500816138</v>
      </c>
      <c r="P480" s="683"/>
      <c r="Q480" s="683" t="s">
        <v>37</v>
      </c>
      <c r="R480" s="683" t="s">
        <v>1782</v>
      </c>
      <c r="S480" s="686" t="s">
        <v>2517</v>
      </c>
      <c r="T480" s="683" t="s">
        <v>2518</v>
      </c>
      <c r="U480" s="683" t="s">
        <v>124</v>
      </c>
      <c r="V480" s="683" t="s">
        <v>149</v>
      </c>
      <c r="W480" s="683" t="s">
        <v>914</v>
      </c>
      <c r="X480" s="691" t="s">
        <v>918</v>
      </c>
      <c r="Y480" s="687">
        <v>3004428523</v>
      </c>
      <c r="Z480" s="692"/>
      <c r="AA480" s="683" t="s">
        <v>33</v>
      </c>
      <c r="AB480" s="683" t="s">
        <v>34</v>
      </c>
      <c r="AC480" s="683" t="s">
        <v>230</v>
      </c>
      <c r="AD480" s="683" t="s">
        <v>1123</v>
      </c>
      <c r="AE480" s="683">
        <v>60</v>
      </c>
      <c r="AF480" s="684">
        <v>1156.0999999999999</v>
      </c>
      <c r="AG480" s="683" t="s">
        <v>243</v>
      </c>
      <c r="AH480" s="683" t="s">
        <v>220</v>
      </c>
      <c r="AI480" s="683" t="s">
        <v>33</v>
      </c>
      <c r="AJ480" s="683">
        <v>3004426215</v>
      </c>
      <c r="AK480" s="683" t="s">
        <v>33</v>
      </c>
      <c r="AL480" s="683">
        <v>106301030</v>
      </c>
      <c r="AM480" s="683" t="s">
        <v>1121</v>
      </c>
      <c r="AN480" s="683" t="s">
        <v>1369</v>
      </c>
      <c r="AO480" s="683" t="s">
        <v>1358</v>
      </c>
      <c r="AP480" s="761" t="s">
        <v>240</v>
      </c>
      <c r="AQ480" s="769" t="str">
        <f>CONCATENATE("REG-",BDEGENER[[#This Row],[FECHA DE SERVICIO]],"-",BDEGENER[[#This Row],[SERIE]],"-",BDEGENER[[#This Row],[HORAS]])</f>
        <v>REG-43962-3004428523-1156,1</v>
      </c>
      <c r="AR480" s="761" t="str">
        <f>CONCATENATE("MARCA: ",BDEGENER[[#This Row],[MARCA]],"
 MODELO: ",BDEGENER[[#This Row],[MODELO]])</f>
        <v>MARCA: GENERAC
 MODELO: PG090</v>
      </c>
      <c r="AS480" s="683" t="str">
        <f>CONCATENATE("MARCA: ",BDEGENER[[#This Row],[MARCA DE MOTOR]],"
SERIE: ",BDEGENER[[#This Row],[SERIE DE MOTOR]])</f>
        <v>MARCA: GENERAC
SERIE: 3004426215</v>
      </c>
      <c r="AT480" s="683" t="str">
        <f>CONCATENATE("MARCA: ",BDEGENER[[#This Row],[MARCA ALTERNADOR ]],"
SERIE: ",BDEGENER[[#This Row],[SERIE DE ALTERNADOR]])</f>
        <v>MARCA: GENERAC
SERIE: 106301030</v>
      </c>
      <c r="AU480" s="683" t="str">
        <f>CONCATENATE("HORAS: ",BDEGENER[[#This Row],[HORAS]],"
KW-HR: ",BDEGENER[[#This Row],[KW-HORA]],"
VOLT.BATERIA: ",BDEGENER[[#This Row],[VOLTAJE DE BATERIA]],"
TEMPERATURA: ",BDEGENER[[#This Row],[TEMPERATURA DE AGUA]],"
PRES. ACEITE: ",BDEGENER[[#This Row],[PRESION DE ACEITE]])</f>
        <v>HORAS: 1156,1
KW-HR: 39401,5
VOLT.BATERIA: 13.7 V
TEMPERATURA: 120 °F
PRES. ACEITE: 74 PSI</v>
      </c>
      <c r="AV480" s="683">
        <f>COUNTIFS(Q480:Q2480,"MANTENIMIENTO CORRECTIVO",Y480:Y2480,BDEGENER[[#This Row],[SERIE]])</f>
        <v>1</v>
      </c>
      <c r="AW480" s="683">
        <f>COUNTIFS(Q480:Q2480,"MANTENIMIENTO PREVENTIVO",Y480:Y2480,BDEGENER[[#This Row],[SERIE]])</f>
        <v>5</v>
      </c>
      <c r="AX48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80" s="683">
        <f>COUNTIFS(BDEGENER[SERIE],BDEGENER[[#This Row],[SERIE]],BDEGENER[TIPO DE SERVICIO],"MANTENIMIENTO PREVENTIVO")</f>
        <v>9</v>
      </c>
      <c r="AZ480" s="683" t="str">
        <f>CONCATENATE("MANTENIMIENTO PREVENTIVO N°",BDEGENER[[#This Row],[GA1]])</f>
        <v>MANTENIMIENTO PREVENTIVO N°9</v>
      </c>
      <c r="BA480" s="683" t="str">
        <f>IF(BDEGENER[[#This Row],[SERVICIO]]=BDEGENER[[#This Row],[GA2]],BDEGENER[[#This Row],[HORAS]],"0")</f>
        <v>0</v>
      </c>
      <c r="BB480" s="683">
        <f>SUMIF(BDEGENER[SERIE],BDEGENER[[#This Row],[SERIE]],BDEGENER[GA3])</f>
        <v>2439.9</v>
      </c>
      <c r="BC480" s="683" t="str">
        <f>CONCATENATE("MANT",COUNTIF($Y$7:Y480,Y480))</f>
        <v>MANT7</v>
      </c>
      <c r="BD480" s="683" t="str">
        <f>CONCATENATE(BDEGENER[[#This Row],[SERIE]],BDEGENER[[#This Row],[GA5]])</f>
        <v>3004428523MANT7</v>
      </c>
      <c r="BE480" s="683" t="str">
        <f>CONCATENATE(BDEGENER[[#This Row],[CODIGO PATRIMONIAL]],BDEGENER[[#This Row],[GA5]])</f>
        <v>MANT7</v>
      </c>
      <c r="BF480" s="683">
        <f>COUNTIF(BDEGENER[SERIE],BDEGENER[[#This Row],[SERIE]])</f>
        <v>14</v>
      </c>
      <c r="BG480" s="683" t="str">
        <f>CONCATENATE("F",COUNTIF($K$7:K480,K480))</f>
        <v>F1</v>
      </c>
      <c r="BH480" s="683" t="str">
        <f>CONCATENATE(BDEGENER[[#This Row],[FECHA DE SERVICIO]],BDEGENER[[#This Row],[N° DE REGISTROS DEL DIA]])</f>
        <v>43962F1</v>
      </c>
      <c r="BI480" s="684">
        <v>39401.5</v>
      </c>
      <c r="BJ480" s="683" t="s">
        <v>1544</v>
      </c>
      <c r="BK480" s="736"/>
    </row>
    <row r="481" spans="2:63" ht="69" hidden="1" x14ac:dyDescent="0.3">
      <c r="B481" s="2"/>
      <c r="C481" s="2"/>
      <c r="D481" s="2"/>
      <c r="E481" s="2"/>
      <c r="F481" s="2"/>
      <c r="G481" s="2"/>
      <c r="H481" s="2"/>
      <c r="I481" s="2"/>
      <c r="J481" s="685"/>
      <c r="K481" s="682">
        <v>43962</v>
      </c>
      <c r="L481" s="683" t="s">
        <v>181</v>
      </c>
      <c r="M481" s="683" t="s">
        <v>188</v>
      </c>
      <c r="N481" s="683" t="s">
        <v>183</v>
      </c>
      <c r="O481" s="683">
        <v>4500853865</v>
      </c>
      <c r="P481" s="683" t="s">
        <v>2245</v>
      </c>
      <c r="Q481" s="683" t="s">
        <v>37</v>
      </c>
      <c r="R481" s="683" t="s">
        <v>1782</v>
      </c>
      <c r="S481" s="686" t="s">
        <v>2244</v>
      </c>
      <c r="T481" s="683" t="s">
        <v>2249</v>
      </c>
      <c r="U481" s="683" t="s">
        <v>2059</v>
      </c>
      <c r="V481" s="683" t="s">
        <v>146</v>
      </c>
      <c r="W481" s="683" t="s">
        <v>914</v>
      </c>
      <c r="X481" s="691" t="s">
        <v>918</v>
      </c>
      <c r="Y481" s="687">
        <v>3004416582</v>
      </c>
      <c r="Z481" s="692"/>
      <c r="AA481" s="683" t="s">
        <v>33</v>
      </c>
      <c r="AB481" s="683" t="s">
        <v>34</v>
      </c>
      <c r="AC481" s="683" t="s">
        <v>230</v>
      </c>
      <c r="AD481" s="683" t="s">
        <v>1110</v>
      </c>
      <c r="AE481" s="683">
        <v>60</v>
      </c>
      <c r="AF481" s="684">
        <v>1296.0999999999999</v>
      </c>
      <c r="AG481" s="683" t="s">
        <v>243</v>
      </c>
      <c r="AH481" s="683" t="s">
        <v>220</v>
      </c>
      <c r="AI481" s="683" t="s">
        <v>33</v>
      </c>
      <c r="AJ481" s="683">
        <v>3004309061</v>
      </c>
      <c r="AK481" s="683" t="s">
        <v>33</v>
      </c>
      <c r="AL481" s="683">
        <v>107748830</v>
      </c>
      <c r="AM481" s="683" t="s">
        <v>1121</v>
      </c>
      <c r="AN481" s="683" t="s">
        <v>1122</v>
      </c>
      <c r="AO481" s="683" t="s">
        <v>247</v>
      </c>
      <c r="AP481" s="683" t="s">
        <v>240</v>
      </c>
      <c r="AQ481" s="85" t="str">
        <f>CONCATENATE("REG-",BDEGENER[[#This Row],[FECHA DE SERVICIO]],"-",BDEGENER[[#This Row],[SERIE]],"-",BDEGENER[[#This Row],[HORAS]])</f>
        <v>REG-43962-3004416582-1296,1</v>
      </c>
      <c r="AR481" s="683" t="str">
        <f>CONCATENATE("MARCA: ",BDEGENER[[#This Row],[MARCA]],"
 MODELO: ",BDEGENER[[#This Row],[MODELO]])</f>
        <v>MARCA: GENERAC
 MODELO: PG090</v>
      </c>
      <c r="AS481" s="683" t="str">
        <f>CONCATENATE("MARCA: ",BDEGENER[[#This Row],[MARCA DE MOTOR]],"
SERIE: ",BDEGENER[[#This Row],[SERIE DE MOTOR]])</f>
        <v>MARCA: GENERAC
SERIE: 3004309061</v>
      </c>
      <c r="AT481" s="683" t="str">
        <f>CONCATENATE("MARCA: ",BDEGENER[[#This Row],[MARCA ALTERNADOR ]],"
SERIE: ",BDEGENER[[#This Row],[SERIE DE ALTERNADOR]])</f>
        <v>MARCA: GENERAC
SERIE: 107748830</v>
      </c>
      <c r="AU481" s="683" t="str">
        <f>CONCATENATE("HORAS: ",BDEGENER[[#This Row],[HORAS]],"
KW-HR: ",BDEGENER[[#This Row],[KW-HORA]],"
VOLT.BATERIA: ",BDEGENER[[#This Row],[VOLTAJE DE BATERIA]],"
TEMPERATURA: ",BDEGENER[[#This Row],[TEMPERATURA DE AGUA]],"
PRES. ACEITE: ",BDEGENER[[#This Row],[PRESION DE ACEITE]])</f>
        <v>HORAS: 1296,1
KW-HR: 28168,5
VOLT.BATERIA: 13.7 V
TEMPERATURA: 195 °F
PRES. ACEITE: 55 PSI</v>
      </c>
      <c r="AV481" s="761">
        <f>COUNTIFS(Q481:Q2481,"MANTENIMIENTO CORRECTIVO",Y481:Y2481,BDEGENER[[#This Row],[SERIE]])</f>
        <v>2</v>
      </c>
      <c r="AW481" s="761">
        <f>COUNTIFS(Q481:Q2481,"MANTENIMIENTO PREVENTIVO",Y481:Y2481,BDEGENER[[#This Row],[SERIE]])</f>
        <v>4</v>
      </c>
      <c r="AX48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81" s="683">
        <f>COUNTIFS(BDEGENER[SERIE],BDEGENER[[#This Row],[SERIE]],BDEGENER[TIPO DE SERVICIO],"MANTENIMIENTO PREVENTIVO")</f>
        <v>7</v>
      </c>
      <c r="AZ481" s="683" t="str">
        <f>CONCATENATE("MANTENIMIENTO PREVENTIVO N°",BDEGENER[[#This Row],[GA1]])</f>
        <v>MANTENIMIENTO PREVENTIVO N°7</v>
      </c>
      <c r="BA481" s="683" t="str">
        <f>IF(BDEGENER[[#This Row],[SERVICIO]]=BDEGENER[[#This Row],[GA2]],BDEGENER[[#This Row],[HORAS]],"0")</f>
        <v>0</v>
      </c>
      <c r="BB481" s="683">
        <f>SUMIF(BDEGENER[SERIE],BDEGENER[[#This Row],[SERIE]],BDEGENER[GA3])</f>
        <v>2342.3000000000002</v>
      </c>
      <c r="BC481" s="761" t="str">
        <f>CONCATENATE("MANT",COUNTIF($Y$7:Y481,Y481))</f>
        <v>MANT5</v>
      </c>
      <c r="BD481" s="683" t="str">
        <f>CONCATENATE(BDEGENER[[#This Row],[SERIE]],BDEGENER[[#This Row],[GA5]])</f>
        <v>3004416582MANT5</v>
      </c>
      <c r="BE481" s="683" t="str">
        <f>CONCATENATE(BDEGENER[[#This Row],[CODIGO PATRIMONIAL]],BDEGENER[[#This Row],[GA5]])</f>
        <v>MANT5</v>
      </c>
      <c r="BF481" s="683">
        <f>COUNTIF(BDEGENER[SERIE],BDEGENER[[#This Row],[SERIE]])</f>
        <v>11</v>
      </c>
      <c r="BG481" s="761" t="str">
        <f>CONCATENATE("F",COUNTIF($K$7:K481,K481))</f>
        <v>F2</v>
      </c>
      <c r="BH481" s="683" t="str">
        <f>CONCATENATE(BDEGENER[[#This Row],[FECHA DE SERVICIO]],BDEGENER[[#This Row],[N° DE REGISTROS DEL DIA]])</f>
        <v>43962F2</v>
      </c>
      <c r="BI481" s="684">
        <v>28168.5</v>
      </c>
      <c r="BJ481" s="683" t="s">
        <v>1544</v>
      </c>
      <c r="BK481" s="736"/>
    </row>
    <row r="482" spans="2:63" ht="69" hidden="1" x14ac:dyDescent="0.3">
      <c r="B482" s="2"/>
      <c r="C482" s="2"/>
      <c r="D482" s="2"/>
      <c r="E482" s="2"/>
      <c r="F482" s="2"/>
      <c r="G482" s="2"/>
      <c r="H482" s="2"/>
      <c r="I482" s="2"/>
      <c r="J482" s="685"/>
      <c r="K482" s="682">
        <v>43962</v>
      </c>
      <c r="L482" s="683" t="s">
        <v>181</v>
      </c>
      <c r="M482" s="683" t="s">
        <v>188</v>
      </c>
      <c r="N482" s="683" t="s">
        <v>183</v>
      </c>
      <c r="O482" s="683">
        <v>4500873022</v>
      </c>
      <c r="P482" s="683" t="s">
        <v>2245</v>
      </c>
      <c r="Q482" s="683" t="s">
        <v>37</v>
      </c>
      <c r="R482" s="683" t="s">
        <v>1782</v>
      </c>
      <c r="S482" s="686" t="s">
        <v>2244</v>
      </c>
      <c r="T482" s="683" t="s">
        <v>2249</v>
      </c>
      <c r="U482" s="683" t="s">
        <v>2059</v>
      </c>
      <c r="V482" s="683" t="s">
        <v>146</v>
      </c>
      <c r="W482" s="683" t="s">
        <v>914</v>
      </c>
      <c r="X482" s="691" t="s">
        <v>918</v>
      </c>
      <c r="Y482" s="687">
        <v>3004235514</v>
      </c>
      <c r="Z482" s="692"/>
      <c r="AA482" s="683" t="s">
        <v>33</v>
      </c>
      <c r="AB482" s="683" t="s">
        <v>34</v>
      </c>
      <c r="AC482" s="683" t="s">
        <v>230</v>
      </c>
      <c r="AD482" s="683" t="s">
        <v>1110</v>
      </c>
      <c r="AE482" s="683">
        <v>60</v>
      </c>
      <c r="AF482" s="684">
        <v>1256.4000000000001</v>
      </c>
      <c r="AG482" s="683" t="s">
        <v>243</v>
      </c>
      <c r="AH482" s="683" t="s">
        <v>220</v>
      </c>
      <c r="AI482" s="683" t="s">
        <v>33</v>
      </c>
      <c r="AJ482" s="683">
        <v>3003266420</v>
      </c>
      <c r="AK482" s="683" t="s">
        <v>33</v>
      </c>
      <c r="AL482" s="683">
        <v>163025</v>
      </c>
      <c r="AM482" s="683" t="s">
        <v>245</v>
      </c>
      <c r="AN482" s="683" t="s">
        <v>1352</v>
      </c>
      <c r="AO482" s="683" t="s">
        <v>1166</v>
      </c>
      <c r="AP482" s="683" t="s">
        <v>240</v>
      </c>
      <c r="AQ482" s="683" t="str">
        <f>CONCATENATE("REG-",BDEGENER[[#This Row],[FECHA DE SERVICIO]],"-",BDEGENER[[#This Row],[SERIE]],"-",BDEGENER[[#This Row],[HORAS]])</f>
        <v>REG-43962-3004235514-1256,4</v>
      </c>
      <c r="AR482" s="683" t="str">
        <f>CONCATENATE("MARCA: ",BDEGENER[[#This Row],[MARCA]],"
 MODELO: ",BDEGENER[[#This Row],[MODELO]])</f>
        <v>MARCA: GENERAC
 MODELO: PG090</v>
      </c>
      <c r="AS482" s="683" t="str">
        <f>CONCATENATE("MARCA: ",BDEGENER[[#This Row],[MARCA DE MOTOR]],"
SERIE: ",BDEGENER[[#This Row],[SERIE DE MOTOR]])</f>
        <v>MARCA: GENERAC
SERIE: 3003266420</v>
      </c>
      <c r="AT482" s="683" t="str">
        <f>CONCATENATE("MARCA: ",BDEGENER[[#This Row],[MARCA ALTERNADOR ]],"
SERIE: ",BDEGENER[[#This Row],[SERIE DE ALTERNADOR]])</f>
        <v>MARCA: GENERAC
SERIE: 163025</v>
      </c>
      <c r="AU482" s="683" t="str">
        <f>CONCATENATE("HORAS: ",BDEGENER[[#This Row],[HORAS]],"
KW-HR: ",BDEGENER[[#This Row],[KW-HORA]],"
VOLT.BATERIA: ",BDEGENER[[#This Row],[VOLTAJE DE BATERIA]],"
TEMPERATURA: ",BDEGENER[[#This Row],[TEMPERATURA DE AGUA]],"
PRES. ACEITE: ",BDEGENER[[#This Row],[PRESION DE ACEITE]])</f>
        <v>HORAS: 1256,4
KW-HR: 26821,9
VOLT.BATERIA: 13.6 V
TEMPERATURA: 196 °F
PRES. ACEITE: 57 PSI</v>
      </c>
      <c r="AV482" s="683">
        <f>COUNTIFS(Q482:Q2482,"MANTENIMIENTO CORRECTIVO",Y482:Y2482,BDEGENER[[#This Row],[SERIE]])</f>
        <v>1</v>
      </c>
      <c r="AW482" s="683">
        <f>COUNTIFS(Q482:Q2482,"MANTENIMIENTO PREVENTIVO",Y482:Y2482,BDEGENER[[#This Row],[SERIE]])</f>
        <v>4</v>
      </c>
      <c r="AX48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82" s="683">
        <f>COUNTIFS(BDEGENER[SERIE],BDEGENER[[#This Row],[SERIE]],BDEGENER[TIPO DE SERVICIO],"MANTENIMIENTO PREVENTIVO")</f>
        <v>7</v>
      </c>
      <c r="AZ482" s="683" t="str">
        <f>CONCATENATE("MANTENIMIENTO PREVENTIVO N°",BDEGENER[[#This Row],[GA1]])</f>
        <v>MANTENIMIENTO PREVENTIVO N°7</v>
      </c>
      <c r="BA482" s="683" t="str">
        <f>IF(BDEGENER[[#This Row],[SERVICIO]]=BDEGENER[[#This Row],[GA2]],BDEGENER[[#This Row],[HORAS]],"0")</f>
        <v>0</v>
      </c>
      <c r="BB482" s="683">
        <f>SUMIF(BDEGENER[SERIE],BDEGENER[[#This Row],[SERIE]],BDEGENER[GA3])</f>
        <v>2044.9</v>
      </c>
      <c r="BC482" s="683" t="str">
        <f>CONCATENATE("MANT",COUNTIF($Y$7:Y482,Y482))</f>
        <v>MANT5</v>
      </c>
      <c r="BD482" s="683" t="str">
        <f>CONCATENATE(BDEGENER[[#This Row],[SERIE]],BDEGENER[[#This Row],[GA5]])</f>
        <v>3004235514MANT5</v>
      </c>
      <c r="BE482" s="683" t="str">
        <f>CONCATENATE(BDEGENER[[#This Row],[CODIGO PATRIMONIAL]],BDEGENER[[#This Row],[GA5]])</f>
        <v>MANT5</v>
      </c>
      <c r="BF482" s="683">
        <f>COUNTIF(BDEGENER[SERIE],BDEGENER[[#This Row],[SERIE]])</f>
        <v>10</v>
      </c>
      <c r="BG482" s="683" t="str">
        <f>CONCATENATE("F",COUNTIF($K$7:K482,K482))</f>
        <v>F3</v>
      </c>
      <c r="BH482" s="683" t="str">
        <f>CONCATENATE(BDEGENER[[#This Row],[FECHA DE SERVICIO]],BDEGENER[[#This Row],[N° DE REGISTROS DEL DIA]])</f>
        <v>43962F3</v>
      </c>
      <c r="BI482" s="684">
        <v>26821.9</v>
      </c>
      <c r="BJ482" s="683" t="s">
        <v>1544</v>
      </c>
      <c r="BK482" s="736"/>
    </row>
    <row r="483" spans="2:63" ht="69" hidden="1" x14ac:dyDescent="0.3">
      <c r="B483" s="2"/>
      <c r="C483" s="2"/>
      <c r="D483" s="2"/>
      <c r="E483" s="2"/>
      <c r="F483" s="2"/>
      <c r="G483" s="2"/>
      <c r="H483" s="2"/>
      <c r="I483" s="2"/>
      <c r="J483" s="685"/>
      <c r="K483" s="682">
        <v>43962</v>
      </c>
      <c r="L483" s="683" t="s">
        <v>181</v>
      </c>
      <c r="M483" s="683" t="s">
        <v>188</v>
      </c>
      <c r="N483" s="683" t="s">
        <v>183</v>
      </c>
      <c r="O483" s="683">
        <v>4500873022</v>
      </c>
      <c r="P483" s="683" t="s">
        <v>2245</v>
      </c>
      <c r="Q483" s="683" t="s">
        <v>37</v>
      </c>
      <c r="R483" s="683" t="s">
        <v>1782</v>
      </c>
      <c r="S483" s="686" t="s">
        <v>2241</v>
      </c>
      <c r="T483" s="683" t="s">
        <v>2248</v>
      </c>
      <c r="U483" s="683" t="s">
        <v>2049</v>
      </c>
      <c r="V483" s="683" t="s">
        <v>146</v>
      </c>
      <c r="W483" s="683" t="s">
        <v>914</v>
      </c>
      <c r="X483" s="691" t="s">
        <v>918</v>
      </c>
      <c r="Y483" s="687">
        <v>3004337388</v>
      </c>
      <c r="Z483" s="692"/>
      <c r="AA483" s="683" t="s">
        <v>33</v>
      </c>
      <c r="AB483" s="683" t="s">
        <v>34</v>
      </c>
      <c r="AC483" s="683" t="s">
        <v>230</v>
      </c>
      <c r="AD483" s="683" t="s">
        <v>1110</v>
      </c>
      <c r="AE483" s="683">
        <v>60</v>
      </c>
      <c r="AF483" s="684">
        <v>1214.2</v>
      </c>
      <c r="AG483" s="683" t="s">
        <v>243</v>
      </c>
      <c r="AH483" s="683" t="s">
        <v>220</v>
      </c>
      <c r="AI483" s="683" t="s">
        <v>33</v>
      </c>
      <c r="AJ483" s="683">
        <v>3004346829</v>
      </c>
      <c r="AK483" s="683" t="s">
        <v>33</v>
      </c>
      <c r="AL483" s="683">
        <v>106308710</v>
      </c>
      <c r="AM483" s="683" t="s">
        <v>245</v>
      </c>
      <c r="AN483" s="683" t="s">
        <v>1143</v>
      </c>
      <c r="AO483" s="683" t="s">
        <v>1166</v>
      </c>
      <c r="AP483" s="683" t="s">
        <v>240</v>
      </c>
      <c r="AQ483" s="683" t="str">
        <f>CONCATENATE("REG-",BDEGENER[[#This Row],[FECHA DE SERVICIO]],"-",BDEGENER[[#This Row],[SERIE]],"-",BDEGENER[[#This Row],[HORAS]])</f>
        <v>REG-43962-3004337388-1214,2</v>
      </c>
      <c r="AR483" s="683" t="str">
        <f>CONCATENATE("MARCA: ",BDEGENER[[#This Row],[MARCA]],"
 MODELO: ",BDEGENER[[#This Row],[MODELO]])</f>
        <v>MARCA: GENERAC
 MODELO: PG090</v>
      </c>
      <c r="AS483" s="683" t="str">
        <f>CONCATENATE("MARCA: ",BDEGENER[[#This Row],[MARCA DE MOTOR]],"
SERIE: ",BDEGENER[[#This Row],[SERIE DE MOTOR]])</f>
        <v>MARCA: GENERAC
SERIE: 3004346829</v>
      </c>
      <c r="AT483" s="683" t="str">
        <f>CONCATENATE("MARCA: ",BDEGENER[[#This Row],[MARCA ALTERNADOR ]],"
SERIE: ",BDEGENER[[#This Row],[SERIE DE ALTERNADOR]])</f>
        <v>MARCA: GENERAC
SERIE: 106308710</v>
      </c>
      <c r="AU483" s="683" t="str">
        <f>CONCATENATE("HORAS: ",BDEGENER[[#This Row],[HORAS]],"
KW-HR: ",BDEGENER[[#This Row],[KW-HORA]],"
VOLT.BATERIA: ",BDEGENER[[#This Row],[VOLTAJE DE BATERIA]],"
TEMPERATURA: ",BDEGENER[[#This Row],[TEMPERATURA DE AGUA]],"
PRES. ACEITE: ",BDEGENER[[#This Row],[PRESION DE ACEITE]])</f>
        <v>HORAS: 1214,2
KW-HR: 16355,6
VOLT.BATERIA: 13.6 V
TEMPERATURA: 197 °F
PRES. ACEITE: 57 PSI</v>
      </c>
      <c r="AV483" s="683">
        <f>COUNTIFS(Q483:Q2483,"MANTENIMIENTO CORRECTIVO",Y483:Y2483,BDEGENER[[#This Row],[SERIE]])</f>
        <v>2</v>
      </c>
      <c r="AW483" s="683">
        <f>COUNTIFS(Q483:Q2483,"MANTENIMIENTO PREVENTIVO",Y483:Y2483,BDEGENER[[#This Row],[SERIE]])</f>
        <v>4</v>
      </c>
      <c r="AX48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83" s="683">
        <f>COUNTIFS(BDEGENER[SERIE],BDEGENER[[#This Row],[SERIE]],BDEGENER[TIPO DE SERVICIO],"MANTENIMIENTO PREVENTIVO")</f>
        <v>7</v>
      </c>
      <c r="AZ483" s="683" t="str">
        <f>CONCATENATE("MANTENIMIENTO PREVENTIVO N°",BDEGENER[[#This Row],[GA1]])</f>
        <v>MANTENIMIENTO PREVENTIVO N°7</v>
      </c>
      <c r="BA483" s="683" t="str">
        <f>IF(BDEGENER[[#This Row],[SERVICIO]]=BDEGENER[[#This Row],[GA2]],BDEGENER[[#This Row],[HORAS]],"0")</f>
        <v>0</v>
      </c>
      <c r="BB483" s="683">
        <f>SUMIF(BDEGENER[SERIE],BDEGENER[[#This Row],[SERIE]],BDEGENER[GA3])</f>
        <v>2129.8000000000002</v>
      </c>
      <c r="BC483" s="683" t="str">
        <f>CONCATENATE("MANT",COUNTIF($Y$7:Y483,Y483))</f>
        <v>MANT7</v>
      </c>
      <c r="BD483" s="683" t="str">
        <f>CONCATENATE(BDEGENER[[#This Row],[SERIE]],BDEGENER[[#This Row],[GA5]])</f>
        <v>3004337388MANT7</v>
      </c>
      <c r="BE483" s="683" t="str">
        <f>CONCATENATE(BDEGENER[[#This Row],[CODIGO PATRIMONIAL]],BDEGENER[[#This Row],[GA5]])</f>
        <v>MANT7</v>
      </c>
      <c r="BF483" s="683">
        <f>COUNTIF(BDEGENER[SERIE],BDEGENER[[#This Row],[SERIE]])</f>
        <v>14</v>
      </c>
      <c r="BG483" s="683" t="str">
        <f>CONCATENATE("F",COUNTIF($K$7:K483,K483))</f>
        <v>F4</v>
      </c>
      <c r="BH483" s="683" t="str">
        <f>CONCATENATE(BDEGENER[[#This Row],[FECHA DE SERVICIO]],BDEGENER[[#This Row],[N° DE REGISTROS DEL DIA]])</f>
        <v>43962F4</v>
      </c>
      <c r="BI483" s="684">
        <v>16355.6</v>
      </c>
      <c r="BJ483" s="683" t="s">
        <v>1544</v>
      </c>
      <c r="BK483" s="736"/>
    </row>
    <row r="484" spans="2:63" ht="69" hidden="1" x14ac:dyDescent="0.3">
      <c r="B484" s="2"/>
      <c r="C484" s="2"/>
      <c r="D484" s="2"/>
      <c r="E484" s="2"/>
      <c r="F484" s="2"/>
      <c r="G484" s="2"/>
      <c r="H484" s="2"/>
      <c r="I484" s="2"/>
      <c r="J484" s="685"/>
      <c r="K484" s="682">
        <v>43962</v>
      </c>
      <c r="L484" s="683" t="s">
        <v>181</v>
      </c>
      <c r="M484" s="683" t="s">
        <v>188</v>
      </c>
      <c r="N484" s="683" t="s">
        <v>183</v>
      </c>
      <c r="O484" s="683">
        <v>4500873022</v>
      </c>
      <c r="P484" s="688" t="s">
        <v>2245</v>
      </c>
      <c r="Q484" s="683" t="s">
        <v>37</v>
      </c>
      <c r="R484" s="683" t="s">
        <v>1782</v>
      </c>
      <c r="S484" s="686" t="s">
        <v>2246</v>
      </c>
      <c r="T484" s="683" t="s">
        <v>2247</v>
      </c>
      <c r="U484" s="683" t="s">
        <v>2059</v>
      </c>
      <c r="V484" s="683" t="s">
        <v>146</v>
      </c>
      <c r="W484" s="683" t="s">
        <v>914</v>
      </c>
      <c r="X484" s="691" t="s">
        <v>918</v>
      </c>
      <c r="Y484" s="687">
        <v>3004381437</v>
      </c>
      <c r="Z484" s="692"/>
      <c r="AA484" s="683" t="s">
        <v>33</v>
      </c>
      <c r="AB484" s="683" t="s">
        <v>34</v>
      </c>
      <c r="AC484" s="683" t="s">
        <v>230</v>
      </c>
      <c r="AD484" s="683" t="s">
        <v>1110</v>
      </c>
      <c r="AE484" s="683">
        <v>60</v>
      </c>
      <c r="AF484" s="684">
        <v>1157.4000000000001</v>
      </c>
      <c r="AG484" s="683" t="s">
        <v>243</v>
      </c>
      <c r="AH484" s="683" t="s">
        <v>220</v>
      </c>
      <c r="AI484" s="683" t="s">
        <v>33</v>
      </c>
      <c r="AJ484" s="683">
        <v>3004346804</v>
      </c>
      <c r="AK484" s="683" t="s">
        <v>33</v>
      </c>
      <c r="AL484" s="683">
        <v>106309630</v>
      </c>
      <c r="AM484" s="683" t="s">
        <v>1121</v>
      </c>
      <c r="AN484" s="683" t="s">
        <v>1505</v>
      </c>
      <c r="AO484" s="683" t="s">
        <v>1349</v>
      </c>
      <c r="AP484" s="683" t="s">
        <v>240</v>
      </c>
      <c r="AQ484" s="688" t="str">
        <f>CONCATENATE("REG-",BDEGENER[[#This Row],[FECHA DE SERVICIO]],"-",BDEGENER[[#This Row],[SERIE]],"-",BDEGENER[[#This Row],[HORAS]])</f>
        <v>REG-43962-3004381437-1157,4</v>
      </c>
      <c r="AR484" s="683" t="str">
        <f>CONCATENATE("MARCA: ",BDEGENER[[#This Row],[MARCA]],"
 MODELO: ",BDEGENER[[#This Row],[MODELO]])</f>
        <v>MARCA: GENERAC
 MODELO: PG090</v>
      </c>
      <c r="AS484" s="683" t="str">
        <f>CONCATENATE("MARCA: ",BDEGENER[[#This Row],[MARCA DE MOTOR]],"
SERIE: ",BDEGENER[[#This Row],[SERIE DE MOTOR]])</f>
        <v>MARCA: GENERAC
SERIE: 3004346804</v>
      </c>
      <c r="AT484" s="683" t="str">
        <f>CONCATENATE("MARCA: ",BDEGENER[[#This Row],[MARCA ALTERNADOR ]],"
SERIE: ",BDEGENER[[#This Row],[SERIE DE ALTERNADOR]])</f>
        <v>MARCA: GENERAC
SERIE: 106309630</v>
      </c>
      <c r="AU484" s="683" t="str">
        <f>CONCATENATE("HORAS: ",BDEGENER[[#This Row],[HORAS]],"
KW-HR: ",BDEGENER[[#This Row],[KW-HORA]],"
VOLT.BATERIA: ",BDEGENER[[#This Row],[VOLTAJE DE BATERIA]],"
TEMPERATURA: ",BDEGENER[[#This Row],[TEMPERATURA DE AGUA]],"
PRES. ACEITE: ",BDEGENER[[#This Row],[PRESION DE ACEITE]])</f>
        <v>HORAS: 1157,4
KW-HR: 25019,6
VOLT.BATERIA: 13.7 V
TEMPERATURA: 194 °F
PRES. ACEITE: 56 PSI</v>
      </c>
      <c r="AV484" s="761">
        <f>COUNTIFS(Q484:Q2484,"MANTENIMIENTO CORRECTIVO",Y484:Y2484,BDEGENER[[#This Row],[SERIE]])</f>
        <v>2</v>
      </c>
      <c r="AW484" s="761">
        <f>COUNTIFS(Q484:Q2484,"MANTENIMIENTO PREVENTIVO",Y484:Y2484,BDEGENER[[#This Row],[SERIE]])</f>
        <v>4</v>
      </c>
      <c r="AX48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84" s="683">
        <f>COUNTIFS(BDEGENER[SERIE],BDEGENER[[#This Row],[SERIE]],BDEGENER[TIPO DE SERVICIO],"MANTENIMIENTO PREVENTIVO")</f>
        <v>8</v>
      </c>
      <c r="AZ484" s="683" t="str">
        <f>CONCATENATE("MANTENIMIENTO PREVENTIVO N°",BDEGENER[[#This Row],[GA1]])</f>
        <v>MANTENIMIENTO PREVENTIVO N°8</v>
      </c>
      <c r="BA484" s="683" t="str">
        <f>IF(BDEGENER[[#This Row],[SERVICIO]]=BDEGENER[[#This Row],[GA2]],BDEGENER[[#This Row],[HORAS]],"0")</f>
        <v>0</v>
      </c>
      <c r="BB484" s="683">
        <f>SUMIF(BDEGENER[SERIE],BDEGENER[[#This Row],[SERIE]],BDEGENER[GA3])</f>
        <v>2359.6</v>
      </c>
      <c r="BC484" s="761" t="str">
        <f>CONCATENATE("MANT",COUNTIF($Y$7:Y484,Y484))</f>
        <v>MANT6</v>
      </c>
      <c r="BD484" s="683" t="str">
        <f>CONCATENATE(BDEGENER[[#This Row],[SERIE]],BDEGENER[[#This Row],[GA5]])</f>
        <v>3004381437MANT6</v>
      </c>
      <c r="BE484" s="683" t="str">
        <f>CONCATENATE(BDEGENER[[#This Row],[CODIGO PATRIMONIAL]],BDEGENER[[#This Row],[GA5]])</f>
        <v>MANT6</v>
      </c>
      <c r="BF484" s="683">
        <f>COUNTIF(BDEGENER[SERIE],BDEGENER[[#This Row],[SERIE]])</f>
        <v>12</v>
      </c>
      <c r="BG484" s="761" t="str">
        <f>CONCATENATE("F",COUNTIF($K$7:K484,K484))</f>
        <v>F5</v>
      </c>
      <c r="BH484" s="683" t="str">
        <f>CONCATENATE(BDEGENER[[#This Row],[FECHA DE SERVICIO]],BDEGENER[[#This Row],[N° DE REGISTROS DEL DIA]])</f>
        <v>43962F5</v>
      </c>
      <c r="BI484" s="684">
        <v>25019.599999999999</v>
      </c>
      <c r="BJ484" s="683" t="s">
        <v>1544</v>
      </c>
      <c r="BK484" s="736"/>
    </row>
    <row r="485" spans="2:63" ht="69" hidden="1" x14ac:dyDescent="0.3">
      <c r="B485" s="2"/>
      <c r="C485" s="2"/>
      <c r="D485" s="2"/>
      <c r="E485" s="2"/>
      <c r="F485" s="2"/>
      <c r="G485" s="2"/>
      <c r="H485" s="2"/>
      <c r="I485" s="2"/>
      <c r="J485" s="685"/>
      <c r="K485" s="682">
        <v>43960</v>
      </c>
      <c r="L485" s="683" t="s">
        <v>181</v>
      </c>
      <c r="M485" s="683" t="s">
        <v>190</v>
      </c>
      <c r="N485" s="683" t="s">
        <v>183</v>
      </c>
      <c r="O485" s="683">
        <v>4500873022</v>
      </c>
      <c r="P485" s="688" t="s">
        <v>2240</v>
      </c>
      <c r="Q485" s="683" t="s">
        <v>37</v>
      </c>
      <c r="R485" s="683" t="s">
        <v>1782</v>
      </c>
      <c r="S485" s="686" t="s">
        <v>2244</v>
      </c>
      <c r="T485" s="683" t="s">
        <v>2242</v>
      </c>
      <c r="U485" s="683" t="s">
        <v>2059</v>
      </c>
      <c r="V485" s="683" t="s">
        <v>146</v>
      </c>
      <c r="W485" s="683" t="s">
        <v>914</v>
      </c>
      <c r="X485" s="691" t="s">
        <v>918</v>
      </c>
      <c r="Y485" s="687">
        <v>3004381438</v>
      </c>
      <c r="Z485" s="692"/>
      <c r="AA485" s="683" t="s">
        <v>33</v>
      </c>
      <c r="AB485" s="683" t="s">
        <v>34</v>
      </c>
      <c r="AC485" s="683" t="s">
        <v>230</v>
      </c>
      <c r="AD485" s="683" t="s">
        <v>1110</v>
      </c>
      <c r="AE485" s="683">
        <v>60</v>
      </c>
      <c r="AF485" s="684">
        <v>1553.8</v>
      </c>
      <c r="AG485" s="683" t="s">
        <v>243</v>
      </c>
      <c r="AH485" s="683" t="s">
        <v>220</v>
      </c>
      <c r="AI485" s="683" t="s">
        <v>33</v>
      </c>
      <c r="AJ485" s="683">
        <v>3004333873</v>
      </c>
      <c r="AK485" s="683" t="s">
        <v>33</v>
      </c>
      <c r="AL485" s="683">
        <v>106309650</v>
      </c>
      <c r="AM485" s="683" t="s">
        <v>245</v>
      </c>
      <c r="AN485" s="683" t="s">
        <v>1505</v>
      </c>
      <c r="AO485" s="683" t="s">
        <v>247</v>
      </c>
      <c r="AP485" s="683" t="s">
        <v>240</v>
      </c>
      <c r="AQ485" s="688" t="str">
        <f>CONCATENATE("REG-",BDEGENER[[#This Row],[FECHA DE SERVICIO]],"-",BDEGENER[[#This Row],[SERIE]],"-",BDEGENER[[#This Row],[HORAS]])</f>
        <v>REG-43960-3004381438-1553,8</v>
      </c>
      <c r="AR485" s="683" t="str">
        <f>CONCATENATE("MARCA: ",BDEGENER[[#This Row],[MARCA]],"
 MODELO: ",BDEGENER[[#This Row],[MODELO]])</f>
        <v>MARCA: GENERAC
 MODELO: PG090</v>
      </c>
      <c r="AS485" s="683" t="str">
        <f>CONCATENATE("MARCA: ",BDEGENER[[#This Row],[MARCA DE MOTOR]],"
SERIE: ",BDEGENER[[#This Row],[SERIE DE MOTOR]])</f>
        <v>MARCA: GENERAC
SERIE: 3004333873</v>
      </c>
      <c r="AT485" s="683" t="str">
        <f>CONCATENATE("MARCA: ",BDEGENER[[#This Row],[MARCA ALTERNADOR ]],"
SERIE: ",BDEGENER[[#This Row],[SERIE DE ALTERNADOR]])</f>
        <v>MARCA: GENERAC
SERIE: 106309650</v>
      </c>
      <c r="AU485" s="683" t="str">
        <f>CONCATENATE("HORAS: ",BDEGENER[[#This Row],[HORAS]],"
KW-HR: ",BDEGENER[[#This Row],[KW-HORA]],"
VOLT.BATERIA: ",BDEGENER[[#This Row],[VOLTAJE DE BATERIA]],"
TEMPERATURA: ",BDEGENER[[#This Row],[TEMPERATURA DE AGUA]],"
PRES. ACEITE: ",BDEGENER[[#This Row],[PRESION DE ACEITE]])</f>
        <v>HORAS: 1553,8
KW-HR: 35286,5
VOLT.BATERIA: 13.6 V
TEMPERATURA: 194 °F
PRES. ACEITE: 55 PSI</v>
      </c>
      <c r="AV485" s="683">
        <f>COUNTIFS(Q485:Q2485,"MANTENIMIENTO CORRECTIVO",Y485:Y2485,BDEGENER[[#This Row],[SERIE]])</f>
        <v>1</v>
      </c>
      <c r="AW485" s="683">
        <f>COUNTIFS(Q485:Q2485,"MANTENIMIENTO PREVENTIVO",Y485:Y2485,BDEGENER[[#This Row],[SERIE]])</f>
        <v>5</v>
      </c>
      <c r="AX48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85" s="683">
        <f>COUNTIFS(BDEGENER[SERIE],BDEGENER[[#This Row],[SERIE]],BDEGENER[TIPO DE SERVICIO],"MANTENIMIENTO PREVENTIVO")</f>
        <v>10</v>
      </c>
      <c r="AZ485" s="683" t="str">
        <f>CONCATENATE("MANTENIMIENTO PREVENTIVO N°",BDEGENER[[#This Row],[GA1]])</f>
        <v>MANTENIMIENTO PREVENTIVO N°10</v>
      </c>
      <c r="BA485" s="683" t="str">
        <f>IF(BDEGENER[[#This Row],[SERVICIO]]=BDEGENER[[#This Row],[GA2]],BDEGENER[[#This Row],[HORAS]],"0")</f>
        <v>0</v>
      </c>
      <c r="BB485" s="683">
        <f>SUMIF(BDEGENER[SERIE],BDEGENER[[#This Row],[SERIE]],BDEGENER[GA3])</f>
        <v>3227.9</v>
      </c>
      <c r="BC485" s="683" t="str">
        <f>CONCATENATE("MANT",COUNTIF($Y$7:Y485,Y485))</f>
        <v>MANT7</v>
      </c>
      <c r="BD485" s="683" t="str">
        <f>CONCATENATE(BDEGENER[[#This Row],[SERIE]],BDEGENER[[#This Row],[GA5]])</f>
        <v>3004381438MANT7</v>
      </c>
      <c r="BE485" s="683" t="str">
        <f>CONCATENATE(BDEGENER[[#This Row],[CODIGO PATRIMONIAL]],BDEGENER[[#This Row],[GA5]])</f>
        <v>MANT7</v>
      </c>
      <c r="BF485" s="683">
        <f>COUNTIF(BDEGENER[SERIE],BDEGENER[[#This Row],[SERIE]])</f>
        <v>13</v>
      </c>
      <c r="BG485" s="683" t="str">
        <f>CONCATENATE("F",COUNTIF($K$7:K485,K485))</f>
        <v>F1</v>
      </c>
      <c r="BH485" s="683" t="str">
        <f>CONCATENATE(BDEGENER[[#This Row],[FECHA DE SERVICIO]],BDEGENER[[#This Row],[N° DE REGISTROS DEL DIA]])</f>
        <v>43960F1</v>
      </c>
      <c r="BI485" s="684">
        <v>35286.5</v>
      </c>
      <c r="BJ485" s="683" t="s">
        <v>1544</v>
      </c>
      <c r="BK485" s="736" t="s">
        <v>231</v>
      </c>
    </row>
    <row r="486" spans="2:63" ht="69" hidden="1" x14ac:dyDescent="0.3">
      <c r="B486" s="2"/>
      <c r="C486" s="2"/>
      <c r="D486" s="2"/>
      <c r="E486" s="2"/>
      <c r="F486" s="2"/>
      <c r="G486" s="2"/>
      <c r="H486" s="2"/>
      <c r="I486" s="2"/>
      <c r="J486" s="685"/>
      <c r="K486" s="682">
        <v>43960</v>
      </c>
      <c r="L486" s="683" t="s">
        <v>181</v>
      </c>
      <c r="M486" s="683" t="s">
        <v>190</v>
      </c>
      <c r="N486" s="683" t="s">
        <v>183</v>
      </c>
      <c r="O486" s="683">
        <v>4500873022</v>
      </c>
      <c r="P486" s="683" t="s">
        <v>2240</v>
      </c>
      <c r="Q486" s="683" t="s">
        <v>37</v>
      </c>
      <c r="R486" s="683" t="s">
        <v>1782</v>
      </c>
      <c r="S486" s="686" t="s">
        <v>2241</v>
      </c>
      <c r="T486" s="683" t="s">
        <v>2242</v>
      </c>
      <c r="U486" s="683" t="s">
        <v>2243</v>
      </c>
      <c r="V486" s="683" t="s">
        <v>146</v>
      </c>
      <c r="W486" s="683" t="s">
        <v>914</v>
      </c>
      <c r="X486" s="691" t="s">
        <v>918</v>
      </c>
      <c r="Y486" s="687">
        <v>3004336196</v>
      </c>
      <c r="Z486" s="692"/>
      <c r="AA486" s="683" t="s">
        <v>33</v>
      </c>
      <c r="AB486" s="683" t="s">
        <v>34</v>
      </c>
      <c r="AC486" s="683" t="s">
        <v>230</v>
      </c>
      <c r="AD486" s="683" t="s">
        <v>1110</v>
      </c>
      <c r="AE486" s="683">
        <v>60</v>
      </c>
      <c r="AF486" s="684">
        <v>1389.1</v>
      </c>
      <c r="AG486" s="683" t="s">
        <v>243</v>
      </c>
      <c r="AH486" s="683" t="s">
        <v>220</v>
      </c>
      <c r="AI486" s="683" t="s">
        <v>33</v>
      </c>
      <c r="AJ486" s="683">
        <v>3004346824</v>
      </c>
      <c r="AK486" s="683" t="s">
        <v>33</v>
      </c>
      <c r="AL486" s="683">
        <v>10630720</v>
      </c>
      <c r="AM486" s="683" t="s">
        <v>1121</v>
      </c>
      <c r="AN486" s="683" t="s">
        <v>1122</v>
      </c>
      <c r="AO486" s="683" t="s">
        <v>1158</v>
      </c>
      <c r="AP486" s="683" t="s">
        <v>240</v>
      </c>
      <c r="AQ486" s="683" t="str">
        <f>CONCATENATE("REG-",BDEGENER[[#This Row],[FECHA DE SERVICIO]],"-",BDEGENER[[#This Row],[SERIE]],"-",BDEGENER[[#This Row],[HORAS]])</f>
        <v>REG-43960-3004336196-1389,1</v>
      </c>
      <c r="AR486" s="683" t="str">
        <f>CONCATENATE("MARCA: ",BDEGENER[[#This Row],[MARCA]],"
 MODELO: ",BDEGENER[[#This Row],[MODELO]])</f>
        <v>MARCA: GENERAC
 MODELO: PG090</v>
      </c>
      <c r="AS486" s="683" t="str">
        <f>CONCATENATE("MARCA: ",BDEGENER[[#This Row],[MARCA DE MOTOR]],"
SERIE: ",BDEGENER[[#This Row],[SERIE DE MOTOR]])</f>
        <v>MARCA: GENERAC
SERIE: 3004346824</v>
      </c>
      <c r="AT486" s="683" t="str">
        <f>CONCATENATE("MARCA: ",BDEGENER[[#This Row],[MARCA ALTERNADOR ]],"
SERIE: ",BDEGENER[[#This Row],[SERIE DE ALTERNADOR]])</f>
        <v>MARCA: GENERAC
SERIE: 10630720</v>
      </c>
      <c r="AU486" s="683" t="str">
        <f>CONCATENATE("HORAS: ",BDEGENER[[#This Row],[HORAS]],"
KW-HR: ",BDEGENER[[#This Row],[KW-HORA]],"
VOLT.BATERIA: ",BDEGENER[[#This Row],[VOLTAJE DE BATERIA]],"
TEMPERATURA: ",BDEGENER[[#This Row],[TEMPERATURA DE AGUA]],"
PRES. ACEITE: ",BDEGENER[[#This Row],[PRESION DE ACEITE]])</f>
        <v>HORAS: 1389,1
KW-HR: 34189,5
VOLT.BATERIA: 13.7 V
TEMPERATURA: 195 °F
PRES. ACEITE: 53 PSI</v>
      </c>
      <c r="AV486" s="683">
        <f>COUNTIFS(Q486:Q2486,"MANTENIMIENTO CORRECTIVO",Y486:Y2486,BDEGENER[[#This Row],[SERIE]])</f>
        <v>2</v>
      </c>
      <c r="AW486" s="683">
        <f>COUNTIFS(Q486:Q2486,"MANTENIMIENTO PREVENTIVO",Y486:Y2486,BDEGENER[[#This Row],[SERIE]])</f>
        <v>4</v>
      </c>
      <c r="AX48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86" s="683">
        <f>COUNTIFS(BDEGENER[SERIE],BDEGENER[[#This Row],[SERIE]],BDEGENER[TIPO DE SERVICIO],"MANTENIMIENTO PREVENTIVO")</f>
        <v>9</v>
      </c>
      <c r="AZ486" s="683" t="str">
        <f>CONCATENATE("MANTENIMIENTO PREVENTIVO N°",BDEGENER[[#This Row],[GA1]])</f>
        <v>MANTENIMIENTO PREVENTIVO N°9</v>
      </c>
      <c r="BA486" s="683" t="str">
        <f>IF(BDEGENER[[#This Row],[SERVICIO]]=BDEGENER[[#This Row],[GA2]],BDEGENER[[#This Row],[HORAS]],"0")</f>
        <v>0</v>
      </c>
      <c r="BB486" s="683">
        <f>SUMIF(BDEGENER[SERIE],BDEGENER[[#This Row],[SERIE]],BDEGENER[GA3])</f>
        <v>3148.2</v>
      </c>
      <c r="BC486" s="683" t="str">
        <f>CONCATENATE("MANT",COUNTIF($Y$7:Y486,Y486))</f>
        <v>MANT7</v>
      </c>
      <c r="BD486" s="683" t="str">
        <f>CONCATENATE(BDEGENER[[#This Row],[SERIE]],BDEGENER[[#This Row],[GA5]])</f>
        <v>3004336196MANT7</v>
      </c>
      <c r="BE486" s="683" t="str">
        <f>CONCATENATE(BDEGENER[[#This Row],[CODIGO PATRIMONIAL]],BDEGENER[[#This Row],[GA5]])</f>
        <v>MANT7</v>
      </c>
      <c r="BF486" s="683">
        <f>COUNTIF(BDEGENER[SERIE],BDEGENER[[#This Row],[SERIE]])</f>
        <v>13</v>
      </c>
      <c r="BG486" s="683" t="str">
        <f>CONCATENATE("F",COUNTIF($K$7:K486,K486))</f>
        <v>F2</v>
      </c>
      <c r="BH486" s="683" t="str">
        <f>CONCATENATE(BDEGENER[[#This Row],[FECHA DE SERVICIO]],BDEGENER[[#This Row],[N° DE REGISTROS DEL DIA]])</f>
        <v>43960F2</v>
      </c>
      <c r="BI486" s="684">
        <v>34189.5</v>
      </c>
      <c r="BJ486" s="683" t="s">
        <v>1544</v>
      </c>
      <c r="BK486" s="736" t="s">
        <v>231</v>
      </c>
    </row>
    <row r="487" spans="2:63" ht="69" hidden="1" x14ac:dyDescent="0.3">
      <c r="B487" s="2"/>
      <c r="C487" s="2"/>
      <c r="D487" s="2"/>
      <c r="E487" s="2"/>
      <c r="F487" s="2"/>
      <c r="G487" s="2"/>
      <c r="H487" s="2"/>
      <c r="I487" s="2"/>
      <c r="J487" s="685"/>
      <c r="K487" s="682">
        <v>43956</v>
      </c>
      <c r="L487" s="683" t="s">
        <v>1545</v>
      </c>
      <c r="M487" s="683" t="s">
        <v>1395</v>
      </c>
      <c r="N487" s="683" t="s">
        <v>1547</v>
      </c>
      <c r="O487" s="683"/>
      <c r="P487" s="683"/>
      <c r="Q487" s="683" t="s">
        <v>107</v>
      </c>
      <c r="R487" s="683" t="s">
        <v>1782</v>
      </c>
      <c r="S487" s="686" t="s">
        <v>3329</v>
      </c>
      <c r="T487" s="683" t="s">
        <v>3322</v>
      </c>
      <c r="U487" s="683" t="s">
        <v>2756</v>
      </c>
      <c r="V487" s="683" t="s">
        <v>479</v>
      </c>
      <c r="W487" s="683" t="s">
        <v>2743</v>
      </c>
      <c r="X487" s="691" t="s">
        <v>2741</v>
      </c>
      <c r="Y487" s="687" t="s">
        <v>3320</v>
      </c>
      <c r="Z487" s="692" t="s">
        <v>159</v>
      </c>
      <c r="AA487" s="683" t="s">
        <v>867</v>
      </c>
      <c r="AB487" s="683" t="s">
        <v>3321</v>
      </c>
      <c r="AC487" s="683" t="s">
        <v>159</v>
      </c>
      <c r="AD487" s="683"/>
      <c r="AE487" s="683"/>
      <c r="AF487" s="684">
        <v>284080</v>
      </c>
      <c r="AG487" s="683" t="s">
        <v>159</v>
      </c>
      <c r="AH487" s="683" t="s">
        <v>159</v>
      </c>
      <c r="AI487" s="683" t="s">
        <v>867</v>
      </c>
      <c r="AJ487" s="683" t="s">
        <v>159</v>
      </c>
      <c r="AK487" s="683" t="s">
        <v>159</v>
      </c>
      <c r="AL487" s="683" t="s">
        <v>159</v>
      </c>
      <c r="AM487" s="683"/>
      <c r="AN487" s="683"/>
      <c r="AO487" s="683"/>
      <c r="AP487" s="683" t="s">
        <v>240</v>
      </c>
      <c r="AQ487" s="683" t="str">
        <f>CONCATENATE("REG-",BDEGENER[[#This Row],[FECHA DE SERVICIO]],"-",BDEGENER[[#This Row],[SERIE]],"-",BDEGENER[[#This Row],[HORAS]])</f>
        <v>REG-43956-C7A-736-284080</v>
      </c>
      <c r="AR487" s="683" t="str">
        <f>CONCATENATE("MARCA: ",BDEGENER[[#This Row],[MARCA]],"
 MODELO: ",BDEGENER[[#This Row],[MODELO]])</f>
        <v>MARCA: NISSAN
 MODELO: FRONTIER</v>
      </c>
      <c r="AS487" s="683" t="str">
        <f>CONCATENATE("MARCA: ",BDEGENER[[#This Row],[MARCA DE MOTOR]],"
SERIE: ",BDEGENER[[#This Row],[SERIE DE MOTOR]])</f>
        <v xml:space="preserve">MARCA: NISSAN
SERIE: </v>
      </c>
      <c r="AT487" s="683" t="str">
        <f>CONCATENATE("MARCA: ",BDEGENER[[#This Row],[MARCA ALTERNADOR ]],"
SERIE: ",BDEGENER[[#This Row],[SERIE DE ALTERNADOR]])</f>
        <v xml:space="preserve">MARCA: 
SERIE: </v>
      </c>
      <c r="AU487" s="683" t="str">
        <f>CONCATENATE("HORAS: ",BDEGENER[[#This Row],[HORAS]],"
KW-HR: ",BDEGENER[[#This Row],[KW-HORA]],"
VOLT.BATERIA: ",BDEGENER[[#This Row],[VOLTAJE DE BATERIA]],"
TEMPERATURA: ",BDEGENER[[#This Row],[TEMPERATURA DE AGUA]],"
PRES. ACEITE: ",BDEGENER[[#This Row],[PRESION DE ACEITE]])</f>
        <v xml:space="preserve">HORAS: 284080
KW-HR: 
VOLT.BATERIA: 
TEMPERATURA: 
PRES. ACEITE: </v>
      </c>
      <c r="AV487" s="761">
        <f>COUNTIFS(Q487:Q2487,"MANTENIMIENTO CORRECTIVO",Y487:Y2487,BDEGENER[[#This Row],[SERIE]])</f>
        <v>4</v>
      </c>
      <c r="AW487" s="761">
        <f>COUNTIFS(Q487:Q2487,"MANTENIMIENTO PREVENTIVO",Y487:Y2487,BDEGENER[[#This Row],[SERIE]])</f>
        <v>2</v>
      </c>
      <c r="AX48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487" s="683">
        <f>COUNTIFS(BDEGENER[SERIE],BDEGENER[[#This Row],[SERIE]],BDEGENER[TIPO DE SERVICIO],"MANTENIMIENTO PREVENTIVO")</f>
        <v>3</v>
      </c>
      <c r="AZ487" s="683" t="str">
        <f>CONCATENATE("MANTENIMIENTO PREVENTIVO N°",BDEGENER[[#This Row],[GA1]])</f>
        <v>MANTENIMIENTO PREVENTIVO N°3</v>
      </c>
      <c r="BA487" s="683" t="str">
        <f>IF(BDEGENER[[#This Row],[SERVICIO]]=BDEGENER[[#This Row],[GA2]],BDEGENER[[#This Row],[HORAS]],"0")</f>
        <v>0</v>
      </c>
      <c r="BB487" s="683">
        <f>SUMIF(BDEGENER[SERIE],BDEGENER[[#This Row],[SERIE]],BDEGENER[GA3])</f>
        <v>287150</v>
      </c>
      <c r="BC487" s="761" t="str">
        <f>CONCATENATE("MANT",COUNTIF($Y$7:Y487,Y487))</f>
        <v>MANT3</v>
      </c>
      <c r="BD487" s="683" t="str">
        <f>CONCATENATE(BDEGENER[[#This Row],[SERIE]],BDEGENER[[#This Row],[GA5]])</f>
        <v>C7A-736MANT3</v>
      </c>
      <c r="BE487" s="683" t="str">
        <f>CONCATENATE(BDEGENER[[#This Row],[CODIGO PATRIMONIAL]],BDEGENER[[#This Row],[GA5]])</f>
        <v>MANT3</v>
      </c>
      <c r="BF487" s="683">
        <f>COUNTIF(BDEGENER[SERIE],BDEGENER[[#This Row],[SERIE]])</f>
        <v>8</v>
      </c>
      <c r="BG487" s="761" t="str">
        <f>CONCATENATE("F",COUNTIF($K$7:K487,K487))</f>
        <v>F1</v>
      </c>
      <c r="BH487" s="683" t="str">
        <f>CONCATENATE(BDEGENER[[#This Row],[FECHA DE SERVICIO]],BDEGENER[[#This Row],[N° DE REGISTROS DEL DIA]])</f>
        <v>43956F1</v>
      </c>
      <c r="BI487" s="684"/>
      <c r="BJ487" s="683" t="s">
        <v>1544</v>
      </c>
      <c r="BK487" s="736"/>
    </row>
    <row r="488" spans="2:63" ht="69" hidden="1" x14ac:dyDescent="0.3">
      <c r="B488" s="2"/>
      <c r="C488" s="2"/>
      <c r="D488" s="2"/>
      <c r="E488" s="2"/>
      <c r="F488" s="2"/>
      <c r="G488" s="2"/>
      <c r="H488" s="2"/>
      <c r="I488" s="2"/>
      <c r="J488" s="685"/>
      <c r="K488" s="682">
        <v>43956</v>
      </c>
      <c r="L488" s="683" t="s">
        <v>181</v>
      </c>
      <c r="M488" s="683" t="s">
        <v>182</v>
      </c>
      <c r="N488" s="683" t="s">
        <v>183</v>
      </c>
      <c r="O488" s="683"/>
      <c r="P488" s="683"/>
      <c r="Q488" s="683" t="s">
        <v>107</v>
      </c>
      <c r="R488" s="683" t="s">
        <v>2350</v>
      </c>
      <c r="S488" s="686" t="s">
        <v>2351</v>
      </c>
      <c r="T488" s="683" t="s">
        <v>2352</v>
      </c>
      <c r="U488" s="683" t="s">
        <v>2353</v>
      </c>
      <c r="V488" s="683" t="s">
        <v>146</v>
      </c>
      <c r="W488" s="683" t="s">
        <v>914</v>
      </c>
      <c r="X488" s="691" t="s">
        <v>918</v>
      </c>
      <c r="Y488" s="687">
        <v>3004256777</v>
      </c>
      <c r="Z488" s="692"/>
      <c r="AA488" s="683" t="s">
        <v>33</v>
      </c>
      <c r="AB488" s="683" t="s">
        <v>34</v>
      </c>
      <c r="AC488" s="683" t="s">
        <v>230</v>
      </c>
      <c r="AD488" s="683" t="s">
        <v>1110</v>
      </c>
      <c r="AE488" s="683">
        <v>60</v>
      </c>
      <c r="AF488" s="684">
        <v>927.9</v>
      </c>
      <c r="AG488" s="683" t="s">
        <v>243</v>
      </c>
      <c r="AH488" s="683" t="s">
        <v>220</v>
      </c>
      <c r="AI488" s="683" t="s">
        <v>33</v>
      </c>
      <c r="AJ488" s="683">
        <v>3003930235</v>
      </c>
      <c r="AK488" s="683" t="s">
        <v>33</v>
      </c>
      <c r="AL488" s="683">
        <v>10630250</v>
      </c>
      <c r="AM488" s="683"/>
      <c r="AN488" s="683"/>
      <c r="AO488" s="683"/>
      <c r="AP488" s="683" t="s">
        <v>240</v>
      </c>
      <c r="AQ488" s="688" t="str">
        <f>CONCATENATE("REG-",BDEGENER[[#This Row],[FECHA DE SERVICIO]],"-",BDEGENER[[#This Row],[SERIE]],"-",BDEGENER[[#This Row],[HORAS]])</f>
        <v>REG-43956-3004256777-927,9</v>
      </c>
      <c r="AR488" s="683" t="str">
        <f>CONCATENATE("MARCA: ",BDEGENER[[#This Row],[MARCA]],"
 MODELO: ",BDEGENER[[#This Row],[MODELO]])</f>
        <v>MARCA: GENERAC
 MODELO: PG090</v>
      </c>
      <c r="AS488" s="683" t="str">
        <f>CONCATENATE("MARCA: ",BDEGENER[[#This Row],[MARCA DE MOTOR]],"
SERIE: ",BDEGENER[[#This Row],[SERIE DE MOTOR]])</f>
        <v>MARCA: GENERAC
SERIE: 3003930235</v>
      </c>
      <c r="AT488" s="683" t="str">
        <f>CONCATENATE("MARCA: ",BDEGENER[[#This Row],[MARCA ALTERNADOR ]],"
SERIE: ",BDEGENER[[#This Row],[SERIE DE ALTERNADOR]])</f>
        <v>MARCA: GENERAC
SERIE: 10630250</v>
      </c>
      <c r="AU488" s="683" t="str">
        <f>CONCATENATE("HORAS: ",BDEGENER[[#This Row],[HORAS]],"
KW-HR: ",BDEGENER[[#This Row],[KW-HORA]],"
VOLT.BATERIA: ",BDEGENER[[#This Row],[VOLTAJE DE BATERIA]],"
TEMPERATURA: ",BDEGENER[[#This Row],[TEMPERATURA DE AGUA]],"
PRES. ACEITE: ",BDEGENER[[#This Row],[PRESION DE ACEITE]])</f>
        <v xml:space="preserve">HORAS: 927,9
KW-HR: 
VOLT.BATERIA: 
TEMPERATURA: 
PRES. ACEITE: </v>
      </c>
      <c r="AV488" s="683">
        <f>COUNTIFS(Q488:Q2488,"MANTENIMIENTO CORRECTIVO",Y488:Y2488,BDEGENER[[#This Row],[SERIE]])</f>
        <v>4</v>
      </c>
      <c r="AW488" s="683">
        <f>COUNTIFS(Q488:Q2488,"MANTENIMIENTO PREVENTIVO",Y488:Y2488,BDEGENER[[#This Row],[SERIE]])</f>
        <v>3</v>
      </c>
      <c r="AX48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488" s="683">
        <f>COUNTIFS(BDEGENER[SERIE],BDEGENER[[#This Row],[SERIE]],BDEGENER[TIPO DE SERVICIO],"MANTENIMIENTO PREVENTIVO")</f>
        <v>9</v>
      </c>
      <c r="AZ488" s="683" t="str">
        <f>CONCATENATE("MANTENIMIENTO PREVENTIVO N°",BDEGENER[[#This Row],[GA1]])</f>
        <v>MANTENIMIENTO PREVENTIVO N°9</v>
      </c>
      <c r="BA488" s="683" t="str">
        <f>IF(BDEGENER[[#This Row],[SERVICIO]]=BDEGENER[[#This Row],[GA2]],BDEGENER[[#This Row],[HORAS]],"0")</f>
        <v>0</v>
      </c>
      <c r="BB488" s="683">
        <f>SUMIF(BDEGENER[SERIE],BDEGENER[[#This Row],[SERIE]],BDEGENER[GA3])</f>
        <v>2804.7</v>
      </c>
      <c r="BC488" s="683" t="str">
        <f>CONCATENATE("MANT",COUNTIF($Y$7:Y488,Y488))</f>
        <v>MANT9</v>
      </c>
      <c r="BD488" s="683" t="str">
        <f>CONCATENATE(BDEGENER[[#This Row],[SERIE]],BDEGENER[[#This Row],[GA5]])</f>
        <v>3004256777MANT9</v>
      </c>
      <c r="BE488" s="683" t="str">
        <f>CONCATENATE(BDEGENER[[#This Row],[CODIGO PATRIMONIAL]],BDEGENER[[#This Row],[GA5]])</f>
        <v>MANT9</v>
      </c>
      <c r="BF488" s="683">
        <f>COUNTIF(BDEGENER[SERIE],BDEGENER[[#This Row],[SERIE]])</f>
        <v>16</v>
      </c>
      <c r="BG488" s="683" t="str">
        <f>CONCATENATE("F",COUNTIF($K$7:K488,K488))</f>
        <v>F2</v>
      </c>
      <c r="BH488" s="683" t="str">
        <f>CONCATENATE(BDEGENER[[#This Row],[FECHA DE SERVICIO]],BDEGENER[[#This Row],[N° DE REGISTROS DEL DIA]])</f>
        <v>43956F2</v>
      </c>
      <c r="BI488" s="684"/>
      <c r="BJ488" s="683" t="s">
        <v>1544</v>
      </c>
      <c r="BK488" s="736"/>
    </row>
    <row r="489" spans="2:63" ht="69" hidden="1" x14ac:dyDescent="0.3">
      <c r="B489" s="2"/>
      <c r="C489" s="2"/>
      <c r="D489" s="2"/>
      <c r="E489" s="2"/>
      <c r="F489" s="2"/>
      <c r="G489" s="2"/>
      <c r="H489" s="2"/>
      <c r="I489" s="2"/>
      <c r="J489" s="685"/>
      <c r="K489" s="682">
        <v>43955</v>
      </c>
      <c r="L489" s="156" t="s">
        <v>791</v>
      </c>
      <c r="M489" s="683" t="s">
        <v>1927</v>
      </c>
      <c r="N489" s="683" t="s">
        <v>794</v>
      </c>
      <c r="O489" s="683"/>
      <c r="P489" s="683"/>
      <c r="Q489" s="683" t="s">
        <v>37</v>
      </c>
      <c r="R489" s="683" t="s">
        <v>1782</v>
      </c>
      <c r="S489" s="686" t="s">
        <v>2302</v>
      </c>
      <c r="T489" s="683" t="s">
        <v>2301</v>
      </c>
      <c r="U489" s="683" t="s">
        <v>2303</v>
      </c>
      <c r="V489" s="683" t="s">
        <v>150</v>
      </c>
      <c r="W489" s="683" t="s">
        <v>914</v>
      </c>
      <c r="X489" s="691" t="s">
        <v>917</v>
      </c>
      <c r="Y489" s="687" t="s">
        <v>837</v>
      </c>
      <c r="Z489" s="692"/>
      <c r="AA489" s="683" t="s">
        <v>845</v>
      </c>
      <c r="AB489" s="683" t="s">
        <v>1190</v>
      </c>
      <c r="AC489" s="683" t="s">
        <v>853</v>
      </c>
      <c r="AD489" s="683" t="s">
        <v>2304</v>
      </c>
      <c r="AE489" s="683">
        <v>60.1</v>
      </c>
      <c r="AF489" s="684">
        <v>383</v>
      </c>
      <c r="AG489" s="683" t="s">
        <v>243</v>
      </c>
      <c r="AH489" s="683" t="s">
        <v>2293</v>
      </c>
      <c r="AI489" s="683" t="s">
        <v>867</v>
      </c>
      <c r="AJ489" s="683" t="s">
        <v>862</v>
      </c>
      <c r="AK489" s="683" t="s">
        <v>845</v>
      </c>
      <c r="AL489" s="683">
        <v>66612</v>
      </c>
      <c r="AM489" s="683" t="s">
        <v>1157</v>
      </c>
      <c r="AN489" s="683" t="s">
        <v>2305</v>
      </c>
      <c r="AO489" s="683" t="s">
        <v>1097</v>
      </c>
      <c r="AP489" s="683" t="s">
        <v>240</v>
      </c>
      <c r="AQ489" s="688" t="str">
        <f>CONCATENATE("REG-",BDEGENER[[#This Row],[FECHA DE SERVICIO]],"-",BDEGENER[[#This Row],[SERIE]],"-",BDEGENER[[#This Row],[HORAS]])</f>
        <v>REG-43955-123231-0306-383</v>
      </c>
      <c r="AR489" s="683" t="str">
        <f>CONCATENATE("MARCA: ",BDEGENER[[#This Row],[MARCA]],"
 MODELO: ",BDEGENER[[#This Row],[MODELO]])</f>
        <v>MARCA: KATOLIGHT
 MODELO: SEN25FGN4</v>
      </c>
      <c r="AS489" s="683" t="str">
        <f>CONCATENATE("MARCA: ",BDEGENER[[#This Row],[MARCA DE MOTOR]],"
SERIE: ",BDEGENER[[#This Row],[SERIE DE MOTOR]])</f>
        <v>MARCA: NISSAN
SERIE: 5Y21F</v>
      </c>
      <c r="AT489" s="683" t="str">
        <f>CONCATENATE("MARCA: ",BDEGENER[[#This Row],[MARCA ALTERNADOR ]],"
SERIE: ",BDEGENER[[#This Row],[SERIE DE ALTERNADOR]])</f>
        <v>MARCA: KATOLIGHT
SERIE: 66612</v>
      </c>
      <c r="AU489" s="683" t="str">
        <f>CONCATENATE("HORAS: ",BDEGENER[[#This Row],[HORAS]],"
KW-HR: ",BDEGENER[[#This Row],[KW-HORA]],"
VOLT.BATERIA: ",BDEGENER[[#This Row],[VOLTAJE DE BATERIA]],"
TEMPERATURA: ",BDEGENER[[#This Row],[TEMPERATURA DE AGUA]],"
PRES. ACEITE: ",BDEGENER[[#This Row],[PRESION DE ACEITE]])</f>
        <v>HORAS: 383
KW-HR: 
VOLT.BATERIA: 13.9 V
TEMPERATURA: 116 °F
PRES. ACEITE: 48 PSI</v>
      </c>
      <c r="AV489" s="683">
        <f>COUNTIFS(Q489:Q2489,"MANTENIMIENTO CORRECTIVO",Y489:Y2489,BDEGENER[[#This Row],[SERIE]])</f>
        <v>1</v>
      </c>
      <c r="AW489" s="683">
        <f>COUNTIFS(Q489:Q2489,"MANTENIMIENTO PREVENTIVO",Y489:Y2489,BDEGENER[[#This Row],[SERIE]])</f>
        <v>4</v>
      </c>
      <c r="AX48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89" s="683">
        <f>COUNTIFS(BDEGENER[SERIE],BDEGENER[[#This Row],[SERIE]],BDEGENER[TIPO DE SERVICIO],"MANTENIMIENTO PREVENTIVO")</f>
        <v>4</v>
      </c>
      <c r="AZ489" s="683" t="str">
        <f>CONCATENATE("MANTENIMIENTO PREVENTIVO N°",BDEGENER[[#This Row],[GA1]])</f>
        <v>MANTENIMIENTO PREVENTIVO N°4</v>
      </c>
      <c r="BA489" s="683">
        <f>IF(BDEGENER[[#This Row],[SERVICIO]]=BDEGENER[[#This Row],[GA2]],BDEGENER[[#This Row],[HORAS]],"0")</f>
        <v>383</v>
      </c>
      <c r="BB489" s="683">
        <f>SUMIF(BDEGENER[SERIE],BDEGENER[[#This Row],[SERIE]],BDEGENER[GA3])</f>
        <v>383</v>
      </c>
      <c r="BC489" s="683" t="str">
        <f>CONCATENATE("MANT",COUNTIF($Y$7:Y489,Y489))</f>
        <v>MANT1</v>
      </c>
      <c r="BD489" s="683" t="str">
        <f>CONCATENATE(BDEGENER[[#This Row],[SERIE]],BDEGENER[[#This Row],[GA5]])</f>
        <v>123231-0306MANT1</v>
      </c>
      <c r="BE489" s="683" t="str">
        <f>CONCATENATE(BDEGENER[[#This Row],[CODIGO PATRIMONIAL]],BDEGENER[[#This Row],[GA5]])</f>
        <v>MANT1</v>
      </c>
      <c r="BF489" s="683">
        <f>COUNTIF(BDEGENER[SERIE],BDEGENER[[#This Row],[SERIE]])</f>
        <v>5</v>
      </c>
      <c r="BG489" s="683" t="str">
        <f>CONCATENATE("F",COUNTIF($K$7:K489,K489))</f>
        <v>F1</v>
      </c>
      <c r="BH489" s="683" t="str">
        <f>CONCATENATE(BDEGENER[[#This Row],[FECHA DE SERVICIO]],BDEGENER[[#This Row],[N° DE REGISTROS DEL DIA]])</f>
        <v>43955F1</v>
      </c>
      <c r="BI489" s="684"/>
      <c r="BJ489" s="683" t="s">
        <v>1544</v>
      </c>
      <c r="BK489" s="736"/>
    </row>
    <row r="490" spans="2:63" ht="69" hidden="1" x14ac:dyDescent="0.3">
      <c r="B490" s="2"/>
      <c r="C490" s="2"/>
      <c r="D490" s="2"/>
      <c r="E490" s="2"/>
      <c r="F490" s="2"/>
      <c r="G490" s="2"/>
      <c r="H490" s="2"/>
      <c r="I490" s="2"/>
      <c r="J490" s="685"/>
      <c r="K490" s="682">
        <v>43955</v>
      </c>
      <c r="L490" s="683" t="s">
        <v>791</v>
      </c>
      <c r="M490" s="740" t="s">
        <v>1926</v>
      </c>
      <c r="N490" s="740" t="s">
        <v>795</v>
      </c>
      <c r="O490" s="683"/>
      <c r="P490" s="683"/>
      <c r="Q490" s="683" t="s">
        <v>37</v>
      </c>
      <c r="R490" s="683" t="s">
        <v>1782</v>
      </c>
      <c r="S490" s="686" t="s">
        <v>2287</v>
      </c>
      <c r="T490" s="683" t="s">
        <v>2288</v>
      </c>
      <c r="U490" s="683" t="s">
        <v>2292</v>
      </c>
      <c r="V490" s="683" t="s">
        <v>150</v>
      </c>
      <c r="W490" s="683" t="s">
        <v>913</v>
      </c>
      <c r="X490" s="691" t="s">
        <v>918</v>
      </c>
      <c r="Y490" s="687" t="s">
        <v>838</v>
      </c>
      <c r="Z490" s="692"/>
      <c r="AA490" s="683" t="s">
        <v>845</v>
      </c>
      <c r="AB490" s="683" t="s">
        <v>2289</v>
      </c>
      <c r="AC490" s="683" t="s">
        <v>232</v>
      </c>
      <c r="AD490" s="683" t="s">
        <v>2290</v>
      </c>
      <c r="AE490" s="683">
        <v>60.1</v>
      </c>
      <c r="AF490" s="684">
        <v>90</v>
      </c>
      <c r="AG490" s="683" t="s">
        <v>243</v>
      </c>
      <c r="AH490" s="683" t="s">
        <v>2293</v>
      </c>
      <c r="AI490" s="683" t="s">
        <v>2147</v>
      </c>
      <c r="AJ490" s="740" t="s">
        <v>863</v>
      </c>
      <c r="AK490" s="683" t="s">
        <v>845</v>
      </c>
      <c r="AL490" s="722">
        <v>664946</v>
      </c>
      <c r="AM490" s="683" t="s">
        <v>1121</v>
      </c>
      <c r="AN490" s="683" t="s">
        <v>2306</v>
      </c>
      <c r="AO490" s="683" t="s">
        <v>2291</v>
      </c>
      <c r="AP490" s="683" t="s">
        <v>240</v>
      </c>
      <c r="AQ490" s="688" t="str">
        <f>CONCATENATE("REG-",BDEGENER[[#This Row],[FECHA DE SERVICIO]],"-",BDEGENER[[#This Row],[SERIE]],"-",BDEGENER[[#This Row],[HORAS]])</f>
        <v>REG-43955-123234-0306-90</v>
      </c>
      <c r="AR490" s="683" t="str">
        <f>CONCATENATE("MARCA: ",BDEGENER[[#This Row],[MARCA]],"
 MODELO: ",BDEGENER[[#This Row],[MODELO]])</f>
        <v>MARCA: KATOLIGHT
 MODELO: GEN40FPG4</v>
      </c>
      <c r="AS490" s="683" t="str">
        <f>CONCATENATE("MARCA: ",BDEGENER[[#This Row],[MARCA DE MOTOR]],"
SERIE: ",BDEGENER[[#This Row],[SERIE DE MOTOR]])</f>
        <v>MARCA: VORTEC
SERIE: 4P3L32844</v>
      </c>
      <c r="AT490" s="683" t="str">
        <f>CONCATENATE("MARCA: ",BDEGENER[[#This Row],[MARCA ALTERNADOR ]],"
SERIE: ",BDEGENER[[#This Row],[SERIE DE ALTERNADOR]])</f>
        <v>MARCA: KATOLIGHT
SERIE: 664946</v>
      </c>
      <c r="AU490" s="683" t="str">
        <f>CONCATENATE("HORAS: ",BDEGENER[[#This Row],[HORAS]],"
KW-HR: ",BDEGENER[[#This Row],[KW-HORA]],"
VOLT.BATERIA: ",BDEGENER[[#This Row],[VOLTAJE DE BATERIA]],"
TEMPERATURA: ",BDEGENER[[#This Row],[TEMPERATURA DE AGUA]],"
PRES. ACEITE: ",BDEGENER[[#This Row],[PRESION DE ACEITE]])</f>
        <v>HORAS: 90
KW-HR: 
VOLT.BATERIA: 13.7 V
TEMPERATURA: 73 °F
PRES. ACEITE: 40 PSI</v>
      </c>
      <c r="AV490" s="761">
        <f>COUNTIFS(Q490:Q2490,"MANTENIMIENTO CORRECTIVO",Y490:Y2490,BDEGENER[[#This Row],[SERIE]])</f>
        <v>0</v>
      </c>
      <c r="AW490" s="761">
        <f>COUNTIFS(Q490:Q2490,"MANTENIMIENTO PREVENTIVO",Y490:Y2490,BDEGENER[[#This Row],[SERIE]])</f>
        <v>4</v>
      </c>
      <c r="AX49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90" s="683">
        <f>COUNTIFS(BDEGENER[SERIE],BDEGENER[[#This Row],[SERIE]],BDEGENER[TIPO DE SERVICIO],"MANTENIMIENTO PREVENTIVO")</f>
        <v>4</v>
      </c>
      <c r="AZ490" s="683" t="str">
        <f>CONCATENATE("MANTENIMIENTO PREVENTIVO N°",BDEGENER[[#This Row],[GA1]])</f>
        <v>MANTENIMIENTO PREVENTIVO N°4</v>
      </c>
      <c r="BA490" s="683">
        <f>IF(BDEGENER[[#This Row],[SERVICIO]]=BDEGENER[[#This Row],[GA2]],BDEGENER[[#This Row],[HORAS]],"0")</f>
        <v>90</v>
      </c>
      <c r="BB490" s="683">
        <f>SUMIF(BDEGENER[SERIE],BDEGENER[[#This Row],[SERIE]],BDEGENER[GA3])</f>
        <v>90</v>
      </c>
      <c r="BC490" s="761" t="str">
        <f>CONCATENATE("MANT",COUNTIF($Y$7:Y490,Y490))</f>
        <v>MANT1</v>
      </c>
      <c r="BD490" s="683" t="str">
        <f>CONCATENATE(BDEGENER[[#This Row],[SERIE]],BDEGENER[[#This Row],[GA5]])</f>
        <v>123234-0306MANT1</v>
      </c>
      <c r="BE490" s="683" t="str">
        <f>CONCATENATE(BDEGENER[[#This Row],[CODIGO PATRIMONIAL]],BDEGENER[[#This Row],[GA5]])</f>
        <v>MANT1</v>
      </c>
      <c r="BF490" s="683">
        <f>COUNTIF(BDEGENER[SERIE],BDEGENER[[#This Row],[SERIE]])</f>
        <v>5</v>
      </c>
      <c r="BG490" s="761" t="str">
        <f>CONCATENATE("F",COUNTIF($K$7:K490,K490))</f>
        <v>F2</v>
      </c>
      <c r="BH490" s="683" t="str">
        <f>CONCATENATE(BDEGENER[[#This Row],[FECHA DE SERVICIO]],BDEGENER[[#This Row],[N° DE REGISTROS DEL DIA]])</f>
        <v>43955F2</v>
      </c>
      <c r="BI490" s="684"/>
      <c r="BJ490" s="683" t="s">
        <v>1544</v>
      </c>
      <c r="BK490" s="736"/>
    </row>
    <row r="491" spans="2:63" ht="69" hidden="1" x14ac:dyDescent="0.3">
      <c r="B491" s="2"/>
      <c r="C491" s="2"/>
      <c r="D491" s="2"/>
      <c r="E491" s="2"/>
      <c r="F491" s="2"/>
      <c r="G491" s="2"/>
      <c r="H491" s="2"/>
      <c r="I491" s="2"/>
      <c r="J491" s="685"/>
      <c r="K491" s="682">
        <v>43952</v>
      </c>
      <c r="L491" s="683" t="s">
        <v>181</v>
      </c>
      <c r="M491" s="683" t="s">
        <v>184</v>
      </c>
      <c r="N491" s="683" t="s">
        <v>183</v>
      </c>
      <c r="O491" s="683"/>
      <c r="P491" s="683"/>
      <c r="Q491" s="683" t="s">
        <v>108</v>
      </c>
      <c r="R491" s="683" t="s">
        <v>2354</v>
      </c>
      <c r="S491" s="686" t="s">
        <v>2355</v>
      </c>
      <c r="T491" s="683" t="s">
        <v>2356</v>
      </c>
      <c r="U491" s="683"/>
      <c r="V491" s="683" t="s">
        <v>146</v>
      </c>
      <c r="W491" s="683" t="s">
        <v>914</v>
      </c>
      <c r="X491" s="691" t="s">
        <v>918</v>
      </c>
      <c r="Y491" s="687">
        <v>3004402507</v>
      </c>
      <c r="Z491" s="692"/>
      <c r="AA491" s="683" t="s">
        <v>33</v>
      </c>
      <c r="AB491" s="683" t="s">
        <v>34</v>
      </c>
      <c r="AC491" s="683" t="s">
        <v>230</v>
      </c>
      <c r="AD491" s="683"/>
      <c r="AE491" s="683"/>
      <c r="AF491" s="684">
        <v>1696.8</v>
      </c>
      <c r="AG491" s="683" t="s">
        <v>243</v>
      </c>
      <c r="AH491" s="683" t="s">
        <v>220</v>
      </c>
      <c r="AI491" s="683" t="s">
        <v>33</v>
      </c>
      <c r="AJ491" s="683">
        <v>3004425772</v>
      </c>
      <c r="AK491" s="683" t="s">
        <v>33</v>
      </c>
      <c r="AL491" s="683">
        <v>106310030</v>
      </c>
      <c r="AM491" s="683"/>
      <c r="AN491" s="683"/>
      <c r="AO491" s="683"/>
      <c r="AP491" s="683" t="s">
        <v>557</v>
      </c>
      <c r="AQ491" s="683" t="str">
        <f>CONCATENATE("REG-",BDEGENER[[#This Row],[FECHA DE SERVICIO]],"-",BDEGENER[[#This Row],[SERIE]],"-",BDEGENER[[#This Row],[HORAS]])</f>
        <v>REG-43952-3004402507-1696,8</v>
      </c>
      <c r="AR491" s="683" t="str">
        <f>CONCATENATE("MARCA: ",BDEGENER[[#This Row],[MARCA]],"
 MODELO: ",BDEGENER[[#This Row],[MODELO]])</f>
        <v>MARCA: GENERAC
 MODELO: PG090</v>
      </c>
      <c r="AS491" s="683" t="str">
        <f>CONCATENATE("MARCA: ",BDEGENER[[#This Row],[MARCA DE MOTOR]],"
SERIE: ",BDEGENER[[#This Row],[SERIE DE MOTOR]])</f>
        <v>MARCA: GENERAC
SERIE: 3004425772</v>
      </c>
      <c r="AT491" s="683" t="str">
        <f>CONCATENATE("MARCA: ",BDEGENER[[#This Row],[MARCA ALTERNADOR ]],"
SERIE: ",BDEGENER[[#This Row],[SERIE DE ALTERNADOR]])</f>
        <v>MARCA: GENERAC
SERIE: 106310030</v>
      </c>
      <c r="AU491" s="683" t="str">
        <f>CONCATENATE("HORAS: ",BDEGENER[[#This Row],[HORAS]],"
KW-HR: ",BDEGENER[[#This Row],[KW-HORA]],"
VOLT.BATERIA: ",BDEGENER[[#This Row],[VOLTAJE DE BATERIA]],"
TEMPERATURA: ",BDEGENER[[#This Row],[TEMPERATURA DE AGUA]],"
PRES. ACEITE: ",BDEGENER[[#This Row],[PRESION DE ACEITE]])</f>
        <v xml:space="preserve">HORAS: 1696,8
KW-HR: 35984,3
VOLT.BATERIA: 
TEMPERATURA: 
PRES. ACEITE: </v>
      </c>
      <c r="AV491" s="683">
        <f>COUNTIFS(Q491:Q2491,"MANTENIMIENTO CORRECTIVO",Y491:Y2491,BDEGENER[[#This Row],[SERIE]])</f>
        <v>4</v>
      </c>
      <c r="AW491" s="683">
        <f>COUNTIFS(Q491:Q2491,"MANTENIMIENTO PREVENTIVO",Y491:Y2491,BDEGENER[[#This Row],[SERIE]])</f>
        <v>5</v>
      </c>
      <c r="AX49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491" s="683">
        <f>COUNTIFS(BDEGENER[SERIE],BDEGENER[[#This Row],[SERIE]],BDEGENER[TIPO DE SERVICIO],"MANTENIMIENTO PREVENTIVO")</f>
        <v>7</v>
      </c>
      <c r="AZ491" s="683" t="str">
        <f>CONCATENATE("MANTENIMIENTO PREVENTIVO N°",BDEGENER[[#This Row],[GA1]])</f>
        <v>MANTENIMIENTO PREVENTIVO N°7</v>
      </c>
      <c r="BA491" s="683" t="str">
        <f>IF(BDEGENER[[#This Row],[SERVICIO]]=BDEGENER[[#This Row],[GA2]],BDEGENER[[#This Row],[HORAS]],"0")</f>
        <v>0</v>
      </c>
      <c r="BB491" s="683">
        <f>SUMIF(BDEGENER[SERIE],BDEGENER[[#This Row],[SERIE]],BDEGENER[GA3])</f>
        <v>2134</v>
      </c>
      <c r="BC491" s="683" t="str">
        <f>CONCATENATE("MANT",COUNTIF($Y$7:Y491,Y491))</f>
        <v>MANT4</v>
      </c>
      <c r="BD491" s="683" t="str">
        <f>CONCATENATE(BDEGENER[[#This Row],[SERIE]],BDEGENER[[#This Row],[GA5]])</f>
        <v>3004402507MANT4</v>
      </c>
      <c r="BE491" s="683" t="str">
        <f>CONCATENATE(BDEGENER[[#This Row],[CODIGO PATRIMONIAL]],BDEGENER[[#This Row],[GA5]])</f>
        <v>MANT4</v>
      </c>
      <c r="BF491" s="683">
        <f>COUNTIF(BDEGENER[SERIE],BDEGENER[[#This Row],[SERIE]])</f>
        <v>16</v>
      </c>
      <c r="BG491" s="683" t="str">
        <f>CONCATENATE("F",COUNTIF($K$7:K491,K491))</f>
        <v>F1</v>
      </c>
      <c r="BH491" s="683" t="str">
        <f>CONCATENATE(BDEGENER[[#This Row],[FECHA DE SERVICIO]],BDEGENER[[#This Row],[N° DE REGISTROS DEL DIA]])</f>
        <v>43952F1</v>
      </c>
      <c r="BI491" s="684">
        <v>35984.300000000003</v>
      </c>
      <c r="BJ491" s="683" t="s">
        <v>1544</v>
      </c>
      <c r="BK491" s="736"/>
    </row>
    <row r="492" spans="2:63" ht="69" hidden="1" x14ac:dyDescent="0.3">
      <c r="B492" s="2"/>
      <c r="C492" s="2"/>
      <c r="D492" s="2"/>
      <c r="E492" s="2"/>
      <c r="F492" s="2"/>
      <c r="G492" s="2"/>
      <c r="H492" s="2"/>
      <c r="I492" s="2"/>
      <c r="J492" s="685"/>
      <c r="K492" s="682">
        <v>43951</v>
      </c>
      <c r="L492" s="683" t="s">
        <v>791</v>
      </c>
      <c r="M492" s="683" t="s">
        <v>1174</v>
      </c>
      <c r="N492" s="683" t="s">
        <v>793</v>
      </c>
      <c r="O492" s="683"/>
      <c r="P492" s="683"/>
      <c r="Q492" s="683" t="s">
        <v>37</v>
      </c>
      <c r="R492" s="683" t="s">
        <v>1782</v>
      </c>
      <c r="S492" s="686" t="s">
        <v>2255</v>
      </c>
      <c r="T492" s="683" t="s">
        <v>2256</v>
      </c>
      <c r="U492" s="683"/>
      <c r="V492" s="683" t="s">
        <v>149</v>
      </c>
      <c r="W492" s="683" t="s">
        <v>914</v>
      </c>
      <c r="X492" s="691" t="s">
        <v>917</v>
      </c>
      <c r="Y492" s="687" t="s">
        <v>836</v>
      </c>
      <c r="Z492" s="692"/>
      <c r="AA492" s="683" t="s">
        <v>841</v>
      </c>
      <c r="AB492" s="683" t="s">
        <v>1171</v>
      </c>
      <c r="AC492" s="683" t="s">
        <v>852</v>
      </c>
      <c r="AD492" s="683"/>
      <c r="AE492" s="683"/>
      <c r="AF492" s="684">
        <v>119.6</v>
      </c>
      <c r="AG492" s="683"/>
      <c r="AH492" s="683"/>
      <c r="AI492" s="683" t="s">
        <v>841</v>
      </c>
      <c r="AJ492" s="683" t="s">
        <v>861</v>
      </c>
      <c r="AK492" s="683" t="s">
        <v>841</v>
      </c>
      <c r="AL492" s="683" t="s">
        <v>836</v>
      </c>
      <c r="AM492" s="683" t="s">
        <v>2254</v>
      </c>
      <c r="AN492" s="683"/>
      <c r="AO492" s="683"/>
      <c r="AP492" s="683" t="s">
        <v>240</v>
      </c>
      <c r="AQ492" s="744" t="str">
        <f>CONCATENATE("REG-",BDEGENER[[#This Row],[FECHA DE SERVICIO]],"-",BDEGENER[[#This Row],[SERIE]],"-",BDEGENER[[#This Row],[HORAS]])</f>
        <v>REG-43951-6JA02715-119,6</v>
      </c>
      <c r="AR492" s="683" t="str">
        <f>CONCATENATE("MARCA: ",BDEGENER[[#This Row],[MARCA]],"
 MODELO: ",BDEGENER[[#This Row],[MODELO]])</f>
        <v>MARCA: CATERPILLAR
 MODELO: SR4</v>
      </c>
      <c r="AS492" s="683" t="str">
        <f>CONCATENATE("MARCA: ",BDEGENER[[#This Row],[MARCA DE MOTOR]],"
SERIE: ",BDEGENER[[#This Row],[SERIE DE MOTOR]])</f>
        <v>MARCA: CATERPILLAR
SERIE: 30A04135</v>
      </c>
      <c r="AT492" s="683" t="str">
        <f>CONCATENATE("MARCA: ",BDEGENER[[#This Row],[MARCA ALTERNADOR ]],"
SERIE: ",BDEGENER[[#This Row],[SERIE DE ALTERNADOR]])</f>
        <v>MARCA: CATERPILLAR
SERIE: 6JA02715</v>
      </c>
      <c r="AU492" s="683" t="str">
        <f>CONCATENATE("HORAS: ",BDEGENER[[#This Row],[HORAS]],"
KW-HR: ",BDEGENER[[#This Row],[KW-HORA]],"
VOLT.BATERIA: ",BDEGENER[[#This Row],[VOLTAJE DE BATERIA]],"
TEMPERATURA: ",BDEGENER[[#This Row],[TEMPERATURA DE AGUA]],"
PRES. ACEITE: ",BDEGENER[[#This Row],[PRESION DE ACEITE]])</f>
        <v xml:space="preserve">HORAS: 119,6
KW-HR: 
VOLT.BATERIA: 27.6 V
TEMPERATURA: 
PRES. ACEITE: </v>
      </c>
      <c r="AV492" s="683">
        <f>COUNTIFS(Q492:Q2492,"MANTENIMIENTO CORRECTIVO",Y492:Y2492,BDEGENER[[#This Row],[SERIE]])</f>
        <v>1</v>
      </c>
      <c r="AW492" s="683">
        <f>COUNTIFS(Q492:Q2492,"MANTENIMIENTO PREVENTIVO",Y492:Y2492,BDEGENER[[#This Row],[SERIE]])</f>
        <v>3</v>
      </c>
      <c r="AX49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492" s="683">
        <f>COUNTIFS(BDEGENER[SERIE],BDEGENER[[#This Row],[SERIE]],BDEGENER[TIPO DE SERVICIO],"MANTENIMIENTO PREVENTIVO")</f>
        <v>4</v>
      </c>
      <c r="AZ492" s="683" t="str">
        <f>CONCATENATE("MANTENIMIENTO PREVENTIVO N°",BDEGENER[[#This Row],[GA1]])</f>
        <v>MANTENIMIENTO PREVENTIVO N°4</v>
      </c>
      <c r="BA492" s="683" t="str">
        <f>IF(BDEGENER[[#This Row],[SERVICIO]]=BDEGENER[[#This Row],[GA2]],BDEGENER[[#This Row],[HORAS]],"0")</f>
        <v>0</v>
      </c>
      <c r="BB492" s="683">
        <f>SUMIF(BDEGENER[SERIE],BDEGENER[[#This Row],[SERIE]],BDEGENER[GA3])</f>
        <v>119.6</v>
      </c>
      <c r="BC492" s="683" t="str">
        <f>CONCATENATE("MANT",COUNTIF($Y$7:Y492,Y492))</f>
        <v>MANT2</v>
      </c>
      <c r="BD492" s="683" t="str">
        <f>CONCATENATE(BDEGENER[[#This Row],[SERIE]],BDEGENER[[#This Row],[GA5]])</f>
        <v>6JA02715MANT2</v>
      </c>
      <c r="BE492" s="683" t="str">
        <f>CONCATENATE(BDEGENER[[#This Row],[CODIGO PATRIMONIAL]],BDEGENER[[#This Row],[GA5]])</f>
        <v>MANT2</v>
      </c>
      <c r="BF492" s="683">
        <f>COUNTIF(BDEGENER[SERIE],BDEGENER[[#This Row],[SERIE]])</f>
        <v>6</v>
      </c>
      <c r="BG492" s="683" t="str">
        <f>CONCATENATE("F",COUNTIF($K$7:K492,K492))</f>
        <v>F1</v>
      </c>
      <c r="BH492" s="683" t="str">
        <f>CONCATENATE(BDEGENER[[#This Row],[FECHA DE SERVICIO]],BDEGENER[[#This Row],[N° DE REGISTROS DEL DIA]])</f>
        <v>43951F1</v>
      </c>
      <c r="BI492" s="684"/>
      <c r="BJ492" s="683" t="s">
        <v>1544</v>
      </c>
      <c r="BK492" s="736"/>
    </row>
    <row r="493" spans="2:63" ht="69" hidden="1" x14ac:dyDescent="0.3">
      <c r="B493" s="2"/>
      <c r="C493" s="2"/>
      <c r="D493" s="2"/>
      <c r="E493" s="2"/>
      <c r="F493" s="2"/>
      <c r="G493" s="2"/>
      <c r="H493" s="2"/>
      <c r="I493" s="2"/>
      <c r="J493" s="685"/>
      <c r="K493" s="682">
        <v>43947</v>
      </c>
      <c r="L493" s="725" t="s">
        <v>248</v>
      </c>
      <c r="M493" s="683" t="s">
        <v>2186</v>
      </c>
      <c r="N493" s="683" t="s">
        <v>2187</v>
      </c>
      <c r="O493" s="683"/>
      <c r="P493" s="688" t="s">
        <v>2238</v>
      </c>
      <c r="Q493" s="683" t="s">
        <v>37</v>
      </c>
      <c r="R493" s="683" t="s">
        <v>1782</v>
      </c>
      <c r="S493" s="686" t="s">
        <v>2239</v>
      </c>
      <c r="T493" s="683"/>
      <c r="U493" s="683" t="s">
        <v>2112</v>
      </c>
      <c r="V493" s="683" t="s">
        <v>148</v>
      </c>
      <c r="W493" s="683" t="s">
        <v>914</v>
      </c>
      <c r="X493" s="691" t="s">
        <v>918</v>
      </c>
      <c r="Y493" s="687">
        <v>3005005007</v>
      </c>
      <c r="Z493" s="692">
        <v>24546</v>
      </c>
      <c r="AA493" s="683" t="s">
        <v>33</v>
      </c>
      <c r="AB493" s="683" t="s">
        <v>34</v>
      </c>
      <c r="AC493" s="683" t="s">
        <v>230</v>
      </c>
      <c r="AD493" s="683" t="s">
        <v>1123</v>
      </c>
      <c r="AE493" s="683">
        <v>60</v>
      </c>
      <c r="AF493" s="684">
        <v>998.6</v>
      </c>
      <c r="AG493" s="683" t="s">
        <v>243</v>
      </c>
      <c r="AH493" s="683" t="s">
        <v>220</v>
      </c>
      <c r="AI493" s="683" t="s">
        <v>33</v>
      </c>
      <c r="AJ493" s="683">
        <v>3005065920</v>
      </c>
      <c r="AK493" s="683" t="s">
        <v>33</v>
      </c>
      <c r="AL493" s="683"/>
      <c r="AM493" s="683" t="s">
        <v>1126</v>
      </c>
      <c r="AN493" s="683" t="s">
        <v>1352</v>
      </c>
      <c r="AO493" s="683" t="s">
        <v>1427</v>
      </c>
      <c r="AP493" s="683" t="s">
        <v>240</v>
      </c>
      <c r="AQ493" s="688" t="str">
        <f>CONCATENATE("REG-",BDEGENER[[#This Row],[FECHA DE SERVICIO]],"-",BDEGENER[[#This Row],[SERIE]],"-",BDEGENER[[#This Row],[HORAS]])</f>
        <v>REG-43947-3005005007-998,6</v>
      </c>
      <c r="AR493" s="683" t="str">
        <f>CONCATENATE("MARCA: ",BDEGENER[[#This Row],[MARCA]],"
 MODELO: ",BDEGENER[[#This Row],[MODELO]])</f>
        <v>MARCA: GENERAC
 MODELO: PG090</v>
      </c>
      <c r="AS493" s="683" t="str">
        <f>CONCATENATE("MARCA: ",BDEGENER[[#This Row],[MARCA DE MOTOR]],"
SERIE: ",BDEGENER[[#This Row],[SERIE DE MOTOR]])</f>
        <v>MARCA: GENERAC
SERIE: 3005065920</v>
      </c>
      <c r="AT493" s="683" t="str">
        <f>CONCATENATE("MARCA: ",BDEGENER[[#This Row],[MARCA ALTERNADOR ]],"
SERIE: ",BDEGENER[[#This Row],[SERIE DE ALTERNADOR]])</f>
        <v xml:space="preserve">MARCA: GENERAC
SERIE: </v>
      </c>
      <c r="AU493" s="683" t="str">
        <f>CONCATENATE("HORAS: ",BDEGENER[[#This Row],[HORAS]],"
KW-HR: ",BDEGENER[[#This Row],[KW-HORA]],"
VOLT.BATERIA: ",BDEGENER[[#This Row],[VOLTAJE DE BATERIA]],"
TEMPERATURA: ",BDEGENER[[#This Row],[TEMPERATURA DE AGUA]],"
PRES. ACEITE: ",BDEGENER[[#This Row],[PRESION DE ACEITE]])</f>
        <v>HORAS: 998,6
KW-HR: 32418,2
VOLT.BATERIA: 13 V
TEMPERATURA: 196 °F
PRES. ACEITE: 60 PSI</v>
      </c>
      <c r="AV493" s="761">
        <f>COUNTIFS(Q493:Q2493,"MANTENIMIENTO CORRECTIVO",Y493:Y2493,BDEGENER[[#This Row],[SERIE]])</f>
        <v>1</v>
      </c>
      <c r="AW493" s="761">
        <f>COUNTIFS(Q493:Q2493,"MANTENIMIENTO PREVENTIVO",Y493:Y2493,BDEGENER[[#This Row],[SERIE]])</f>
        <v>4</v>
      </c>
      <c r="AX49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93" s="683">
        <f>COUNTIFS(BDEGENER[SERIE],BDEGENER[[#This Row],[SERIE]],BDEGENER[TIPO DE SERVICIO],"MANTENIMIENTO PREVENTIVO")</f>
        <v>7</v>
      </c>
      <c r="AZ493" s="683" t="str">
        <f>CONCATENATE("MANTENIMIENTO PREVENTIVO N°",BDEGENER[[#This Row],[GA1]])</f>
        <v>MANTENIMIENTO PREVENTIVO N°7</v>
      </c>
      <c r="BA493" s="683" t="str">
        <f>IF(BDEGENER[[#This Row],[SERVICIO]]=BDEGENER[[#This Row],[GA2]],BDEGENER[[#This Row],[HORAS]],"0")</f>
        <v>0</v>
      </c>
      <c r="BB493" s="683">
        <f>SUMIF(BDEGENER[SERIE],BDEGENER[[#This Row],[SERIE]],BDEGENER[GA3])</f>
        <v>2333.3000000000002</v>
      </c>
      <c r="BC493" s="761" t="str">
        <f>CONCATENATE("MANT",COUNTIF($Y$7:Y493,Y493))</f>
        <v>MANT4</v>
      </c>
      <c r="BD493" s="683" t="str">
        <f>CONCATENATE(BDEGENER[[#This Row],[SERIE]],BDEGENER[[#This Row],[GA5]])</f>
        <v>3005005007MANT4</v>
      </c>
      <c r="BE493" s="683" t="str">
        <f>CONCATENATE(BDEGENER[[#This Row],[CODIGO PATRIMONIAL]],BDEGENER[[#This Row],[GA5]])</f>
        <v>24546MANT4</v>
      </c>
      <c r="BF493" s="683">
        <f>COUNTIF(BDEGENER[SERIE],BDEGENER[[#This Row],[SERIE]])</f>
        <v>11</v>
      </c>
      <c r="BG493" s="761" t="str">
        <f>CONCATENATE("F",COUNTIF($K$7:K493,K493))</f>
        <v>F1</v>
      </c>
      <c r="BH493" s="683" t="str">
        <f>CONCATENATE(BDEGENER[[#This Row],[FECHA DE SERVICIO]],BDEGENER[[#This Row],[N° DE REGISTROS DEL DIA]])</f>
        <v>43947F1</v>
      </c>
      <c r="BI493" s="684">
        <v>32418.2</v>
      </c>
      <c r="BJ493" s="683" t="s">
        <v>1544</v>
      </c>
      <c r="BK493" s="736"/>
    </row>
    <row r="494" spans="2:63" ht="69" hidden="1" x14ac:dyDescent="0.3">
      <c r="B494" s="2"/>
      <c r="C494" s="2"/>
      <c r="D494" s="2"/>
      <c r="E494" s="2"/>
      <c r="F494" s="2"/>
      <c r="G494" s="2"/>
      <c r="H494" s="2"/>
      <c r="I494" s="2"/>
      <c r="J494" s="685"/>
      <c r="K494" s="682">
        <v>43947</v>
      </c>
      <c r="L494" s="725" t="s">
        <v>248</v>
      </c>
      <c r="M494" s="683" t="s">
        <v>2226</v>
      </c>
      <c r="N494" s="683" t="s">
        <v>2230</v>
      </c>
      <c r="O494" s="683"/>
      <c r="P494" s="683"/>
      <c r="Q494" s="683" t="s">
        <v>37</v>
      </c>
      <c r="R494" s="683" t="s">
        <v>1782</v>
      </c>
      <c r="S494" s="686" t="s">
        <v>2227</v>
      </c>
      <c r="T494" s="683" t="s">
        <v>1782</v>
      </c>
      <c r="U494" s="683" t="s">
        <v>2228</v>
      </c>
      <c r="V494" s="683" t="s">
        <v>148</v>
      </c>
      <c r="W494" s="683" t="s">
        <v>914</v>
      </c>
      <c r="X494" s="691" t="s">
        <v>917</v>
      </c>
      <c r="Y494" s="687">
        <v>3002933963</v>
      </c>
      <c r="Z494" s="692" t="s">
        <v>159</v>
      </c>
      <c r="AA494" s="683" t="s">
        <v>33</v>
      </c>
      <c r="AB494" s="683" t="s">
        <v>1446</v>
      </c>
      <c r="AC494" s="683" t="s">
        <v>1445</v>
      </c>
      <c r="AD494" s="683" t="s">
        <v>1087</v>
      </c>
      <c r="AE494" s="683">
        <v>60.8</v>
      </c>
      <c r="AF494" s="684">
        <v>60.9</v>
      </c>
      <c r="AG494" s="683" t="s">
        <v>243</v>
      </c>
      <c r="AH494" s="683" t="s">
        <v>1946</v>
      </c>
      <c r="AI494" s="683" t="s">
        <v>844</v>
      </c>
      <c r="AJ494" s="683" t="s">
        <v>1947</v>
      </c>
      <c r="AK494" s="683" t="s">
        <v>1448</v>
      </c>
      <c r="AL494" s="683" t="s">
        <v>1948</v>
      </c>
      <c r="AM494" s="683" t="s">
        <v>1502</v>
      </c>
      <c r="AN494" s="683" t="s">
        <v>2229</v>
      </c>
      <c r="AO494" s="683" t="s">
        <v>1177</v>
      </c>
      <c r="AP494" s="683" t="s">
        <v>240</v>
      </c>
      <c r="AQ494" s="769" t="str">
        <f>CONCATENATE("REG-",BDEGENER[[#This Row],[FECHA DE SERVICIO]],"-",BDEGENER[[#This Row],[SERIE]],"-",BDEGENER[[#This Row],[HORAS]])</f>
        <v>REG-43947-3002933963-60,9</v>
      </c>
      <c r="AR494" s="683" t="str">
        <f>CONCATENATE("MARCA: ",BDEGENER[[#This Row],[MARCA]],"
 MODELO: ",BDEGENER[[#This Row],[MODELO]])</f>
        <v>MARCA: GENERAC
 MODELO: PLY125</v>
      </c>
      <c r="AS494" s="683" t="str">
        <f>CONCATENATE("MARCA: ",BDEGENER[[#This Row],[MARCA DE MOTOR]],"
SERIE: ",BDEGENER[[#This Row],[SERIE DE MOTOR]])</f>
        <v>MARCA: PERKINS
SERIE: PP71370U061050C</v>
      </c>
      <c r="AT494" s="683" t="str">
        <f>CONCATENATE("MARCA: ",BDEGENER[[#This Row],[MARCA ALTERNADOR ]],"
SERIE: ",BDEGENER[[#This Row],[SERIE DE ALTERNADOR]])</f>
        <v>MARCA: LEROY SOMER
SERIE: 346063/18</v>
      </c>
      <c r="AU494" s="683" t="str">
        <f>CONCATENATE("HORAS: ",BDEGENER[[#This Row],[HORAS]],"
KW-HR: ",BDEGENER[[#This Row],[KW-HORA]],"
VOLT.BATERIA: ",BDEGENER[[#This Row],[VOLTAJE DE BATERIA]],"
TEMPERATURA: ",BDEGENER[[#This Row],[TEMPERATURA DE AGUA]],"
PRES. ACEITE: ",BDEGENER[[#This Row],[PRESION DE ACEITE]])</f>
        <v>HORAS: 60,9
KW-HR: 1483,5
VOLT.BATERIA: 14 V
TEMPERATURA: 115 °F
PRES. ACEITE: 84 PSI</v>
      </c>
      <c r="AV494" s="683">
        <f>COUNTIFS(Q494:Q2494,"MANTENIMIENTO CORRECTIVO",Y494:Y2494,BDEGENER[[#This Row],[SERIE]])</f>
        <v>0</v>
      </c>
      <c r="AW494" s="683">
        <f>COUNTIFS(Q494:Q2494,"MANTENIMIENTO PREVENTIVO",Y494:Y2494,BDEGENER[[#This Row],[SERIE]])</f>
        <v>1</v>
      </c>
      <c r="AX49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494" s="683">
        <f>COUNTIFS(BDEGENER[SERIE],BDEGENER[[#This Row],[SERIE]],BDEGENER[TIPO DE SERVICIO],"MANTENIMIENTO PREVENTIVO")</f>
        <v>5</v>
      </c>
      <c r="AZ494" s="683" t="str">
        <f>CONCATENATE("MANTENIMIENTO PREVENTIVO N°",BDEGENER[[#This Row],[GA1]])</f>
        <v>MANTENIMIENTO PREVENTIVO N°5</v>
      </c>
      <c r="BA494" s="683" t="str">
        <f>IF(BDEGENER[[#This Row],[SERVICIO]]=BDEGENER[[#This Row],[GA2]],BDEGENER[[#This Row],[HORAS]],"0")</f>
        <v>0</v>
      </c>
      <c r="BB494" s="683">
        <f>SUMIF(BDEGENER[SERIE],BDEGENER[[#This Row],[SERIE]],BDEGENER[GA3])</f>
        <v>1473.6</v>
      </c>
      <c r="BC494" s="683" t="str">
        <f>CONCATENATE("MANT",COUNTIF($Y$7:Y494,Y494))</f>
        <v>MANT5</v>
      </c>
      <c r="BD494" s="683" t="str">
        <f>CONCATENATE(BDEGENER[[#This Row],[SERIE]],BDEGENER[[#This Row],[GA5]])</f>
        <v>3002933963MANT5</v>
      </c>
      <c r="BE494" s="683" t="str">
        <f>CONCATENATE(BDEGENER[[#This Row],[CODIGO PATRIMONIAL]],BDEGENER[[#This Row],[GA5]])</f>
        <v>MANT5</v>
      </c>
      <c r="BF494" s="683">
        <f>COUNTIF(BDEGENER[SERIE],BDEGENER[[#This Row],[SERIE]])</f>
        <v>7</v>
      </c>
      <c r="BG494" s="683" t="str">
        <f>CONCATENATE("F",COUNTIF($K$7:K494,K494))</f>
        <v>F2</v>
      </c>
      <c r="BH494" s="683" t="str">
        <f>CONCATENATE(BDEGENER[[#This Row],[FECHA DE SERVICIO]],BDEGENER[[#This Row],[N° DE REGISTROS DEL DIA]])</f>
        <v>43947F2</v>
      </c>
      <c r="BI494" s="684">
        <v>1483.5</v>
      </c>
      <c r="BJ494" s="683" t="s">
        <v>1545</v>
      </c>
      <c r="BK494" s="736"/>
    </row>
    <row r="495" spans="2:63" ht="69" hidden="1" x14ac:dyDescent="0.3">
      <c r="B495" s="2"/>
      <c r="C495" s="2"/>
      <c r="D495" s="2"/>
      <c r="E495" s="2"/>
      <c r="F495" s="2"/>
      <c r="G495" s="2"/>
      <c r="H495" s="2"/>
      <c r="I495" s="2"/>
      <c r="J495" s="685"/>
      <c r="K495" s="682">
        <v>43945</v>
      </c>
      <c r="L495" s="725" t="s">
        <v>181</v>
      </c>
      <c r="M495" s="683" t="s">
        <v>184</v>
      </c>
      <c r="N495" s="683" t="s">
        <v>183</v>
      </c>
      <c r="O495" s="683">
        <v>4500873022</v>
      </c>
      <c r="P495" s="688" t="s">
        <v>2215</v>
      </c>
      <c r="Q495" s="683" t="s">
        <v>37</v>
      </c>
      <c r="R495" s="683" t="s">
        <v>1782</v>
      </c>
      <c r="S495" s="686" t="s">
        <v>2213</v>
      </c>
      <c r="T495" s="683" t="s">
        <v>2214</v>
      </c>
      <c r="U495" s="683" t="s">
        <v>2053</v>
      </c>
      <c r="V495" s="683" t="s">
        <v>146</v>
      </c>
      <c r="W495" s="683" t="s">
        <v>914</v>
      </c>
      <c r="X495" s="691" t="s">
        <v>918</v>
      </c>
      <c r="Y495" s="687">
        <v>3004402508</v>
      </c>
      <c r="Z495" s="692"/>
      <c r="AA495" s="683" t="s">
        <v>33</v>
      </c>
      <c r="AB495" s="683" t="s">
        <v>34</v>
      </c>
      <c r="AC495" s="683" t="s">
        <v>230</v>
      </c>
      <c r="AD495" s="683" t="s">
        <v>1110</v>
      </c>
      <c r="AE495" s="683">
        <v>60</v>
      </c>
      <c r="AF495" s="684">
        <v>753.6</v>
      </c>
      <c r="AG495" s="683" t="s">
        <v>243</v>
      </c>
      <c r="AH495" s="683" t="s">
        <v>220</v>
      </c>
      <c r="AI495" s="683" t="s">
        <v>33</v>
      </c>
      <c r="AJ495" s="683">
        <v>3004425773</v>
      </c>
      <c r="AK495" s="683" t="s">
        <v>33</v>
      </c>
      <c r="AL495" s="683">
        <v>106310050</v>
      </c>
      <c r="AM495" s="683" t="s">
        <v>1121</v>
      </c>
      <c r="AN495" s="683" t="s">
        <v>1352</v>
      </c>
      <c r="AO495" s="683" t="s">
        <v>1349</v>
      </c>
      <c r="AP495" s="683" t="s">
        <v>240</v>
      </c>
      <c r="AQ495" s="688" t="str">
        <f>CONCATENATE("REG-",BDEGENER[[#This Row],[FECHA DE SERVICIO]],"-",BDEGENER[[#This Row],[SERIE]],"-",BDEGENER[[#This Row],[HORAS]])</f>
        <v>REG-43945-3004402508-753,6</v>
      </c>
      <c r="AR495" s="683" t="str">
        <f>CONCATENATE("MARCA: ",BDEGENER[[#This Row],[MARCA]],"
 MODELO: ",BDEGENER[[#This Row],[MODELO]])</f>
        <v>MARCA: GENERAC
 MODELO: PG090</v>
      </c>
      <c r="AS495" s="683" t="str">
        <f>CONCATENATE("MARCA: ",BDEGENER[[#This Row],[MARCA DE MOTOR]],"
SERIE: ",BDEGENER[[#This Row],[SERIE DE MOTOR]])</f>
        <v>MARCA: GENERAC
SERIE: 3004425773</v>
      </c>
      <c r="AT495" s="683" t="str">
        <f>CONCATENATE("MARCA: ",BDEGENER[[#This Row],[MARCA ALTERNADOR ]],"
SERIE: ",BDEGENER[[#This Row],[SERIE DE ALTERNADOR]])</f>
        <v>MARCA: GENERAC
SERIE: 106310050</v>
      </c>
      <c r="AU495" s="683" t="str">
        <f>CONCATENATE("HORAS: ",BDEGENER[[#This Row],[HORAS]],"
KW-HR: ",BDEGENER[[#This Row],[KW-HORA]],"
VOLT.BATERIA: ",BDEGENER[[#This Row],[VOLTAJE DE BATERIA]],"
TEMPERATURA: ",BDEGENER[[#This Row],[TEMPERATURA DE AGUA]],"
PRES. ACEITE: ",BDEGENER[[#This Row],[PRESION DE ACEITE]])</f>
        <v>HORAS: 753,6
KW-HR: 14546,2
VOLT.BATERIA: 13.7 V
TEMPERATURA: 196 °F
PRES. ACEITE: 56 PSI</v>
      </c>
      <c r="AV495" s="683">
        <f>COUNTIFS(Q495:Q2495,"MANTENIMIENTO CORRECTIVO",Y495:Y2495,BDEGENER[[#This Row],[SERIE]])</f>
        <v>3</v>
      </c>
      <c r="AW495" s="683">
        <f>COUNTIFS(Q495:Q2495,"MANTENIMIENTO PREVENTIVO",Y495:Y2495,BDEGENER[[#This Row],[SERIE]])</f>
        <v>3</v>
      </c>
      <c r="AX49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495" s="683">
        <f>COUNTIFS(BDEGENER[SERIE],BDEGENER[[#This Row],[SERIE]],BDEGENER[TIPO DE SERVICIO],"MANTENIMIENTO PREVENTIVO")</f>
        <v>8</v>
      </c>
      <c r="AZ495" s="683" t="str">
        <f>CONCATENATE("MANTENIMIENTO PREVENTIVO N°",BDEGENER[[#This Row],[GA1]])</f>
        <v>MANTENIMIENTO PREVENTIVO N°8</v>
      </c>
      <c r="BA495" s="683" t="str">
        <f>IF(BDEGENER[[#This Row],[SERVICIO]]=BDEGENER[[#This Row],[GA2]],BDEGENER[[#This Row],[HORAS]],"0")</f>
        <v>0</v>
      </c>
      <c r="BB495" s="683">
        <f>SUMIF(BDEGENER[SERIE],BDEGENER[[#This Row],[SERIE]],BDEGENER[GA3])</f>
        <v>2186.3000000000002</v>
      </c>
      <c r="BC495" s="683" t="str">
        <f>CONCATENATE("MANT",COUNTIF($Y$7:Y495,Y495))</f>
        <v>MANT8</v>
      </c>
      <c r="BD495" s="683" t="str">
        <f>CONCATENATE(BDEGENER[[#This Row],[SERIE]],BDEGENER[[#This Row],[GA5]])</f>
        <v>3004402508MANT8</v>
      </c>
      <c r="BE495" s="683" t="str">
        <f>CONCATENATE(BDEGENER[[#This Row],[CODIGO PATRIMONIAL]],BDEGENER[[#This Row],[GA5]])</f>
        <v>MANT8</v>
      </c>
      <c r="BF495" s="683">
        <f>COUNTIF(BDEGENER[SERIE],BDEGENER[[#This Row],[SERIE]])</f>
        <v>15</v>
      </c>
      <c r="BG495" s="683" t="str">
        <f>CONCATENATE("F",COUNTIF($K$7:K495,K495))</f>
        <v>F1</v>
      </c>
      <c r="BH495" s="683" t="str">
        <f>CONCATENATE(BDEGENER[[#This Row],[FECHA DE SERVICIO]],BDEGENER[[#This Row],[N° DE REGISTROS DEL DIA]])</f>
        <v>43945F1</v>
      </c>
      <c r="BI495" s="684">
        <v>14546.2</v>
      </c>
      <c r="BJ495" s="683" t="s">
        <v>1544</v>
      </c>
      <c r="BK495" s="736"/>
    </row>
    <row r="496" spans="2:63" ht="69" hidden="1" x14ac:dyDescent="0.3">
      <c r="B496" s="2"/>
      <c r="C496" s="2"/>
      <c r="D496" s="2"/>
      <c r="E496" s="2"/>
      <c r="F496" s="2"/>
      <c r="G496" s="2"/>
      <c r="H496" s="2"/>
      <c r="I496" s="2"/>
      <c r="J496" s="685"/>
      <c r="K496" s="682">
        <v>43944</v>
      </c>
      <c r="L496" s="725" t="s">
        <v>248</v>
      </c>
      <c r="M496" s="683" t="s">
        <v>2237</v>
      </c>
      <c r="N496" s="683" t="s">
        <v>2236</v>
      </c>
      <c r="O496" s="683"/>
      <c r="P496" s="688" t="s">
        <v>2233</v>
      </c>
      <c r="Q496" s="683" t="s">
        <v>37</v>
      </c>
      <c r="R496" s="683" t="s">
        <v>1782</v>
      </c>
      <c r="S496" s="686" t="s">
        <v>2234</v>
      </c>
      <c r="T496" s="683" t="s">
        <v>1782</v>
      </c>
      <c r="U496" s="683" t="s">
        <v>2235</v>
      </c>
      <c r="V496" s="683" t="s">
        <v>148</v>
      </c>
      <c r="W496" s="683" t="s">
        <v>914</v>
      </c>
      <c r="X496" s="691" t="s">
        <v>917</v>
      </c>
      <c r="Y496" s="687" t="s">
        <v>1634</v>
      </c>
      <c r="Z496" s="692">
        <v>24994</v>
      </c>
      <c r="AA496" s="683" t="s">
        <v>33</v>
      </c>
      <c r="AB496" s="683" t="s">
        <v>500</v>
      </c>
      <c r="AC496" s="683" t="s">
        <v>853</v>
      </c>
      <c r="AD496" s="683" t="s">
        <v>1200</v>
      </c>
      <c r="AE496" s="683"/>
      <c r="AF496" s="684">
        <v>108.7</v>
      </c>
      <c r="AG496" s="683" t="s">
        <v>243</v>
      </c>
      <c r="AH496" s="683" t="s">
        <v>1635</v>
      </c>
      <c r="AI496" s="683" t="s">
        <v>1636</v>
      </c>
      <c r="AJ496" s="683" t="s">
        <v>1637</v>
      </c>
      <c r="AK496" s="683" t="s">
        <v>1686</v>
      </c>
      <c r="AL496" s="683">
        <v>2076161</v>
      </c>
      <c r="AM496" s="683" t="s">
        <v>1858</v>
      </c>
      <c r="AN496" s="683"/>
      <c r="AO496" s="683"/>
      <c r="AP496" s="683" t="s">
        <v>240</v>
      </c>
      <c r="AQ496" s="688" t="str">
        <f>CONCATENATE("REG-",BDEGENER[[#This Row],[FECHA DE SERVICIO]],"-",BDEGENER[[#This Row],[SERIE]],"-",BDEGENER[[#This Row],[HORAS]])</f>
        <v>REG-43944-PEE2626871-108,7</v>
      </c>
      <c r="AR496" s="683" t="str">
        <f>CONCATENATE("MARCA: ",BDEGENER[[#This Row],[MARCA]],"
 MODELO: ",BDEGENER[[#This Row],[MODELO]])</f>
        <v>MARCA: GENERAC
 MODELO: PMY20B</v>
      </c>
      <c r="AS496" s="683" t="str">
        <f>CONCATENATE("MARCA: ",BDEGENER[[#This Row],[MARCA DE MOTOR]],"
SERIE: ",BDEGENER[[#This Row],[SERIE DE MOTOR]])</f>
        <v>MARCA: PERKINS 404D-22G
SERIE: S923132D</v>
      </c>
      <c r="AT496" s="683" t="str">
        <f>CONCATENATE("MARCA: ",BDEGENER[[#This Row],[MARCA ALTERNADOR ]],"
SERIE: ",BDEGENER[[#This Row],[SERIE DE ALTERNADOR]])</f>
        <v>MARCA: MECCALTE ECP28M
SERIE: 2076161</v>
      </c>
      <c r="AU496" s="683" t="str">
        <f>CONCATENATE("HORAS: ",BDEGENER[[#This Row],[HORAS]],"
KW-HR: ",BDEGENER[[#This Row],[KW-HORA]],"
VOLT.BATERIA: ",BDEGENER[[#This Row],[VOLTAJE DE BATERIA]],"
TEMPERATURA: ",BDEGENER[[#This Row],[TEMPERATURA DE AGUA]],"
PRES. ACEITE: ",BDEGENER[[#This Row],[PRESION DE ACEITE]])</f>
        <v xml:space="preserve">HORAS: 108,7
KW-HR: 
VOLT.BATERIA: 14.1 V
TEMPERATURA: 
PRES. ACEITE: </v>
      </c>
      <c r="AV496" s="761">
        <f>COUNTIFS(Q496:Q2496,"MANTENIMIENTO CORRECTIVO",Y496:Y2496,BDEGENER[[#This Row],[SERIE]])</f>
        <v>0</v>
      </c>
      <c r="AW496" s="761">
        <f>COUNTIFS(Q496:Q2496,"MANTENIMIENTO PREVENTIVO",Y496:Y2496,BDEGENER[[#This Row],[SERIE]])</f>
        <v>1</v>
      </c>
      <c r="AX49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496" s="683">
        <f>COUNTIFS(BDEGENER[SERIE],BDEGENER[[#This Row],[SERIE]],BDEGENER[TIPO DE SERVICIO],"MANTENIMIENTO PREVENTIVO")</f>
        <v>2</v>
      </c>
      <c r="AZ496" s="683" t="str">
        <f>CONCATENATE("MANTENIMIENTO PREVENTIVO N°",BDEGENER[[#This Row],[GA1]])</f>
        <v>MANTENIMIENTO PREVENTIVO N°2</v>
      </c>
      <c r="BA496" s="683" t="str">
        <f>IF(BDEGENER[[#This Row],[SERVICIO]]=BDEGENER[[#This Row],[GA2]],BDEGENER[[#This Row],[HORAS]],"0")</f>
        <v>0</v>
      </c>
      <c r="BB496" s="683">
        <f>SUMIF(BDEGENER[SERIE],BDEGENER[[#This Row],[SERIE]],BDEGENER[GA3])</f>
        <v>482.3</v>
      </c>
      <c r="BC496" s="761" t="str">
        <f>CONCATENATE("MANT",COUNTIF($Y$7:Y496,Y496))</f>
        <v>MANT2</v>
      </c>
      <c r="BD496" s="683" t="str">
        <f>CONCATENATE(BDEGENER[[#This Row],[SERIE]],BDEGENER[[#This Row],[GA5]])</f>
        <v>PEE2626871MANT2</v>
      </c>
      <c r="BE496" s="683" t="str">
        <f>CONCATENATE(BDEGENER[[#This Row],[CODIGO PATRIMONIAL]],BDEGENER[[#This Row],[GA5]])</f>
        <v>24994MANT2</v>
      </c>
      <c r="BF496" s="683">
        <f>COUNTIF(BDEGENER[SERIE],BDEGENER[[#This Row],[SERIE]])</f>
        <v>4</v>
      </c>
      <c r="BG496" s="761" t="str">
        <f>CONCATENATE("F",COUNTIF($K$7:K496,K496))</f>
        <v>F1</v>
      </c>
      <c r="BH496" s="683" t="str">
        <f>CONCATENATE(BDEGENER[[#This Row],[FECHA DE SERVICIO]],BDEGENER[[#This Row],[N° DE REGISTROS DEL DIA]])</f>
        <v>43944F1</v>
      </c>
      <c r="BI496" s="684"/>
      <c r="BJ496" s="683" t="s">
        <v>1544</v>
      </c>
      <c r="BK496" s="736"/>
    </row>
    <row r="497" spans="2:63" ht="69" hidden="1" x14ac:dyDescent="0.3">
      <c r="B497" s="2"/>
      <c r="C497" s="2"/>
      <c r="D497" s="2"/>
      <c r="E497" s="2"/>
      <c r="F497" s="2"/>
      <c r="G497" s="2"/>
      <c r="H497" s="2"/>
      <c r="I497" s="2"/>
      <c r="J497" s="685"/>
      <c r="K497" s="682">
        <v>43944</v>
      </c>
      <c r="L497" s="725" t="s">
        <v>248</v>
      </c>
      <c r="M497" s="683" t="s">
        <v>2231</v>
      </c>
      <c r="N497" s="683" t="s">
        <v>2232</v>
      </c>
      <c r="O497" s="683"/>
      <c r="P497" s="688" t="s">
        <v>2233</v>
      </c>
      <c r="Q497" s="683" t="s">
        <v>37</v>
      </c>
      <c r="R497" s="683" t="s">
        <v>1782</v>
      </c>
      <c r="S497" s="686" t="s">
        <v>2234</v>
      </c>
      <c r="T497" s="683" t="s">
        <v>1782</v>
      </c>
      <c r="U497" s="683" t="s">
        <v>2235</v>
      </c>
      <c r="V497" s="683" t="s">
        <v>148</v>
      </c>
      <c r="W497" s="683" t="s">
        <v>914</v>
      </c>
      <c r="X497" s="691" t="s">
        <v>917</v>
      </c>
      <c r="Y497" s="687" t="s">
        <v>1752</v>
      </c>
      <c r="Z497" s="692">
        <v>24995</v>
      </c>
      <c r="AA497" s="683" t="s">
        <v>33</v>
      </c>
      <c r="AB497" s="683" t="s">
        <v>500</v>
      </c>
      <c r="AC497" s="683" t="s">
        <v>853</v>
      </c>
      <c r="AD497" s="683" t="s">
        <v>1200</v>
      </c>
      <c r="AE497" s="683"/>
      <c r="AF497" s="684">
        <v>119.9</v>
      </c>
      <c r="AG497" s="683" t="s">
        <v>243</v>
      </c>
      <c r="AH497" s="683" t="s">
        <v>1635</v>
      </c>
      <c r="AI497" s="683" t="s">
        <v>1636</v>
      </c>
      <c r="AJ497" s="683" t="s">
        <v>1753</v>
      </c>
      <c r="AK497" s="683" t="s">
        <v>1686</v>
      </c>
      <c r="AL497" s="683">
        <v>2087044</v>
      </c>
      <c r="AM497" s="683" t="s">
        <v>1502</v>
      </c>
      <c r="AN497" s="683"/>
      <c r="AO497" s="683"/>
      <c r="AP497" s="683" t="s">
        <v>240</v>
      </c>
      <c r="AQ497" s="688" t="str">
        <f>CONCATENATE("REG-",BDEGENER[[#This Row],[FECHA DE SERVICIO]],"-",BDEGENER[[#This Row],[SERIE]],"-",BDEGENER[[#This Row],[HORAS]])</f>
        <v>REG-43944-PEE2629434-119,9</v>
      </c>
      <c r="AR497" s="683" t="str">
        <f>CONCATENATE("MARCA: ",BDEGENER[[#This Row],[MARCA]],"
 MODELO: ",BDEGENER[[#This Row],[MODELO]])</f>
        <v>MARCA: GENERAC
 MODELO: PMY20B</v>
      </c>
      <c r="AS497" s="683" t="str">
        <f>CONCATENATE("MARCA: ",BDEGENER[[#This Row],[MARCA DE MOTOR]],"
SERIE: ",BDEGENER[[#This Row],[SERIE DE MOTOR]])</f>
        <v>MARCA: PERKINS 404D-22G
SERIE: S92558D</v>
      </c>
      <c r="AT497" s="683" t="str">
        <f>CONCATENATE("MARCA: ",BDEGENER[[#This Row],[MARCA ALTERNADOR ]],"
SERIE: ",BDEGENER[[#This Row],[SERIE DE ALTERNADOR]])</f>
        <v>MARCA: MECCALTE ECP28M
SERIE: 2087044</v>
      </c>
      <c r="AU497" s="683" t="str">
        <f>CONCATENATE("HORAS: ",BDEGENER[[#This Row],[HORAS]],"
KW-HR: ",BDEGENER[[#This Row],[KW-HORA]],"
VOLT.BATERIA: ",BDEGENER[[#This Row],[VOLTAJE DE BATERIA]],"
TEMPERATURA: ",BDEGENER[[#This Row],[TEMPERATURA DE AGUA]],"
PRES. ACEITE: ",BDEGENER[[#This Row],[PRESION DE ACEITE]])</f>
        <v xml:space="preserve">HORAS: 119,9
KW-HR: 
VOLT.BATERIA: 14 V
TEMPERATURA: 
PRES. ACEITE: </v>
      </c>
      <c r="AV497" s="683">
        <f>COUNTIFS(Q497:Q2497,"MANTENIMIENTO CORRECTIVO",Y497:Y2497,BDEGENER[[#This Row],[SERIE]])</f>
        <v>0</v>
      </c>
      <c r="AW497" s="683">
        <f>COUNTIFS(Q497:Q2497,"MANTENIMIENTO PREVENTIVO",Y497:Y2497,BDEGENER[[#This Row],[SERIE]])</f>
        <v>1</v>
      </c>
      <c r="AX49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497" s="683">
        <f>COUNTIFS(BDEGENER[SERIE],BDEGENER[[#This Row],[SERIE]],BDEGENER[TIPO DE SERVICIO],"MANTENIMIENTO PREVENTIVO")</f>
        <v>1</v>
      </c>
      <c r="AZ497" s="683" t="str">
        <f>CONCATENATE("MANTENIMIENTO PREVENTIVO N°",BDEGENER[[#This Row],[GA1]])</f>
        <v>MANTENIMIENTO PREVENTIVO N°1</v>
      </c>
      <c r="BA497" s="683">
        <f>IF(BDEGENER[[#This Row],[SERVICIO]]=BDEGENER[[#This Row],[GA2]],BDEGENER[[#This Row],[HORAS]],"0")</f>
        <v>119.9</v>
      </c>
      <c r="BB497" s="683">
        <f>SUMIF(BDEGENER[SERIE],BDEGENER[[#This Row],[SERIE]],BDEGENER[GA3])</f>
        <v>119.9</v>
      </c>
      <c r="BC497" s="683" t="str">
        <f>CONCATENATE("MANT",COUNTIF($Y$7:Y497,Y497))</f>
        <v>MANT1</v>
      </c>
      <c r="BD497" s="683" t="str">
        <f>CONCATENATE(BDEGENER[[#This Row],[SERIE]],BDEGENER[[#This Row],[GA5]])</f>
        <v>PEE2629434MANT1</v>
      </c>
      <c r="BE497" s="683" t="str">
        <f>CONCATENATE(BDEGENER[[#This Row],[CODIGO PATRIMONIAL]],BDEGENER[[#This Row],[GA5]])</f>
        <v>24995MANT1</v>
      </c>
      <c r="BF497" s="683">
        <f>COUNTIF(BDEGENER[SERIE],BDEGENER[[#This Row],[SERIE]])</f>
        <v>3</v>
      </c>
      <c r="BG497" s="683" t="str">
        <f>CONCATENATE("F",COUNTIF($K$7:K497,K497))</f>
        <v>F2</v>
      </c>
      <c r="BH497" s="683" t="str">
        <f>CONCATENATE(BDEGENER[[#This Row],[FECHA DE SERVICIO]],BDEGENER[[#This Row],[N° DE REGISTROS DEL DIA]])</f>
        <v>43944F2</v>
      </c>
      <c r="BI497" s="684"/>
      <c r="BJ497" s="683" t="s">
        <v>1544</v>
      </c>
      <c r="BK497" s="680"/>
    </row>
    <row r="498" spans="2:63" ht="69" hidden="1" x14ac:dyDescent="0.3">
      <c r="B498" s="2"/>
      <c r="C498" s="2"/>
      <c r="D498" s="2"/>
      <c r="E498" s="2"/>
      <c r="F498" s="2"/>
      <c r="G498" s="2"/>
      <c r="H498" s="2"/>
      <c r="I498" s="2"/>
      <c r="J498" s="685"/>
      <c r="K498" s="682">
        <v>43944</v>
      </c>
      <c r="L498" s="725" t="s">
        <v>181</v>
      </c>
      <c r="M498" s="683" t="s">
        <v>185</v>
      </c>
      <c r="N498" s="683" t="s">
        <v>183</v>
      </c>
      <c r="O498" s="683">
        <v>4500873022</v>
      </c>
      <c r="P498" s="688" t="s">
        <v>2212</v>
      </c>
      <c r="Q498" s="683" t="s">
        <v>37</v>
      </c>
      <c r="R498" s="683" t="s">
        <v>1782</v>
      </c>
      <c r="S498" s="686" t="s">
        <v>2213</v>
      </c>
      <c r="T498" s="683" t="s">
        <v>2214</v>
      </c>
      <c r="U498" s="683" t="s">
        <v>2053</v>
      </c>
      <c r="V498" s="683" t="s">
        <v>146</v>
      </c>
      <c r="W498" s="683" t="s">
        <v>914</v>
      </c>
      <c r="X498" s="691" t="s">
        <v>918</v>
      </c>
      <c r="Y498" s="687">
        <v>3004290366</v>
      </c>
      <c r="Z498" s="692"/>
      <c r="AA498" s="683" t="s">
        <v>33</v>
      </c>
      <c r="AB498" s="683" t="s">
        <v>34</v>
      </c>
      <c r="AC498" s="683" t="s">
        <v>230</v>
      </c>
      <c r="AD498" s="683" t="s">
        <v>1110</v>
      </c>
      <c r="AE498" s="683">
        <v>60</v>
      </c>
      <c r="AF498" s="684">
        <v>1908.4</v>
      </c>
      <c r="AG498" s="683" t="s">
        <v>243</v>
      </c>
      <c r="AH498" s="683" t="s">
        <v>220</v>
      </c>
      <c r="AI498" s="683" t="s">
        <v>33</v>
      </c>
      <c r="AJ498" s="683">
        <v>3004295604</v>
      </c>
      <c r="AK498" s="683" t="s">
        <v>33</v>
      </c>
      <c r="AL498" s="683">
        <v>10631290</v>
      </c>
      <c r="AM498" s="683" t="s">
        <v>1121</v>
      </c>
      <c r="AN498" s="683" t="s">
        <v>1122</v>
      </c>
      <c r="AO498" s="683" t="s">
        <v>247</v>
      </c>
      <c r="AP498" s="683" t="s">
        <v>240</v>
      </c>
      <c r="AQ498" s="688" t="str">
        <f>CONCATENATE("REG-",BDEGENER[[#This Row],[FECHA DE SERVICIO]],"-",BDEGENER[[#This Row],[SERIE]],"-",BDEGENER[[#This Row],[HORAS]])</f>
        <v>REG-43944-3004290366-1908,4</v>
      </c>
      <c r="AR498" s="683" t="str">
        <f>CONCATENATE("MARCA: ",BDEGENER[[#This Row],[MARCA]],"
 MODELO: ",BDEGENER[[#This Row],[MODELO]])</f>
        <v>MARCA: GENERAC
 MODELO: PG090</v>
      </c>
      <c r="AS498" s="683" t="str">
        <f>CONCATENATE("MARCA: ",BDEGENER[[#This Row],[MARCA DE MOTOR]],"
SERIE: ",BDEGENER[[#This Row],[SERIE DE MOTOR]])</f>
        <v>MARCA: GENERAC
SERIE: 3004295604</v>
      </c>
      <c r="AT498" s="683" t="str">
        <f>CONCATENATE("MARCA: ",BDEGENER[[#This Row],[MARCA ALTERNADOR ]],"
SERIE: ",BDEGENER[[#This Row],[SERIE DE ALTERNADOR]])</f>
        <v>MARCA: GENERAC
SERIE: 10631290</v>
      </c>
      <c r="AU498" s="683" t="str">
        <f>CONCATENATE("HORAS: ",BDEGENER[[#This Row],[HORAS]],"
KW-HR: ",BDEGENER[[#This Row],[KW-HORA]],"
VOLT.BATERIA: ",BDEGENER[[#This Row],[VOLTAJE DE BATERIA]],"
TEMPERATURA: ",BDEGENER[[#This Row],[TEMPERATURA DE AGUA]],"
PRES. ACEITE: ",BDEGENER[[#This Row],[PRESION DE ACEITE]])</f>
        <v>HORAS: 1908,4
KW-HR: 22609,8
VOLT.BATERIA: 13.7 V
TEMPERATURA: 195 °F
PRES. ACEITE: 55 PSI</v>
      </c>
      <c r="AV498" s="683">
        <f>COUNTIFS(Q498:Q2498,"MANTENIMIENTO CORRECTIVO",Y498:Y2498,BDEGENER[[#This Row],[SERIE]])</f>
        <v>2</v>
      </c>
      <c r="AW498" s="683">
        <f>COUNTIFS(Q498:Q2498,"MANTENIMIENTO PREVENTIVO",Y498:Y2498,BDEGENER[[#This Row],[SERIE]])</f>
        <v>5</v>
      </c>
      <c r="AX49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498" s="683">
        <f>COUNTIFS(BDEGENER[SERIE],BDEGENER[[#This Row],[SERIE]],BDEGENER[TIPO DE SERVICIO],"MANTENIMIENTO PREVENTIVO")</f>
        <v>7</v>
      </c>
      <c r="AZ498" s="683" t="str">
        <f>CONCATENATE("MANTENIMIENTO PREVENTIVO N°",BDEGENER[[#This Row],[GA1]])</f>
        <v>MANTENIMIENTO PREVENTIVO N°7</v>
      </c>
      <c r="BA498" s="683" t="str">
        <f>IF(BDEGENER[[#This Row],[SERVICIO]]=BDEGENER[[#This Row],[GA2]],BDEGENER[[#This Row],[HORAS]],"0")</f>
        <v>0</v>
      </c>
      <c r="BB498" s="683">
        <f>SUMIF(BDEGENER[SERIE],BDEGENER[[#This Row],[SERIE]],BDEGENER[GA3])</f>
        <v>2629.6</v>
      </c>
      <c r="BC498" s="683" t="str">
        <f>CONCATENATE("MANT",COUNTIF($Y$7:Y498,Y498))</f>
        <v>MANT7</v>
      </c>
      <c r="BD498" s="683" t="str">
        <f>CONCATENATE(BDEGENER[[#This Row],[SERIE]],BDEGENER[[#This Row],[GA5]])</f>
        <v>3004290366MANT7</v>
      </c>
      <c r="BE498" s="683" t="str">
        <f>CONCATENATE(BDEGENER[[#This Row],[CODIGO PATRIMONIAL]],BDEGENER[[#This Row],[GA5]])</f>
        <v>MANT7</v>
      </c>
      <c r="BF498" s="683">
        <f>COUNTIF(BDEGENER[SERIE],BDEGENER[[#This Row],[SERIE]])</f>
        <v>14</v>
      </c>
      <c r="BG498" s="683" t="str">
        <f>CONCATENATE("F",COUNTIF($K$7:K498,K498))</f>
        <v>F3</v>
      </c>
      <c r="BH498" s="683" t="str">
        <f>CONCATENATE(BDEGENER[[#This Row],[FECHA DE SERVICIO]],BDEGENER[[#This Row],[N° DE REGISTROS DEL DIA]])</f>
        <v>43944F3</v>
      </c>
      <c r="BI498" s="684">
        <v>22609.8</v>
      </c>
      <c r="BJ498" s="683" t="s">
        <v>1544</v>
      </c>
      <c r="BK498" s="680"/>
    </row>
    <row r="499" spans="2:63" ht="69" hidden="1" x14ac:dyDescent="0.3">
      <c r="B499" s="2"/>
      <c r="C499" s="2"/>
      <c r="D499" s="2"/>
      <c r="E499" s="2"/>
      <c r="F499" s="2"/>
      <c r="G499" s="2"/>
      <c r="H499" s="2"/>
      <c r="I499" s="2"/>
      <c r="J499" s="685"/>
      <c r="K499" s="682">
        <v>43943</v>
      </c>
      <c r="L499" s="725" t="s">
        <v>181</v>
      </c>
      <c r="M499" s="683" t="s">
        <v>185</v>
      </c>
      <c r="N499" s="683" t="s">
        <v>183</v>
      </c>
      <c r="O499" s="683">
        <v>4500873022</v>
      </c>
      <c r="P499" s="688" t="s">
        <v>2194</v>
      </c>
      <c r="Q499" s="683" t="s">
        <v>37</v>
      </c>
      <c r="R499" s="683" t="s">
        <v>1782</v>
      </c>
      <c r="S499" s="686" t="s">
        <v>2195</v>
      </c>
      <c r="T499" s="683" t="s">
        <v>2197</v>
      </c>
      <c r="U499" s="683" t="s">
        <v>2196</v>
      </c>
      <c r="V499" s="683" t="s">
        <v>146</v>
      </c>
      <c r="W499" s="683" t="s">
        <v>914</v>
      </c>
      <c r="X499" s="691" t="s">
        <v>918</v>
      </c>
      <c r="Y499" s="687">
        <v>3004290365</v>
      </c>
      <c r="Z499" s="692"/>
      <c r="AA499" s="683" t="s">
        <v>33</v>
      </c>
      <c r="AB499" s="683" t="s">
        <v>34</v>
      </c>
      <c r="AC499" s="683" t="s">
        <v>230</v>
      </c>
      <c r="AD499" s="683" t="s">
        <v>1110</v>
      </c>
      <c r="AE499" s="683">
        <v>60</v>
      </c>
      <c r="AF499" s="684">
        <v>1353.4</v>
      </c>
      <c r="AG499" s="683" t="s">
        <v>243</v>
      </c>
      <c r="AH499" s="683" t="s">
        <v>220</v>
      </c>
      <c r="AI499" s="683" t="s">
        <v>33</v>
      </c>
      <c r="AJ499" s="683">
        <v>3004301039</v>
      </c>
      <c r="AK499" s="683" t="s">
        <v>33</v>
      </c>
      <c r="AL499" s="683">
        <v>1063018</v>
      </c>
      <c r="AM499" s="683" t="s">
        <v>1121</v>
      </c>
      <c r="AN499" s="683" t="s">
        <v>1352</v>
      </c>
      <c r="AO499" s="683" t="s">
        <v>247</v>
      </c>
      <c r="AP499" s="683" t="s">
        <v>240</v>
      </c>
      <c r="AQ499" s="688" t="str">
        <f>CONCATENATE("REG-",BDEGENER[[#This Row],[FECHA DE SERVICIO]],"-",BDEGENER[[#This Row],[SERIE]],"-",BDEGENER[[#This Row],[HORAS]])</f>
        <v>REG-43943-3004290365-1353,4</v>
      </c>
      <c r="AR499" s="683" t="str">
        <f>CONCATENATE("MARCA: ",BDEGENER[[#This Row],[MARCA]],"
 MODELO: ",BDEGENER[[#This Row],[MODELO]])</f>
        <v>MARCA: GENERAC
 MODELO: PG090</v>
      </c>
      <c r="AS499" s="683" t="str">
        <f>CONCATENATE("MARCA: ",BDEGENER[[#This Row],[MARCA DE MOTOR]],"
SERIE: ",BDEGENER[[#This Row],[SERIE DE MOTOR]])</f>
        <v>MARCA: GENERAC
SERIE: 3004301039</v>
      </c>
      <c r="AT499" s="683" t="str">
        <f>CONCATENATE("MARCA: ",BDEGENER[[#This Row],[MARCA ALTERNADOR ]],"
SERIE: ",BDEGENER[[#This Row],[SERIE DE ALTERNADOR]])</f>
        <v>MARCA: GENERAC
SERIE: 1063018</v>
      </c>
      <c r="AU499" s="683" t="str">
        <f>CONCATENATE("HORAS: ",BDEGENER[[#This Row],[HORAS]],"
KW-HR: ",BDEGENER[[#This Row],[KW-HORA]],"
VOLT.BATERIA: ",BDEGENER[[#This Row],[VOLTAJE DE BATERIA]],"
TEMPERATURA: ",BDEGENER[[#This Row],[TEMPERATURA DE AGUA]],"
PRES. ACEITE: ",BDEGENER[[#This Row],[PRESION DE ACEITE]])</f>
        <v>HORAS: 1353,4
KW-HR: 31969,5
VOLT.BATERIA: 13.7 V
TEMPERATURA: 196 °F
PRES. ACEITE: 55 PSI</v>
      </c>
      <c r="AV499" s="761">
        <f>COUNTIFS(Q499:Q2499,"MANTENIMIENTO CORRECTIVO",Y499:Y2499,BDEGENER[[#This Row],[SERIE]])</f>
        <v>4</v>
      </c>
      <c r="AW499" s="761">
        <f>COUNTIFS(Q499:Q2499,"MANTENIMIENTO PREVENTIVO",Y499:Y2499,BDEGENER[[#This Row],[SERIE]])</f>
        <v>4</v>
      </c>
      <c r="AX49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499" s="683">
        <f>COUNTIFS(BDEGENER[SERIE],BDEGENER[[#This Row],[SERIE]],BDEGENER[TIPO DE SERVICIO],"MANTENIMIENTO PREVENTIVO")</f>
        <v>5</v>
      </c>
      <c r="AZ499" s="683" t="str">
        <f>CONCATENATE("MANTENIMIENTO PREVENTIVO N°",BDEGENER[[#This Row],[GA1]])</f>
        <v>MANTENIMIENTO PREVENTIVO N°5</v>
      </c>
      <c r="BA499" s="683" t="str">
        <f>IF(BDEGENER[[#This Row],[SERVICIO]]=BDEGENER[[#This Row],[GA2]],BDEGENER[[#This Row],[HORAS]],"0")</f>
        <v>0</v>
      </c>
      <c r="BB499" s="683">
        <f>SUMIF(BDEGENER[SERIE],BDEGENER[[#This Row],[SERIE]],BDEGENER[GA3])</f>
        <v>1700.2</v>
      </c>
      <c r="BC499" s="761" t="str">
        <f>CONCATENATE("MANT",COUNTIF($Y$7:Y499,Y499))</f>
        <v>MANT7</v>
      </c>
      <c r="BD499" s="683" t="str">
        <f>CONCATENATE(BDEGENER[[#This Row],[SERIE]],BDEGENER[[#This Row],[GA5]])</f>
        <v>3004290365MANT7</v>
      </c>
      <c r="BE499" s="683" t="str">
        <f>CONCATENATE(BDEGENER[[#This Row],[CODIGO PATRIMONIAL]],BDEGENER[[#This Row],[GA5]])</f>
        <v>MANT7</v>
      </c>
      <c r="BF499" s="683">
        <f>COUNTIF(BDEGENER[SERIE],BDEGENER[[#This Row],[SERIE]])</f>
        <v>15</v>
      </c>
      <c r="BG499" s="761" t="str">
        <f>CONCATENATE("F",COUNTIF($K$7:K499,K499))</f>
        <v>F1</v>
      </c>
      <c r="BH499" s="683" t="str">
        <f>CONCATENATE(BDEGENER[[#This Row],[FECHA DE SERVICIO]],BDEGENER[[#This Row],[N° DE REGISTROS DEL DIA]])</f>
        <v>43943F1</v>
      </c>
      <c r="BI499" s="684">
        <v>31969.5</v>
      </c>
      <c r="BJ499" s="683" t="s">
        <v>1544</v>
      </c>
      <c r="BK499" s="680"/>
    </row>
    <row r="500" spans="2:63" ht="69" hidden="1" x14ac:dyDescent="0.3">
      <c r="B500" s="2"/>
      <c r="C500" s="2"/>
      <c r="D500" s="2"/>
      <c r="E500" s="2"/>
      <c r="F500" s="2"/>
      <c r="G500" s="2"/>
      <c r="H500" s="2"/>
      <c r="I500" s="2"/>
      <c r="J500" s="685"/>
      <c r="K500" s="682">
        <v>43943</v>
      </c>
      <c r="L500" s="725" t="s">
        <v>181</v>
      </c>
      <c r="M500" s="683" t="s">
        <v>185</v>
      </c>
      <c r="N500" s="683" t="s">
        <v>183</v>
      </c>
      <c r="O500" s="683"/>
      <c r="P500" s="683"/>
      <c r="Q500" s="683" t="s">
        <v>107</v>
      </c>
      <c r="R500" s="683" t="s">
        <v>2209</v>
      </c>
      <c r="S500" s="686" t="s">
        <v>2210</v>
      </c>
      <c r="T500" s="683" t="s">
        <v>2211</v>
      </c>
      <c r="U500" s="683" t="s">
        <v>1668</v>
      </c>
      <c r="V500" s="683" t="s">
        <v>146</v>
      </c>
      <c r="W500" s="683" t="s">
        <v>914</v>
      </c>
      <c r="X500" s="691" t="s">
        <v>918</v>
      </c>
      <c r="Y500" s="687">
        <v>3004290366</v>
      </c>
      <c r="Z500" s="692"/>
      <c r="AA500" s="683" t="s">
        <v>33</v>
      </c>
      <c r="AB500" s="683" t="s">
        <v>34</v>
      </c>
      <c r="AC500" s="683" t="s">
        <v>230</v>
      </c>
      <c r="AD500" s="683"/>
      <c r="AE500" s="683"/>
      <c r="AF500" s="684">
        <v>1906.5</v>
      </c>
      <c r="AG500" s="683" t="s">
        <v>243</v>
      </c>
      <c r="AH500" s="683" t="s">
        <v>220</v>
      </c>
      <c r="AI500" s="683" t="s">
        <v>33</v>
      </c>
      <c r="AJ500" s="683">
        <v>3004295604</v>
      </c>
      <c r="AK500" s="683" t="s">
        <v>33</v>
      </c>
      <c r="AL500" s="683">
        <v>10631290</v>
      </c>
      <c r="AM500" s="683"/>
      <c r="AN500" s="683"/>
      <c r="AO500" s="683"/>
      <c r="AP500" s="683" t="s">
        <v>240</v>
      </c>
      <c r="AQ500" s="688" t="str">
        <f>CONCATENATE("REG-",BDEGENER[[#This Row],[FECHA DE SERVICIO]],"-",BDEGENER[[#This Row],[SERIE]],"-",BDEGENER[[#This Row],[HORAS]])</f>
        <v>REG-43943-3004290366-1906,5</v>
      </c>
      <c r="AR500" s="683" t="str">
        <f>CONCATENATE("MARCA: ",BDEGENER[[#This Row],[MARCA]],"
 MODELO: ",BDEGENER[[#This Row],[MODELO]])</f>
        <v>MARCA: GENERAC
 MODELO: PG090</v>
      </c>
      <c r="AS500" s="683" t="str">
        <f>CONCATENATE("MARCA: ",BDEGENER[[#This Row],[MARCA DE MOTOR]],"
SERIE: ",BDEGENER[[#This Row],[SERIE DE MOTOR]])</f>
        <v>MARCA: GENERAC
SERIE: 3004295604</v>
      </c>
      <c r="AT500" s="683" t="str">
        <f>CONCATENATE("MARCA: ",BDEGENER[[#This Row],[MARCA ALTERNADOR ]],"
SERIE: ",BDEGENER[[#This Row],[SERIE DE ALTERNADOR]])</f>
        <v>MARCA: GENERAC
SERIE: 10631290</v>
      </c>
      <c r="AU500" s="683" t="str">
        <f>CONCATENATE("HORAS: ",BDEGENER[[#This Row],[HORAS]],"
KW-HR: ",BDEGENER[[#This Row],[KW-HORA]],"
VOLT.BATERIA: ",BDEGENER[[#This Row],[VOLTAJE DE BATERIA]],"
TEMPERATURA: ",BDEGENER[[#This Row],[TEMPERATURA DE AGUA]],"
PRES. ACEITE: ",BDEGENER[[#This Row],[PRESION DE ACEITE]])</f>
        <v xml:space="preserve">HORAS: 1906,5
KW-HR: 22590,2
VOLT.BATERIA: 
TEMPERATURA: 
PRES. ACEITE: </v>
      </c>
      <c r="AV500" s="683">
        <f>COUNTIFS(Q500:Q2500,"MANTENIMIENTO CORRECTIVO",Y500:Y2500,BDEGENER[[#This Row],[SERIE]])</f>
        <v>2</v>
      </c>
      <c r="AW500" s="683">
        <f>COUNTIFS(Q500:Q2500,"MANTENIMIENTO PREVENTIVO",Y500:Y2500,BDEGENER[[#This Row],[SERIE]])</f>
        <v>4</v>
      </c>
      <c r="AX50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500" s="683">
        <f>COUNTIFS(BDEGENER[SERIE],BDEGENER[[#This Row],[SERIE]],BDEGENER[TIPO DE SERVICIO],"MANTENIMIENTO PREVENTIVO")</f>
        <v>7</v>
      </c>
      <c r="AZ500" s="683" t="str">
        <f>CONCATENATE("MANTENIMIENTO PREVENTIVO N°",BDEGENER[[#This Row],[GA1]])</f>
        <v>MANTENIMIENTO PREVENTIVO N°7</v>
      </c>
      <c r="BA500" s="683" t="str">
        <f>IF(BDEGENER[[#This Row],[SERVICIO]]=BDEGENER[[#This Row],[GA2]],BDEGENER[[#This Row],[HORAS]],"0")</f>
        <v>0</v>
      </c>
      <c r="BB500" s="683">
        <f>SUMIF(BDEGENER[SERIE],BDEGENER[[#This Row],[SERIE]],BDEGENER[GA3])</f>
        <v>2629.6</v>
      </c>
      <c r="BC500" s="683" t="str">
        <f>CONCATENATE("MANT",COUNTIF($Y$7:Y500,Y500))</f>
        <v>MANT8</v>
      </c>
      <c r="BD500" s="683" t="str">
        <f>CONCATENATE(BDEGENER[[#This Row],[SERIE]],BDEGENER[[#This Row],[GA5]])</f>
        <v>3004290366MANT8</v>
      </c>
      <c r="BE500" s="683" t="str">
        <f>CONCATENATE(BDEGENER[[#This Row],[CODIGO PATRIMONIAL]],BDEGENER[[#This Row],[GA5]])</f>
        <v>MANT8</v>
      </c>
      <c r="BF500" s="683">
        <f>COUNTIF(BDEGENER[SERIE],BDEGENER[[#This Row],[SERIE]])</f>
        <v>14</v>
      </c>
      <c r="BG500" s="683" t="str">
        <f>CONCATENATE("F",COUNTIF($K$7:K500,K500))</f>
        <v>F2</v>
      </c>
      <c r="BH500" s="683" t="str">
        <f>CONCATENATE(BDEGENER[[#This Row],[FECHA DE SERVICIO]],BDEGENER[[#This Row],[N° DE REGISTROS DEL DIA]])</f>
        <v>43943F2</v>
      </c>
      <c r="BI500" s="684">
        <v>22590.2</v>
      </c>
      <c r="BJ500" s="683" t="s">
        <v>1544</v>
      </c>
      <c r="BK500" s="680"/>
    </row>
    <row r="501" spans="2:63" ht="69" hidden="1" x14ac:dyDescent="0.3">
      <c r="B501" s="2"/>
      <c r="C501" s="2"/>
      <c r="D501" s="2"/>
      <c r="E501" s="2"/>
      <c r="F501" s="2"/>
      <c r="G501" s="2"/>
      <c r="H501" s="2"/>
      <c r="I501" s="2"/>
      <c r="J501" s="685"/>
      <c r="K501" s="682">
        <v>43942</v>
      </c>
      <c r="L501" s="725" t="s">
        <v>181</v>
      </c>
      <c r="M501" s="683" t="s">
        <v>187</v>
      </c>
      <c r="N501" s="683" t="s">
        <v>183</v>
      </c>
      <c r="O501" s="683">
        <v>4500873022</v>
      </c>
      <c r="P501" s="688" t="s">
        <v>2198</v>
      </c>
      <c r="Q501" s="683" t="s">
        <v>37</v>
      </c>
      <c r="R501" s="683" t="s">
        <v>1782</v>
      </c>
      <c r="S501" s="686" t="s">
        <v>2199</v>
      </c>
      <c r="T501" s="683" t="s">
        <v>2200</v>
      </c>
      <c r="U501" s="683" t="s">
        <v>2201</v>
      </c>
      <c r="V501" s="683" t="s">
        <v>146</v>
      </c>
      <c r="W501" s="683" t="s">
        <v>914</v>
      </c>
      <c r="X501" s="691" t="s">
        <v>918</v>
      </c>
      <c r="Y501" s="687">
        <v>3004214491</v>
      </c>
      <c r="Z501" s="692"/>
      <c r="AA501" s="683" t="s">
        <v>33</v>
      </c>
      <c r="AB501" s="683" t="s">
        <v>34</v>
      </c>
      <c r="AC501" s="683" t="s">
        <v>230</v>
      </c>
      <c r="AD501" s="683" t="s">
        <v>1110</v>
      </c>
      <c r="AE501" s="683">
        <v>60</v>
      </c>
      <c r="AF501" s="684">
        <v>1088</v>
      </c>
      <c r="AG501" s="683" t="s">
        <v>243</v>
      </c>
      <c r="AH501" s="683" t="s">
        <v>244</v>
      </c>
      <c r="AI501" s="683" t="s">
        <v>33</v>
      </c>
      <c r="AJ501" s="683">
        <v>3004133600</v>
      </c>
      <c r="AK501" s="683" t="s">
        <v>33</v>
      </c>
      <c r="AL501" s="683">
        <v>1063014</v>
      </c>
      <c r="AM501" s="683" t="s">
        <v>1121</v>
      </c>
      <c r="AN501" s="683" t="s">
        <v>246</v>
      </c>
      <c r="AO501" s="683" t="s">
        <v>1349</v>
      </c>
      <c r="AP501" s="683" t="s">
        <v>240</v>
      </c>
      <c r="AQ501" s="688" t="str">
        <f>CONCATENATE("REG-",BDEGENER[[#This Row],[FECHA DE SERVICIO]],"-",BDEGENER[[#This Row],[SERIE]],"-",BDEGENER[[#This Row],[HORAS]])</f>
        <v>REG-43942-3004214491-1088</v>
      </c>
      <c r="AR501" s="683" t="str">
        <f>CONCATENATE("MARCA: ",BDEGENER[[#This Row],[MARCA]],"
 MODELO: ",BDEGENER[[#This Row],[MODELO]])</f>
        <v>MARCA: GENERAC
 MODELO: PG090</v>
      </c>
      <c r="AS501" s="683" t="str">
        <f>CONCATENATE("MARCA: ",BDEGENER[[#This Row],[MARCA DE MOTOR]],"
SERIE: ",BDEGENER[[#This Row],[SERIE DE MOTOR]])</f>
        <v>MARCA: GENERAC
SERIE: 3004133600</v>
      </c>
      <c r="AT501" s="683" t="str">
        <f>CONCATENATE("MARCA: ",BDEGENER[[#This Row],[MARCA ALTERNADOR ]],"
SERIE: ",BDEGENER[[#This Row],[SERIE DE ALTERNADOR]])</f>
        <v>MARCA: GENERAC
SERIE: 1063014</v>
      </c>
      <c r="AU501" s="683" t="str">
        <f>CONCATENATE("HORAS: ",BDEGENER[[#This Row],[HORAS]],"
KW-HR: ",BDEGENER[[#This Row],[KW-HORA]],"
VOLT.BATERIA: ",BDEGENER[[#This Row],[VOLTAJE DE BATERIA]],"
TEMPERATURA: ",BDEGENER[[#This Row],[TEMPERATURA DE AGUA]],"
PRES. ACEITE: ",BDEGENER[[#This Row],[PRESION DE ACEITE]])</f>
        <v>HORAS: 1088
KW-HR: 18202
VOLT.BATERIA: 13.7 V
TEMPERATURA: 198 °F
PRES. ACEITE: 56 PSI</v>
      </c>
      <c r="AV501" s="683">
        <f>COUNTIFS(Q501:Q2501,"MANTENIMIENTO CORRECTIVO",Y501:Y2501,BDEGENER[[#This Row],[SERIE]])</f>
        <v>4</v>
      </c>
      <c r="AW501" s="683">
        <f>COUNTIFS(Q501:Q2501,"MANTENIMIENTO PREVENTIVO",Y501:Y2501,BDEGENER[[#This Row],[SERIE]])</f>
        <v>4</v>
      </c>
      <c r="AX50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01" s="683">
        <f>COUNTIFS(BDEGENER[SERIE],BDEGENER[[#This Row],[SERIE]],BDEGENER[TIPO DE SERVICIO],"MANTENIMIENTO PREVENTIVO")</f>
        <v>9</v>
      </c>
      <c r="AZ501" s="683" t="str">
        <f>CONCATENATE("MANTENIMIENTO PREVENTIVO N°",BDEGENER[[#This Row],[GA1]])</f>
        <v>MANTENIMIENTO PREVENTIVO N°9</v>
      </c>
      <c r="BA501" s="683" t="str">
        <f>IF(BDEGENER[[#This Row],[SERVICIO]]=BDEGENER[[#This Row],[GA2]],BDEGENER[[#This Row],[HORAS]],"0")</f>
        <v>0</v>
      </c>
      <c r="BB501" s="683">
        <f>SUMIF(BDEGENER[SERIE],BDEGENER[[#This Row],[SERIE]],BDEGENER[GA3])</f>
        <v>2751</v>
      </c>
      <c r="BC501" s="683" t="str">
        <f>CONCATENATE("MANT",COUNTIF($Y$7:Y501,Y501))</f>
        <v>MANT10</v>
      </c>
      <c r="BD501" s="683" t="str">
        <f>CONCATENATE(BDEGENER[[#This Row],[SERIE]],BDEGENER[[#This Row],[GA5]])</f>
        <v>3004214491MANT10</v>
      </c>
      <c r="BE501" s="683" t="str">
        <f>CONCATENATE(BDEGENER[[#This Row],[CODIGO PATRIMONIAL]],BDEGENER[[#This Row],[GA5]])</f>
        <v>MANT10</v>
      </c>
      <c r="BF501" s="683">
        <f>COUNTIF(BDEGENER[SERIE],BDEGENER[[#This Row],[SERIE]])</f>
        <v>18</v>
      </c>
      <c r="BG501" s="683" t="str">
        <f>CONCATENATE("F",COUNTIF($K$7:K501,K501))</f>
        <v>F1</v>
      </c>
      <c r="BH501" s="683" t="str">
        <f>CONCATENATE(BDEGENER[[#This Row],[FECHA DE SERVICIO]],BDEGENER[[#This Row],[N° DE REGISTROS DEL DIA]])</f>
        <v>43942F1</v>
      </c>
      <c r="BI501" s="684">
        <v>18202</v>
      </c>
      <c r="BJ501" s="683" t="s">
        <v>1544</v>
      </c>
      <c r="BK501" s="680"/>
    </row>
    <row r="502" spans="2:63" ht="69" hidden="1" x14ac:dyDescent="0.3">
      <c r="B502" s="2"/>
      <c r="C502" s="2"/>
      <c r="D502" s="2"/>
      <c r="E502" s="2"/>
      <c r="F502" s="2"/>
      <c r="G502" s="2"/>
      <c r="H502" s="2"/>
      <c r="I502" s="2"/>
      <c r="J502" s="685"/>
      <c r="K502" s="682">
        <v>43942</v>
      </c>
      <c r="L502" s="725" t="s">
        <v>181</v>
      </c>
      <c r="M502" s="683" t="s">
        <v>187</v>
      </c>
      <c r="N502" s="683" t="s">
        <v>183</v>
      </c>
      <c r="O502" s="683">
        <v>4500873022</v>
      </c>
      <c r="P502" s="688" t="s">
        <v>2198</v>
      </c>
      <c r="Q502" s="683" t="s">
        <v>37</v>
      </c>
      <c r="R502" s="683" t="s">
        <v>1782</v>
      </c>
      <c r="S502" s="686" t="s">
        <v>2205</v>
      </c>
      <c r="T502" s="683" t="s">
        <v>2204</v>
      </c>
      <c r="U502" s="683" t="s">
        <v>1980</v>
      </c>
      <c r="V502" s="683" t="s">
        <v>146</v>
      </c>
      <c r="W502" s="683" t="s">
        <v>914</v>
      </c>
      <c r="X502" s="691" t="s">
        <v>918</v>
      </c>
      <c r="Y502" s="687">
        <v>3004418790</v>
      </c>
      <c r="Z502" s="692"/>
      <c r="AA502" s="683" t="s">
        <v>33</v>
      </c>
      <c r="AB502" s="683" t="s">
        <v>34</v>
      </c>
      <c r="AC502" s="683" t="s">
        <v>230</v>
      </c>
      <c r="AD502" s="683" t="s">
        <v>1110</v>
      </c>
      <c r="AE502" s="683">
        <v>60</v>
      </c>
      <c r="AF502" s="684">
        <v>1271</v>
      </c>
      <c r="AG502" s="683" t="s">
        <v>243</v>
      </c>
      <c r="AH502" s="683" t="s">
        <v>220</v>
      </c>
      <c r="AI502" s="683" t="s">
        <v>33</v>
      </c>
      <c r="AJ502" s="683">
        <v>3005413982</v>
      </c>
      <c r="AK502" s="683" t="s">
        <v>33</v>
      </c>
      <c r="AL502" s="683">
        <v>107745310</v>
      </c>
      <c r="AM502" s="683" t="s">
        <v>1121</v>
      </c>
      <c r="AN502" s="683" t="s">
        <v>1352</v>
      </c>
      <c r="AO502" s="683" t="s">
        <v>247</v>
      </c>
      <c r="AP502" s="683" t="s">
        <v>240</v>
      </c>
      <c r="AQ502" s="688" t="str">
        <f>CONCATENATE("REG-",BDEGENER[[#This Row],[FECHA DE SERVICIO]],"-",BDEGENER[[#This Row],[SERIE]],"-",BDEGENER[[#This Row],[HORAS]])</f>
        <v>REG-43942-3004418790-1271</v>
      </c>
      <c r="AR502" s="683" t="str">
        <f>CONCATENATE("MARCA: ",BDEGENER[[#This Row],[MARCA]],"
 MODELO: ",BDEGENER[[#This Row],[MODELO]])</f>
        <v>MARCA: GENERAC
 MODELO: PG090</v>
      </c>
      <c r="AS502" s="683" t="str">
        <f>CONCATENATE("MARCA: ",BDEGENER[[#This Row],[MARCA DE MOTOR]],"
SERIE: ",BDEGENER[[#This Row],[SERIE DE MOTOR]])</f>
        <v>MARCA: GENERAC
SERIE: 3005413982</v>
      </c>
      <c r="AT502" s="683" t="str">
        <f>CONCATENATE("MARCA: ",BDEGENER[[#This Row],[MARCA ALTERNADOR ]],"
SERIE: ",BDEGENER[[#This Row],[SERIE DE ALTERNADOR]])</f>
        <v>MARCA: GENERAC
SERIE: 107745310</v>
      </c>
      <c r="AU502" s="683" t="str">
        <f>CONCATENATE("HORAS: ",BDEGENER[[#This Row],[HORAS]],"
KW-HR: ",BDEGENER[[#This Row],[KW-HORA]],"
VOLT.BATERIA: ",BDEGENER[[#This Row],[VOLTAJE DE BATERIA]],"
TEMPERATURA: ",BDEGENER[[#This Row],[TEMPERATURA DE AGUA]],"
PRES. ACEITE: ",BDEGENER[[#This Row],[PRESION DE ACEITE]])</f>
        <v>HORAS: 1271
KW-HR: 20781,2
VOLT.BATERIA: 13.7 V
TEMPERATURA: 196 °F
PRES. ACEITE: 55 PSI</v>
      </c>
      <c r="AV502" s="761">
        <f>COUNTIFS(Q502:Q2502,"MANTENIMIENTO CORRECTIVO",Y502:Y2502,BDEGENER[[#This Row],[SERIE]])</f>
        <v>1</v>
      </c>
      <c r="AW502" s="761">
        <f>COUNTIFS(Q502:Q2502,"MANTENIMIENTO PREVENTIVO",Y502:Y2502,BDEGENER[[#This Row],[SERIE]])</f>
        <v>4</v>
      </c>
      <c r="AX50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02" s="683">
        <f>COUNTIFS(BDEGENER[SERIE],BDEGENER[[#This Row],[SERIE]],BDEGENER[TIPO DE SERVICIO],"MANTENIMIENTO PREVENTIVO")</f>
        <v>8</v>
      </c>
      <c r="AZ502" s="683" t="str">
        <f>CONCATENATE("MANTENIMIENTO PREVENTIVO N°",BDEGENER[[#This Row],[GA1]])</f>
        <v>MANTENIMIENTO PREVENTIVO N°8</v>
      </c>
      <c r="BA502" s="683" t="str">
        <f>IF(BDEGENER[[#This Row],[SERVICIO]]=BDEGENER[[#This Row],[GA2]],BDEGENER[[#This Row],[HORAS]],"0")</f>
        <v>0</v>
      </c>
      <c r="BB502" s="683">
        <f>SUMIF(BDEGENER[SERIE],BDEGENER[[#This Row],[SERIE]],BDEGENER[GA3])</f>
        <v>2579.3000000000002</v>
      </c>
      <c r="BC502" s="761" t="str">
        <f>CONCATENATE("MANT",COUNTIF($Y$7:Y502,Y502))</f>
        <v>MANT7</v>
      </c>
      <c r="BD502" s="683" t="str">
        <f>CONCATENATE(BDEGENER[[#This Row],[SERIE]],BDEGENER[[#This Row],[GA5]])</f>
        <v>3004418790MANT7</v>
      </c>
      <c r="BE502" s="683" t="str">
        <f>CONCATENATE(BDEGENER[[#This Row],[CODIGO PATRIMONIAL]],BDEGENER[[#This Row],[GA5]])</f>
        <v>MANT7</v>
      </c>
      <c r="BF502" s="683">
        <f>COUNTIF(BDEGENER[SERIE],BDEGENER[[#This Row],[SERIE]])</f>
        <v>14</v>
      </c>
      <c r="BG502" s="761" t="str">
        <f>CONCATENATE("F",COUNTIF($K$7:K502,K502))</f>
        <v>F2</v>
      </c>
      <c r="BH502" s="683" t="str">
        <f>CONCATENATE(BDEGENER[[#This Row],[FECHA DE SERVICIO]],BDEGENER[[#This Row],[N° DE REGISTROS DEL DIA]])</f>
        <v>43942F2</v>
      </c>
      <c r="BI502" s="684">
        <v>20781.2</v>
      </c>
      <c r="BJ502" s="683" t="s">
        <v>1544</v>
      </c>
      <c r="BK502" s="680"/>
    </row>
    <row r="503" spans="2:63" ht="69" hidden="1" x14ac:dyDescent="0.3">
      <c r="B503" s="2"/>
      <c r="C503" s="2"/>
      <c r="D503" s="2"/>
      <c r="E503" s="2"/>
      <c r="F503" s="2"/>
      <c r="G503" s="2"/>
      <c r="H503" s="2"/>
      <c r="I503" s="2"/>
      <c r="J503" s="685"/>
      <c r="K503" s="682">
        <v>43942</v>
      </c>
      <c r="L503" s="725" t="s">
        <v>181</v>
      </c>
      <c r="M503" s="683" t="s">
        <v>187</v>
      </c>
      <c r="N503" s="683" t="s">
        <v>183</v>
      </c>
      <c r="O503" s="683">
        <v>4500873022</v>
      </c>
      <c r="P503" s="688" t="s">
        <v>2198</v>
      </c>
      <c r="Q503" s="683" t="s">
        <v>37</v>
      </c>
      <c r="R503" s="683" t="s">
        <v>1782</v>
      </c>
      <c r="S503" s="686" t="s">
        <v>2206</v>
      </c>
      <c r="T503" s="683" t="s">
        <v>2207</v>
      </c>
      <c r="U503" s="683" t="s">
        <v>2208</v>
      </c>
      <c r="V503" s="683" t="s">
        <v>146</v>
      </c>
      <c r="W503" s="683" t="s">
        <v>914</v>
      </c>
      <c r="X503" s="691" t="s">
        <v>918</v>
      </c>
      <c r="Y503" s="687">
        <v>3004327725</v>
      </c>
      <c r="Z503" s="692"/>
      <c r="AA503" s="683" t="s">
        <v>33</v>
      </c>
      <c r="AB503" s="683" t="s">
        <v>34</v>
      </c>
      <c r="AC503" s="683" t="s">
        <v>230</v>
      </c>
      <c r="AD503" s="683" t="s">
        <v>1110</v>
      </c>
      <c r="AE503" s="683">
        <v>60</v>
      </c>
      <c r="AF503" s="684">
        <v>1045.9000000000001</v>
      </c>
      <c r="AG503" s="683" t="s">
        <v>243</v>
      </c>
      <c r="AH503" s="683" t="s">
        <v>220</v>
      </c>
      <c r="AI503" s="683" t="s">
        <v>33</v>
      </c>
      <c r="AJ503" s="683">
        <v>3004333865</v>
      </c>
      <c r="AK503" s="683" t="s">
        <v>33</v>
      </c>
      <c r="AL503" s="683">
        <v>1065020</v>
      </c>
      <c r="AM503" s="683" t="s">
        <v>245</v>
      </c>
      <c r="AN503" s="683" t="s">
        <v>1143</v>
      </c>
      <c r="AO503" s="683" t="s">
        <v>1318</v>
      </c>
      <c r="AP503" s="683" t="s">
        <v>240</v>
      </c>
      <c r="AQ503" s="688" t="str">
        <f>CONCATENATE("REG-",BDEGENER[[#This Row],[FECHA DE SERVICIO]],"-",BDEGENER[[#This Row],[SERIE]],"-",BDEGENER[[#This Row],[HORAS]])</f>
        <v>REG-43942-3004327725-1045,9</v>
      </c>
      <c r="AR503" s="683" t="str">
        <f>CONCATENATE("MARCA: ",BDEGENER[[#This Row],[MARCA]],"
 MODELO: ",BDEGENER[[#This Row],[MODELO]])</f>
        <v>MARCA: GENERAC
 MODELO: PG090</v>
      </c>
      <c r="AS503" s="683" t="str">
        <f>CONCATENATE("MARCA: ",BDEGENER[[#This Row],[MARCA DE MOTOR]],"
SERIE: ",BDEGENER[[#This Row],[SERIE DE MOTOR]])</f>
        <v>MARCA: GENERAC
SERIE: 3004333865</v>
      </c>
      <c r="AT503" s="683" t="str">
        <f>CONCATENATE("MARCA: ",BDEGENER[[#This Row],[MARCA ALTERNADOR ]],"
SERIE: ",BDEGENER[[#This Row],[SERIE DE ALTERNADOR]])</f>
        <v>MARCA: GENERAC
SERIE: 1065020</v>
      </c>
      <c r="AU503" s="683" t="str">
        <f>CONCATENATE("HORAS: ",BDEGENER[[#This Row],[HORAS]],"
KW-HR: ",BDEGENER[[#This Row],[KW-HORA]],"
VOLT.BATERIA: ",BDEGENER[[#This Row],[VOLTAJE DE BATERIA]],"
TEMPERATURA: ",BDEGENER[[#This Row],[TEMPERATURA DE AGUA]],"
PRES. ACEITE: ",BDEGENER[[#This Row],[PRESION DE ACEITE]])</f>
        <v>HORAS: 1045,9
KW-HR: 16808,7
VOLT.BATERIA: 13.6 V
TEMPERATURA: 197 °F
PRES. ACEITE: 58 PSI</v>
      </c>
      <c r="AV503" s="683">
        <f>COUNTIFS(Q503:Q2503,"MANTENIMIENTO CORRECTIVO",Y503:Y2503,BDEGENER[[#This Row],[SERIE]])</f>
        <v>1</v>
      </c>
      <c r="AW503" s="683">
        <f>COUNTIFS(Q503:Q2503,"MANTENIMIENTO PREVENTIVO",Y503:Y2503,BDEGENER[[#This Row],[SERIE]])</f>
        <v>4</v>
      </c>
      <c r="AX50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03" s="683">
        <f>COUNTIFS(BDEGENER[SERIE],BDEGENER[[#This Row],[SERIE]],BDEGENER[TIPO DE SERVICIO],"MANTENIMIENTO PREVENTIVO")</f>
        <v>6</v>
      </c>
      <c r="AZ503" s="683" t="str">
        <f>CONCATENATE("MANTENIMIENTO PREVENTIVO N°",BDEGENER[[#This Row],[GA1]])</f>
        <v>MANTENIMIENTO PREVENTIVO N°6</v>
      </c>
      <c r="BA503" s="683" t="str">
        <f>IF(BDEGENER[[#This Row],[SERVICIO]]=BDEGENER[[#This Row],[GA2]],BDEGENER[[#This Row],[HORAS]],"0")</f>
        <v>0</v>
      </c>
      <c r="BB503" s="683">
        <f>SUMIF(BDEGENER[SERIE],BDEGENER[[#This Row],[SERIE]],BDEGENER[GA3])</f>
        <v>1599.8</v>
      </c>
      <c r="BC503" s="683" t="str">
        <f>CONCATENATE("MANT",COUNTIF($Y$7:Y503,Y503))</f>
        <v>MANT8</v>
      </c>
      <c r="BD503" s="683" t="str">
        <f>CONCATENATE(BDEGENER[[#This Row],[SERIE]],BDEGENER[[#This Row],[GA5]])</f>
        <v>3004327725MANT8</v>
      </c>
      <c r="BE503" s="683" t="str">
        <f>CONCATENATE(BDEGENER[[#This Row],[CODIGO PATRIMONIAL]],BDEGENER[[#This Row],[GA5]])</f>
        <v>MANT8</v>
      </c>
      <c r="BF503" s="683">
        <f>COUNTIF(BDEGENER[SERIE],BDEGENER[[#This Row],[SERIE]])</f>
        <v>13</v>
      </c>
      <c r="BG503" s="683" t="str">
        <f>CONCATENATE("F",COUNTIF($K$7:K503,K503))</f>
        <v>F3</v>
      </c>
      <c r="BH503" s="683" t="str">
        <f>CONCATENATE(BDEGENER[[#This Row],[FECHA DE SERVICIO]],BDEGENER[[#This Row],[N° DE REGISTROS DEL DIA]])</f>
        <v>43942F3</v>
      </c>
      <c r="BI503" s="684">
        <v>16808.7</v>
      </c>
      <c r="BJ503" s="683" t="s">
        <v>1544</v>
      </c>
      <c r="BK503" s="680"/>
    </row>
    <row r="504" spans="2:63" ht="69" hidden="1" x14ac:dyDescent="0.3">
      <c r="B504" s="2"/>
      <c r="C504" s="2"/>
      <c r="D504" s="2"/>
      <c r="E504" s="2"/>
      <c r="F504" s="2"/>
      <c r="G504" s="2"/>
      <c r="H504" s="2"/>
      <c r="I504" s="2"/>
      <c r="J504" s="685"/>
      <c r="K504" s="682">
        <v>43942</v>
      </c>
      <c r="L504" s="725" t="s">
        <v>181</v>
      </c>
      <c r="M504" s="683" t="s">
        <v>187</v>
      </c>
      <c r="N504" s="683" t="s">
        <v>183</v>
      </c>
      <c r="O504" s="683">
        <v>4500873022</v>
      </c>
      <c r="P504" s="688" t="s">
        <v>2198</v>
      </c>
      <c r="Q504" s="683" t="s">
        <v>37</v>
      </c>
      <c r="R504" s="683" t="s">
        <v>1782</v>
      </c>
      <c r="S504" s="686" t="s">
        <v>2203</v>
      </c>
      <c r="T504" s="683" t="s">
        <v>2204</v>
      </c>
      <c r="U504" s="683" t="s">
        <v>2202</v>
      </c>
      <c r="V504" s="683" t="s">
        <v>146</v>
      </c>
      <c r="W504" s="683" t="s">
        <v>914</v>
      </c>
      <c r="X504" s="691" t="s">
        <v>918</v>
      </c>
      <c r="Y504" s="687">
        <v>3004337429</v>
      </c>
      <c r="Z504" s="692"/>
      <c r="AA504" s="683" t="s">
        <v>33</v>
      </c>
      <c r="AB504" s="683" t="s">
        <v>34</v>
      </c>
      <c r="AC504" s="683" t="s">
        <v>230</v>
      </c>
      <c r="AD504" s="683" t="s">
        <v>1110</v>
      </c>
      <c r="AE504" s="683">
        <v>60</v>
      </c>
      <c r="AF504" s="684">
        <v>1288.5999999999999</v>
      </c>
      <c r="AG504" s="683" t="s">
        <v>243</v>
      </c>
      <c r="AH504" s="683" t="s">
        <v>220</v>
      </c>
      <c r="AI504" s="683" t="s">
        <v>33</v>
      </c>
      <c r="AJ504" s="683">
        <v>3004346833</v>
      </c>
      <c r="AK504" s="683" t="s">
        <v>33</v>
      </c>
      <c r="AL504" s="683">
        <v>106303570</v>
      </c>
      <c r="AM504" s="683" t="s">
        <v>1094</v>
      </c>
      <c r="AN504" s="683" t="s">
        <v>246</v>
      </c>
      <c r="AO504" s="683" t="s">
        <v>1318</v>
      </c>
      <c r="AP504" s="683" t="s">
        <v>240</v>
      </c>
      <c r="AQ504" s="688" t="str">
        <f>CONCATENATE("REG-",BDEGENER[[#This Row],[FECHA DE SERVICIO]],"-",BDEGENER[[#This Row],[SERIE]],"-",BDEGENER[[#This Row],[HORAS]])</f>
        <v>REG-43942-3004337429-1288,6</v>
      </c>
      <c r="AR504" s="683" t="str">
        <f>CONCATENATE("MARCA: ",BDEGENER[[#This Row],[MARCA]],"
 MODELO: ",BDEGENER[[#This Row],[MODELO]])</f>
        <v>MARCA: GENERAC
 MODELO: PG090</v>
      </c>
      <c r="AS504" s="683" t="str">
        <f>CONCATENATE("MARCA: ",BDEGENER[[#This Row],[MARCA DE MOTOR]],"
SERIE: ",BDEGENER[[#This Row],[SERIE DE MOTOR]])</f>
        <v>MARCA: GENERAC
SERIE: 3004346833</v>
      </c>
      <c r="AT504" s="683" t="str">
        <f>CONCATENATE("MARCA: ",BDEGENER[[#This Row],[MARCA ALTERNADOR ]],"
SERIE: ",BDEGENER[[#This Row],[SERIE DE ALTERNADOR]])</f>
        <v>MARCA: GENERAC
SERIE: 106303570</v>
      </c>
      <c r="AU504" s="683" t="str">
        <f>CONCATENATE("HORAS: ",BDEGENER[[#This Row],[HORAS]],"
KW-HR: ",BDEGENER[[#This Row],[KW-HORA]],"
VOLT.BATERIA: ",BDEGENER[[#This Row],[VOLTAJE DE BATERIA]],"
TEMPERATURA: ",BDEGENER[[#This Row],[TEMPERATURA DE AGUA]],"
PRES. ACEITE: ",BDEGENER[[#This Row],[PRESION DE ACEITE]])</f>
        <v>HORAS: 1288,6
KW-HR: 31114,8
VOLT.BATERIA: 13.5 V
TEMPERATURA: 198 °F
PRES. ACEITE: 58 PSI</v>
      </c>
      <c r="AV504" s="683">
        <f>COUNTIFS(Q504:Q2504,"MANTENIMIENTO CORRECTIVO",Y504:Y2504,BDEGENER[[#This Row],[SERIE]])</f>
        <v>1</v>
      </c>
      <c r="AW504" s="683">
        <f>COUNTIFS(Q504:Q2504,"MANTENIMIENTO PREVENTIVO",Y504:Y2504,BDEGENER[[#This Row],[SERIE]])</f>
        <v>5</v>
      </c>
      <c r="AX50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504" s="683">
        <f>COUNTIFS(BDEGENER[SERIE],BDEGENER[[#This Row],[SERIE]],BDEGENER[TIPO DE SERVICIO],"MANTENIMIENTO PREVENTIVO")</f>
        <v>7</v>
      </c>
      <c r="AZ504" s="683" t="str">
        <f>CONCATENATE("MANTENIMIENTO PREVENTIVO N°",BDEGENER[[#This Row],[GA1]])</f>
        <v>MANTENIMIENTO PREVENTIVO N°7</v>
      </c>
      <c r="BA504" s="683" t="str">
        <f>IF(BDEGENER[[#This Row],[SERVICIO]]=BDEGENER[[#This Row],[GA2]],BDEGENER[[#This Row],[HORAS]],"0")</f>
        <v>0</v>
      </c>
      <c r="BB504" s="683">
        <f>SUMIF(BDEGENER[SERIE],BDEGENER[[#This Row],[SERIE]],BDEGENER[GA3])</f>
        <v>2207.6999999999998</v>
      </c>
      <c r="BC504" s="683" t="str">
        <f>CONCATENATE("MANT",COUNTIF($Y$7:Y504,Y504))</f>
        <v>MANT3</v>
      </c>
      <c r="BD504" s="683" t="str">
        <f>CONCATENATE(BDEGENER[[#This Row],[SERIE]],BDEGENER[[#This Row],[GA5]])</f>
        <v>3004337429MANT3</v>
      </c>
      <c r="BE504" s="683" t="str">
        <f>CONCATENATE(BDEGENER[[#This Row],[CODIGO PATRIMONIAL]],BDEGENER[[#This Row],[GA5]])</f>
        <v>MANT3</v>
      </c>
      <c r="BF504" s="683">
        <f>COUNTIF(BDEGENER[SERIE],BDEGENER[[#This Row],[SERIE]])</f>
        <v>9</v>
      </c>
      <c r="BG504" s="683" t="str">
        <f>CONCATENATE("F",COUNTIF($K$7:K504,K504))</f>
        <v>F4</v>
      </c>
      <c r="BH504" s="683" t="str">
        <f>CONCATENATE(BDEGENER[[#This Row],[FECHA DE SERVICIO]],BDEGENER[[#This Row],[N° DE REGISTROS DEL DIA]])</f>
        <v>43942F4</v>
      </c>
      <c r="BI504" s="684">
        <v>31114.799999999999</v>
      </c>
      <c r="BJ504" s="683" t="s">
        <v>1544</v>
      </c>
      <c r="BK504" s="680"/>
    </row>
    <row r="505" spans="2:63" ht="69" hidden="1" x14ac:dyDescent="0.3">
      <c r="B505" s="2"/>
      <c r="C505" s="2"/>
      <c r="D505" s="2"/>
      <c r="E505" s="2"/>
      <c r="F505" s="2"/>
      <c r="G505" s="2"/>
      <c r="H505" s="2"/>
      <c r="I505" s="2"/>
      <c r="J505" s="685"/>
      <c r="K505" s="682">
        <v>43942</v>
      </c>
      <c r="L505" s="130" t="s">
        <v>181</v>
      </c>
      <c r="M505" s="683" t="s">
        <v>187</v>
      </c>
      <c r="N505" s="683" t="s">
        <v>183</v>
      </c>
      <c r="O505" s="683">
        <v>4500873022</v>
      </c>
      <c r="P505" s="688" t="s">
        <v>2198</v>
      </c>
      <c r="Q505" s="683" t="s">
        <v>37</v>
      </c>
      <c r="R505" s="683" t="s">
        <v>1782</v>
      </c>
      <c r="S505" s="686" t="s">
        <v>2203</v>
      </c>
      <c r="T505" s="683" t="s">
        <v>2204</v>
      </c>
      <c r="U505" s="683" t="s">
        <v>2202</v>
      </c>
      <c r="V505" s="683" t="s">
        <v>146</v>
      </c>
      <c r="W505" s="683" t="s">
        <v>914</v>
      </c>
      <c r="X505" s="691" t="s">
        <v>918</v>
      </c>
      <c r="Y505" s="687">
        <v>3004337428</v>
      </c>
      <c r="Z505" s="692"/>
      <c r="AA505" s="683" t="s">
        <v>33</v>
      </c>
      <c r="AB505" s="683" t="s">
        <v>34</v>
      </c>
      <c r="AC505" s="683" t="s">
        <v>230</v>
      </c>
      <c r="AD505" s="683" t="s">
        <v>1110</v>
      </c>
      <c r="AE505" s="683">
        <v>60</v>
      </c>
      <c r="AF505" s="684">
        <v>568.5</v>
      </c>
      <c r="AG505" s="683" t="s">
        <v>243</v>
      </c>
      <c r="AH505" s="683" t="s">
        <v>220</v>
      </c>
      <c r="AI505" s="683" t="s">
        <v>33</v>
      </c>
      <c r="AJ505" s="683">
        <v>3004333869</v>
      </c>
      <c r="AK505" s="683" t="s">
        <v>33</v>
      </c>
      <c r="AL505" s="683">
        <v>10630350</v>
      </c>
      <c r="AM505" s="683" t="s">
        <v>1121</v>
      </c>
      <c r="AN505" s="683" t="s">
        <v>246</v>
      </c>
      <c r="AO505" s="683" t="s">
        <v>1095</v>
      </c>
      <c r="AP505" s="683" t="s">
        <v>240</v>
      </c>
      <c r="AQ505" s="688" t="str">
        <f>CONCATENATE("REG-",BDEGENER[[#This Row],[FECHA DE SERVICIO]],"-",BDEGENER[[#This Row],[SERIE]],"-",BDEGENER[[#This Row],[HORAS]])</f>
        <v>REG-43942-3004337428-568,5</v>
      </c>
      <c r="AR505" s="683" t="str">
        <f>CONCATENATE("MARCA: ",BDEGENER[[#This Row],[MARCA]],"
 MODELO: ",BDEGENER[[#This Row],[MODELO]])</f>
        <v>MARCA: GENERAC
 MODELO: PG090</v>
      </c>
      <c r="AS505" s="683" t="str">
        <f>CONCATENATE("MARCA: ",BDEGENER[[#This Row],[MARCA DE MOTOR]],"
SERIE: ",BDEGENER[[#This Row],[SERIE DE MOTOR]])</f>
        <v>MARCA: GENERAC
SERIE: 3004333869</v>
      </c>
      <c r="AT505" s="683" t="str">
        <f>CONCATENATE("MARCA: ",BDEGENER[[#This Row],[MARCA ALTERNADOR ]],"
SERIE: ",BDEGENER[[#This Row],[SERIE DE ALTERNADOR]])</f>
        <v>MARCA: GENERAC
SERIE: 10630350</v>
      </c>
      <c r="AU505" s="683" t="str">
        <f>CONCATENATE("HORAS: ",BDEGENER[[#This Row],[HORAS]],"
KW-HR: ",BDEGENER[[#This Row],[KW-HORA]],"
VOLT.BATERIA: ",BDEGENER[[#This Row],[VOLTAJE DE BATERIA]],"
TEMPERATURA: ",BDEGENER[[#This Row],[TEMPERATURA DE AGUA]],"
PRES. ACEITE: ",BDEGENER[[#This Row],[PRESION DE ACEITE]])</f>
        <v>HORAS: 568,5
KW-HR: 16067,5
VOLT.BATERIA: 13.7 V
TEMPERATURA: 198 °F
PRES. ACEITE: 54 PSI</v>
      </c>
      <c r="AV505" s="761">
        <f>COUNTIFS(Q505:Q2505,"MANTENIMIENTO CORRECTIVO",Y505:Y2505,BDEGENER[[#This Row],[SERIE]])</f>
        <v>1</v>
      </c>
      <c r="AW505" s="761">
        <f>COUNTIFS(Q505:Q2505,"MANTENIMIENTO PREVENTIVO",Y505:Y2505,BDEGENER[[#This Row],[SERIE]])</f>
        <v>3</v>
      </c>
      <c r="AX50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05" s="683">
        <f>COUNTIFS(BDEGENER[SERIE],BDEGENER[[#This Row],[SERIE]],BDEGENER[TIPO DE SERVICIO],"MANTENIMIENTO PREVENTIVO")</f>
        <v>6</v>
      </c>
      <c r="AZ505" s="683" t="str">
        <f>CONCATENATE("MANTENIMIENTO PREVENTIVO N°",BDEGENER[[#This Row],[GA1]])</f>
        <v>MANTENIMIENTO PREVENTIVO N°6</v>
      </c>
      <c r="BA505" s="683" t="str">
        <f>IF(BDEGENER[[#This Row],[SERVICIO]]=BDEGENER[[#This Row],[GA2]],BDEGENER[[#This Row],[HORAS]],"0")</f>
        <v>0</v>
      </c>
      <c r="BB505" s="683">
        <f>SUMIF(BDEGENER[SERIE],BDEGENER[[#This Row],[SERIE]],BDEGENER[GA3])</f>
        <v>1586.2</v>
      </c>
      <c r="BC505" s="761" t="str">
        <f>CONCATENATE("MANT",COUNTIF($Y$7:Y505,Y505))</f>
        <v>MANT5</v>
      </c>
      <c r="BD505" s="683" t="str">
        <f>CONCATENATE(BDEGENER[[#This Row],[SERIE]],BDEGENER[[#This Row],[GA5]])</f>
        <v>3004337428MANT5</v>
      </c>
      <c r="BE505" s="683" t="str">
        <f>CONCATENATE(BDEGENER[[#This Row],[CODIGO PATRIMONIAL]],BDEGENER[[#This Row],[GA5]])</f>
        <v>MANT5</v>
      </c>
      <c r="BF505" s="683">
        <f>COUNTIF(BDEGENER[SERIE],BDEGENER[[#This Row],[SERIE]])</f>
        <v>9</v>
      </c>
      <c r="BG505" s="761" t="str">
        <f>CONCATENATE("F",COUNTIF($K$7:K505,K505))</f>
        <v>F5</v>
      </c>
      <c r="BH505" s="683" t="str">
        <f>CONCATENATE(BDEGENER[[#This Row],[FECHA DE SERVICIO]],BDEGENER[[#This Row],[N° DE REGISTROS DEL DIA]])</f>
        <v>43942F5</v>
      </c>
      <c r="BI505" s="684">
        <v>16067.5</v>
      </c>
      <c r="BJ505" s="683" t="s">
        <v>1544</v>
      </c>
      <c r="BK505" s="680"/>
    </row>
    <row r="506" spans="2:63" ht="69" hidden="1" x14ac:dyDescent="0.3">
      <c r="B506" s="2"/>
      <c r="C506" s="2"/>
      <c r="D506" s="2"/>
      <c r="E506" s="2"/>
      <c r="F506" s="2"/>
      <c r="G506" s="2"/>
      <c r="H506" s="2"/>
      <c r="I506" s="2"/>
      <c r="J506" s="685"/>
      <c r="K506" s="682">
        <v>43942</v>
      </c>
      <c r="L506" s="725" t="s">
        <v>181</v>
      </c>
      <c r="M506" s="683" t="s">
        <v>187</v>
      </c>
      <c r="N506" s="683" t="s">
        <v>183</v>
      </c>
      <c r="O506" s="683">
        <v>4500873022</v>
      </c>
      <c r="P506" s="688" t="s">
        <v>2198</v>
      </c>
      <c r="Q506" s="683" t="s">
        <v>37</v>
      </c>
      <c r="R506" s="683" t="s">
        <v>1782</v>
      </c>
      <c r="S506" s="686" t="s">
        <v>2199</v>
      </c>
      <c r="T506" s="683" t="s">
        <v>2200</v>
      </c>
      <c r="U506" s="683" t="s">
        <v>2201</v>
      </c>
      <c r="V506" s="683" t="s">
        <v>146</v>
      </c>
      <c r="W506" s="683" t="s">
        <v>914</v>
      </c>
      <c r="X506" s="691" t="s">
        <v>918</v>
      </c>
      <c r="Y506" s="687">
        <v>3004218547</v>
      </c>
      <c r="Z506" s="692" t="s">
        <v>192</v>
      </c>
      <c r="AA506" s="683" t="s">
        <v>33</v>
      </c>
      <c r="AB506" s="683" t="s">
        <v>34</v>
      </c>
      <c r="AC506" s="683" t="s">
        <v>230</v>
      </c>
      <c r="AD506" s="683" t="s">
        <v>1110</v>
      </c>
      <c r="AE506" s="683">
        <v>60</v>
      </c>
      <c r="AF506" s="684">
        <v>1085.8</v>
      </c>
      <c r="AG506" s="683" t="s">
        <v>243</v>
      </c>
      <c r="AH506" s="683" t="s">
        <v>220</v>
      </c>
      <c r="AI506" s="683" t="s">
        <v>33</v>
      </c>
      <c r="AJ506" s="683">
        <v>3003966252</v>
      </c>
      <c r="AK506" s="683" t="s">
        <v>33</v>
      </c>
      <c r="AL506" s="683">
        <v>10630140</v>
      </c>
      <c r="AM506" s="683" t="s">
        <v>1121</v>
      </c>
      <c r="AN506" s="683" t="s">
        <v>246</v>
      </c>
      <c r="AO506" s="683" t="s">
        <v>1166</v>
      </c>
      <c r="AP506" s="683" t="s">
        <v>240</v>
      </c>
      <c r="AQ506" s="688" t="str">
        <f>CONCATENATE("REG-",BDEGENER[[#This Row],[FECHA DE SERVICIO]],"-",BDEGENER[[#This Row],[SERIE]],"-",BDEGENER[[#This Row],[HORAS]])</f>
        <v>REG-43942-3004218547-1085,8</v>
      </c>
      <c r="AR506" s="683" t="str">
        <f>CONCATENATE("MARCA: ",BDEGENER[[#This Row],[MARCA]],"
 MODELO: ",BDEGENER[[#This Row],[MODELO]])</f>
        <v>MARCA: GENERAC
 MODELO: PG090</v>
      </c>
      <c r="AS506" s="683" t="str">
        <f>CONCATENATE("MARCA: ",BDEGENER[[#This Row],[MARCA DE MOTOR]],"
SERIE: ",BDEGENER[[#This Row],[SERIE DE MOTOR]])</f>
        <v>MARCA: GENERAC
SERIE: 3003966252</v>
      </c>
      <c r="AT506" s="683" t="str">
        <f>CONCATENATE("MARCA: ",BDEGENER[[#This Row],[MARCA ALTERNADOR ]],"
SERIE: ",BDEGENER[[#This Row],[SERIE DE ALTERNADOR]])</f>
        <v>MARCA: GENERAC
SERIE: 10630140</v>
      </c>
      <c r="AU506" s="683" t="str">
        <f>CONCATENATE("HORAS: ",BDEGENER[[#This Row],[HORAS]],"
KW-HR: ",BDEGENER[[#This Row],[KW-HORA]],"
VOLT.BATERIA: ",BDEGENER[[#This Row],[VOLTAJE DE BATERIA]],"
TEMPERATURA: ",BDEGENER[[#This Row],[TEMPERATURA DE AGUA]],"
PRES. ACEITE: ",BDEGENER[[#This Row],[PRESION DE ACEITE]])</f>
        <v>HORAS: 1085,8
KW-HR: 34622,7
VOLT.BATERIA: 13.7 V
TEMPERATURA: 198 °F
PRES. ACEITE: 57 PSI</v>
      </c>
      <c r="AV506" s="683">
        <f>COUNTIFS(Q506:Q2506,"MANTENIMIENTO CORRECTIVO",Y506:Y2506,BDEGENER[[#This Row],[SERIE]])</f>
        <v>1</v>
      </c>
      <c r="AW506" s="683">
        <f>COUNTIFS(Q506:Q2506,"MANTENIMIENTO PREVENTIVO",Y506:Y2506,BDEGENER[[#This Row],[SERIE]])</f>
        <v>4</v>
      </c>
      <c r="AX50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06" s="683">
        <f>COUNTIFS(BDEGENER[SERIE],BDEGENER[[#This Row],[SERIE]],BDEGENER[TIPO DE SERVICIO],"MANTENIMIENTO PREVENTIVO")</f>
        <v>7</v>
      </c>
      <c r="AZ506" s="683" t="str">
        <f>CONCATENATE("MANTENIMIENTO PREVENTIVO N°",BDEGENER[[#This Row],[GA1]])</f>
        <v>MANTENIMIENTO PREVENTIVO N°7</v>
      </c>
      <c r="BA506" s="683" t="str">
        <f>IF(BDEGENER[[#This Row],[SERVICIO]]=BDEGENER[[#This Row],[GA2]],BDEGENER[[#This Row],[HORAS]],"0")</f>
        <v>0</v>
      </c>
      <c r="BB506" s="683">
        <f>SUMIF(BDEGENER[SERIE],BDEGENER[[#This Row],[SERIE]],BDEGENER[GA3])</f>
        <v>2015.6</v>
      </c>
      <c r="BC506" s="683" t="str">
        <f>CONCATENATE("MANT",COUNTIF($Y$7:Y506,Y506))</f>
        <v>MANT7</v>
      </c>
      <c r="BD506" s="683" t="str">
        <f>CONCATENATE(BDEGENER[[#This Row],[SERIE]],BDEGENER[[#This Row],[GA5]])</f>
        <v>3004218547MANT7</v>
      </c>
      <c r="BE506" s="683" t="str">
        <f>CONCATENATE(BDEGENER[[#This Row],[CODIGO PATRIMONIAL]],BDEGENER[[#This Row],[GA5]])</f>
        <v xml:space="preserve"> MANT7</v>
      </c>
      <c r="BF506" s="683">
        <f>COUNTIF(BDEGENER[SERIE],BDEGENER[[#This Row],[SERIE]])</f>
        <v>12</v>
      </c>
      <c r="BG506" s="683" t="str">
        <f>CONCATENATE("F",COUNTIF($K$7:K506,K506))</f>
        <v>F6</v>
      </c>
      <c r="BH506" s="683" t="str">
        <f>CONCATENATE(BDEGENER[[#This Row],[FECHA DE SERVICIO]],BDEGENER[[#This Row],[N° DE REGISTROS DEL DIA]])</f>
        <v>43942F6</v>
      </c>
      <c r="BI506" s="684">
        <v>34622.699999999997</v>
      </c>
      <c r="BJ506" s="683" t="s">
        <v>1544</v>
      </c>
      <c r="BK506" s="680"/>
    </row>
    <row r="507" spans="2:63" ht="69" hidden="1" x14ac:dyDescent="0.3">
      <c r="B507" s="2"/>
      <c r="C507" s="2"/>
      <c r="D507" s="2"/>
      <c r="E507" s="2"/>
      <c r="F507" s="2"/>
      <c r="G507" s="2"/>
      <c r="H507" s="2"/>
      <c r="I507" s="2"/>
      <c r="J507" s="685"/>
      <c r="K507" s="682">
        <v>43941</v>
      </c>
      <c r="L507" s="683" t="s">
        <v>1545</v>
      </c>
      <c r="M507" s="85" t="s">
        <v>1395</v>
      </c>
      <c r="N507" s="85" t="s">
        <v>1547</v>
      </c>
      <c r="O507" s="683"/>
      <c r="P507" s="683"/>
      <c r="Q507" s="683" t="s">
        <v>37</v>
      </c>
      <c r="R507" s="683" t="s">
        <v>1782</v>
      </c>
      <c r="S507" s="686" t="s">
        <v>3328</v>
      </c>
      <c r="T507" s="683" t="s">
        <v>3322</v>
      </c>
      <c r="U507" s="683" t="s">
        <v>3319</v>
      </c>
      <c r="V507" s="683" t="s">
        <v>479</v>
      </c>
      <c r="W507" s="683" t="s">
        <v>2743</v>
      </c>
      <c r="X507" s="691" t="s">
        <v>2741</v>
      </c>
      <c r="Y507" s="687" t="s">
        <v>3320</v>
      </c>
      <c r="Z507" s="692" t="s">
        <v>159</v>
      </c>
      <c r="AA507" s="683" t="s">
        <v>867</v>
      </c>
      <c r="AB507" s="683" t="s">
        <v>3321</v>
      </c>
      <c r="AC507" s="683" t="s">
        <v>159</v>
      </c>
      <c r="AD507" s="683"/>
      <c r="AE507" s="683"/>
      <c r="AF507" s="684">
        <v>282843</v>
      </c>
      <c r="AG507" s="683" t="s">
        <v>159</v>
      </c>
      <c r="AH507" s="683" t="s">
        <v>159</v>
      </c>
      <c r="AI507" s="683" t="s">
        <v>867</v>
      </c>
      <c r="AJ507" s="85" t="s">
        <v>159</v>
      </c>
      <c r="AK507" s="683" t="s">
        <v>159</v>
      </c>
      <c r="AL507" s="85" t="s">
        <v>159</v>
      </c>
      <c r="AM507" s="683"/>
      <c r="AN507" s="683"/>
      <c r="AO507" s="683"/>
      <c r="AP507" s="683" t="s">
        <v>240</v>
      </c>
      <c r="AQ507" s="683" t="str">
        <f>CONCATENATE("REG-",BDEGENER[[#This Row],[FECHA DE SERVICIO]],"-",BDEGENER[[#This Row],[SERIE]],"-",BDEGENER[[#This Row],[HORAS]])</f>
        <v>REG-43941-C7A-736-282843</v>
      </c>
      <c r="AR507" s="683" t="str">
        <f>CONCATENATE("MARCA: ",BDEGENER[[#This Row],[MARCA]],"
 MODELO: ",BDEGENER[[#This Row],[MODELO]])</f>
        <v>MARCA: NISSAN
 MODELO: FRONTIER</v>
      </c>
      <c r="AS507" s="683" t="str">
        <f>CONCATENATE("MARCA: ",BDEGENER[[#This Row],[MARCA DE MOTOR]],"
SERIE: ",BDEGENER[[#This Row],[SERIE DE MOTOR]])</f>
        <v xml:space="preserve">MARCA: NISSAN
SERIE: </v>
      </c>
      <c r="AT507" s="683" t="str">
        <f>CONCATENATE("MARCA: ",BDEGENER[[#This Row],[MARCA ALTERNADOR ]],"
SERIE: ",BDEGENER[[#This Row],[SERIE DE ALTERNADOR]])</f>
        <v xml:space="preserve">MARCA: 
SERIE: </v>
      </c>
      <c r="AU507" s="683" t="str">
        <f>CONCATENATE("HORAS: ",BDEGENER[[#This Row],[HORAS]],"
KW-HR: ",BDEGENER[[#This Row],[KW-HORA]],"
VOLT.BATERIA: ",BDEGENER[[#This Row],[VOLTAJE DE BATERIA]],"
TEMPERATURA: ",BDEGENER[[#This Row],[TEMPERATURA DE AGUA]],"
PRES. ACEITE: ",BDEGENER[[#This Row],[PRESION DE ACEITE]])</f>
        <v xml:space="preserve">HORAS: 282843
KW-HR: 
VOLT.BATERIA: 
TEMPERATURA: 
PRES. ACEITE: </v>
      </c>
      <c r="AV507" s="683">
        <f>COUNTIFS(Q507:Q2507,"MANTENIMIENTO CORRECTIVO",Y507:Y2507,BDEGENER[[#This Row],[SERIE]])</f>
        <v>3</v>
      </c>
      <c r="AW507" s="683">
        <f>COUNTIFS(Q507:Q2507,"MANTENIMIENTO PREVENTIVO",Y507:Y2507,BDEGENER[[#This Row],[SERIE]])</f>
        <v>2</v>
      </c>
      <c r="AX50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507" s="683">
        <f>COUNTIFS(BDEGENER[SERIE],BDEGENER[[#This Row],[SERIE]],BDEGENER[TIPO DE SERVICIO],"MANTENIMIENTO PREVENTIVO")</f>
        <v>3</v>
      </c>
      <c r="AZ507" s="683" t="str">
        <f>CONCATENATE("MANTENIMIENTO PREVENTIVO N°",BDEGENER[[#This Row],[GA1]])</f>
        <v>MANTENIMIENTO PREVENTIVO N°3</v>
      </c>
      <c r="BA507" s="683" t="str">
        <f>IF(BDEGENER[[#This Row],[SERVICIO]]=BDEGENER[[#This Row],[GA2]],BDEGENER[[#This Row],[HORAS]],"0")</f>
        <v>0</v>
      </c>
      <c r="BB507" s="683">
        <f>SUMIF(BDEGENER[SERIE],BDEGENER[[#This Row],[SERIE]],BDEGENER[GA3])</f>
        <v>287150</v>
      </c>
      <c r="BC507" s="683" t="str">
        <f>CONCATENATE("MANT",COUNTIF($Y$7:Y507,Y507))</f>
        <v>MANT4</v>
      </c>
      <c r="BD507" s="683" t="str">
        <f>CONCATENATE(BDEGENER[[#This Row],[SERIE]],BDEGENER[[#This Row],[GA5]])</f>
        <v>C7A-736MANT4</v>
      </c>
      <c r="BE507" s="683" t="str">
        <f>CONCATENATE(BDEGENER[[#This Row],[CODIGO PATRIMONIAL]],BDEGENER[[#This Row],[GA5]])</f>
        <v>MANT4</v>
      </c>
      <c r="BF507" s="683">
        <f>COUNTIF(BDEGENER[SERIE],BDEGENER[[#This Row],[SERIE]])</f>
        <v>8</v>
      </c>
      <c r="BG507" s="683" t="str">
        <f>CONCATENATE("F",COUNTIF($K$7:K507,K507))</f>
        <v>F1</v>
      </c>
      <c r="BH507" s="683" t="str">
        <f>CONCATENATE(BDEGENER[[#This Row],[FECHA DE SERVICIO]],BDEGENER[[#This Row],[N° DE REGISTROS DEL DIA]])</f>
        <v>43941F1</v>
      </c>
      <c r="BI507" s="684"/>
      <c r="BJ507" s="683" t="s">
        <v>1544</v>
      </c>
      <c r="BK507" s="680"/>
    </row>
    <row r="508" spans="2:63" ht="69" hidden="1" x14ac:dyDescent="0.3">
      <c r="B508" s="2"/>
      <c r="C508" s="2"/>
      <c r="D508" s="2"/>
      <c r="E508" s="2"/>
      <c r="F508" s="2"/>
      <c r="G508" s="2"/>
      <c r="H508" s="2"/>
      <c r="I508" s="2"/>
      <c r="J508" s="685"/>
      <c r="K508" s="682">
        <v>43939</v>
      </c>
      <c r="L508" s="725" t="s">
        <v>248</v>
      </c>
      <c r="M508" s="683" t="s">
        <v>2186</v>
      </c>
      <c r="N508" s="683" t="s">
        <v>2187</v>
      </c>
      <c r="O508" s="683"/>
      <c r="P508" s="683"/>
      <c r="Q508" s="683" t="s">
        <v>107</v>
      </c>
      <c r="R508" s="683" t="s">
        <v>2223</v>
      </c>
      <c r="S508" s="686" t="s">
        <v>2224</v>
      </c>
      <c r="T508" s="683" t="s">
        <v>1991</v>
      </c>
      <c r="U508" s="683" t="s">
        <v>2225</v>
      </c>
      <c r="V508" s="683" t="s">
        <v>149</v>
      </c>
      <c r="W508" s="683" t="s">
        <v>914</v>
      </c>
      <c r="X508" s="691" t="s">
        <v>918</v>
      </c>
      <c r="Y508" s="687">
        <v>3005005007</v>
      </c>
      <c r="Z508" s="692">
        <v>24546</v>
      </c>
      <c r="AA508" s="683" t="s">
        <v>33</v>
      </c>
      <c r="AB508" s="683" t="s">
        <v>34</v>
      </c>
      <c r="AC508" s="683" t="s">
        <v>230</v>
      </c>
      <c r="AD508" s="683"/>
      <c r="AE508" s="683"/>
      <c r="AF508" s="684">
        <v>935</v>
      </c>
      <c r="AG508" s="683" t="s">
        <v>243</v>
      </c>
      <c r="AH508" s="683" t="s">
        <v>220</v>
      </c>
      <c r="AI508" s="683" t="s">
        <v>33</v>
      </c>
      <c r="AJ508" s="683">
        <v>3005065920</v>
      </c>
      <c r="AK508" s="683" t="s">
        <v>33</v>
      </c>
      <c r="AL508" s="683"/>
      <c r="AM508" s="683"/>
      <c r="AN508" s="683"/>
      <c r="AO508" s="683"/>
      <c r="AP508" s="683" t="s">
        <v>240</v>
      </c>
      <c r="AQ508" s="688" t="str">
        <f>CONCATENATE("REG-",BDEGENER[[#This Row],[FECHA DE SERVICIO]],"-",BDEGENER[[#This Row],[SERIE]],"-",BDEGENER[[#This Row],[HORAS]])</f>
        <v>REG-43939-3005005007-935</v>
      </c>
      <c r="AR508" s="683" t="str">
        <f>CONCATENATE("MARCA: ",BDEGENER[[#This Row],[MARCA]],"
 MODELO: ",BDEGENER[[#This Row],[MODELO]])</f>
        <v>MARCA: GENERAC
 MODELO: PG090</v>
      </c>
      <c r="AS508" s="683" t="str">
        <f>CONCATENATE("MARCA: ",BDEGENER[[#This Row],[MARCA DE MOTOR]],"
SERIE: ",BDEGENER[[#This Row],[SERIE DE MOTOR]])</f>
        <v>MARCA: GENERAC
SERIE: 3005065920</v>
      </c>
      <c r="AT508" s="683" t="str">
        <f>CONCATENATE("MARCA: ",BDEGENER[[#This Row],[MARCA ALTERNADOR ]],"
SERIE: ",BDEGENER[[#This Row],[SERIE DE ALTERNADOR]])</f>
        <v xml:space="preserve">MARCA: GENERAC
SERIE: </v>
      </c>
      <c r="AU508" s="683" t="str">
        <f>CONCATENATE("HORAS: ",BDEGENER[[#This Row],[HORAS]],"
KW-HR: ",BDEGENER[[#This Row],[KW-HORA]],"
VOLT.BATERIA: ",BDEGENER[[#This Row],[VOLTAJE DE BATERIA]],"
TEMPERATURA: ",BDEGENER[[#This Row],[TEMPERATURA DE AGUA]],"
PRES. ACEITE: ",BDEGENER[[#This Row],[PRESION DE ACEITE]])</f>
        <v xml:space="preserve">HORAS: 935
KW-HR: 
VOLT.BATERIA: 
TEMPERATURA: 
PRES. ACEITE: </v>
      </c>
      <c r="AV508" s="761">
        <f>COUNTIFS(Q508:Q2508,"MANTENIMIENTO CORRECTIVO",Y508:Y2508,BDEGENER[[#This Row],[SERIE]])</f>
        <v>1</v>
      </c>
      <c r="AW508" s="761">
        <f>COUNTIFS(Q508:Q2508,"MANTENIMIENTO PREVENTIVO",Y508:Y2508,BDEGENER[[#This Row],[SERIE]])</f>
        <v>3</v>
      </c>
      <c r="AX50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508" s="683">
        <f>COUNTIFS(BDEGENER[SERIE],BDEGENER[[#This Row],[SERIE]],BDEGENER[TIPO DE SERVICIO],"MANTENIMIENTO PREVENTIVO")</f>
        <v>7</v>
      </c>
      <c r="AZ508" s="683" t="str">
        <f>CONCATENATE("MANTENIMIENTO PREVENTIVO N°",BDEGENER[[#This Row],[GA1]])</f>
        <v>MANTENIMIENTO PREVENTIVO N°7</v>
      </c>
      <c r="BA508" s="683" t="str">
        <f>IF(BDEGENER[[#This Row],[SERVICIO]]=BDEGENER[[#This Row],[GA2]],BDEGENER[[#This Row],[HORAS]],"0")</f>
        <v>0</v>
      </c>
      <c r="BB508" s="683">
        <f>SUMIF(BDEGENER[SERIE],BDEGENER[[#This Row],[SERIE]],BDEGENER[GA3])</f>
        <v>2333.3000000000002</v>
      </c>
      <c r="BC508" s="761" t="str">
        <f>CONCATENATE("MANT",COUNTIF($Y$7:Y508,Y508))</f>
        <v>MANT5</v>
      </c>
      <c r="BD508" s="683" t="str">
        <f>CONCATENATE(BDEGENER[[#This Row],[SERIE]],BDEGENER[[#This Row],[GA5]])</f>
        <v>3005005007MANT5</v>
      </c>
      <c r="BE508" s="683" t="str">
        <f>CONCATENATE(BDEGENER[[#This Row],[CODIGO PATRIMONIAL]],BDEGENER[[#This Row],[GA5]])</f>
        <v>24546MANT5</v>
      </c>
      <c r="BF508" s="683">
        <f>COUNTIF(BDEGENER[SERIE],BDEGENER[[#This Row],[SERIE]])</f>
        <v>11</v>
      </c>
      <c r="BG508" s="761" t="str">
        <f>CONCATENATE("F",COUNTIF($K$7:K508,K508))</f>
        <v>F1</v>
      </c>
      <c r="BH508" s="683" t="str">
        <f>CONCATENATE(BDEGENER[[#This Row],[FECHA DE SERVICIO]],BDEGENER[[#This Row],[N° DE REGISTROS DEL DIA]])</f>
        <v>43939F1</v>
      </c>
      <c r="BI508" s="684"/>
      <c r="BJ508" s="683" t="s">
        <v>1544</v>
      </c>
      <c r="BK508" s="680"/>
    </row>
    <row r="509" spans="2:63" ht="69" hidden="1" x14ac:dyDescent="0.3">
      <c r="B509" s="2"/>
      <c r="C509" s="2"/>
      <c r="D509" s="2"/>
      <c r="E509" s="2"/>
      <c r="F509" s="2"/>
      <c r="G509" s="2"/>
      <c r="H509" s="2"/>
      <c r="I509" s="2"/>
      <c r="J509" s="685"/>
      <c r="K509" s="682">
        <v>43939</v>
      </c>
      <c r="L509" s="725" t="s">
        <v>181</v>
      </c>
      <c r="M509" s="683" t="s">
        <v>2179</v>
      </c>
      <c r="N509" s="683" t="s">
        <v>2170</v>
      </c>
      <c r="O509" s="683">
        <v>4500926217</v>
      </c>
      <c r="P509" s="688" t="s">
        <v>2171</v>
      </c>
      <c r="Q509" s="683" t="s">
        <v>37</v>
      </c>
      <c r="R509" s="683" t="s">
        <v>1782</v>
      </c>
      <c r="S509" s="686" t="s">
        <v>2172</v>
      </c>
      <c r="T509" s="683" t="s">
        <v>2180</v>
      </c>
      <c r="U509" s="683" t="s">
        <v>2178</v>
      </c>
      <c r="V509" s="683" t="s">
        <v>148</v>
      </c>
      <c r="W509" s="683" t="s">
        <v>914</v>
      </c>
      <c r="X509" s="691" t="s">
        <v>918</v>
      </c>
      <c r="Y509" s="687">
        <v>3005167425</v>
      </c>
      <c r="Z509" s="692" t="s">
        <v>159</v>
      </c>
      <c r="AA509" s="683" t="s">
        <v>33</v>
      </c>
      <c r="AB509" s="683" t="s">
        <v>2174</v>
      </c>
      <c r="AC509" s="683" t="s">
        <v>2175</v>
      </c>
      <c r="AD509" s="683" t="s">
        <v>1110</v>
      </c>
      <c r="AE509" s="683">
        <v>60</v>
      </c>
      <c r="AF509" s="684">
        <v>151.5</v>
      </c>
      <c r="AG509" s="683" t="s">
        <v>243</v>
      </c>
      <c r="AH509" s="683" t="s">
        <v>220</v>
      </c>
      <c r="AI509" s="683" t="s">
        <v>33</v>
      </c>
      <c r="AJ509" s="683" t="s">
        <v>2222</v>
      </c>
      <c r="AK509" s="683" t="s">
        <v>33</v>
      </c>
      <c r="AL509" s="683">
        <v>147951510</v>
      </c>
      <c r="AM509" s="683" t="s">
        <v>245</v>
      </c>
      <c r="AN509" s="683" t="s">
        <v>1424</v>
      </c>
      <c r="AO509" s="683" t="s">
        <v>1144</v>
      </c>
      <c r="AP509" s="683" t="s">
        <v>240</v>
      </c>
      <c r="AQ509" s="688" t="str">
        <f>CONCATENATE("REG-",BDEGENER[[#This Row],[FECHA DE SERVICIO]],"-",BDEGENER[[#This Row],[SERIE]],"-",BDEGENER[[#This Row],[HORAS]])</f>
        <v>REG-43939-3005167425-151,5</v>
      </c>
      <c r="AR509" s="683" t="str">
        <f>CONCATENATE("MARCA: ",BDEGENER[[#This Row],[MARCA]],"
 MODELO: ",BDEGENER[[#This Row],[MODELO]])</f>
        <v>MARCA: GENERAC
 MODELO: SG070</v>
      </c>
      <c r="AS509" s="683" t="str">
        <f>CONCATENATE("MARCA: ",BDEGENER[[#This Row],[MARCA DE MOTOR]],"
SERIE: ",BDEGENER[[#This Row],[SERIE DE MOTOR]])</f>
        <v>MARCA: GENERAC
SERIE: GP680AA-EH2A 250618</v>
      </c>
      <c r="AT509" s="683" t="str">
        <f>CONCATENATE("MARCA: ",BDEGENER[[#This Row],[MARCA ALTERNADOR ]],"
SERIE: ",BDEGENER[[#This Row],[SERIE DE ALTERNADOR]])</f>
        <v>MARCA: GENERAC
SERIE: 147951510</v>
      </c>
      <c r="AU509" s="683" t="str">
        <f>CONCATENATE("HORAS: ",BDEGENER[[#This Row],[HORAS]],"
KW-HR: ",BDEGENER[[#This Row],[KW-HORA]],"
VOLT.BATERIA: ",BDEGENER[[#This Row],[VOLTAJE DE BATERIA]],"
TEMPERATURA: ",BDEGENER[[#This Row],[TEMPERATURA DE AGUA]],"
PRES. ACEITE: ",BDEGENER[[#This Row],[PRESION DE ACEITE]])</f>
        <v>HORAS: 151,5
KW-HR: 571,4
VOLT.BATERIA: 13.6 V
TEMPERATURA: 185 °F
PRES. ACEITE: 59 PSI</v>
      </c>
      <c r="AV509" s="683">
        <f>COUNTIFS(Q509:Q2509,"MANTENIMIENTO CORRECTIVO",Y509:Y2509,BDEGENER[[#This Row],[SERIE]])</f>
        <v>0</v>
      </c>
      <c r="AW509" s="683">
        <f>COUNTIFS(Q509:Q2509,"MANTENIMIENTO PREVENTIVO",Y509:Y2509,BDEGENER[[#This Row],[SERIE]])</f>
        <v>1</v>
      </c>
      <c r="AX50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509" s="683">
        <f>COUNTIFS(BDEGENER[SERIE],BDEGENER[[#This Row],[SERIE]],BDEGENER[TIPO DE SERVICIO],"MANTENIMIENTO PREVENTIVO")</f>
        <v>6</v>
      </c>
      <c r="AZ509" s="683" t="str">
        <f>CONCATENATE("MANTENIMIENTO PREVENTIVO N°",BDEGENER[[#This Row],[GA1]])</f>
        <v>MANTENIMIENTO PREVENTIVO N°6</v>
      </c>
      <c r="BA509" s="683" t="str">
        <f>IF(BDEGENER[[#This Row],[SERVICIO]]=BDEGENER[[#This Row],[GA2]],BDEGENER[[#This Row],[HORAS]],"0")</f>
        <v>0</v>
      </c>
      <c r="BB509" s="683">
        <f>SUMIF(BDEGENER[SERIE],BDEGENER[[#This Row],[SERIE]],BDEGENER[GA3])</f>
        <v>1939.8</v>
      </c>
      <c r="BC509" s="683" t="str">
        <f>CONCATENATE("MANT",COUNTIF($Y$7:Y509,Y509))</f>
        <v>MANT6</v>
      </c>
      <c r="BD509" s="683" t="str">
        <f>CONCATENATE(BDEGENER[[#This Row],[SERIE]],BDEGENER[[#This Row],[GA5]])</f>
        <v>3005167425MANT6</v>
      </c>
      <c r="BE509" s="683" t="str">
        <f>CONCATENATE(BDEGENER[[#This Row],[CODIGO PATRIMONIAL]],BDEGENER[[#This Row],[GA5]])</f>
        <v>MANT6</v>
      </c>
      <c r="BF509" s="683">
        <f>COUNTIF(BDEGENER[SERIE],BDEGENER[[#This Row],[SERIE]])</f>
        <v>7</v>
      </c>
      <c r="BG509" s="683" t="str">
        <f>CONCATENATE("F",COUNTIF($K$7:K509,K509))</f>
        <v>F2</v>
      </c>
      <c r="BH509" s="683" t="str">
        <f>CONCATENATE(BDEGENER[[#This Row],[FECHA DE SERVICIO]],BDEGENER[[#This Row],[N° DE REGISTROS DEL DIA]])</f>
        <v>43939F2</v>
      </c>
      <c r="BI509" s="684">
        <v>571.4</v>
      </c>
      <c r="BJ509" s="683" t="s">
        <v>1544</v>
      </c>
      <c r="BK509" s="680" t="s">
        <v>529</v>
      </c>
    </row>
    <row r="510" spans="2:63" ht="69" hidden="1" x14ac:dyDescent="0.3">
      <c r="B510" s="2"/>
      <c r="C510" s="2"/>
      <c r="D510" s="2"/>
      <c r="E510" s="2"/>
      <c r="F510" s="2"/>
      <c r="G510" s="2"/>
      <c r="H510" s="2"/>
      <c r="I510" s="2"/>
      <c r="J510" s="685"/>
      <c r="K510" s="682">
        <v>43939</v>
      </c>
      <c r="L510" s="725" t="s">
        <v>181</v>
      </c>
      <c r="M510" s="683" t="s">
        <v>2169</v>
      </c>
      <c r="N510" s="683" t="s">
        <v>2170</v>
      </c>
      <c r="O510" s="683">
        <v>4500926217</v>
      </c>
      <c r="P510" s="688" t="s">
        <v>2171</v>
      </c>
      <c r="Q510" s="683" t="s">
        <v>37</v>
      </c>
      <c r="R510" s="683" t="s">
        <v>1782</v>
      </c>
      <c r="S510" s="686" t="s">
        <v>2172</v>
      </c>
      <c r="T510" s="683" t="s">
        <v>2173</v>
      </c>
      <c r="U510" s="683" t="s">
        <v>2178</v>
      </c>
      <c r="V510" s="683" t="s">
        <v>148</v>
      </c>
      <c r="W510" s="683" t="s">
        <v>914</v>
      </c>
      <c r="X510" s="691" t="s">
        <v>918</v>
      </c>
      <c r="Y510" s="687">
        <v>3005167422</v>
      </c>
      <c r="Z510" s="692" t="s">
        <v>159</v>
      </c>
      <c r="AA510" s="683" t="s">
        <v>33</v>
      </c>
      <c r="AB510" s="683" t="s">
        <v>2174</v>
      </c>
      <c r="AC510" s="683" t="s">
        <v>2175</v>
      </c>
      <c r="AD510" s="683" t="s">
        <v>1110</v>
      </c>
      <c r="AE510" s="683">
        <v>60</v>
      </c>
      <c r="AF510" s="684">
        <v>142.80000000000001</v>
      </c>
      <c r="AG510" s="683" t="s">
        <v>243</v>
      </c>
      <c r="AH510" s="683" t="s">
        <v>220</v>
      </c>
      <c r="AI510" s="683" t="s">
        <v>33</v>
      </c>
      <c r="AJ510" s="683" t="s">
        <v>2176</v>
      </c>
      <c r="AK510" s="683" t="s">
        <v>33</v>
      </c>
      <c r="AL510" s="683">
        <v>147951510</v>
      </c>
      <c r="AM510" s="683" t="s">
        <v>1196</v>
      </c>
      <c r="AN510" s="683" t="s">
        <v>246</v>
      </c>
      <c r="AO510" s="683" t="s">
        <v>1349</v>
      </c>
      <c r="AP510" s="683" t="s">
        <v>240</v>
      </c>
      <c r="AQ510" s="688" t="str">
        <f>CONCATENATE("REG-",BDEGENER[[#This Row],[FECHA DE SERVICIO]],"-",BDEGENER[[#This Row],[SERIE]],"-",BDEGENER[[#This Row],[HORAS]])</f>
        <v>REG-43939-3005167422-142,8</v>
      </c>
      <c r="AR510" s="683" t="str">
        <f>CONCATENATE("MARCA: ",BDEGENER[[#This Row],[MARCA]],"
 MODELO: ",BDEGENER[[#This Row],[MODELO]])</f>
        <v>MARCA: GENERAC
 MODELO: SG070</v>
      </c>
      <c r="AS510" s="683" t="str">
        <f>CONCATENATE("MARCA: ",BDEGENER[[#This Row],[MARCA DE MOTOR]],"
SERIE: ",BDEGENER[[#This Row],[SERIE DE MOTOR]])</f>
        <v>MARCA: GENERAC
SERIE: GP680AA-EH2A 250619</v>
      </c>
      <c r="AT510" s="683" t="str">
        <f>CONCATENATE("MARCA: ",BDEGENER[[#This Row],[MARCA ALTERNADOR ]],"
SERIE: ",BDEGENER[[#This Row],[SERIE DE ALTERNADOR]])</f>
        <v>MARCA: GENERAC
SERIE: 147951510</v>
      </c>
      <c r="AU510" s="683" t="str">
        <f>CONCATENATE("HORAS: ",BDEGENER[[#This Row],[HORAS]],"
KW-HR: ",BDEGENER[[#This Row],[KW-HORA]],"
VOLT.BATERIA: ",BDEGENER[[#This Row],[VOLTAJE DE BATERIA]],"
TEMPERATURA: ",BDEGENER[[#This Row],[TEMPERATURA DE AGUA]],"
PRES. ACEITE: ",BDEGENER[[#This Row],[PRESION DE ACEITE]])</f>
        <v>HORAS: 142,8
KW-HR: 578
VOLT.BATERIA: 13.2 V
TEMPERATURA: 198 °F
PRES. ACEITE: 56 PSI</v>
      </c>
      <c r="AV510" s="683">
        <f>COUNTIFS(Q510:Q2510,"MANTENIMIENTO CORRECTIVO",Y510:Y2510,BDEGENER[[#This Row],[SERIE]])</f>
        <v>0</v>
      </c>
      <c r="AW510" s="683">
        <f>COUNTIFS(Q510:Q2510,"MANTENIMIENTO PREVENTIVO",Y510:Y2510,BDEGENER[[#This Row],[SERIE]])</f>
        <v>1</v>
      </c>
      <c r="AX51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510" s="683">
        <f>COUNTIFS(BDEGENER[SERIE],BDEGENER[[#This Row],[SERIE]],BDEGENER[TIPO DE SERVICIO],"MANTENIMIENTO PREVENTIVO")</f>
        <v>6</v>
      </c>
      <c r="AZ510" s="683" t="str">
        <f>CONCATENATE("MANTENIMIENTO PREVENTIVO N°",BDEGENER[[#This Row],[GA1]])</f>
        <v>MANTENIMIENTO PREVENTIVO N°6</v>
      </c>
      <c r="BA510" s="683" t="str">
        <f>IF(BDEGENER[[#This Row],[SERVICIO]]=BDEGENER[[#This Row],[GA2]],BDEGENER[[#This Row],[HORAS]],"0")</f>
        <v>0</v>
      </c>
      <c r="BB510" s="683">
        <f>SUMIF(BDEGENER[SERIE],BDEGENER[[#This Row],[SERIE]],BDEGENER[GA3])</f>
        <v>1906.8</v>
      </c>
      <c r="BC510" s="683" t="str">
        <f>CONCATENATE("MANT",COUNTIF($Y$7:Y510,Y510))</f>
        <v>MANT6</v>
      </c>
      <c r="BD510" s="683" t="str">
        <f>CONCATENATE(BDEGENER[[#This Row],[SERIE]],BDEGENER[[#This Row],[GA5]])</f>
        <v>3005167422MANT6</v>
      </c>
      <c r="BE510" s="683" t="str">
        <f>CONCATENATE(BDEGENER[[#This Row],[CODIGO PATRIMONIAL]],BDEGENER[[#This Row],[GA5]])</f>
        <v>MANT6</v>
      </c>
      <c r="BF510" s="683">
        <f>COUNTIF(BDEGENER[SERIE],BDEGENER[[#This Row],[SERIE]])</f>
        <v>7</v>
      </c>
      <c r="BG510" s="683" t="str">
        <f>CONCATENATE("F",COUNTIF($K$7:K510,K510))</f>
        <v>F3</v>
      </c>
      <c r="BH510" s="683" t="str">
        <f>CONCATENATE(BDEGENER[[#This Row],[FECHA DE SERVICIO]],BDEGENER[[#This Row],[N° DE REGISTROS DEL DIA]])</f>
        <v>43939F3</v>
      </c>
      <c r="BI510" s="684">
        <v>578</v>
      </c>
      <c r="BJ510" s="683" t="s">
        <v>1544</v>
      </c>
      <c r="BK510" s="680" t="s">
        <v>2177</v>
      </c>
    </row>
    <row r="511" spans="2:63" ht="69" hidden="1" x14ac:dyDescent="0.3">
      <c r="B511" s="2"/>
      <c r="C511" s="2"/>
      <c r="D511" s="2"/>
      <c r="E511" s="2"/>
      <c r="F511" s="2"/>
      <c r="G511" s="2"/>
      <c r="H511" s="2"/>
      <c r="I511" s="2"/>
      <c r="J511" s="685"/>
      <c r="K511" s="682">
        <v>43939</v>
      </c>
      <c r="L511" s="725" t="s">
        <v>181</v>
      </c>
      <c r="M511" s="683" t="s">
        <v>188</v>
      </c>
      <c r="N511" s="683" t="s">
        <v>183</v>
      </c>
      <c r="O511" s="683">
        <v>4500848079</v>
      </c>
      <c r="P511" s="688" t="s">
        <v>2137</v>
      </c>
      <c r="Q511" s="683" t="s">
        <v>37</v>
      </c>
      <c r="R511" s="683" t="s">
        <v>1782</v>
      </c>
      <c r="S511" s="686" t="s">
        <v>2167</v>
      </c>
      <c r="T511" s="683" t="s">
        <v>2168</v>
      </c>
      <c r="U511" s="683" t="s">
        <v>2053</v>
      </c>
      <c r="V511" s="683" t="s">
        <v>146</v>
      </c>
      <c r="W511" s="683" t="s">
        <v>914</v>
      </c>
      <c r="X511" s="691" t="s">
        <v>918</v>
      </c>
      <c r="Y511" s="687">
        <v>3004290369</v>
      </c>
      <c r="Z511" s="692" t="s">
        <v>192</v>
      </c>
      <c r="AA511" s="683" t="s">
        <v>33</v>
      </c>
      <c r="AB511" s="683" t="s">
        <v>34</v>
      </c>
      <c r="AC511" s="683" t="s">
        <v>230</v>
      </c>
      <c r="AD511" s="683" t="s">
        <v>1110</v>
      </c>
      <c r="AE511" s="683">
        <v>60</v>
      </c>
      <c r="AF511" s="684">
        <v>505.5</v>
      </c>
      <c r="AG511" s="683" t="s">
        <v>243</v>
      </c>
      <c r="AH511" s="683" t="s">
        <v>220</v>
      </c>
      <c r="AI511" s="683" t="s">
        <v>33</v>
      </c>
      <c r="AJ511" s="683">
        <v>3004308219</v>
      </c>
      <c r="AK511" s="683" t="s">
        <v>33</v>
      </c>
      <c r="AL511" s="683">
        <v>1063018</v>
      </c>
      <c r="AM511" s="683" t="s">
        <v>1121</v>
      </c>
      <c r="AN511" s="683" t="s">
        <v>1143</v>
      </c>
      <c r="AO511" s="683" t="s">
        <v>1349</v>
      </c>
      <c r="AP511" s="683" t="s">
        <v>240</v>
      </c>
      <c r="AQ511" s="688" t="str">
        <f>CONCATENATE("REG-",BDEGENER[[#This Row],[FECHA DE SERVICIO]],"-",BDEGENER[[#This Row],[SERIE]],"-",BDEGENER[[#This Row],[HORAS]])</f>
        <v>REG-43939-3004290369-505,5</v>
      </c>
      <c r="AR511" s="683" t="str">
        <f>CONCATENATE("MARCA: ",BDEGENER[[#This Row],[MARCA]],"
 MODELO: ",BDEGENER[[#This Row],[MODELO]])</f>
        <v>MARCA: GENERAC
 MODELO: PG090</v>
      </c>
      <c r="AS511" s="683" t="str">
        <f>CONCATENATE("MARCA: ",BDEGENER[[#This Row],[MARCA DE MOTOR]],"
SERIE: ",BDEGENER[[#This Row],[SERIE DE MOTOR]])</f>
        <v>MARCA: GENERAC
SERIE: 3004308219</v>
      </c>
      <c r="AT511" s="683" t="str">
        <f>CONCATENATE("MARCA: ",BDEGENER[[#This Row],[MARCA ALTERNADOR ]],"
SERIE: ",BDEGENER[[#This Row],[SERIE DE ALTERNADOR]])</f>
        <v>MARCA: GENERAC
SERIE: 1063018</v>
      </c>
      <c r="AU511" s="683" t="str">
        <f>CONCATENATE("HORAS: ",BDEGENER[[#This Row],[HORAS]],"
KW-HR: ",BDEGENER[[#This Row],[KW-HORA]],"
VOLT.BATERIA: ",BDEGENER[[#This Row],[VOLTAJE DE BATERIA]],"
TEMPERATURA: ",BDEGENER[[#This Row],[TEMPERATURA DE AGUA]],"
PRES. ACEITE: ",BDEGENER[[#This Row],[PRESION DE ACEITE]])</f>
        <v>HORAS: 505,5
KW-HR: 14500,8
VOLT.BATERIA: 13.7 V
TEMPERATURA: 197 °F
PRES. ACEITE: 56 PSI</v>
      </c>
      <c r="AV511" s="761">
        <f>COUNTIFS(Q511:Q2511,"MANTENIMIENTO CORRECTIVO",Y511:Y2511,BDEGENER[[#This Row],[SERIE]])</f>
        <v>2</v>
      </c>
      <c r="AW511" s="761">
        <f>COUNTIFS(Q511:Q2511,"MANTENIMIENTO PREVENTIVO",Y511:Y2511,BDEGENER[[#This Row],[SERIE]])</f>
        <v>2</v>
      </c>
      <c r="AX51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511" s="683">
        <f>COUNTIFS(BDEGENER[SERIE],BDEGENER[[#This Row],[SERIE]],BDEGENER[TIPO DE SERVICIO],"MANTENIMIENTO PREVENTIVO")</f>
        <v>7</v>
      </c>
      <c r="AZ511" s="683" t="str">
        <f>CONCATENATE("MANTENIMIENTO PREVENTIVO N°",BDEGENER[[#This Row],[GA1]])</f>
        <v>MANTENIMIENTO PREVENTIVO N°7</v>
      </c>
      <c r="BA511" s="683" t="str">
        <f>IF(BDEGENER[[#This Row],[SERVICIO]]=BDEGENER[[#This Row],[GA2]],BDEGENER[[#This Row],[HORAS]],"0")</f>
        <v>0</v>
      </c>
      <c r="BB511" s="683">
        <f>SUMIF(BDEGENER[SERIE],BDEGENER[[#This Row],[SERIE]],BDEGENER[GA3])</f>
        <v>2294</v>
      </c>
      <c r="BC511" s="761" t="str">
        <f>CONCATENATE("MANT",COUNTIF($Y$7:Y511,Y511))</f>
        <v>MANT7</v>
      </c>
      <c r="BD511" s="683" t="str">
        <f>CONCATENATE(BDEGENER[[#This Row],[SERIE]],BDEGENER[[#This Row],[GA5]])</f>
        <v>3004290369MANT7</v>
      </c>
      <c r="BE511" s="683" t="str">
        <f>CONCATENATE(BDEGENER[[#This Row],[CODIGO PATRIMONIAL]],BDEGENER[[#This Row],[GA5]])</f>
        <v xml:space="preserve"> MANT7</v>
      </c>
      <c r="BF511" s="683">
        <f>COUNTIF(BDEGENER[SERIE],BDEGENER[[#This Row],[SERIE]])</f>
        <v>11</v>
      </c>
      <c r="BG511" s="761" t="str">
        <f>CONCATENATE("F",COUNTIF($K$7:K511,K511))</f>
        <v>F4</v>
      </c>
      <c r="BH511" s="683" t="str">
        <f>CONCATENATE(BDEGENER[[#This Row],[FECHA DE SERVICIO]],BDEGENER[[#This Row],[N° DE REGISTROS DEL DIA]])</f>
        <v>43939F4</v>
      </c>
      <c r="BI511" s="684">
        <v>14500.8</v>
      </c>
      <c r="BJ511" s="683" t="s">
        <v>1544</v>
      </c>
      <c r="BK511" s="680"/>
    </row>
    <row r="512" spans="2:63" ht="69" hidden="1" x14ac:dyDescent="0.3">
      <c r="B512" s="2"/>
      <c r="C512" s="2"/>
      <c r="D512" s="2"/>
      <c r="E512" s="2"/>
      <c r="F512" s="2"/>
      <c r="G512" s="2"/>
      <c r="H512" s="2"/>
      <c r="I512" s="2"/>
      <c r="J512" s="685"/>
      <c r="K512" s="682">
        <v>43938</v>
      </c>
      <c r="L512" s="725" t="s">
        <v>181</v>
      </c>
      <c r="M512" s="683" t="s">
        <v>185</v>
      </c>
      <c r="N512" s="683" t="s">
        <v>183</v>
      </c>
      <c r="O512" s="683"/>
      <c r="P512" s="683"/>
      <c r="Q512" s="683" t="s">
        <v>107</v>
      </c>
      <c r="R512" s="683" t="s">
        <v>2181</v>
      </c>
      <c r="S512" s="686" t="s">
        <v>2182</v>
      </c>
      <c r="T512" s="683" t="s">
        <v>2183</v>
      </c>
      <c r="U512" s="683" t="s">
        <v>1668</v>
      </c>
      <c r="V512" s="683" t="s">
        <v>146</v>
      </c>
      <c r="W512" s="683" t="s">
        <v>914</v>
      </c>
      <c r="X512" s="691" t="s">
        <v>918</v>
      </c>
      <c r="Y512" s="687">
        <v>3004290368</v>
      </c>
      <c r="Z512" s="692"/>
      <c r="AA512" s="683" t="s">
        <v>33</v>
      </c>
      <c r="AB512" s="683" t="s">
        <v>34</v>
      </c>
      <c r="AC512" s="683" t="s">
        <v>230</v>
      </c>
      <c r="AD512" s="683" t="s">
        <v>1110</v>
      </c>
      <c r="AE512" s="683">
        <v>60</v>
      </c>
      <c r="AF512" s="684">
        <v>1696.1</v>
      </c>
      <c r="AG512" s="683" t="s">
        <v>243</v>
      </c>
      <c r="AH512" s="683" t="s">
        <v>220</v>
      </c>
      <c r="AI512" s="683" t="s">
        <v>33</v>
      </c>
      <c r="AJ512" s="683">
        <v>3004034816</v>
      </c>
      <c r="AK512" s="683" t="s">
        <v>33</v>
      </c>
      <c r="AL512" s="722">
        <v>106312930</v>
      </c>
      <c r="AM512" s="683"/>
      <c r="AN512" s="683"/>
      <c r="AO512" s="683"/>
      <c r="AP512" s="683" t="s">
        <v>240</v>
      </c>
      <c r="AQ512" s="688" t="str">
        <f>CONCATENATE("REG-",BDEGENER[[#This Row],[FECHA DE SERVICIO]],"-",BDEGENER[[#This Row],[SERIE]],"-",BDEGENER[[#This Row],[HORAS]])</f>
        <v>REG-43938-3004290368-1696,1</v>
      </c>
      <c r="AR512" s="683" t="str">
        <f>CONCATENATE("MARCA: ",BDEGENER[[#This Row],[MARCA]],"
 MODELO: ",BDEGENER[[#This Row],[MODELO]])</f>
        <v>MARCA: GENERAC
 MODELO: PG090</v>
      </c>
      <c r="AS512" s="683" t="str">
        <f>CONCATENATE("MARCA: ",BDEGENER[[#This Row],[MARCA DE MOTOR]],"
SERIE: ",BDEGENER[[#This Row],[SERIE DE MOTOR]])</f>
        <v>MARCA: GENERAC
SERIE: 3004034816</v>
      </c>
      <c r="AT512" s="683" t="str">
        <f>CONCATENATE("MARCA: ",BDEGENER[[#This Row],[MARCA ALTERNADOR ]],"
SERIE: ",BDEGENER[[#This Row],[SERIE DE ALTERNADOR]])</f>
        <v>MARCA: GENERAC
SERIE: 106312930</v>
      </c>
      <c r="AU512" s="683" t="str">
        <f>CONCATENATE("HORAS: ",BDEGENER[[#This Row],[HORAS]],"
KW-HR: ",BDEGENER[[#This Row],[KW-HORA]],"
VOLT.BATERIA: ",BDEGENER[[#This Row],[VOLTAJE DE BATERIA]],"
TEMPERATURA: ",BDEGENER[[#This Row],[TEMPERATURA DE AGUA]],"
PRES. ACEITE: ",BDEGENER[[#This Row],[PRESION DE ACEITE]])</f>
        <v xml:space="preserve">HORAS: 1696,1
KW-HR: 18154,4
VOLT.BATERIA: 
TEMPERATURA: 
PRES. ACEITE: </v>
      </c>
      <c r="AV512" s="683">
        <f>COUNTIFS(Q512:Q2512,"MANTENIMIENTO CORRECTIVO",Y512:Y2512,BDEGENER[[#This Row],[SERIE]])</f>
        <v>3</v>
      </c>
      <c r="AW512" s="683">
        <f>COUNTIFS(Q512:Q2512,"MANTENIMIENTO PREVENTIVO",Y512:Y2512,BDEGENER[[#This Row],[SERIE]])</f>
        <v>4</v>
      </c>
      <c r="AX51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512" s="683">
        <f>COUNTIFS(BDEGENER[SERIE],BDEGENER[[#This Row],[SERIE]],BDEGENER[TIPO DE SERVICIO],"MANTENIMIENTO PREVENTIVO")</f>
        <v>6</v>
      </c>
      <c r="AZ512" s="683" t="str">
        <f>CONCATENATE("MANTENIMIENTO PREVENTIVO N°",BDEGENER[[#This Row],[GA1]])</f>
        <v>MANTENIMIENTO PREVENTIVO N°6</v>
      </c>
      <c r="BA512" s="683" t="str">
        <f>IF(BDEGENER[[#This Row],[SERVICIO]]=BDEGENER[[#This Row],[GA2]],BDEGENER[[#This Row],[HORAS]],"0")</f>
        <v>0</v>
      </c>
      <c r="BB512" s="683">
        <f>SUMIF(BDEGENER[SERIE],BDEGENER[[#This Row],[SERIE]],BDEGENER[GA3])</f>
        <v>2259.3000000000002</v>
      </c>
      <c r="BC512" s="683" t="str">
        <f>CONCATENATE("MANT",COUNTIF($Y$7:Y512,Y512))</f>
        <v>MANT8</v>
      </c>
      <c r="BD512" s="683" t="str">
        <f>CONCATENATE(BDEGENER[[#This Row],[SERIE]],BDEGENER[[#This Row],[GA5]])</f>
        <v>3004290368MANT8</v>
      </c>
      <c r="BE512" s="683" t="str">
        <f>CONCATENATE(BDEGENER[[#This Row],[CODIGO PATRIMONIAL]],BDEGENER[[#This Row],[GA5]])</f>
        <v>MANT8</v>
      </c>
      <c r="BF512" s="683">
        <f>COUNTIF(BDEGENER[SERIE],BDEGENER[[#This Row],[SERIE]])</f>
        <v>15</v>
      </c>
      <c r="BG512" s="683" t="str">
        <f>CONCATENATE("F",COUNTIF($K$7:K512,K512))</f>
        <v>F1</v>
      </c>
      <c r="BH512" s="683" t="str">
        <f>CONCATENATE(BDEGENER[[#This Row],[FECHA DE SERVICIO]],BDEGENER[[#This Row],[N° DE REGISTROS DEL DIA]])</f>
        <v>43938F1</v>
      </c>
      <c r="BI512" s="684">
        <v>18154.400000000001</v>
      </c>
      <c r="BJ512" s="683" t="s">
        <v>1544</v>
      </c>
      <c r="BK512" s="680"/>
    </row>
    <row r="513" spans="2:63" ht="69" hidden="1" x14ac:dyDescent="0.3">
      <c r="B513" s="2"/>
      <c r="C513" s="2"/>
      <c r="D513" s="2"/>
      <c r="E513" s="2"/>
      <c r="F513" s="2"/>
      <c r="G513" s="2"/>
      <c r="H513" s="2"/>
      <c r="I513" s="2"/>
      <c r="J513" s="685"/>
      <c r="K513" s="682">
        <v>43937</v>
      </c>
      <c r="L513" s="725" t="s">
        <v>248</v>
      </c>
      <c r="M513" s="683" t="s">
        <v>282</v>
      </c>
      <c r="N513" s="683" t="s">
        <v>283</v>
      </c>
      <c r="O513" s="683"/>
      <c r="P513" s="683"/>
      <c r="Q513" s="683" t="s">
        <v>109</v>
      </c>
      <c r="R513" s="683" t="s">
        <v>1782</v>
      </c>
      <c r="S513" s="686" t="s">
        <v>2191</v>
      </c>
      <c r="T513" s="683" t="s">
        <v>2192</v>
      </c>
      <c r="U513" s="683"/>
      <c r="V513" s="683" t="s">
        <v>149</v>
      </c>
      <c r="W513" s="683" t="s">
        <v>914</v>
      </c>
      <c r="X513" s="691" t="s">
        <v>917</v>
      </c>
      <c r="Y513" s="687">
        <v>3002933964</v>
      </c>
      <c r="Z513" s="692"/>
      <c r="AA513" s="683" t="s">
        <v>33</v>
      </c>
      <c r="AB513" s="683" t="s">
        <v>1446</v>
      </c>
      <c r="AC513" s="683" t="s">
        <v>1445</v>
      </c>
      <c r="AD513" s="683" t="s">
        <v>1087</v>
      </c>
      <c r="AE513" s="683">
        <v>60</v>
      </c>
      <c r="AF513" s="684">
        <v>0.46</v>
      </c>
      <c r="AG513" s="683" t="s">
        <v>243</v>
      </c>
      <c r="AH513" s="683" t="s">
        <v>1946</v>
      </c>
      <c r="AI513" s="683" t="s">
        <v>844</v>
      </c>
      <c r="AJ513" s="683" t="s">
        <v>1951</v>
      </c>
      <c r="AK513" s="683" t="s">
        <v>1448</v>
      </c>
      <c r="AL513" s="683" t="s">
        <v>1952</v>
      </c>
      <c r="AM513" s="683" t="s">
        <v>1858</v>
      </c>
      <c r="AN513" s="683"/>
      <c r="AO513" s="683" t="s">
        <v>2193</v>
      </c>
      <c r="AP513" s="683" t="s">
        <v>240</v>
      </c>
      <c r="AQ513" s="688" t="str">
        <f>CONCATENATE("REG-",BDEGENER[[#This Row],[FECHA DE SERVICIO]],"-",BDEGENER[[#This Row],[SERIE]],"-",BDEGENER[[#This Row],[HORAS]])</f>
        <v>REG-43937-3002933964-0,46</v>
      </c>
      <c r="AR513" s="683" t="str">
        <f>CONCATENATE("MARCA: ",BDEGENER[[#This Row],[MARCA]],"
 MODELO: ",BDEGENER[[#This Row],[MODELO]])</f>
        <v>MARCA: GENERAC
 MODELO: PLY125</v>
      </c>
      <c r="AS513" s="683" t="str">
        <f>CONCATENATE("MARCA: ",BDEGENER[[#This Row],[MARCA DE MOTOR]],"
SERIE: ",BDEGENER[[#This Row],[SERIE DE MOTOR]])</f>
        <v>MARCA: PERKINS
SERIE: PP71370U061051C</v>
      </c>
      <c r="AT513" s="683" t="str">
        <f>CONCATENATE("MARCA: ",BDEGENER[[#This Row],[MARCA ALTERNADOR ]],"
SERIE: ",BDEGENER[[#This Row],[SERIE DE ALTERNADOR]])</f>
        <v>MARCA: LEROY SOMER
SERIE: 346063/19</v>
      </c>
      <c r="AU513" s="683" t="str">
        <f>CONCATENATE("HORAS: ",BDEGENER[[#This Row],[HORAS]],"
KW-HR: ",BDEGENER[[#This Row],[KW-HORA]],"
VOLT.BATERIA: ",BDEGENER[[#This Row],[VOLTAJE DE BATERIA]],"
TEMPERATURA: ",BDEGENER[[#This Row],[TEMPERATURA DE AGUA]],"
PRES. ACEITE: ",BDEGENER[[#This Row],[PRESION DE ACEITE]])</f>
        <v>HORAS: 0,46
KW-HR: 
VOLT.BATERIA: 14.1 V
TEMPERATURA: 
PRES. ACEITE: 95 PSI</v>
      </c>
      <c r="AV513" s="683">
        <f>COUNTIFS(Q513:Q2513,"MANTENIMIENTO CORRECTIVO",Y513:Y2513,BDEGENER[[#This Row],[SERIE]])</f>
        <v>0</v>
      </c>
      <c r="AW513" s="683">
        <f>COUNTIFS(Q513:Q2513,"MANTENIMIENTO PREVENTIVO",Y513:Y2513,BDEGENER[[#This Row],[SERIE]])</f>
        <v>0</v>
      </c>
      <c r="AX51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513" s="683">
        <f>COUNTIFS(BDEGENER[SERIE],BDEGENER[[#This Row],[SERIE]],BDEGENER[TIPO DE SERVICIO],"MANTENIMIENTO PREVENTIVO")</f>
        <v>4</v>
      </c>
      <c r="AZ513" s="683" t="str">
        <f>CONCATENATE("MANTENIMIENTO PREVENTIVO N°",BDEGENER[[#This Row],[GA1]])</f>
        <v>MANTENIMIENTO PREVENTIVO N°4</v>
      </c>
      <c r="BA513" s="683" t="str">
        <f>IF(BDEGENER[[#This Row],[SERVICIO]]=BDEGENER[[#This Row],[GA2]],BDEGENER[[#This Row],[HORAS]],"0")</f>
        <v>0</v>
      </c>
      <c r="BB513" s="683">
        <f>SUMIF(BDEGENER[SERIE],BDEGENER[[#This Row],[SERIE]],BDEGENER[GA3])</f>
        <v>1609.45</v>
      </c>
      <c r="BC513" s="683" t="str">
        <f>CONCATENATE("MANT",COUNTIF($Y$7:Y513,Y513))</f>
        <v>MANT7</v>
      </c>
      <c r="BD513" s="683" t="str">
        <f>CONCATENATE(BDEGENER[[#This Row],[SERIE]],BDEGENER[[#This Row],[GA5]])</f>
        <v>3002933964MANT7</v>
      </c>
      <c r="BE513" s="683" t="str">
        <f>CONCATENATE(BDEGENER[[#This Row],[CODIGO PATRIMONIAL]],BDEGENER[[#This Row],[GA5]])</f>
        <v>MANT7</v>
      </c>
      <c r="BF513" s="683">
        <f>COUNTIF(BDEGENER[SERIE],BDEGENER[[#This Row],[SERIE]])</f>
        <v>8</v>
      </c>
      <c r="BG513" s="683" t="str">
        <f>CONCATENATE("F",COUNTIF($K$7:K513,K513))</f>
        <v>F1</v>
      </c>
      <c r="BH513" s="683" t="str">
        <f>CONCATENATE(BDEGENER[[#This Row],[FECHA DE SERVICIO]],BDEGENER[[#This Row],[N° DE REGISTROS DEL DIA]])</f>
        <v>43937F1</v>
      </c>
      <c r="BI513" s="684"/>
      <c r="BJ513" s="683" t="s">
        <v>1545</v>
      </c>
      <c r="BK513" s="680"/>
    </row>
    <row r="514" spans="2:63" ht="69" hidden="1" x14ac:dyDescent="0.3">
      <c r="B514" s="2"/>
      <c r="C514" s="2"/>
      <c r="D514" s="2"/>
      <c r="E514" s="2"/>
      <c r="F514" s="2"/>
      <c r="G514" s="2"/>
      <c r="H514" s="2"/>
      <c r="I514" s="2"/>
      <c r="J514" s="685"/>
      <c r="K514" s="682">
        <v>43937</v>
      </c>
      <c r="L514" s="725" t="s">
        <v>248</v>
      </c>
      <c r="M514" s="683" t="s">
        <v>282</v>
      </c>
      <c r="N514" s="683" t="s">
        <v>283</v>
      </c>
      <c r="O514" s="683"/>
      <c r="P514" s="683"/>
      <c r="Q514" s="683" t="s">
        <v>109</v>
      </c>
      <c r="R514" s="683" t="s">
        <v>1782</v>
      </c>
      <c r="S514" s="686" t="s">
        <v>2191</v>
      </c>
      <c r="T514" s="683" t="s">
        <v>2192</v>
      </c>
      <c r="U514" s="683"/>
      <c r="V514" s="683" t="s">
        <v>149</v>
      </c>
      <c r="W514" s="683" t="s">
        <v>914</v>
      </c>
      <c r="X514" s="691" t="s">
        <v>917</v>
      </c>
      <c r="Y514" s="687">
        <v>3002933963</v>
      </c>
      <c r="Z514" s="692" t="s">
        <v>159</v>
      </c>
      <c r="AA514" s="683" t="s">
        <v>33</v>
      </c>
      <c r="AB514" s="683" t="s">
        <v>1446</v>
      </c>
      <c r="AC514" s="683" t="s">
        <v>1445</v>
      </c>
      <c r="AD514" s="683" t="s">
        <v>1087</v>
      </c>
      <c r="AE514" s="683"/>
      <c r="AF514" s="684">
        <v>0.37</v>
      </c>
      <c r="AG514" s="683" t="s">
        <v>243</v>
      </c>
      <c r="AH514" s="683" t="s">
        <v>1946</v>
      </c>
      <c r="AI514" s="683" t="s">
        <v>844</v>
      </c>
      <c r="AJ514" s="683" t="s">
        <v>1947</v>
      </c>
      <c r="AK514" s="683" t="s">
        <v>1448</v>
      </c>
      <c r="AL514" s="683" t="s">
        <v>1948</v>
      </c>
      <c r="AM514" s="683" t="s">
        <v>1502</v>
      </c>
      <c r="AN514" s="683"/>
      <c r="AO514" s="683" t="s">
        <v>1950</v>
      </c>
      <c r="AP514" s="683" t="s">
        <v>240</v>
      </c>
      <c r="AQ514" s="688" t="str">
        <f>CONCATENATE("REG-",BDEGENER[[#This Row],[FECHA DE SERVICIO]],"-",BDEGENER[[#This Row],[SERIE]],"-",BDEGENER[[#This Row],[HORAS]])</f>
        <v>REG-43937-3002933963-0,37</v>
      </c>
      <c r="AR514" s="683" t="str">
        <f>CONCATENATE("MARCA: ",BDEGENER[[#This Row],[MARCA]],"
 MODELO: ",BDEGENER[[#This Row],[MODELO]])</f>
        <v>MARCA: GENERAC
 MODELO: PLY125</v>
      </c>
      <c r="AS514" s="683" t="str">
        <f>CONCATENATE("MARCA: ",BDEGENER[[#This Row],[MARCA DE MOTOR]],"
SERIE: ",BDEGENER[[#This Row],[SERIE DE MOTOR]])</f>
        <v>MARCA: PERKINS
SERIE: PP71370U061050C</v>
      </c>
      <c r="AT514" s="683" t="str">
        <f>CONCATENATE("MARCA: ",BDEGENER[[#This Row],[MARCA ALTERNADOR ]],"
SERIE: ",BDEGENER[[#This Row],[SERIE DE ALTERNADOR]])</f>
        <v>MARCA: LEROY SOMER
SERIE: 346063/18</v>
      </c>
      <c r="AU514" s="683" t="str">
        <f>CONCATENATE("HORAS: ",BDEGENER[[#This Row],[HORAS]],"
KW-HR: ",BDEGENER[[#This Row],[KW-HORA]],"
VOLT.BATERIA: ",BDEGENER[[#This Row],[VOLTAJE DE BATERIA]],"
TEMPERATURA: ",BDEGENER[[#This Row],[TEMPERATURA DE AGUA]],"
PRES. ACEITE: ",BDEGENER[[#This Row],[PRESION DE ACEITE]])</f>
        <v>HORAS: 0,37
KW-HR: 
VOLT.BATERIA: 14 V
TEMPERATURA: 
PRES. ACEITE: 91 PSI</v>
      </c>
      <c r="AV514" s="761">
        <f>COUNTIFS(Q514:Q2514,"MANTENIMIENTO CORRECTIVO",Y514:Y2514,BDEGENER[[#This Row],[SERIE]])</f>
        <v>0</v>
      </c>
      <c r="AW514" s="761">
        <f>COUNTIFS(Q514:Q2514,"MANTENIMIENTO PREVENTIVO",Y514:Y2514,BDEGENER[[#This Row],[SERIE]])</f>
        <v>0</v>
      </c>
      <c r="AX51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514" s="683">
        <f>COUNTIFS(BDEGENER[SERIE],BDEGENER[[#This Row],[SERIE]],BDEGENER[TIPO DE SERVICIO],"MANTENIMIENTO PREVENTIVO")</f>
        <v>5</v>
      </c>
      <c r="AZ514" s="683" t="str">
        <f>CONCATENATE("MANTENIMIENTO PREVENTIVO N°",BDEGENER[[#This Row],[GA1]])</f>
        <v>MANTENIMIENTO PREVENTIVO N°5</v>
      </c>
      <c r="BA514" s="683" t="str">
        <f>IF(BDEGENER[[#This Row],[SERVICIO]]=BDEGENER[[#This Row],[GA2]],BDEGENER[[#This Row],[HORAS]],"0")</f>
        <v>0</v>
      </c>
      <c r="BB514" s="683">
        <f>SUMIF(BDEGENER[SERIE],BDEGENER[[#This Row],[SERIE]],BDEGENER[GA3])</f>
        <v>1473.6</v>
      </c>
      <c r="BC514" s="761" t="str">
        <f>CONCATENATE("MANT",COUNTIF($Y$7:Y514,Y514))</f>
        <v>MANT6</v>
      </c>
      <c r="BD514" s="683" t="str">
        <f>CONCATENATE(BDEGENER[[#This Row],[SERIE]],BDEGENER[[#This Row],[GA5]])</f>
        <v>3002933963MANT6</v>
      </c>
      <c r="BE514" s="683" t="str">
        <f>CONCATENATE(BDEGENER[[#This Row],[CODIGO PATRIMONIAL]],BDEGENER[[#This Row],[GA5]])</f>
        <v>MANT6</v>
      </c>
      <c r="BF514" s="683">
        <f>COUNTIF(BDEGENER[SERIE],BDEGENER[[#This Row],[SERIE]])</f>
        <v>7</v>
      </c>
      <c r="BG514" s="761" t="str">
        <f>CONCATENATE("F",COUNTIF($K$7:K514,K514))</f>
        <v>F2</v>
      </c>
      <c r="BH514" s="683" t="str">
        <f>CONCATENATE(BDEGENER[[#This Row],[FECHA DE SERVICIO]],BDEGENER[[#This Row],[N° DE REGISTROS DEL DIA]])</f>
        <v>43937F2</v>
      </c>
      <c r="BI514" s="684"/>
      <c r="BJ514" s="683" t="s">
        <v>1545</v>
      </c>
      <c r="BK514" s="680"/>
    </row>
    <row r="515" spans="2:63" ht="69" hidden="1" x14ac:dyDescent="0.3">
      <c r="B515" s="2"/>
      <c r="C515" s="2"/>
      <c r="D515" s="2"/>
      <c r="E515" s="2"/>
      <c r="F515" s="2"/>
      <c r="G515" s="2"/>
      <c r="H515" s="2"/>
      <c r="I515" s="2"/>
      <c r="J515" s="685"/>
      <c r="K515" s="682">
        <v>43937</v>
      </c>
      <c r="L515" s="725" t="s">
        <v>248</v>
      </c>
      <c r="M515" s="683" t="s">
        <v>2186</v>
      </c>
      <c r="N515" s="683" t="s">
        <v>2187</v>
      </c>
      <c r="O515" s="683"/>
      <c r="P515" s="683"/>
      <c r="Q515" s="683" t="s">
        <v>108</v>
      </c>
      <c r="R515" s="683" t="s">
        <v>2188</v>
      </c>
      <c r="S515" s="686" t="s">
        <v>2189</v>
      </c>
      <c r="T515" s="683" t="s">
        <v>2190</v>
      </c>
      <c r="U515" s="683"/>
      <c r="V515" s="683" t="s">
        <v>148</v>
      </c>
      <c r="W515" s="683" t="s">
        <v>914</v>
      </c>
      <c r="X515" s="691" t="s">
        <v>918</v>
      </c>
      <c r="Y515" s="687">
        <v>3005005007</v>
      </c>
      <c r="Z515" s="692">
        <v>24546</v>
      </c>
      <c r="AA515" s="683" t="s">
        <v>33</v>
      </c>
      <c r="AB515" s="683" t="s">
        <v>34</v>
      </c>
      <c r="AC515" s="683" t="s">
        <v>230</v>
      </c>
      <c r="AD515" s="683" t="s">
        <v>1416</v>
      </c>
      <c r="AE515" s="683"/>
      <c r="AF515" s="684">
        <v>933.6</v>
      </c>
      <c r="AG515" s="683" t="s">
        <v>243</v>
      </c>
      <c r="AH515" s="683" t="s">
        <v>220</v>
      </c>
      <c r="AI515" s="683" t="s">
        <v>33</v>
      </c>
      <c r="AJ515" s="683">
        <v>3005065920</v>
      </c>
      <c r="AK515" s="683" t="s">
        <v>33</v>
      </c>
      <c r="AL515" s="683"/>
      <c r="AM515" s="683"/>
      <c r="AN515" s="683"/>
      <c r="AO515" s="683"/>
      <c r="AP515" s="683" t="s">
        <v>240</v>
      </c>
      <c r="AQ515" s="688" t="str">
        <f>CONCATENATE("REG-",BDEGENER[[#This Row],[FECHA DE SERVICIO]],"-",BDEGENER[[#This Row],[SERIE]],"-",BDEGENER[[#This Row],[HORAS]])</f>
        <v>REG-43937-3005005007-933,6</v>
      </c>
      <c r="AR515" s="683" t="str">
        <f>CONCATENATE("MARCA: ",BDEGENER[[#This Row],[MARCA]],"
 MODELO: ",BDEGENER[[#This Row],[MODELO]])</f>
        <v>MARCA: GENERAC
 MODELO: PG090</v>
      </c>
      <c r="AS515" s="683" t="str">
        <f>CONCATENATE("MARCA: ",BDEGENER[[#This Row],[MARCA DE MOTOR]],"
SERIE: ",BDEGENER[[#This Row],[SERIE DE MOTOR]])</f>
        <v>MARCA: GENERAC
SERIE: 3005065920</v>
      </c>
      <c r="AT515" s="683" t="str">
        <f>CONCATENATE("MARCA: ",BDEGENER[[#This Row],[MARCA ALTERNADOR ]],"
SERIE: ",BDEGENER[[#This Row],[SERIE DE ALTERNADOR]])</f>
        <v xml:space="preserve">MARCA: GENERAC
SERIE: </v>
      </c>
      <c r="AU515" s="683" t="str">
        <f>CONCATENATE("HORAS: ",BDEGENER[[#This Row],[HORAS]],"
KW-HR: ",BDEGENER[[#This Row],[KW-HORA]],"
VOLT.BATERIA: ",BDEGENER[[#This Row],[VOLTAJE DE BATERIA]],"
TEMPERATURA: ",BDEGENER[[#This Row],[TEMPERATURA DE AGUA]],"
PRES. ACEITE: ",BDEGENER[[#This Row],[PRESION DE ACEITE]])</f>
        <v xml:space="preserve">HORAS: 933,6
KW-HR: 
VOLT.BATERIA: 
TEMPERATURA: 
PRES. ACEITE: </v>
      </c>
      <c r="AV515" s="683">
        <f>COUNTIFS(Q515:Q2515,"MANTENIMIENTO CORRECTIVO",Y515:Y2515,BDEGENER[[#This Row],[SERIE]])</f>
        <v>0</v>
      </c>
      <c r="AW515" s="683">
        <f>COUNTIFS(Q515:Q2515,"MANTENIMIENTO PREVENTIVO",Y515:Y2515,BDEGENER[[#This Row],[SERIE]])</f>
        <v>3</v>
      </c>
      <c r="AX51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15" s="683">
        <f>COUNTIFS(BDEGENER[SERIE],BDEGENER[[#This Row],[SERIE]],BDEGENER[TIPO DE SERVICIO],"MANTENIMIENTO PREVENTIVO")</f>
        <v>7</v>
      </c>
      <c r="AZ515" s="683" t="str">
        <f>CONCATENATE("MANTENIMIENTO PREVENTIVO N°",BDEGENER[[#This Row],[GA1]])</f>
        <v>MANTENIMIENTO PREVENTIVO N°7</v>
      </c>
      <c r="BA515" s="683" t="str">
        <f>IF(BDEGENER[[#This Row],[SERVICIO]]=BDEGENER[[#This Row],[GA2]],BDEGENER[[#This Row],[HORAS]],"0")</f>
        <v>0</v>
      </c>
      <c r="BB515" s="683">
        <f>SUMIF(BDEGENER[SERIE],BDEGENER[[#This Row],[SERIE]],BDEGENER[GA3])</f>
        <v>2333.3000000000002</v>
      </c>
      <c r="BC515" s="683" t="str">
        <f>CONCATENATE("MANT",COUNTIF($Y$7:Y515,Y515))</f>
        <v>MANT6</v>
      </c>
      <c r="BD515" s="683" t="str">
        <f>CONCATENATE(BDEGENER[[#This Row],[SERIE]],BDEGENER[[#This Row],[GA5]])</f>
        <v>3005005007MANT6</v>
      </c>
      <c r="BE515" s="683" t="str">
        <f>CONCATENATE(BDEGENER[[#This Row],[CODIGO PATRIMONIAL]],BDEGENER[[#This Row],[GA5]])</f>
        <v>24546MANT6</v>
      </c>
      <c r="BF515" s="683">
        <f>COUNTIF(BDEGENER[SERIE],BDEGENER[[#This Row],[SERIE]])</f>
        <v>11</v>
      </c>
      <c r="BG515" s="683" t="str">
        <f>CONCATENATE("F",COUNTIF($K$7:K515,K515))</f>
        <v>F3</v>
      </c>
      <c r="BH515" s="683" t="str">
        <f>CONCATENATE(BDEGENER[[#This Row],[FECHA DE SERVICIO]],BDEGENER[[#This Row],[N° DE REGISTROS DEL DIA]])</f>
        <v>43937F3</v>
      </c>
      <c r="BI515" s="684"/>
      <c r="BJ515" s="683" t="s">
        <v>1544</v>
      </c>
      <c r="BK515" s="680" t="s">
        <v>853</v>
      </c>
    </row>
    <row r="516" spans="2:63" ht="69" hidden="1" x14ac:dyDescent="0.3">
      <c r="B516" s="2"/>
      <c r="C516" s="2"/>
      <c r="D516" s="2"/>
      <c r="E516" s="2"/>
      <c r="F516" s="2"/>
      <c r="G516" s="2"/>
      <c r="H516" s="2"/>
      <c r="I516" s="2"/>
      <c r="J516" s="685"/>
      <c r="K516" s="682">
        <v>43936</v>
      </c>
      <c r="L516" s="725" t="s">
        <v>181</v>
      </c>
      <c r="M516" s="683" t="s">
        <v>185</v>
      </c>
      <c r="N516" s="683" t="s">
        <v>183</v>
      </c>
      <c r="O516" s="683">
        <v>4500853865</v>
      </c>
      <c r="P516" s="688" t="s">
        <v>2163</v>
      </c>
      <c r="Q516" s="683" t="s">
        <v>37</v>
      </c>
      <c r="R516" s="683" t="s">
        <v>1782</v>
      </c>
      <c r="S516" s="686" t="s">
        <v>2161</v>
      </c>
      <c r="T516" s="683" t="s">
        <v>2157</v>
      </c>
      <c r="U516" s="683" t="s">
        <v>2162</v>
      </c>
      <c r="V516" s="683" t="s">
        <v>146</v>
      </c>
      <c r="W516" s="683" t="s">
        <v>914</v>
      </c>
      <c r="X516" s="691" t="s">
        <v>918</v>
      </c>
      <c r="Y516" s="687">
        <v>3004402506</v>
      </c>
      <c r="Z516" s="692"/>
      <c r="AA516" s="683" t="s">
        <v>33</v>
      </c>
      <c r="AB516" s="683" t="s">
        <v>34</v>
      </c>
      <c r="AC516" s="683" t="s">
        <v>230</v>
      </c>
      <c r="AD516" s="683" t="s">
        <v>1110</v>
      </c>
      <c r="AE516" s="683">
        <v>60</v>
      </c>
      <c r="AF516" s="684">
        <v>1703.6</v>
      </c>
      <c r="AG516" s="683" t="s">
        <v>243</v>
      </c>
      <c r="AH516" s="683" t="s">
        <v>220</v>
      </c>
      <c r="AI516" s="683" t="s">
        <v>33</v>
      </c>
      <c r="AJ516" s="683">
        <v>3004333866</v>
      </c>
      <c r="AK516" s="683" t="s">
        <v>33</v>
      </c>
      <c r="AL516" s="683">
        <v>1063100</v>
      </c>
      <c r="AM516" s="683" t="s">
        <v>1121</v>
      </c>
      <c r="AN516" s="683" t="s">
        <v>1122</v>
      </c>
      <c r="AO516" s="683" t="s">
        <v>1166</v>
      </c>
      <c r="AP516" s="683" t="s">
        <v>240</v>
      </c>
      <c r="AQ516" s="688" t="str">
        <f>CONCATENATE("REG-",BDEGENER[[#This Row],[FECHA DE SERVICIO]],"-",BDEGENER[[#This Row],[SERIE]],"-",BDEGENER[[#This Row],[HORAS]])</f>
        <v>REG-43936-3004402506-1703,6</v>
      </c>
      <c r="AR516" s="683" t="str">
        <f>CONCATENATE("MARCA: ",BDEGENER[[#This Row],[MARCA]],"
 MODELO: ",BDEGENER[[#This Row],[MODELO]])</f>
        <v>MARCA: GENERAC
 MODELO: PG090</v>
      </c>
      <c r="AS516" s="683" t="str">
        <f>CONCATENATE("MARCA: ",BDEGENER[[#This Row],[MARCA DE MOTOR]],"
SERIE: ",BDEGENER[[#This Row],[SERIE DE MOTOR]])</f>
        <v>MARCA: GENERAC
SERIE: 3004333866</v>
      </c>
      <c r="AT516" s="683" t="str">
        <f>CONCATENATE("MARCA: ",BDEGENER[[#This Row],[MARCA ALTERNADOR ]],"
SERIE: ",BDEGENER[[#This Row],[SERIE DE ALTERNADOR]])</f>
        <v>MARCA: GENERAC
SERIE: 1063100</v>
      </c>
      <c r="AU516" s="683" t="str">
        <f>CONCATENATE("HORAS: ",BDEGENER[[#This Row],[HORAS]],"
KW-HR: ",BDEGENER[[#This Row],[KW-HORA]],"
VOLT.BATERIA: ",BDEGENER[[#This Row],[VOLTAJE DE BATERIA]],"
TEMPERATURA: ",BDEGENER[[#This Row],[TEMPERATURA DE AGUA]],"
PRES. ACEITE: ",BDEGENER[[#This Row],[PRESION DE ACEITE]])</f>
        <v>HORAS: 1703,6
KW-HR: 36837,1
VOLT.BATERIA: 13.7 V
TEMPERATURA: 195 °F
PRES. ACEITE: 57 PSI</v>
      </c>
      <c r="AV516" s="683">
        <f>COUNTIFS(Q516:Q2516,"MANTENIMIENTO CORRECTIVO",Y516:Y2516,BDEGENER[[#This Row],[SERIE]])</f>
        <v>2</v>
      </c>
      <c r="AW516" s="683">
        <f>COUNTIFS(Q516:Q2516,"MANTENIMIENTO PREVENTIVO",Y516:Y2516,BDEGENER[[#This Row],[SERIE]])</f>
        <v>4</v>
      </c>
      <c r="AX51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16" s="683">
        <f>COUNTIFS(BDEGENER[SERIE],BDEGENER[[#This Row],[SERIE]],BDEGENER[TIPO DE SERVICIO],"MANTENIMIENTO PREVENTIVO")</f>
        <v>8</v>
      </c>
      <c r="AZ516" s="683" t="str">
        <f>CONCATENATE("MANTENIMIENTO PREVENTIVO N°",BDEGENER[[#This Row],[GA1]])</f>
        <v>MANTENIMIENTO PREVENTIVO N°8</v>
      </c>
      <c r="BA516" s="683" t="str">
        <f>IF(BDEGENER[[#This Row],[SERVICIO]]=BDEGENER[[#This Row],[GA2]],BDEGENER[[#This Row],[HORAS]],"0")</f>
        <v>0</v>
      </c>
      <c r="BB516" s="683">
        <f>SUMIF(BDEGENER[SERIE],BDEGENER[[#This Row],[SERIE]],BDEGENER[GA3])</f>
        <v>2907.9</v>
      </c>
      <c r="BC516" s="683" t="str">
        <f>CONCATENATE("MANT",COUNTIF($Y$7:Y516,Y516))</f>
        <v>MANT7</v>
      </c>
      <c r="BD516" s="683" t="str">
        <f>CONCATENATE(BDEGENER[[#This Row],[SERIE]],BDEGENER[[#This Row],[GA5]])</f>
        <v>3004402506MANT7</v>
      </c>
      <c r="BE516" s="683" t="str">
        <f>CONCATENATE(BDEGENER[[#This Row],[CODIGO PATRIMONIAL]],BDEGENER[[#This Row],[GA5]])</f>
        <v>MANT7</v>
      </c>
      <c r="BF516" s="683">
        <f>COUNTIF(BDEGENER[SERIE],BDEGENER[[#This Row],[SERIE]])</f>
        <v>14</v>
      </c>
      <c r="BG516" s="683" t="str">
        <f>CONCATENATE("F",COUNTIF($K$7:K516,K516))</f>
        <v>F1</v>
      </c>
      <c r="BH516" s="683" t="str">
        <f>CONCATENATE(BDEGENER[[#This Row],[FECHA DE SERVICIO]],BDEGENER[[#This Row],[N° DE REGISTROS DEL DIA]])</f>
        <v>43936F1</v>
      </c>
      <c r="BI516" s="684">
        <v>36837.1</v>
      </c>
      <c r="BJ516" s="683" t="s">
        <v>1544</v>
      </c>
      <c r="BK516" s="680" t="s">
        <v>2164</v>
      </c>
    </row>
    <row r="517" spans="2:63" ht="69" hidden="1" x14ac:dyDescent="0.3">
      <c r="B517" s="2"/>
      <c r="C517" s="2"/>
      <c r="D517" s="2"/>
      <c r="E517" s="2"/>
      <c r="F517" s="2"/>
      <c r="G517" s="2"/>
      <c r="H517" s="2"/>
      <c r="I517" s="2"/>
      <c r="J517" s="685"/>
      <c r="K517" s="682">
        <v>43936</v>
      </c>
      <c r="L517" s="725" t="s">
        <v>181</v>
      </c>
      <c r="M517" s="683" t="s">
        <v>185</v>
      </c>
      <c r="N517" s="683" t="s">
        <v>183</v>
      </c>
      <c r="O517" s="683">
        <v>4500853865</v>
      </c>
      <c r="P517" s="688" t="s">
        <v>2163</v>
      </c>
      <c r="Q517" s="683" t="s">
        <v>37</v>
      </c>
      <c r="R517" s="683" t="s">
        <v>1782</v>
      </c>
      <c r="S517" s="686" t="s">
        <v>2161</v>
      </c>
      <c r="T517" s="683" t="s">
        <v>2157</v>
      </c>
      <c r="U517" s="683" t="s">
        <v>2162</v>
      </c>
      <c r="V517" s="683" t="s">
        <v>146</v>
      </c>
      <c r="W517" s="683" t="s">
        <v>914</v>
      </c>
      <c r="X517" s="691" t="s">
        <v>918</v>
      </c>
      <c r="Y517" s="687">
        <v>3004344017</v>
      </c>
      <c r="Z517" s="692"/>
      <c r="AA517" s="683" t="s">
        <v>33</v>
      </c>
      <c r="AB517" s="683" t="s">
        <v>34</v>
      </c>
      <c r="AC517" s="683" t="s">
        <v>230</v>
      </c>
      <c r="AD517" s="683" t="s">
        <v>1110</v>
      </c>
      <c r="AE517" s="683">
        <v>60</v>
      </c>
      <c r="AF517" s="684">
        <v>1310.5999999999999</v>
      </c>
      <c r="AG517" s="683" t="s">
        <v>243</v>
      </c>
      <c r="AH517" s="683" t="s">
        <v>220</v>
      </c>
      <c r="AI517" s="683" t="s">
        <v>33</v>
      </c>
      <c r="AJ517" s="683">
        <v>3004346832</v>
      </c>
      <c r="AK517" s="683" t="s">
        <v>33</v>
      </c>
      <c r="AL517" s="683">
        <v>106308750</v>
      </c>
      <c r="AM517" s="683" t="s">
        <v>1121</v>
      </c>
      <c r="AN517" s="683" t="s">
        <v>1352</v>
      </c>
      <c r="AO517" s="683" t="s">
        <v>1349</v>
      </c>
      <c r="AP517" s="683" t="s">
        <v>240</v>
      </c>
      <c r="AQ517" s="688" t="str">
        <f>CONCATENATE("REG-",BDEGENER[[#This Row],[FECHA DE SERVICIO]],"-",BDEGENER[[#This Row],[SERIE]],"-",BDEGENER[[#This Row],[HORAS]])</f>
        <v>REG-43936-3004344017-1310,6</v>
      </c>
      <c r="AR517" s="683" t="str">
        <f>CONCATENATE("MARCA: ",BDEGENER[[#This Row],[MARCA]],"
 MODELO: ",BDEGENER[[#This Row],[MODELO]])</f>
        <v>MARCA: GENERAC
 MODELO: PG090</v>
      </c>
      <c r="AS517" s="683" t="str">
        <f>CONCATENATE("MARCA: ",BDEGENER[[#This Row],[MARCA DE MOTOR]],"
SERIE: ",BDEGENER[[#This Row],[SERIE DE MOTOR]])</f>
        <v>MARCA: GENERAC
SERIE: 3004346832</v>
      </c>
      <c r="AT517" s="683" t="str">
        <f>CONCATENATE("MARCA: ",BDEGENER[[#This Row],[MARCA ALTERNADOR ]],"
SERIE: ",BDEGENER[[#This Row],[SERIE DE ALTERNADOR]])</f>
        <v>MARCA: GENERAC
SERIE: 106308750</v>
      </c>
      <c r="AU517" s="683" t="str">
        <f>CONCATENATE("HORAS: ",BDEGENER[[#This Row],[HORAS]],"
KW-HR: ",BDEGENER[[#This Row],[KW-HORA]],"
VOLT.BATERIA: ",BDEGENER[[#This Row],[VOLTAJE DE BATERIA]],"
TEMPERATURA: ",BDEGENER[[#This Row],[TEMPERATURA DE AGUA]],"
PRES. ACEITE: ",BDEGENER[[#This Row],[PRESION DE ACEITE]])</f>
        <v>HORAS: 1310,6
KW-HR: 28002,3
VOLT.BATERIA: 13.7 V
TEMPERATURA: 196 °F
PRES. ACEITE: 56 PSI</v>
      </c>
      <c r="AV517" s="761">
        <f>COUNTIFS(Q517:Q2517,"MANTENIMIENTO CORRECTIVO",Y517:Y2517,BDEGENER[[#This Row],[SERIE]])</f>
        <v>2</v>
      </c>
      <c r="AW517" s="761">
        <f>COUNTIFS(Q517:Q2517,"MANTENIMIENTO PREVENTIVO",Y517:Y2517,BDEGENER[[#This Row],[SERIE]])</f>
        <v>3</v>
      </c>
      <c r="AX51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17" s="683">
        <f>COUNTIFS(BDEGENER[SERIE],BDEGENER[[#This Row],[SERIE]],BDEGENER[TIPO DE SERVICIO],"MANTENIMIENTO PREVENTIVO")</f>
        <v>6</v>
      </c>
      <c r="AZ517" s="683" t="str">
        <f>CONCATENATE("MANTENIMIENTO PREVENTIVO N°",BDEGENER[[#This Row],[GA1]])</f>
        <v>MANTENIMIENTO PREVENTIVO N°6</v>
      </c>
      <c r="BA517" s="683" t="str">
        <f>IF(BDEGENER[[#This Row],[SERVICIO]]=BDEGENER[[#This Row],[GA2]],BDEGENER[[#This Row],[HORAS]],"0")</f>
        <v>0</v>
      </c>
      <c r="BB517" s="683">
        <f>SUMIF(BDEGENER[SERIE],BDEGENER[[#This Row],[SERIE]],BDEGENER[GA3])</f>
        <v>2140.9</v>
      </c>
      <c r="BC517" s="761" t="str">
        <f>CONCATENATE("MANT",COUNTIF($Y$7:Y517,Y517))</f>
        <v>MANT7</v>
      </c>
      <c r="BD517" s="683" t="str">
        <f>CONCATENATE(BDEGENER[[#This Row],[SERIE]],BDEGENER[[#This Row],[GA5]])</f>
        <v>3004344017MANT7</v>
      </c>
      <c r="BE517" s="683" t="str">
        <f>CONCATENATE(BDEGENER[[#This Row],[CODIGO PATRIMONIAL]],BDEGENER[[#This Row],[GA5]])</f>
        <v>MANT7</v>
      </c>
      <c r="BF517" s="683">
        <f>COUNTIF(BDEGENER[SERIE],BDEGENER[[#This Row],[SERIE]])</f>
        <v>12</v>
      </c>
      <c r="BG517" s="761" t="str">
        <f>CONCATENATE("F",COUNTIF($K$7:K517,K517))</f>
        <v>F2</v>
      </c>
      <c r="BH517" s="683" t="str">
        <f>CONCATENATE(BDEGENER[[#This Row],[FECHA DE SERVICIO]],BDEGENER[[#This Row],[N° DE REGISTROS DEL DIA]])</f>
        <v>43936F2</v>
      </c>
      <c r="BI517" s="684">
        <v>28002.3</v>
      </c>
      <c r="BJ517" s="683" t="s">
        <v>1544</v>
      </c>
      <c r="BK517" s="680" t="s">
        <v>2158</v>
      </c>
    </row>
    <row r="518" spans="2:63" ht="69" hidden="1" x14ac:dyDescent="0.3">
      <c r="B518" s="2"/>
      <c r="C518" s="2"/>
      <c r="D518" s="2"/>
      <c r="E518" s="2"/>
      <c r="F518" s="2"/>
      <c r="G518" s="2"/>
      <c r="H518" s="2"/>
      <c r="I518" s="2"/>
      <c r="J518" s="685"/>
      <c r="K518" s="682">
        <v>43935</v>
      </c>
      <c r="L518" s="683" t="s">
        <v>1545</v>
      </c>
      <c r="M518" s="683" t="s">
        <v>2748</v>
      </c>
      <c r="N518" s="683" t="s">
        <v>2749</v>
      </c>
      <c r="O518" s="683"/>
      <c r="P518" s="683"/>
      <c r="Q518" s="683" t="s">
        <v>37</v>
      </c>
      <c r="R518" s="683" t="s">
        <v>1782</v>
      </c>
      <c r="S518" s="686" t="s">
        <v>2983</v>
      </c>
      <c r="T518" s="683" t="s">
        <v>1782</v>
      </c>
      <c r="U518" s="683" t="s">
        <v>2984</v>
      </c>
      <c r="V518" s="683" t="s">
        <v>146</v>
      </c>
      <c r="W518" s="683" t="s">
        <v>2743</v>
      </c>
      <c r="X518" s="691" t="s">
        <v>2741</v>
      </c>
      <c r="Y518" s="687" t="s">
        <v>2742</v>
      </c>
      <c r="Z518" s="692" t="s">
        <v>159</v>
      </c>
      <c r="AA518" s="683" t="s">
        <v>1495</v>
      </c>
      <c r="AB518" s="683" t="s">
        <v>2744</v>
      </c>
      <c r="AC518" s="683" t="s">
        <v>2745</v>
      </c>
      <c r="AD518" s="683"/>
      <c r="AE518" s="683"/>
      <c r="AF518" s="684">
        <v>136957</v>
      </c>
      <c r="AG518" s="683" t="s">
        <v>243</v>
      </c>
      <c r="AH518" s="683" t="s">
        <v>159</v>
      </c>
      <c r="AI518" s="683" t="s">
        <v>1495</v>
      </c>
      <c r="AJ518" s="683" t="s">
        <v>159</v>
      </c>
      <c r="AK518" s="683" t="s">
        <v>2746</v>
      </c>
      <c r="AL518" s="683" t="s">
        <v>2747</v>
      </c>
      <c r="AM518" s="683"/>
      <c r="AN518" s="683"/>
      <c r="AO518" s="683"/>
      <c r="AP518" s="683" t="s">
        <v>240</v>
      </c>
      <c r="AQ518" s="683" t="str">
        <f>CONCATENATE("REG-",BDEGENER[[#This Row],[FECHA DE SERVICIO]],"-",BDEGENER[[#This Row],[SERIE]],"-",BDEGENER[[#This Row],[HORAS]])</f>
        <v>REG-43935-D4Y-534-136957</v>
      </c>
      <c r="AR518" s="683" t="str">
        <f>CONCATENATE("MARCA: ",BDEGENER[[#This Row],[MARCA]],"
 MODELO: ",BDEGENER[[#This Row],[MODELO]])</f>
        <v>MARCA: FORD
 MODELO: ECOSPORT</v>
      </c>
      <c r="AS518" s="683" t="str">
        <f>CONCATENATE("MARCA: ",BDEGENER[[#This Row],[MARCA DE MOTOR]],"
SERIE: ",BDEGENER[[#This Row],[SERIE DE MOTOR]])</f>
        <v xml:space="preserve">MARCA: FORD
SERIE: </v>
      </c>
      <c r="AT518" s="683" t="str">
        <f>CONCATENATE("MARCA: ",BDEGENER[[#This Row],[MARCA ALTERNADOR ]],"
SERIE: ",BDEGENER[[#This Row],[SERIE DE ALTERNADOR]])</f>
        <v>MARCA: CHASIS FORD
SERIE: 9BFZE1GF358634864</v>
      </c>
      <c r="AU518" s="683" t="str">
        <f>CONCATENATE("HORAS: ",BDEGENER[[#This Row],[HORAS]],"
KW-HR: ",BDEGENER[[#This Row],[KW-HORA]],"
VOLT.BATERIA: ",BDEGENER[[#This Row],[VOLTAJE DE BATERIA]],"
TEMPERATURA: ",BDEGENER[[#This Row],[TEMPERATURA DE AGUA]],"
PRES. ACEITE: ",BDEGENER[[#This Row],[PRESION DE ACEITE]])</f>
        <v xml:space="preserve">HORAS: 136957
KW-HR: 
VOLT.BATERIA: 
TEMPERATURA: 
PRES. ACEITE: </v>
      </c>
      <c r="AV518" s="683">
        <f>COUNTIFS(Q518:Q2518,"MANTENIMIENTO CORRECTIVO",Y518:Y2518,BDEGENER[[#This Row],[SERIE]])</f>
        <v>2</v>
      </c>
      <c r="AW518" s="683">
        <f>COUNTIFS(Q518:Q2518,"MANTENIMIENTO PREVENTIVO",Y518:Y2518,BDEGENER[[#This Row],[SERIE]])</f>
        <v>2</v>
      </c>
      <c r="AX51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518" s="683">
        <f>COUNTIFS(BDEGENER[SERIE],BDEGENER[[#This Row],[SERIE]],BDEGENER[TIPO DE SERVICIO],"MANTENIMIENTO PREVENTIVO")</f>
        <v>3</v>
      </c>
      <c r="AZ518" s="683" t="str">
        <f>CONCATENATE("MANTENIMIENTO PREVENTIVO N°",BDEGENER[[#This Row],[GA1]])</f>
        <v>MANTENIMIENTO PREVENTIVO N°3</v>
      </c>
      <c r="BA518" s="683" t="str">
        <f>IF(BDEGENER[[#This Row],[SERVICIO]]=BDEGENER[[#This Row],[GA2]],BDEGENER[[#This Row],[HORAS]],"0")</f>
        <v>0</v>
      </c>
      <c r="BB518" s="683">
        <f>SUMIF(BDEGENER[SERIE],BDEGENER[[#This Row],[SERIE]],BDEGENER[GA3])</f>
        <v>141510</v>
      </c>
      <c r="BC518" s="683" t="str">
        <f>CONCATENATE("MANT",COUNTIF($Y$7:Y518,Y518))</f>
        <v>MANT3</v>
      </c>
      <c r="BD518" s="683" t="str">
        <f>CONCATENATE(BDEGENER[[#This Row],[SERIE]],BDEGENER[[#This Row],[GA5]])</f>
        <v>D4Y-534MANT3</v>
      </c>
      <c r="BE518" s="683" t="str">
        <f>CONCATENATE(BDEGENER[[#This Row],[CODIGO PATRIMONIAL]],BDEGENER[[#This Row],[GA5]])</f>
        <v>MANT3</v>
      </c>
      <c r="BF518" s="683">
        <f>COUNTIF(BDEGENER[SERIE],BDEGENER[[#This Row],[SERIE]])</f>
        <v>6</v>
      </c>
      <c r="BG518" s="683" t="str">
        <f>CONCATENATE("F",COUNTIF($K$7:K518,K518))</f>
        <v>F1</v>
      </c>
      <c r="BH518" s="683" t="str">
        <f>CONCATENATE(BDEGENER[[#This Row],[FECHA DE SERVICIO]],BDEGENER[[#This Row],[N° DE REGISTROS DEL DIA]])</f>
        <v>43935F1</v>
      </c>
      <c r="BI518" s="684"/>
      <c r="BJ518" s="683" t="s">
        <v>1545</v>
      </c>
      <c r="BK518" s="680"/>
    </row>
    <row r="519" spans="2:63" ht="69" hidden="1" x14ac:dyDescent="0.3">
      <c r="B519" s="2"/>
      <c r="C519" s="2"/>
      <c r="D519" s="2"/>
      <c r="E519" s="2"/>
      <c r="F519" s="2"/>
      <c r="G519" s="2"/>
      <c r="H519" s="2"/>
      <c r="I519" s="2"/>
      <c r="J519" s="685"/>
      <c r="K519" s="682">
        <v>43935</v>
      </c>
      <c r="L519" s="725" t="s">
        <v>181</v>
      </c>
      <c r="M519" s="683" t="s">
        <v>185</v>
      </c>
      <c r="N519" s="683" t="s">
        <v>183</v>
      </c>
      <c r="O519" s="683">
        <v>4500853865</v>
      </c>
      <c r="P519" s="688" t="s">
        <v>2154</v>
      </c>
      <c r="Q519" s="683" t="s">
        <v>37</v>
      </c>
      <c r="R519" s="683" t="s">
        <v>1782</v>
      </c>
      <c r="S519" s="686" t="s">
        <v>2155</v>
      </c>
      <c r="T519" s="683" t="s">
        <v>2157</v>
      </c>
      <c r="U519" s="683" t="s">
        <v>2156</v>
      </c>
      <c r="V519" s="683" t="s">
        <v>146</v>
      </c>
      <c r="W519" s="683" t="s">
        <v>914</v>
      </c>
      <c r="X519" s="691" t="s">
        <v>918</v>
      </c>
      <c r="Y519" s="687">
        <v>3004290368</v>
      </c>
      <c r="Z519" s="692"/>
      <c r="AA519" s="683" t="s">
        <v>33</v>
      </c>
      <c r="AB519" s="683" t="s">
        <v>34</v>
      </c>
      <c r="AC519" s="683" t="s">
        <v>230</v>
      </c>
      <c r="AD519" s="683" t="s">
        <v>1110</v>
      </c>
      <c r="AE519" s="683">
        <v>60</v>
      </c>
      <c r="AF519" s="684">
        <v>1646.1</v>
      </c>
      <c r="AG519" s="683" t="s">
        <v>243</v>
      </c>
      <c r="AH519" s="683" t="s">
        <v>220</v>
      </c>
      <c r="AI519" s="683" t="s">
        <v>33</v>
      </c>
      <c r="AJ519" s="683">
        <v>3004034816</v>
      </c>
      <c r="AK519" s="683" t="s">
        <v>33</v>
      </c>
      <c r="AL519" s="722">
        <v>106312930</v>
      </c>
      <c r="AM519" s="683" t="s">
        <v>1121</v>
      </c>
      <c r="AN519" s="683" t="s">
        <v>246</v>
      </c>
      <c r="AO519" s="683" t="s">
        <v>1095</v>
      </c>
      <c r="AP519" s="683" t="s">
        <v>240</v>
      </c>
      <c r="AQ519" s="688" t="str">
        <f>CONCATENATE("REG-",BDEGENER[[#This Row],[FECHA DE SERVICIO]],"-",BDEGENER[[#This Row],[SERIE]],"-",BDEGENER[[#This Row],[HORAS]])</f>
        <v>REG-43935-3004290368-1646,1</v>
      </c>
      <c r="AR519" s="683" t="str">
        <f>CONCATENATE("MARCA: ",BDEGENER[[#This Row],[MARCA]],"
 MODELO: ",BDEGENER[[#This Row],[MODELO]])</f>
        <v>MARCA: GENERAC
 MODELO: PG090</v>
      </c>
      <c r="AS519" s="683" t="str">
        <f>CONCATENATE("MARCA: ",BDEGENER[[#This Row],[MARCA DE MOTOR]],"
SERIE: ",BDEGENER[[#This Row],[SERIE DE MOTOR]])</f>
        <v>MARCA: GENERAC
SERIE: 3004034816</v>
      </c>
      <c r="AT519" s="683" t="str">
        <f>CONCATENATE("MARCA: ",BDEGENER[[#This Row],[MARCA ALTERNADOR ]],"
SERIE: ",BDEGENER[[#This Row],[SERIE DE ALTERNADOR]])</f>
        <v>MARCA: GENERAC
SERIE: 106312930</v>
      </c>
      <c r="AU519" s="683" t="str">
        <f>CONCATENATE("HORAS: ",BDEGENER[[#This Row],[HORAS]],"
KW-HR: ",BDEGENER[[#This Row],[KW-HORA]],"
VOLT.BATERIA: ",BDEGENER[[#This Row],[VOLTAJE DE BATERIA]],"
TEMPERATURA: ",BDEGENER[[#This Row],[TEMPERATURA DE AGUA]],"
PRES. ACEITE: ",BDEGENER[[#This Row],[PRESION DE ACEITE]])</f>
        <v>HORAS: 1646,1
KW-HR: 17193,1
VOLT.BATERIA: 13.7 V
TEMPERATURA: 198 °F
PRES. ACEITE: 54 PSI</v>
      </c>
      <c r="AV519" s="683">
        <f>COUNTIFS(Q519:Q2519,"MANTENIMIENTO CORRECTIVO",Y519:Y2519,BDEGENER[[#This Row],[SERIE]])</f>
        <v>2</v>
      </c>
      <c r="AW519" s="683">
        <f>COUNTIFS(Q519:Q2519,"MANTENIMIENTO PREVENTIVO",Y519:Y2519,BDEGENER[[#This Row],[SERIE]])</f>
        <v>4</v>
      </c>
      <c r="AX51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19" s="683">
        <f>COUNTIFS(BDEGENER[SERIE],BDEGENER[[#This Row],[SERIE]],BDEGENER[TIPO DE SERVICIO],"MANTENIMIENTO PREVENTIVO")</f>
        <v>6</v>
      </c>
      <c r="AZ519" s="683" t="str">
        <f>CONCATENATE("MANTENIMIENTO PREVENTIVO N°",BDEGENER[[#This Row],[GA1]])</f>
        <v>MANTENIMIENTO PREVENTIVO N°6</v>
      </c>
      <c r="BA519" s="683" t="str">
        <f>IF(BDEGENER[[#This Row],[SERVICIO]]=BDEGENER[[#This Row],[GA2]],BDEGENER[[#This Row],[HORAS]],"0")</f>
        <v>0</v>
      </c>
      <c r="BB519" s="683">
        <f>SUMIF(BDEGENER[SERIE],BDEGENER[[#This Row],[SERIE]],BDEGENER[GA3])</f>
        <v>2259.3000000000002</v>
      </c>
      <c r="BC519" s="683" t="str">
        <f>CONCATENATE("MANT",COUNTIF($Y$7:Y519,Y519))</f>
        <v>MANT9</v>
      </c>
      <c r="BD519" s="683" t="str">
        <f>CONCATENATE(BDEGENER[[#This Row],[SERIE]],BDEGENER[[#This Row],[GA5]])</f>
        <v>3004290368MANT9</v>
      </c>
      <c r="BE519" s="683" t="str">
        <f>CONCATENATE(BDEGENER[[#This Row],[CODIGO PATRIMONIAL]],BDEGENER[[#This Row],[GA5]])</f>
        <v>MANT9</v>
      </c>
      <c r="BF519" s="683">
        <f>COUNTIF(BDEGENER[SERIE],BDEGENER[[#This Row],[SERIE]])</f>
        <v>15</v>
      </c>
      <c r="BG519" s="683" t="str">
        <f>CONCATENATE("F",COUNTIF($K$7:K519,K519))</f>
        <v>F2</v>
      </c>
      <c r="BH519" s="683" t="str">
        <f>CONCATENATE(BDEGENER[[#This Row],[FECHA DE SERVICIO]],BDEGENER[[#This Row],[N° DE REGISTROS DEL DIA]])</f>
        <v>43935F2</v>
      </c>
      <c r="BI519" s="684">
        <v>17193.099999999999</v>
      </c>
      <c r="BJ519" s="683" t="s">
        <v>1544</v>
      </c>
      <c r="BK519" s="680" t="s">
        <v>2160</v>
      </c>
    </row>
    <row r="520" spans="2:63" ht="69" hidden="1" x14ac:dyDescent="0.3">
      <c r="B520" s="2"/>
      <c r="C520" s="2"/>
      <c r="D520" s="2"/>
      <c r="E520" s="2"/>
      <c r="F520" s="2"/>
      <c r="G520" s="2"/>
      <c r="H520" s="2"/>
      <c r="I520" s="2"/>
      <c r="J520" s="685"/>
      <c r="K520" s="682">
        <v>43935</v>
      </c>
      <c r="L520" s="725" t="s">
        <v>181</v>
      </c>
      <c r="M520" s="683" t="s">
        <v>185</v>
      </c>
      <c r="N520" s="683" t="s">
        <v>183</v>
      </c>
      <c r="O520" s="683">
        <v>4500873022</v>
      </c>
      <c r="P520" s="688" t="s">
        <v>2154</v>
      </c>
      <c r="Q520" s="683" t="s">
        <v>37</v>
      </c>
      <c r="R520" s="683" t="s">
        <v>1782</v>
      </c>
      <c r="S520" s="686" t="s">
        <v>2155</v>
      </c>
      <c r="T520" s="683" t="s">
        <v>2157</v>
      </c>
      <c r="U520" s="683" t="s">
        <v>2156</v>
      </c>
      <c r="V520" s="683" t="s">
        <v>146</v>
      </c>
      <c r="W520" s="683" t="s">
        <v>914</v>
      </c>
      <c r="X520" s="691" t="s">
        <v>918</v>
      </c>
      <c r="Y520" s="687">
        <v>3004344014</v>
      </c>
      <c r="Z520" s="692"/>
      <c r="AA520" s="683" t="s">
        <v>33</v>
      </c>
      <c r="AB520" s="683" t="s">
        <v>34</v>
      </c>
      <c r="AC520" s="683" t="s">
        <v>230</v>
      </c>
      <c r="AD520" s="683" t="s">
        <v>1110</v>
      </c>
      <c r="AE520" s="683">
        <v>60</v>
      </c>
      <c r="AF520" s="684">
        <v>1210.3</v>
      </c>
      <c r="AG520" s="683" t="s">
        <v>243</v>
      </c>
      <c r="AH520" s="683" t="s">
        <v>220</v>
      </c>
      <c r="AI520" s="683" t="s">
        <v>33</v>
      </c>
      <c r="AJ520" s="683">
        <v>3004346826</v>
      </c>
      <c r="AK520" s="683" t="s">
        <v>33</v>
      </c>
      <c r="AL520" s="683">
        <v>106308730</v>
      </c>
      <c r="AM520" s="683" t="s">
        <v>1121</v>
      </c>
      <c r="AN520" s="683" t="s">
        <v>2159</v>
      </c>
      <c r="AO520" s="683" t="s">
        <v>1349</v>
      </c>
      <c r="AP520" s="683" t="s">
        <v>240</v>
      </c>
      <c r="AQ520" s="688" t="str">
        <f>CONCATENATE("REG-",BDEGENER[[#This Row],[FECHA DE SERVICIO]],"-",BDEGENER[[#This Row],[SERIE]],"-",BDEGENER[[#This Row],[HORAS]])</f>
        <v>REG-43935-3004344014-1210,3</v>
      </c>
      <c r="AR520" s="683" t="str">
        <f>CONCATENATE("MARCA: ",BDEGENER[[#This Row],[MARCA]],"
 MODELO: ",BDEGENER[[#This Row],[MODELO]])</f>
        <v>MARCA: GENERAC
 MODELO: PG090</v>
      </c>
      <c r="AS520" s="683" t="str">
        <f>CONCATENATE("MARCA: ",BDEGENER[[#This Row],[MARCA DE MOTOR]],"
SERIE: ",BDEGENER[[#This Row],[SERIE DE MOTOR]])</f>
        <v>MARCA: GENERAC
SERIE: 3004346826</v>
      </c>
      <c r="AT520" s="683" t="str">
        <f>CONCATENATE("MARCA: ",BDEGENER[[#This Row],[MARCA ALTERNADOR ]],"
SERIE: ",BDEGENER[[#This Row],[SERIE DE ALTERNADOR]])</f>
        <v>MARCA: GENERAC
SERIE: 106308730</v>
      </c>
      <c r="AU520" s="683" t="str">
        <f>CONCATENATE("HORAS: ",BDEGENER[[#This Row],[HORAS]],"
KW-HR: ",BDEGENER[[#This Row],[KW-HORA]],"
VOLT.BATERIA: ",BDEGENER[[#This Row],[VOLTAJE DE BATERIA]],"
TEMPERATURA: ",BDEGENER[[#This Row],[TEMPERATURA DE AGUA]],"
PRES. ACEITE: ",BDEGENER[[#This Row],[PRESION DE ACEITE]])</f>
        <v>HORAS: 1210,3
KW-HR: 28591,4
VOLT.BATERIA: 13.7 V
TEMPERATURA: 199°F
PRES. ACEITE: 56 PSI</v>
      </c>
      <c r="AV520" s="761">
        <f>COUNTIFS(Q520:Q2520,"MANTENIMIENTO CORRECTIVO",Y520:Y2520,BDEGENER[[#This Row],[SERIE]])</f>
        <v>2</v>
      </c>
      <c r="AW520" s="761">
        <f>COUNTIFS(Q520:Q2520,"MANTENIMIENTO PREVENTIVO",Y520:Y2520,BDEGENER[[#This Row],[SERIE]])</f>
        <v>5</v>
      </c>
      <c r="AX52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520" s="683">
        <f>COUNTIFS(BDEGENER[SERIE],BDEGENER[[#This Row],[SERIE]],BDEGENER[TIPO DE SERVICIO],"MANTENIMIENTO PREVENTIVO")</f>
        <v>8</v>
      </c>
      <c r="AZ520" s="683" t="str">
        <f>CONCATENATE("MANTENIMIENTO PREVENTIVO N°",BDEGENER[[#This Row],[GA1]])</f>
        <v>MANTENIMIENTO PREVENTIVO N°8</v>
      </c>
      <c r="BA520" s="683" t="str">
        <f>IF(BDEGENER[[#This Row],[SERVICIO]]=BDEGENER[[#This Row],[GA2]],BDEGENER[[#This Row],[HORAS]],"0")</f>
        <v>0</v>
      </c>
      <c r="BB520" s="683">
        <f>SUMIF(BDEGENER[SERIE],BDEGENER[[#This Row],[SERIE]],BDEGENER[GA3])</f>
        <v>2070.3000000000002</v>
      </c>
      <c r="BC520" s="761" t="str">
        <f>CONCATENATE("MANT",COUNTIF($Y$7:Y520,Y520))</f>
        <v>MANT5</v>
      </c>
      <c r="BD520" s="683" t="str">
        <f>CONCATENATE(BDEGENER[[#This Row],[SERIE]],BDEGENER[[#This Row],[GA5]])</f>
        <v>3004344014MANT5</v>
      </c>
      <c r="BE520" s="683" t="str">
        <f>CONCATENATE(BDEGENER[[#This Row],[CODIGO PATRIMONIAL]],BDEGENER[[#This Row],[GA5]])</f>
        <v>MANT5</v>
      </c>
      <c r="BF520" s="683">
        <f>COUNTIF(BDEGENER[SERIE],BDEGENER[[#This Row],[SERIE]])</f>
        <v>12</v>
      </c>
      <c r="BG520" s="761" t="str">
        <f>CONCATENATE("F",COUNTIF($K$7:K520,K520))</f>
        <v>F3</v>
      </c>
      <c r="BH520" s="683" t="str">
        <f>CONCATENATE(BDEGENER[[#This Row],[FECHA DE SERVICIO]],BDEGENER[[#This Row],[N° DE REGISTROS DEL DIA]])</f>
        <v>43935F3</v>
      </c>
      <c r="BI520" s="684">
        <v>28591.4</v>
      </c>
      <c r="BJ520" s="683" t="s">
        <v>1544</v>
      </c>
      <c r="BK520" s="680" t="s">
        <v>2166</v>
      </c>
    </row>
    <row r="521" spans="2:63" ht="69" hidden="1" x14ac:dyDescent="0.3">
      <c r="B521" s="2"/>
      <c r="C521" s="2"/>
      <c r="D521" s="2"/>
      <c r="E521" s="2"/>
      <c r="F521" s="2"/>
      <c r="G521" s="2"/>
      <c r="H521" s="2"/>
      <c r="I521" s="2"/>
      <c r="J521" s="685"/>
      <c r="K521" s="682">
        <v>43934</v>
      </c>
      <c r="L521" s="725" t="s">
        <v>181</v>
      </c>
      <c r="M521" s="683" t="s">
        <v>182</v>
      </c>
      <c r="N521" s="683" t="s">
        <v>183</v>
      </c>
      <c r="O521" s="683">
        <v>4500873022</v>
      </c>
      <c r="P521" s="688" t="s">
        <v>2139</v>
      </c>
      <c r="Q521" s="683" t="s">
        <v>37</v>
      </c>
      <c r="R521" s="683" t="s">
        <v>1782</v>
      </c>
      <c r="S521" s="686" t="s">
        <v>2151</v>
      </c>
      <c r="T521" s="683" t="s">
        <v>2153</v>
      </c>
      <c r="U521" s="683" t="s">
        <v>2150</v>
      </c>
      <c r="V521" s="683" t="s">
        <v>146</v>
      </c>
      <c r="W521" s="683" t="s">
        <v>914</v>
      </c>
      <c r="X521" s="691" t="s">
        <v>918</v>
      </c>
      <c r="Y521" s="687">
        <v>3004337427</v>
      </c>
      <c r="Z521" s="692"/>
      <c r="AA521" s="683" t="s">
        <v>33</v>
      </c>
      <c r="AB521" s="683" t="s">
        <v>34</v>
      </c>
      <c r="AC521" s="683" t="s">
        <v>230</v>
      </c>
      <c r="AD521" s="683" t="s">
        <v>1110</v>
      </c>
      <c r="AE521" s="683">
        <v>60</v>
      </c>
      <c r="AF521" s="684">
        <v>1247.5</v>
      </c>
      <c r="AG521" s="683" t="s">
        <v>243</v>
      </c>
      <c r="AH521" s="683" t="s">
        <v>220</v>
      </c>
      <c r="AI521" s="683" t="s">
        <v>33</v>
      </c>
      <c r="AJ521" s="683">
        <v>3004346831</v>
      </c>
      <c r="AK521" s="683" t="s">
        <v>33</v>
      </c>
      <c r="AL521" s="683">
        <v>10630720</v>
      </c>
      <c r="AM521" s="683" t="s">
        <v>1121</v>
      </c>
      <c r="AN521" s="683" t="s">
        <v>2141</v>
      </c>
      <c r="AO521" s="683" t="s">
        <v>1349</v>
      </c>
      <c r="AP521" s="683" t="s">
        <v>240</v>
      </c>
      <c r="AQ521" s="688" t="str">
        <f>CONCATENATE("REG-",BDEGENER[[#This Row],[FECHA DE SERVICIO]],"-",BDEGENER[[#This Row],[SERIE]],"-",BDEGENER[[#This Row],[HORAS]])</f>
        <v>REG-43934-3004337427-1247,5</v>
      </c>
      <c r="AR521" s="683" t="str">
        <f>CONCATENATE("MARCA: ",BDEGENER[[#This Row],[MARCA]],"
 MODELO: ",BDEGENER[[#This Row],[MODELO]])</f>
        <v>MARCA: GENERAC
 MODELO: PG090</v>
      </c>
      <c r="AS521" s="683" t="str">
        <f>CONCATENATE("MARCA: ",BDEGENER[[#This Row],[MARCA DE MOTOR]],"
SERIE: ",BDEGENER[[#This Row],[SERIE DE MOTOR]])</f>
        <v>MARCA: GENERAC
SERIE: 3004346831</v>
      </c>
      <c r="AT521" s="683" t="str">
        <f>CONCATENATE("MARCA: ",BDEGENER[[#This Row],[MARCA ALTERNADOR ]],"
SERIE: ",BDEGENER[[#This Row],[SERIE DE ALTERNADOR]])</f>
        <v>MARCA: GENERAC
SERIE: 10630720</v>
      </c>
      <c r="AU521" s="683" t="str">
        <f>CONCATENATE("HORAS: ",BDEGENER[[#This Row],[HORAS]],"
KW-HR: ",BDEGENER[[#This Row],[KW-HORA]],"
VOLT.BATERIA: ",BDEGENER[[#This Row],[VOLTAJE DE BATERIA]],"
TEMPERATURA: ",BDEGENER[[#This Row],[TEMPERATURA DE AGUA]],"
PRES. ACEITE: ",BDEGENER[[#This Row],[PRESION DE ACEITE]])</f>
        <v>HORAS: 1247,5
KW-HR: 32080,3
VOLT.BATERIA: 13.7 V
TEMPERATURA: 199 °f
PRES. ACEITE: 56 PSI</v>
      </c>
      <c r="AV521" s="683">
        <f>COUNTIFS(Q521:Q2521,"MANTENIMIENTO CORRECTIVO",Y521:Y2521,BDEGENER[[#This Row],[SERIE]])</f>
        <v>2</v>
      </c>
      <c r="AW521" s="683">
        <f>COUNTIFS(Q521:Q2521,"MANTENIMIENTO PREVENTIVO",Y521:Y2521,BDEGENER[[#This Row],[SERIE]])</f>
        <v>4</v>
      </c>
      <c r="AX52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21" s="683">
        <f>COUNTIFS(BDEGENER[SERIE],BDEGENER[[#This Row],[SERIE]],BDEGENER[TIPO DE SERVICIO],"MANTENIMIENTO PREVENTIVO")</f>
        <v>6</v>
      </c>
      <c r="AZ521" s="683" t="str">
        <f>CONCATENATE("MANTENIMIENTO PREVENTIVO N°",BDEGENER[[#This Row],[GA1]])</f>
        <v>MANTENIMIENTO PREVENTIVO N°6</v>
      </c>
      <c r="BA521" s="683" t="str">
        <f>IF(BDEGENER[[#This Row],[SERVICIO]]=BDEGENER[[#This Row],[GA2]],BDEGENER[[#This Row],[HORAS]],"0")</f>
        <v>0</v>
      </c>
      <c r="BB521" s="683">
        <f>SUMIF(BDEGENER[SERIE],BDEGENER[[#This Row],[SERIE]],BDEGENER[GA3])</f>
        <v>1835.7</v>
      </c>
      <c r="BC521" s="683" t="str">
        <f>CONCATENATE("MANT",COUNTIF($Y$7:Y521,Y521))</f>
        <v>MANT3</v>
      </c>
      <c r="BD521" s="683" t="str">
        <f>CONCATENATE(BDEGENER[[#This Row],[SERIE]],BDEGENER[[#This Row],[GA5]])</f>
        <v>3004337427MANT3</v>
      </c>
      <c r="BE521" s="683" t="str">
        <f>CONCATENATE(BDEGENER[[#This Row],[CODIGO PATRIMONIAL]],BDEGENER[[#This Row],[GA5]])</f>
        <v>MANT3</v>
      </c>
      <c r="BF521" s="683">
        <f>COUNTIF(BDEGENER[SERIE],BDEGENER[[#This Row],[SERIE]])</f>
        <v>9</v>
      </c>
      <c r="BG521" s="683" t="str">
        <f>CONCATENATE("F",COUNTIF($K$7:K521,K521))</f>
        <v>F1</v>
      </c>
      <c r="BH521" s="683" t="str">
        <f>CONCATENATE(BDEGENER[[#This Row],[FECHA DE SERVICIO]],BDEGENER[[#This Row],[N° DE REGISTROS DEL DIA]])</f>
        <v>43934F1</v>
      </c>
      <c r="BI521" s="684">
        <v>32080.3</v>
      </c>
      <c r="BJ521" s="683" t="s">
        <v>1544</v>
      </c>
      <c r="BK521" s="680" t="s">
        <v>2165</v>
      </c>
    </row>
    <row r="522" spans="2:63" ht="69" hidden="1" x14ac:dyDescent="0.3">
      <c r="B522" s="2"/>
      <c r="C522" s="2"/>
      <c r="D522" s="2"/>
      <c r="E522" s="2"/>
      <c r="F522" s="2"/>
      <c r="G522" s="2"/>
      <c r="H522" s="2"/>
      <c r="I522" s="2"/>
      <c r="J522" s="685"/>
      <c r="K522" s="682">
        <v>43934</v>
      </c>
      <c r="L522" s="725" t="s">
        <v>181</v>
      </c>
      <c r="M522" s="683" t="s">
        <v>182</v>
      </c>
      <c r="N522" s="683" t="s">
        <v>183</v>
      </c>
      <c r="O522" s="683">
        <v>4500873022</v>
      </c>
      <c r="P522" s="688" t="s">
        <v>2139</v>
      </c>
      <c r="Q522" s="683" t="s">
        <v>37</v>
      </c>
      <c r="R522" s="683" t="s">
        <v>1782</v>
      </c>
      <c r="S522" s="686" t="s">
        <v>2140</v>
      </c>
      <c r="T522" s="683" t="s">
        <v>2152</v>
      </c>
      <c r="U522" s="683" t="s">
        <v>124</v>
      </c>
      <c r="V522" s="683" t="s">
        <v>146</v>
      </c>
      <c r="W522" s="683" t="s">
        <v>914</v>
      </c>
      <c r="X522" s="691" t="s">
        <v>918</v>
      </c>
      <c r="Y522" s="687">
        <v>3004256777</v>
      </c>
      <c r="Z522" s="692"/>
      <c r="AA522" s="683" t="s">
        <v>33</v>
      </c>
      <c r="AB522" s="683" t="s">
        <v>34</v>
      </c>
      <c r="AC522" s="683" t="s">
        <v>230</v>
      </c>
      <c r="AD522" s="683" t="s">
        <v>1110</v>
      </c>
      <c r="AE522" s="683">
        <v>60</v>
      </c>
      <c r="AF522" s="684">
        <v>927.9</v>
      </c>
      <c r="AG522" s="683" t="s">
        <v>243</v>
      </c>
      <c r="AH522" s="683" t="s">
        <v>220</v>
      </c>
      <c r="AI522" s="683" t="s">
        <v>33</v>
      </c>
      <c r="AJ522" s="683">
        <v>3003930235</v>
      </c>
      <c r="AK522" s="683" t="s">
        <v>33</v>
      </c>
      <c r="AL522" s="683">
        <v>10630250</v>
      </c>
      <c r="AM522" s="683" t="s">
        <v>1121</v>
      </c>
      <c r="AN522" s="683" t="s">
        <v>1352</v>
      </c>
      <c r="AO522" s="683" t="s">
        <v>1349</v>
      </c>
      <c r="AP522" s="683" t="s">
        <v>240</v>
      </c>
      <c r="AQ522" s="688" t="str">
        <f>CONCATENATE("REG-",BDEGENER[[#This Row],[FECHA DE SERVICIO]],"-",BDEGENER[[#This Row],[SERIE]],"-",BDEGENER[[#This Row],[HORAS]])</f>
        <v>REG-43934-3004256777-927,9</v>
      </c>
      <c r="AR522" s="683" t="str">
        <f>CONCATENATE("MARCA: ",BDEGENER[[#This Row],[MARCA]],"
 MODELO: ",BDEGENER[[#This Row],[MODELO]])</f>
        <v>MARCA: GENERAC
 MODELO: PG090</v>
      </c>
      <c r="AS522" s="683" t="str">
        <f>CONCATENATE("MARCA: ",BDEGENER[[#This Row],[MARCA DE MOTOR]],"
SERIE: ",BDEGENER[[#This Row],[SERIE DE MOTOR]])</f>
        <v>MARCA: GENERAC
SERIE: 3003930235</v>
      </c>
      <c r="AT522" s="683" t="str">
        <f>CONCATENATE("MARCA: ",BDEGENER[[#This Row],[MARCA ALTERNADOR ]],"
SERIE: ",BDEGENER[[#This Row],[SERIE DE ALTERNADOR]])</f>
        <v>MARCA: GENERAC
SERIE: 10630250</v>
      </c>
      <c r="AU522" s="683" t="str">
        <f>CONCATENATE("HORAS: ",BDEGENER[[#This Row],[HORAS]],"
KW-HR: ",BDEGENER[[#This Row],[KW-HORA]],"
VOLT.BATERIA: ",BDEGENER[[#This Row],[VOLTAJE DE BATERIA]],"
TEMPERATURA: ",BDEGENER[[#This Row],[TEMPERATURA DE AGUA]],"
PRES. ACEITE: ",BDEGENER[[#This Row],[PRESION DE ACEITE]])</f>
        <v>HORAS: 927,9
KW-HR: 28149,3
VOLT.BATERIA: 13.7 V
TEMPERATURA: 196 °F
PRES. ACEITE: 56 PSI</v>
      </c>
      <c r="AV522" s="683">
        <f>COUNTIFS(Q522:Q2522,"MANTENIMIENTO CORRECTIVO",Y522:Y2522,BDEGENER[[#This Row],[SERIE]])</f>
        <v>3</v>
      </c>
      <c r="AW522" s="683">
        <f>COUNTIFS(Q522:Q2522,"MANTENIMIENTO PREVENTIVO",Y522:Y2522,BDEGENER[[#This Row],[SERIE]])</f>
        <v>3</v>
      </c>
      <c r="AX52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22" s="683">
        <f>COUNTIFS(BDEGENER[SERIE],BDEGENER[[#This Row],[SERIE]],BDEGENER[TIPO DE SERVICIO],"MANTENIMIENTO PREVENTIVO")</f>
        <v>9</v>
      </c>
      <c r="AZ522" s="683" t="str">
        <f>CONCATENATE("MANTENIMIENTO PREVENTIVO N°",BDEGENER[[#This Row],[GA1]])</f>
        <v>MANTENIMIENTO PREVENTIVO N°9</v>
      </c>
      <c r="BA522" s="683" t="str">
        <f>IF(BDEGENER[[#This Row],[SERVICIO]]=BDEGENER[[#This Row],[GA2]],BDEGENER[[#This Row],[HORAS]],"0")</f>
        <v>0</v>
      </c>
      <c r="BB522" s="683">
        <f>SUMIF(BDEGENER[SERIE],BDEGENER[[#This Row],[SERIE]],BDEGENER[GA3])</f>
        <v>2804.7</v>
      </c>
      <c r="BC522" s="683" t="str">
        <f>CONCATENATE("MANT",COUNTIF($Y$7:Y522,Y522))</f>
        <v>MANT10</v>
      </c>
      <c r="BD522" s="683" t="str">
        <f>CONCATENATE(BDEGENER[[#This Row],[SERIE]],BDEGENER[[#This Row],[GA5]])</f>
        <v>3004256777MANT10</v>
      </c>
      <c r="BE522" s="683" t="str">
        <f>CONCATENATE(BDEGENER[[#This Row],[CODIGO PATRIMONIAL]],BDEGENER[[#This Row],[GA5]])</f>
        <v>MANT10</v>
      </c>
      <c r="BF522" s="683">
        <f>COUNTIF(BDEGENER[SERIE],BDEGENER[[#This Row],[SERIE]])</f>
        <v>16</v>
      </c>
      <c r="BG522" s="683" t="str">
        <f>CONCATENATE("F",COUNTIF($K$7:K522,K522))</f>
        <v>F2</v>
      </c>
      <c r="BH522" s="683" t="str">
        <f>CONCATENATE(BDEGENER[[#This Row],[FECHA DE SERVICIO]],BDEGENER[[#This Row],[N° DE REGISTROS DEL DIA]])</f>
        <v>43934F2</v>
      </c>
      <c r="BI522" s="684">
        <v>28149.3</v>
      </c>
      <c r="BJ522" s="683" t="s">
        <v>1544</v>
      </c>
      <c r="BK522" s="680"/>
    </row>
    <row r="523" spans="2:63" ht="69" hidden="1" x14ac:dyDescent="0.3">
      <c r="B523" s="2"/>
      <c r="C523" s="2"/>
      <c r="D523" s="2"/>
      <c r="E523" s="2"/>
      <c r="F523" s="2"/>
      <c r="G523" s="2"/>
      <c r="H523" s="2"/>
      <c r="I523" s="2"/>
      <c r="J523" s="685"/>
      <c r="K523" s="682">
        <v>43933</v>
      </c>
      <c r="L523" s="725" t="s">
        <v>181</v>
      </c>
      <c r="M523" s="683" t="s">
        <v>184</v>
      </c>
      <c r="N523" s="683" t="s">
        <v>183</v>
      </c>
      <c r="O523" s="683">
        <v>4500873022</v>
      </c>
      <c r="P523" s="688" t="s">
        <v>2135</v>
      </c>
      <c r="Q523" s="683" t="s">
        <v>37</v>
      </c>
      <c r="R523" s="683" t="s">
        <v>1782</v>
      </c>
      <c r="S523" s="686" t="s">
        <v>2136</v>
      </c>
      <c r="T523" s="683" t="s">
        <v>2132</v>
      </c>
      <c r="U523" s="683" t="s">
        <v>2053</v>
      </c>
      <c r="V523" s="683" t="s">
        <v>146</v>
      </c>
      <c r="W523" s="683" t="s">
        <v>914</v>
      </c>
      <c r="X523" s="691" t="s">
        <v>918</v>
      </c>
      <c r="Y523" s="687">
        <v>3004416580</v>
      </c>
      <c r="Z523" s="692"/>
      <c r="AA523" s="683" t="s">
        <v>33</v>
      </c>
      <c r="AB523" s="683" t="s">
        <v>34</v>
      </c>
      <c r="AC523" s="683" t="s">
        <v>230</v>
      </c>
      <c r="AD523" s="683" t="s">
        <v>1993</v>
      </c>
      <c r="AE523" s="683">
        <v>60</v>
      </c>
      <c r="AF523" s="684">
        <v>1719.8</v>
      </c>
      <c r="AG523" s="683" t="s">
        <v>243</v>
      </c>
      <c r="AH523" s="683" t="s">
        <v>220</v>
      </c>
      <c r="AI523" s="683" t="s">
        <v>33</v>
      </c>
      <c r="AJ523" s="683">
        <v>3004426061</v>
      </c>
      <c r="AK523" s="683" t="s">
        <v>33</v>
      </c>
      <c r="AL523" s="683">
        <v>107746810</v>
      </c>
      <c r="AM523" s="683" t="s">
        <v>1121</v>
      </c>
      <c r="AN523" s="683" t="s">
        <v>1102</v>
      </c>
      <c r="AO523" s="683" t="s">
        <v>1349</v>
      </c>
      <c r="AP523" s="683" t="s">
        <v>240</v>
      </c>
      <c r="AQ523" s="688" t="str">
        <f>CONCATENATE("REG-",BDEGENER[[#This Row],[FECHA DE SERVICIO]],"-",BDEGENER[[#This Row],[SERIE]],"-",BDEGENER[[#This Row],[HORAS]])</f>
        <v>REG-43933-3004416580-1719,8</v>
      </c>
      <c r="AR523" s="683" t="str">
        <f>CONCATENATE("MARCA: ",BDEGENER[[#This Row],[MARCA]],"
 MODELO: ",BDEGENER[[#This Row],[MODELO]])</f>
        <v>MARCA: GENERAC
 MODELO: PG090</v>
      </c>
      <c r="AS523" s="683" t="str">
        <f>CONCATENATE("MARCA: ",BDEGENER[[#This Row],[MARCA DE MOTOR]],"
SERIE: ",BDEGENER[[#This Row],[SERIE DE MOTOR]])</f>
        <v>MARCA: GENERAC
SERIE: 3004426061</v>
      </c>
      <c r="AT523" s="683" t="str">
        <f>CONCATENATE("MARCA: ",BDEGENER[[#This Row],[MARCA ALTERNADOR ]],"
SERIE: ",BDEGENER[[#This Row],[SERIE DE ALTERNADOR]])</f>
        <v>MARCA: GENERAC
SERIE: 107746810</v>
      </c>
      <c r="AU523" s="683" t="str">
        <f>CONCATENATE("HORAS: ",BDEGENER[[#This Row],[HORAS]],"
KW-HR: ",BDEGENER[[#This Row],[KW-HORA]],"
VOLT.BATERIA: ",BDEGENER[[#This Row],[VOLTAJE DE BATERIA]],"
TEMPERATURA: ",BDEGENER[[#This Row],[TEMPERATURA DE AGUA]],"
PRES. ACEITE: ",BDEGENER[[#This Row],[PRESION DE ACEITE]])</f>
        <v>HORAS: 1719,8
KW-HR: 20983,8
VOLT.BATERIA: 13.7 V
TEMPERATURA: 199 °F
PRES. ACEITE: 56 PSI</v>
      </c>
      <c r="AV523" s="761">
        <f>COUNTIFS(Q523:Q2523,"MANTENIMIENTO CORRECTIVO",Y523:Y2523,BDEGENER[[#This Row],[SERIE]])</f>
        <v>2</v>
      </c>
      <c r="AW523" s="761">
        <f>COUNTIFS(Q523:Q2523,"MANTENIMIENTO PREVENTIVO",Y523:Y2523,BDEGENER[[#This Row],[SERIE]])</f>
        <v>5</v>
      </c>
      <c r="AX52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523" s="683">
        <f>COUNTIFS(BDEGENER[SERIE],BDEGENER[[#This Row],[SERIE]],BDEGENER[TIPO DE SERVICIO],"MANTENIMIENTO PREVENTIVO")</f>
        <v>8</v>
      </c>
      <c r="AZ523" s="683" t="str">
        <f>CONCATENATE("MANTENIMIENTO PREVENTIVO N°",BDEGENER[[#This Row],[GA1]])</f>
        <v>MANTENIMIENTO PREVENTIVO N°8</v>
      </c>
      <c r="BA523" s="683" t="str">
        <f>IF(BDEGENER[[#This Row],[SERVICIO]]=BDEGENER[[#This Row],[GA2]],BDEGENER[[#This Row],[HORAS]],"0")</f>
        <v>0</v>
      </c>
      <c r="BB523" s="683">
        <f>SUMIF(BDEGENER[SERIE],BDEGENER[[#This Row],[SERIE]],BDEGENER[GA3])</f>
        <v>3113.9</v>
      </c>
      <c r="BC523" s="761" t="str">
        <f>CONCATENATE("MANT",COUNTIF($Y$7:Y523,Y523))</f>
        <v>MANT7</v>
      </c>
      <c r="BD523" s="683" t="str">
        <f>CONCATENATE(BDEGENER[[#This Row],[SERIE]],BDEGENER[[#This Row],[GA5]])</f>
        <v>3004416580MANT7</v>
      </c>
      <c r="BE523" s="683" t="str">
        <f>CONCATENATE(BDEGENER[[#This Row],[CODIGO PATRIMONIAL]],BDEGENER[[#This Row],[GA5]])</f>
        <v>MANT7</v>
      </c>
      <c r="BF523" s="683">
        <f>COUNTIF(BDEGENER[SERIE],BDEGENER[[#This Row],[SERIE]])</f>
        <v>14</v>
      </c>
      <c r="BG523" s="761" t="str">
        <f>CONCATENATE("F",COUNTIF($K$7:K523,K523))</f>
        <v>F1</v>
      </c>
      <c r="BH523" s="683" t="str">
        <f>CONCATENATE(BDEGENER[[#This Row],[FECHA DE SERVICIO]],BDEGENER[[#This Row],[N° DE REGISTROS DEL DIA]])</f>
        <v>43933F1</v>
      </c>
      <c r="BI523" s="684">
        <v>20983.8</v>
      </c>
      <c r="BJ523" s="683" t="s">
        <v>1544</v>
      </c>
      <c r="BK523" s="680"/>
    </row>
    <row r="524" spans="2:63" ht="69" hidden="1" x14ac:dyDescent="0.3">
      <c r="B524" s="2"/>
      <c r="C524" s="2"/>
      <c r="D524" s="2"/>
      <c r="E524" s="2"/>
      <c r="F524" s="2"/>
      <c r="G524" s="2"/>
      <c r="H524" s="2"/>
      <c r="I524" s="2"/>
      <c r="J524" s="685"/>
      <c r="K524" s="682">
        <v>43932</v>
      </c>
      <c r="L524" s="725" t="s">
        <v>181</v>
      </c>
      <c r="M524" s="683" t="s">
        <v>184</v>
      </c>
      <c r="N524" s="683" t="s">
        <v>183</v>
      </c>
      <c r="O524" s="683">
        <v>4500873022</v>
      </c>
      <c r="P524" s="688" t="s">
        <v>2130</v>
      </c>
      <c r="Q524" s="683" t="s">
        <v>37</v>
      </c>
      <c r="R524" s="683" t="s">
        <v>1782</v>
      </c>
      <c r="S524" s="686" t="s">
        <v>2133</v>
      </c>
      <c r="T524" s="683" t="s">
        <v>2132</v>
      </c>
      <c r="U524" s="683" t="s">
        <v>2095</v>
      </c>
      <c r="V524" s="683" t="s">
        <v>146</v>
      </c>
      <c r="W524" s="683" t="s">
        <v>914</v>
      </c>
      <c r="X524" s="691" t="s">
        <v>918</v>
      </c>
      <c r="Y524" s="687">
        <v>3004336197</v>
      </c>
      <c r="Z524" s="692"/>
      <c r="AA524" s="683" t="s">
        <v>33</v>
      </c>
      <c r="AB524" s="683" t="s">
        <v>34</v>
      </c>
      <c r="AC524" s="683" t="s">
        <v>230</v>
      </c>
      <c r="AD524" s="683" t="s">
        <v>1110</v>
      </c>
      <c r="AE524" s="683">
        <v>60</v>
      </c>
      <c r="AF524" s="684">
        <v>1100.5</v>
      </c>
      <c r="AG524" s="683" t="s">
        <v>243</v>
      </c>
      <c r="AH524" s="683" t="s">
        <v>220</v>
      </c>
      <c r="AI524" s="683" t="s">
        <v>33</v>
      </c>
      <c r="AJ524" s="683">
        <v>3004309062</v>
      </c>
      <c r="AK524" s="683" t="s">
        <v>33</v>
      </c>
      <c r="AL524" s="683">
        <v>10650720</v>
      </c>
      <c r="AM524" s="683" t="s">
        <v>1121</v>
      </c>
      <c r="AN524" s="683" t="s">
        <v>1143</v>
      </c>
      <c r="AO524" s="683" t="s">
        <v>1349</v>
      </c>
      <c r="AP524" s="683" t="s">
        <v>240</v>
      </c>
      <c r="AQ524" s="688" t="str">
        <f>CONCATENATE("REG-",BDEGENER[[#This Row],[FECHA DE SERVICIO]],"-",BDEGENER[[#This Row],[SERIE]],"-",BDEGENER[[#This Row],[HORAS]])</f>
        <v>REG-43932-3004336197-1100,5</v>
      </c>
      <c r="AR524" s="683" t="str">
        <f>CONCATENATE("MARCA: ",BDEGENER[[#This Row],[MARCA]],"
 MODELO: ",BDEGENER[[#This Row],[MODELO]])</f>
        <v>MARCA: GENERAC
 MODELO: PG090</v>
      </c>
      <c r="AS524" s="683" t="str">
        <f>CONCATENATE("MARCA: ",BDEGENER[[#This Row],[MARCA DE MOTOR]],"
SERIE: ",BDEGENER[[#This Row],[SERIE DE MOTOR]])</f>
        <v>MARCA: GENERAC
SERIE: 3004309062</v>
      </c>
      <c r="AT524" s="683" t="str">
        <f>CONCATENATE("MARCA: ",BDEGENER[[#This Row],[MARCA ALTERNADOR ]],"
SERIE: ",BDEGENER[[#This Row],[SERIE DE ALTERNADOR]])</f>
        <v>MARCA: GENERAC
SERIE: 10650720</v>
      </c>
      <c r="AU524" s="683" t="str">
        <f>CONCATENATE("HORAS: ",BDEGENER[[#This Row],[HORAS]],"
KW-HR: ",BDEGENER[[#This Row],[KW-HORA]],"
VOLT.BATERIA: ",BDEGENER[[#This Row],[VOLTAJE DE BATERIA]],"
TEMPERATURA: ",BDEGENER[[#This Row],[TEMPERATURA DE AGUA]],"
PRES. ACEITE: ",BDEGENER[[#This Row],[PRESION DE ACEITE]])</f>
        <v>HORAS: 1100,5
KW-HR: 25640,8
VOLT.BATERIA: 13.7 V
TEMPERATURA: 197 °F
PRES. ACEITE: 56 PSI</v>
      </c>
      <c r="AV524" s="683">
        <f>COUNTIFS(Q524:Q2524,"MANTENIMIENTO CORRECTIVO",Y524:Y2524,BDEGENER[[#This Row],[SERIE]])</f>
        <v>4</v>
      </c>
      <c r="AW524" s="683">
        <f>COUNTIFS(Q524:Q2524,"MANTENIMIENTO PREVENTIVO",Y524:Y2524,BDEGENER[[#This Row],[SERIE]])</f>
        <v>4</v>
      </c>
      <c r="AX52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24" s="683">
        <f>COUNTIFS(BDEGENER[SERIE],BDEGENER[[#This Row],[SERIE]],BDEGENER[TIPO DE SERVICIO],"MANTENIMIENTO PREVENTIVO")</f>
        <v>9</v>
      </c>
      <c r="AZ524" s="683" t="str">
        <f>CONCATENATE("MANTENIMIENTO PREVENTIVO N°",BDEGENER[[#This Row],[GA1]])</f>
        <v>MANTENIMIENTO PREVENTIVO N°9</v>
      </c>
      <c r="BA524" s="683" t="str">
        <f>IF(BDEGENER[[#This Row],[SERVICIO]]=BDEGENER[[#This Row],[GA2]],BDEGENER[[#This Row],[HORAS]],"0")</f>
        <v>0</v>
      </c>
      <c r="BB524" s="683">
        <f>SUMIF(BDEGENER[SERIE],BDEGENER[[#This Row],[SERIE]],BDEGENER[GA3])</f>
        <v>2922.3</v>
      </c>
      <c r="BC524" s="683" t="str">
        <f>CONCATENATE("MANT",COUNTIF($Y$7:Y524,Y524))</f>
        <v>MANT8</v>
      </c>
      <c r="BD524" s="683" t="str">
        <f>CONCATENATE(BDEGENER[[#This Row],[SERIE]],BDEGENER[[#This Row],[GA5]])</f>
        <v>3004336197MANT8</v>
      </c>
      <c r="BE524" s="683" t="str">
        <f>CONCATENATE(BDEGENER[[#This Row],[CODIGO PATRIMONIAL]],BDEGENER[[#This Row],[GA5]])</f>
        <v>MANT8</v>
      </c>
      <c r="BF524" s="683">
        <f>COUNTIF(BDEGENER[SERIE],BDEGENER[[#This Row],[SERIE]])</f>
        <v>17</v>
      </c>
      <c r="BG524" s="683" t="str">
        <f>CONCATENATE("F",COUNTIF($K$7:K524,K524))</f>
        <v>F1</v>
      </c>
      <c r="BH524" s="683" t="str">
        <f>CONCATENATE(BDEGENER[[#This Row],[FECHA DE SERVICIO]],BDEGENER[[#This Row],[N° DE REGISTROS DEL DIA]])</f>
        <v>43932F1</v>
      </c>
      <c r="BI524" s="684">
        <v>25640.799999999999</v>
      </c>
      <c r="BJ524" s="683" t="s">
        <v>1544</v>
      </c>
      <c r="BK524" s="680"/>
    </row>
    <row r="525" spans="2:63" ht="69" hidden="1" x14ac:dyDescent="0.3">
      <c r="B525" s="2"/>
      <c r="C525" s="2"/>
      <c r="D525" s="2"/>
      <c r="E525" s="2"/>
      <c r="F525" s="2"/>
      <c r="G525" s="2"/>
      <c r="H525" s="2"/>
      <c r="I525" s="2"/>
      <c r="J525" s="685"/>
      <c r="K525" s="682">
        <v>43932</v>
      </c>
      <c r="L525" s="725" t="s">
        <v>181</v>
      </c>
      <c r="M525" s="683" t="s">
        <v>184</v>
      </c>
      <c r="N525" s="683" t="s">
        <v>183</v>
      </c>
      <c r="O525" s="683">
        <v>4500873022</v>
      </c>
      <c r="P525" s="688" t="s">
        <v>2130</v>
      </c>
      <c r="Q525" s="683" t="s">
        <v>37</v>
      </c>
      <c r="R525" s="683" t="s">
        <v>1782</v>
      </c>
      <c r="S525" s="686" t="s">
        <v>2131</v>
      </c>
      <c r="T525" s="683" t="s">
        <v>2132</v>
      </c>
      <c r="U525" s="683" t="s">
        <v>2107</v>
      </c>
      <c r="V525" s="683" t="s">
        <v>146</v>
      </c>
      <c r="W525" s="683" t="s">
        <v>914</v>
      </c>
      <c r="X525" s="691" t="s">
        <v>918</v>
      </c>
      <c r="Y525" s="687">
        <v>3004227749</v>
      </c>
      <c r="Z525" s="692"/>
      <c r="AA525" s="683" t="s">
        <v>33</v>
      </c>
      <c r="AB525" s="683" t="s">
        <v>34</v>
      </c>
      <c r="AC525" s="683" t="s">
        <v>230</v>
      </c>
      <c r="AD525" s="683" t="s">
        <v>1110</v>
      </c>
      <c r="AE525" s="683">
        <v>60</v>
      </c>
      <c r="AF525" s="684">
        <v>1069</v>
      </c>
      <c r="AG525" s="683" t="s">
        <v>243</v>
      </c>
      <c r="AH525" s="683" t="s">
        <v>220</v>
      </c>
      <c r="AI525" s="683" t="s">
        <v>33</v>
      </c>
      <c r="AJ525" s="683">
        <v>3004231901</v>
      </c>
      <c r="AK525" s="683" t="s">
        <v>33</v>
      </c>
      <c r="AL525" s="683">
        <v>10630140</v>
      </c>
      <c r="AM525" s="683" t="s">
        <v>1121</v>
      </c>
      <c r="AN525" s="683" t="s">
        <v>1352</v>
      </c>
      <c r="AO525" s="683" t="s">
        <v>1349</v>
      </c>
      <c r="AP525" s="683" t="s">
        <v>240</v>
      </c>
      <c r="AQ525" s="688" t="str">
        <f>CONCATENATE("REG-",BDEGENER[[#This Row],[FECHA DE SERVICIO]],"-",BDEGENER[[#This Row],[SERIE]],"-",BDEGENER[[#This Row],[HORAS]])</f>
        <v>REG-43932-3004227749-1069</v>
      </c>
      <c r="AR525" s="683" t="str">
        <f>CONCATENATE("MARCA: ",BDEGENER[[#This Row],[MARCA]],"
 MODELO: ",BDEGENER[[#This Row],[MODELO]])</f>
        <v>MARCA: GENERAC
 MODELO: PG090</v>
      </c>
      <c r="AS525" s="683" t="str">
        <f>CONCATENATE("MARCA: ",BDEGENER[[#This Row],[MARCA DE MOTOR]],"
SERIE: ",BDEGENER[[#This Row],[SERIE DE MOTOR]])</f>
        <v>MARCA: GENERAC
SERIE: 3004231901</v>
      </c>
      <c r="AT525" s="683" t="str">
        <f>CONCATENATE("MARCA: ",BDEGENER[[#This Row],[MARCA ALTERNADOR ]],"
SERIE: ",BDEGENER[[#This Row],[SERIE DE ALTERNADOR]])</f>
        <v>MARCA: GENERAC
SERIE: 10630140</v>
      </c>
      <c r="AU525" s="683" t="str">
        <f>CONCATENATE("HORAS: ",BDEGENER[[#This Row],[HORAS]],"
KW-HR: ",BDEGENER[[#This Row],[KW-HORA]],"
VOLT.BATERIA: ",BDEGENER[[#This Row],[VOLTAJE DE BATERIA]],"
TEMPERATURA: ",BDEGENER[[#This Row],[TEMPERATURA DE AGUA]],"
PRES. ACEITE: ",BDEGENER[[#This Row],[PRESION DE ACEITE]])</f>
        <v>HORAS: 1069
KW-HR: 29165,8
VOLT.BATERIA: 13.7 V
TEMPERATURA: 196 °F
PRES. ACEITE: 56 PSI</v>
      </c>
      <c r="AV525" s="683">
        <f>COUNTIFS(Q525:Q2525,"MANTENIMIENTO CORRECTIVO",Y525:Y2525,BDEGENER[[#This Row],[SERIE]])</f>
        <v>3</v>
      </c>
      <c r="AW525" s="683">
        <f>COUNTIFS(Q525:Q2525,"MANTENIMIENTO PREVENTIVO",Y525:Y2525,BDEGENER[[#This Row],[SERIE]])</f>
        <v>4</v>
      </c>
      <c r="AX52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25" s="683">
        <f>COUNTIFS(BDEGENER[SERIE],BDEGENER[[#This Row],[SERIE]],BDEGENER[TIPO DE SERVICIO],"MANTENIMIENTO PREVENTIVO")</f>
        <v>8</v>
      </c>
      <c r="AZ525" s="683" t="str">
        <f>CONCATENATE("MANTENIMIENTO PREVENTIVO N°",BDEGENER[[#This Row],[GA1]])</f>
        <v>MANTENIMIENTO PREVENTIVO N°8</v>
      </c>
      <c r="BA525" s="683" t="str">
        <f>IF(BDEGENER[[#This Row],[SERVICIO]]=BDEGENER[[#This Row],[GA2]],BDEGENER[[#This Row],[HORAS]],"0")</f>
        <v>0</v>
      </c>
      <c r="BB525" s="683">
        <f>SUMIF(BDEGENER[SERIE],BDEGENER[[#This Row],[SERIE]],BDEGENER[GA3])</f>
        <v>2404.1999999999998</v>
      </c>
      <c r="BC525" s="683" t="str">
        <f>CONCATENATE("MANT",COUNTIF($Y$7:Y525,Y525))</f>
        <v>MANT7</v>
      </c>
      <c r="BD525" s="683" t="str">
        <f>CONCATENATE(BDEGENER[[#This Row],[SERIE]],BDEGENER[[#This Row],[GA5]])</f>
        <v>3004227749MANT7</v>
      </c>
      <c r="BE525" s="683" t="str">
        <f>CONCATENATE(BDEGENER[[#This Row],[CODIGO PATRIMONIAL]],BDEGENER[[#This Row],[GA5]])</f>
        <v>MANT7</v>
      </c>
      <c r="BF525" s="683">
        <f>COUNTIF(BDEGENER[SERIE],BDEGENER[[#This Row],[SERIE]])</f>
        <v>16</v>
      </c>
      <c r="BG525" s="683" t="str">
        <f>CONCATENATE("F",COUNTIF($K$7:K525,K525))</f>
        <v>F2</v>
      </c>
      <c r="BH525" s="683" t="str">
        <f>CONCATENATE(BDEGENER[[#This Row],[FECHA DE SERVICIO]],BDEGENER[[#This Row],[N° DE REGISTROS DEL DIA]])</f>
        <v>43932F2</v>
      </c>
      <c r="BI525" s="684">
        <v>29165.8</v>
      </c>
      <c r="BJ525" s="683" t="s">
        <v>1544</v>
      </c>
      <c r="BK525" s="680"/>
    </row>
    <row r="526" spans="2:63" ht="69" hidden="1" x14ac:dyDescent="0.3">
      <c r="B526" s="2"/>
      <c r="C526" s="2"/>
      <c r="D526" s="2"/>
      <c r="E526" s="2"/>
      <c r="F526" s="2"/>
      <c r="G526" s="2"/>
      <c r="H526" s="2"/>
      <c r="I526" s="2"/>
      <c r="J526" s="685"/>
      <c r="K526" s="682">
        <v>43929</v>
      </c>
      <c r="L526" s="725" t="s">
        <v>181</v>
      </c>
      <c r="M526" s="683" t="s">
        <v>188</v>
      </c>
      <c r="N526" s="683" t="s">
        <v>183</v>
      </c>
      <c r="O526" s="683">
        <v>4500873022</v>
      </c>
      <c r="P526" s="683" t="s">
        <v>2137</v>
      </c>
      <c r="Q526" s="683" t="s">
        <v>37</v>
      </c>
      <c r="R526" s="683" t="s">
        <v>1782</v>
      </c>
      <c r="S526" s="686" t="s">
        <v>2138</v>
      </c>
      <c r="T526" s="683" t="s">
        <v>2132</v>
      </c>
      <c r="U526" s="683" t="s">
        <v>2107</v>
      </c>
      <c r="V526" s="683" t="s">
        <v>146</v>
      </c>
      <c r="W526" s="683" t="s">
        <v>914</v>
      </c>
      <c r="X526" s="691" t="s">
        <v>918</v>
      </c>
      <c r="Y526" s="687">
        <v>3004290364</v>
      </c>
      <c r="Z526" s="692"/>
      <c r="AA526" s="683" t="s">
        <v>33</v>
      </c>
      <c r="AB526" s="683" t="s">
        <v>34</v>
      </c>
      <c r="AC526" s="683" t="s">
        <v>230</v>
      </c>
      <c r="AD526" s="683" t="s">
        <v>1110</v>
      </c>
      <c r="AE526" s="683">
        <v>60</v>
      </c>
      <c r="AF526" s="684">
        <v>941.5</v>
      </c>
      <c r="AG526" s="683" t="s">
        <v>243</v>
      </c>
      <c r="AH526" s="683" t="s">
        <v>220</v>
      </c>
      <c r="AI526" s="683" t="s">
        <v>33</v>
      </c>
      <c r="AJ526" s="683">
        <v>3004301038</v>
      </c>
      <c r="AK526" s="683" t="s">
        <v>33</v>
      </c>
      <c r="AL526" s="683">
        <v>10630180</v>
      </c>
      <c r="AM526" s="683" t="s">
        <v>1121</v>
      </c>
      <c r="AN526" s="683" t="s">
        <v>1352</v>
      </c>
      <c r="AO526" s="683" t="s">
        <v>1095</v>
      </c>
      <c r="AP526" s="683" t="s">
        <v>240</v>
      </c>
      <c r="AQ526" s="688" t="str">
        <f>CONCATENATE("REG-",BDEGENER[[#This Row],[FECHA DE SERVICIO]],"-",BDEGENER[[#This Row],[SERIE]],"-",BDEGENER[[#This Row],[HORAS]])</f>
        <v>REG-43929-3004290364-941,5</v>
      </c>
      <c r="AR526" s="683" t="str">
        <f>CONCATENATE("MARCA: ",BDEGENER[[#This Row],[MARCA]],"
 MODELO: ",BDEGENER[[#This Row],[MODELO]])</f>
        <v>MARCA: GENERAC
 MODELO: PG090</v>
      </c>
      <c r="AS526" s="683" t="str">
        <f>CONCATENATE("MARCA: ",BDEGENER[[#This Row],[MARCA DE MOTOR]],"
SERIE: ",BDEGENER[[#This Row],[SERIE DE MOTOR]])</f>
        <v>MARCA: GENERAC
SERIE: 3004301038</v>
      </c>
      <c r="AT526" s="683" t="str">
        <f>CONCATENATE("MARCA: ",BDEGENER[[#This Row],[MARCA ALTERNADOR ]],"
SERIE: ",BDEGENER[[#This Row],[SERIE DE ALTERNADOR]])</f>
        <v>MARCA: GENERAC
SERIE: 10630180</v>
      </c>
      <c r="AU526" s="683" t="str">
        <f>CONCATENATE("HORAS: ",BDEGENER[[#This Row],[HORAS]],"
KW-HR: ",BDEGENER[[#This Row],[KW-HORA]],"
VOLT.BATERIA: ",BDEGENER[[#This Row],[VOLTAJE DE BATERIA]],"
TEMPERATURA: ",BDEGENER[[#This Row],[TEMPERATURA DE AGUA]],"
PRES. ACEITE: ",BDEGENER[[#This Row],[PRESION DE ACEITE]])</f>
        <v>HORAS: 941,5
KW-HR: 17156
VOLT.BATERIA: 13.7 V
TEMPERATURA: 196 °F
PRES. ACEITE: 54 PSI</v>
      </c>
      <c r="AV526" s="761">
        <f>COUNTIFS(Q526:Q2526,"MANTENIMIENTO CORRECTIVO",Y526:Y2526,BDEGENER[[#This Row],[SERIE]])</f>
        <v>1</v>
      </c>
      <c r="AW526" s="761">
        <f>COUNTIFS(Q526:Q2526,"MANTENIMIENTO PREVENTIVO",Y526:Y2526,BDEGENER[[#This Row],[SERIE]])</f>
        <v>3</v>
      </c>
      <c r="AX52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26" s="683">
        <f>COUNTIFS(BDEGENER[SERIE],BDEGENER[[#This Row],[SERIE]],BDEGENER[TIPO DE SERVICIO],"MANTENIMIENTO PREVENTIVO")</f>
        <v>3</v>
      </c>
      <c r="AZ526" s="683" t="str">
        <f>CONCATENATE("MANTENIMIENTO PREVENTIVO N°",BDEGENER[[#This Row],[GA1]])</f>
        <v>MANTENIMIENTO PREVENTIVO N°3</v>
      </c>
      <c r="BA526" s="683">
        <f>IF(BDEGENER[[#This Row],[SERVICIO]]=BDEGENER[[#This Row],[GA2]],BDEGENER[[#This Row],[HORAS]],"0")</f>
        <v>941.5</v>
      </c>
      <c r="BB526" s="683">
        <f>SUMIF(BDEGENER[SERIE],BDEGENER[[#This Row],[SERIE]],BDEGENER[GA3])</f>
        <v>941.5</v>
      </c>
      <c r="BC526" s="761" t="str">
        <f>CONCATENATE("MANT",COUNTIF($Y$7:Y526,Y526))</f>
        <v>MANT5</v>
      </c>
      <c r="BD526" s="683" t="str">
        <f>CONCATENATE(BDEGENER[[#This Row],[SERIE]],BDEGENER[[#This Row],[GA5]])</f>
        <v>3004290364MANT5</v>
      </c>
      <c r="BE526" s="683" t="str">
        <f>CONCATENATE(BDEGENER[[#This Row],[CODIGO PATRIMONIAL]],BDEGENER[[#This Row],[GA5]])</f>
        <v>MANT5</v>
      </c>
      <c r="BF526" s="683">
        <f>COUNTIF(BDEGENER[SERIE],BDEGENER[[#This Row],[SERIE]])</f>
        <v>9</v>
      </c>
      <c r="BG526" s="761" t="str">
        <f>CONCATENATE("F",COUNTIF($K$7:K526,K526))</f>
        <v>F1</v>
      </c>
      <c r="BH526" s="683" t="str">
        <f>CONCATENATE(BDEGENER[[#This Row],[FECHA DE SERVICIO]],BDEGENER[[#This Row],[N° DE REGISTROS DEL DIA]])</f>
        <v>43929F1</v>
      </c>
      <c r="BI526" s="684">
        <v>17156</v>
      </c>
      <c r="BJ526" s="683" t="s">
        <v>1544</v>
      </c>
      <c r="BK526" s="680"/>
    </row>
    <row r="527" spans="2:63" ht="69" hidden="1" x14ac:dyDescent="0.3">
      <c r="B527" s="2"/>
      <c r="C527" s="2"/>
      <c r="D527" s="2"/>
      <c r="E527" s="2"/>
      <c r="F527" s="2"/>
      <c r="G527" s="2"/>
      <c r="H527" s="2"/>
      <c r="I527" s="2"/>
      <c r="J527" s="685"/>
      <c r="K527" s="682">
        <v>43929</v>
      </c>
      <c r="L527" s="725" t="s">
        <v>181</v>
      </c>
      <c r="M527" s="683" t="s">
        <v>184</v>
      </c>
      <c r="N527" s="683" t="s">
        <v>183</v>
      </c>
      <c r="O527" s="683">
        <v>4500873022</v>
      </c>
      <c r="P527" s="688" t="s">
        <v>2130</v>
      </c>
      <c r="Q527" s="683" t="s">
        <v>37</v>
      </c>
      <c r="R527" s="683" t="s">
        <v>1782</v>
      </c>
      <c r="S527" s="686" t="s">
        <v>2134</v>
      </c>
      <c r="T527" s="683" t="s">
        <v>2132</v>
      </c>
      <c r="U527" s="683" t="s">
        <v>2053</v>
      </c>
      <c r="V527" s="683" t="s">
        <v>146</v>
      </c>
      <c r="W527" s="683" t="s">
        <v>914</v>
      </c>
      <c r="X527" s="691" t="s">
        <v>918</v>
      </c>
      <c r="Y527" s="687">
        <v>3004418791</v>
      </c>
      <c r="Z527" s="692"/>
      <c r="AA527" s="683" t="s">
        <v>33</v>
      </c>
      <c r="AB527" s="683" t="s">
        <v>34</v>
      </c>
      <c r="AC527" s="683" t="s">
        <v>230</v>
      </c>
      <c r="AD527" s="683" t="s">
        <v>1110</v>
      </c>
      <c r="AE527" s="683">
        <v>60</v>
      </c>
      <c r="AF527" s="684">
        <v>1565.4</v>
      </c>
      <c r="AG527" s="683" t="s">
        <v>243</v>
      </c>
      <c r="AH527" s="683" t="s">
        <v>220</v>
      </c>
      <c r="AI527" s="683" t="s">
        <v>33</v>
      </c>
      <c r="AJ527" s="683">
        <v>3004426135</v>
      </c>
      <c r="AK527" s="683" t="s">
        <v>33</v>
      </c>
      <c r="AL527" s="683">
        <v>107745330</v>
      </c>
      <c r="AM527" s="683" t="s">
        <v>1121</v>
      </c>
      <c r="AN527" s="683" t="s">
        <v>246</v>
      </c>
      <c r="AO527" s="683" t="s">
        <v>247</v>
      </c>
      <c r="AP527" s="683" t="s">
        <v>240</v>
      </c>
      <c r="AQ527" s="688" t="str">
        <f>CONCATENATE("REG-",BDEGENER[[#This Row],[FECHA DE SERVICIO]],"-",BDEGENER[[#This Row],[SERIE]],"-",BDEGENER[[#This Row],[HORAS]])</f>
        <v>REG-43929-3004418791-1565,4</v>
      </c>
      <c r="AR527" s="683" t="str">
        <f>CONCATENATE("MARCA: ",BDEGENER[[#This Row],[MARCA]],"
 MODELO: ",BDEGENER[[#This Row],[MODELO]])</f>
        <v>MARCA: GENERAC
 MODELO: PG090</v>
      </c>
      <c r="AS527" s="683" t="str">
        <f>CONCATENATE("MARCA: ",BDEGENER[[#This Row],[MARCA DE MOTOR]],"
SERIE: ",BDEGENER[[#This Row],[SERIE DE MOTOR]])</f>
        <v>MARCA: GENERAC
SERIE: 3004426135</v>
      </c>
      <c r="AT527" s="683" t="str">
        <f>CONCATENATE("MARCA: ",BDEGENER[[#This Row],[MARCA ALTERNADOR ]],"
SERIE: ",BDEGENER[[#This Row],[SERIE DE ALTERNADOR]])</f>
        <v>MARCA: GENERAC
SERIE: 107745330</v>
      </c>
      <c r="AU527" s="683" t="str">
        <f>CONCATENATE("HORAS: ",BDEGENER[[#This Row],[HORAS]],"
KW-HR: ",BDEGENER[[#This Row],[KW-HORA]],"
VOLT.BATERIA: ",BDEGENER[[#This Row],[VOLTAJE DE BATERIA]],"
TEMPERATURA: ",BDEGENER[[#This Row],[TEMPERATURA DE AGUA]],"
PRES. ACEITE: ",BDEGENER[[#This Row],[PRESION DE ACEITE]])</f>
        <v>HORAS: 1565,4
KW-HR: 24126,9
VOLT.BATERIA: 13.7 V
TEMPERATURA: 198 °F
PRES. ACEITE: 55 PSI</v>
      </c>
      <c r="AV527" s="683">
        <f>COUNTIFS(Q527:Q2527,"MANTENIMIENTO CORRECTIVO",Y527:Y2527,BDEGENER[[#This Row],[SERIE]])</f>
        <v>6</v>
      </c>
      <c r="AW527" s="683">
        <f>COUNTIFS(Q527:Q2527,"MANTENIMIENTO PREVENTIVO",Y527:Y2527,BDEGENER[[#This Row],[SERIE]])</f>
        <v>5</v>
      </c>
      <c r="AX52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527" s="683">
        <f>COUNTIFS(BDEGENER[SERIE],BDEGENER[[#This Row],[SERIE]],BDEGENER[TIPO DE SERVICIO],"MANTENIMIENTO PREVENTIVO")</f>
        <v>7</v>
      </c>
      <c r="AZ527" s="683" t="str">
        <f>CONCATENATE("MANTENIMIENTO PREVENTIVO N°",BDEGENER[[#This Row],[GA1]])</f>
        <v>MANTENIMIENTO PREVENTIVO N°7</v>
      </c>
      <c r="BA527" s="683" t="str">
        <f>IF(BDEGENER[[#This Row],[SERVICIO]]=BDEGENER[[#This Row],[GA2]],BDEGENER[[#This Row],[HORAS]],"0")</f>
        <v>0</v>
      </c>
      <c r="BB527" s="683">
        <f>SUMIF(BDEGENER[SERIE],BDEGENER[[#This Row],[SERIE]],BDEGENER[GA3])</f>
        <v>2074.3000000000002</v>
      </c>
      <c r="BC527" s="683" t="str">
        <f>CONCATENATE("MANT",COUNTIF($Y$7:Y527,Y527))</f>
        <v>MANT4</v>
      </c>
      <c r="BD527" s="683" t="str">
        <f>CONCATENATE(BDEGENER[[#This Row],[SERIE]],BDEGENER[[#This Row],[GA5]])</f>
        <v>3004418791MANT4</v>
      </c>
      <c r="BE527" s="683" t="str">
        <f>CONCATENATE(BDEGENER[[#This Row],[CODIGO PATRIMONIAL]],BDEGENER[[#This Row],[GA5]])</f>
        <v>MANT4</v>
      </c>
      <c r="BF527" s="683">
        <f>COUNTIF(BDEGENER[SERIE],BDEGENER[[#This Row],[SERIE]])</f>
        <v>16</v>
      </c>
      <c r="BG527" s="683" t="str">
        <f>CONCATENATE("F",COUNTIF($K$7:K527,K527))</f>
        <v>F2</v>
      </c>
      <c r="BH527" s="683" t="str">
        <f>CONCATENATE(BDEGENER[[#This Row],[FECHA DE SERVICIO]],BDEGENER[[#This Row],[N° DE REGISTROS DEL DIA]])</f>
        <v>43929F2</v>
      </c>
      <c r="BI527" s="684">
        <v>24126.9</v>
      </c>
      <c r="BJ527" s="683" t="s">
        <v>1544</v>
      </c>
      <c r="BK527" s="680"/>
    </row>
    <row r="528" spans="2:63" ht="69" hidden="1" x14ac:dyDescent="0.3">
      <c r="B528" s="2"/>
      <c r="C528" s="2"/>
      <c r="D528" s="2"/>
      <c r="E528" s="2"/>
      <c r="F528" s="2"/>
      <c r="G528" s="2"/>
      <c r="H528" s="2"/>
      <c r="I528" s="2"/>
      <c r="J528" s="685"/>
      <c r="K528" s="682">
        <v>43928</v>
      </c>
      <c r="L528" s="725" t="s">
        <v>181</v>
      </c>
      <c r="M528" s="683" t="s">
        <v>1388</v>
      </c>
      <c r="N528" s="683" t="s">
        <v>1538</v>
      </c>
      <c r="O528" s="683">
        <v>4500816438</v>
      </c>
      <c r="P528" s="688" t="s">
        <v>2119</v>
      </c>
      <c r="Q528" s="683" t="s">
        <v>37</v>
      </c>
      <c r="R528" s="683" t="s">
        <v>2110</v>
      </c>
      <c r="S528" s="686" t="s">
        <v>2113</v>
      </c>
      <c r="T528" s="683" t="s">
        <v>2111</v>
      </c>
      <c r="U528" s="683" t="s">
        <v>2112</v>
      </c>
      <c r="V528" s="683" t="s">
        <v>148</v>
      </c>
      <c r="W528" s="683" t="s">
        <v>914</v>
      </c>
      <c r="X528" s="691" t="s">
        <v>918</v>
      </c>
      <c r="Y528" s="687">
        <v>3004428523</v>
      </c>
      <c r="Z528" s="692"/>
      <c r="AA528" s="683" t="s">
        <v>33</v>
      </c>
      <c r="AB528" s="683" t="s">
        <v>34</v>
      </c>
      <c r="AC528" s="683" t="s">
        <v>230</v>
      </c>
      <c r="AD528" s="683" t="s">
        <v>1932</v>
      </c>
      <c r="AE528" s="683">
        <v>60</v>
      </c>
      <c r="AF528" s="684">
        <v>914.1</v>
      </c>
      <c r="AG528" s="683" t="s">
        <v>243</v>
      </c>
      <c r="AH528" s="683" t="s">
        <v>220</v>
      </c>
      <c r="AI528" s="683" t="s">
        <v>33</v>
      </c>
      <c r="AJ528" s="683">
        <v>3004426215</v>
      </c>
      <c r="AK528" s="683" t="s">
        <v>33</v>
      </c>
      <c r="AL528" s="683">
        <v>106301030</v>
      </c>
      <c r="AM528" s="683" t="s">
        <v>1121</v>
      </c>
      <c r="AN528" s="683" t="s">
        <v>1143</v>
      </c>
      <c r="AO528" s="683" t="s">
        <v>1374</v>
      </c>
      <c r="AP528" s="683" t="s">
        <v>240</v>
      </c>
      <c r="AQ528" s="688" t="str">
        <f>CONCATENATE("REG-",BDEGENER[[#This Row],[FECHA DE SERVICIO]],"-",BDEGENER[[#This Row],[SERIE]],"-",BDEGENER[[#This Row],[HORAS]])</f>
        <v>REG-43928-3004428523-914,1</v>
      </c>
      <c r="AR528" s="683" t="str">
        <f>CONCATENATE("MARCA: ",BDEGENER[[#This Row],[MARCA]],"
 MODELO: ",BDEGENER[[#This Row],[MODELO]])</f>
        <v>MARCA: GENERAC
 MODELO: PG090</v>
      </c>
      <c r="AS528" s="683" t="str">
        <f>CONCATENATE("MARCA: ",BDEGENER[[#This Row],[MARCA DE MOTOR]],"
SERIE: ",BDEGENER[[#This Row],[SERIE DE MOTOR]])</f>
        <v>MARCA: GENERAC
SERIE: 3004426215</v>
      </c>
      <c r="AT528" s="683" t="str">
        <f>CONCATENATE("MARCA: ",BDEGENER[[#This Row],[MARCA ALTERNADOR ]],"
SERIE: ",BDEGENER[[#This Row],[SERIE DE ALTERNADOR]])</f>
        <v>MARCA: GENERAC
SERIE: 106301030</v>
      </c>
      <c r="AU528" s="683" t="str">
        <f>CONCATENATE("HORAS: ",BDEGENER[[#This Row],[HORAS]],"
KW-HR: ",BDEGENER[[#This Row],[KW-HORA]],"
VOLT.BATERIA: ",BDEGENER[[#This Row],[VOLTAJE DE BATERIA]],"
TEMPERATURA: ",BDEGENER[[#This Row],[TEMPERATURA DE AGUA]],"
PRES. ACEITE: ",BDEGENER[[#This Row],[PRESION DE ACEITE]])</f>
        <v>HORAS: 914,1
KW-HR: 31155,3
VOLT.BATERIA: 13.7 V
TEMPERATURA: 197 °F
PRES. ACEITE: 65 PSI</v>
      </c>
      <c r="AV528" s="683">
        <f>COUNTIFS(Q528:Q2528,"MANTENIMIENTO CORRECTIVO",Y528:Y2528,BDEGENER[[#This Row],[SERIE]])</f>
        <v>1</v>
      </c>
      <c r="AW528" s="683">
        <f>COUNTIFS(Q528:Q2528,"MANTENIMIENTO PREVENTIVO",Y528:Y2528,BDEGENER[[#This Row],[SERIE]])</f>
        <v>4</v>
      </c>
      <c r="AX52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28" s="683">
        <f>COUNTIFS(BDEGENER[SERIE],BDEGENER[[#This Row],[SERIE]],BDEGENER[TIPO DE SERVICIO],"MANTENIMIENTO PREVENTIVO")</f>
        <v>9</v>
      </c>
      <c r="AZ528" s="683" t="str">
        <f>CONCATENATE("MANTENIMIENTO PREVENTIVO N°",BDEGENER[[#This Row],[GA1]])</f>
        <v>MANTENIMIENTO PREVENTIVO N°9</v>
      </c>
      <c r="BA528" s="683" t="str">
        <f>IF(BDEGENER[[#This Row],[SERVICIO]]=BDEGENER[[#This Row],[GA2]],BDEGENER[[#This Row],[HORAS]],"0")</f>
        <v>0</v>
      </c>
      <c r="BB528" s="683">
        <f>SUMIF(BDEGENER[SERIE],BDEGENER[[#This Row],[SERIE]],BDEGENER[GA3])</f>
        <v>2439.9</v>
      </c>
      <c r="BC528" s="683" t="str">
        <f>CONCATENATE("MANT",COUNTIF($Y$7:Y528,Y528))</f>
        <v>MANT8</v>
      </c>
      <c r="BD528" s="683" t="str">
        <f>CONCATENATE(BDEGENER[[#This Row],[SERIE]],BDEGENER[[#This Row],[GA5]])</f>
        <v>3004428523MANT8</v>
      </c>
      <c r="BE528" s="683" t="str">
        <f>CONCATENATE(BDEGENER[[#This Row],[CODIGO PATRIMONIAL]],BDEGENER[[#This Row],[GA5]])</f>
        <v>MANT8</v>
      </c>
      <c r="BF528" s="683">
        <f>COUNTIF(BDEGENER[SERIE],BDEGENER[[#This Row],[SERIE]])</f>
        <v>14</v>
      </c>
      <c r="BG528" s="683" t="str">
        <f>CONCATENATE("F",COUNTIF($K$7:K528,K528))</f>
        <v>F1</v>
      </c>
      <c r="BH528" s="683" t="str">
        <f>CONCATENATE(BDEGENER[[#This Row],[FECHA DE SERVICIO]],BDEGENER[[#This Row],[N° DE REGISTROS DEL DIA]])</f>
        <v>43928F1</v>
      </c>
      <c r="BI528" s="684">
        <v>31155.3</v>
      </c>
      <c r="BJ528" s="683" t="s">
        <v>1544</v>
      </c>
      <c r="BK528" s="680" t="s">
        <v>2114</v>
      </c>
    </row>
    <row r="529" spans="2:63" ht="69" hidden="1" x14ac:dyDescent="0.3">
      <c r="B529" s="2"/>
      <c r="C529" s="2"/>
      <c r="D529" s="2"/>
      <c r="E529" s="2"/>
      <c r="F529" s="2"/>
      <c r="G529" s="2"/>
      <c r="H529" s="2"/>
      <c r="I529" s="2"/>
      <c r="J529" s="685"/>
      <c r="K529" s="682">
        <v>43927</v>
      </c>
      <c r="L529" s="725" t="s">
        <v>181</v>
      </c>
      <c r="M529" s="683" t="s">
        <v>190</v>
      </c>
      <c r="N529" s="683" t="s">
        <v>183</v>
      </c>
      <c r="O529" s="683">
        <v>4500853865</v>
      </c>
      <c r="P529" s="688" t="s">
        <v>2108</v>
      </c>
      <c r="Q529" s="683" t="s">
        <v>37</v>
      </c>
      <c r="R529" s="683" t="s">
        <v>1782</v>
      </c>
      <c r="S529" s="686" t="s">
        <v>2105</v>
      </c>
      <c r="T529" s="683" t="s">
        <v>2106</v>
      </c>
      <c r="U529" s="683" t="s">
        <v>2107</v>
      </c>
      <c r="V529" s="683" t="s">
        <v>146</v>
      </c>
      <c r="W529" s="683" t="s">
        <v>914</v>
      </c>
      <c r="X529" s="691" t="s">
        <v>918</v>
      </c>
      <c r="Y529" s="687">
        <v>3004381438</v>
      </c>
      <c r="Z529" s="692"/>
      <c r="AA529" s="683" t="s">
        <v>33</v>
      </c>
      <c r="AB529" s="683" t="s">
        <v>34</v>
      </c>
      <c r="AC529" s="683" t="s">
        <v>230</v>
      </c>
      <c r="AD529" s="683" t="s">
        <v>1110</v>
      </c>
      <c r="AE529" s="683">
        <v>60</v>
      </c>
      <c r="AF529" s="684">
        <v>1340.8</v>
      </c>
      <c r="AG529" s="683" t="s">
        <v>243</v>
      </c>
      <c r="AH529" s="683" t="s">
        <v>220</v>
      </c>
      <c r="AI529" s="683" t="s">
        <v>33</v>
      </c>
      <c r="AJ529" s="683">
        <v>3004333873</v>
      </c>
      <c r="AK529" s="683" t="s">
        <v>33</v>
      </c>
      <c r="AL529" s="683">
        <v>106309650</v>
      </c>
      <c r="AM529" s="683" t="s">
        <v>1121</v>
      </c>
      <c r="AN529" s="683" t="s">
        <v>1102</v>
      </c>
      <c r="AO529" s="683" t="s">
        <v>1349</v>
      </c>
      <c r="AP529" s="683" t="s">
        <v>240</v>
      </c>
      <c r="AQ529" s="688" t="str">
        <f>CONCATENATE("REG-",BDEGENER[[#This Row],[FECHA DE SERVICIO]],"-",BDEGENER[[#This Row],[SERIE]],"-",BDEGENER[[#This Row],[HORAS]])</f>
        <v>REG-43927-3004381438-1340,8</v>
      </c>
      <c r="AR529" s="683" t="str">
        <f>CONCATENATE("MARCA: ",BDEGENER[[#This Row],[MARCA]],"
 MODELO: ",BDEGENER[[#This Row],[MODELO]])</f>
        <v>MARCA: GENERAC
 MODELO: PG090</v>
      </c>
      <c r="AS529" s="683" t="str">
        <f>CONCATENATE("MARCA: ",BDEGENER[[#This Row],[MARCA DE MOTOR]],"
SERIE: ",BDEGENER[[#This Row],[SERIE DE MOTOR]])</f>
        <v>MARCA: GENERAC
SERIE: 3004333873</v>
      </c>
      <c r="AT529" s="683" t="str">
        <f>CONCATENATE("MARCA: ",BDEGENER[[#This Row],[MARCA ALTERNADOR ]],"
SERIE: ",BDEGENER[[#This Row],[SERIE DE ALTERNADOR]])</f>
        <v>MARCA: GENERAC
SERIE: 106309650</v>
      </c>
      <c r="AU529" s="683" t="str">
        <f>CONCATENATE("HORAS: ",BDEGENER[[#This Row],[HORAS]],"
KW-HR: ",BDEGENER[[#This Row],[KW-HORA]],"
VOLT.BATERIA: ",BDEGENER[[#This Row],[VOLTAJE DE BATERIA]],"
TEMPERATURA: ",BDEGENER[[#This Row],[TEMPERATURA DE AGUA]],"
PRES. ACEITE: ",BDEGENER[[#This Row],[PRESION DE ACEITE]])</f>
        <v>HORAS: 1340,8
KW-HR: 30325,2
VOLT.BATERIA: 13.7 V
TEMPERATURA: 199 °F
PRES. ACEITE: 56 PSI</v>
      </c>
      <c r="AV529" s="761">
        <f>COUNTIFS(Q529:Q2529,"MANTENIMIENTO CORRECTIVO",Y529:Y2529,BDEGENER[[#This Row],[SERIE]])</f>
        <v>1</v>
      </c>
      <c r="AW529" s="761">
        <f>COUNTIFS(Q529:Q2529,"MANTENIMIENTO PREVENTIVO",Y529:Y2529,BDEGENER[[#This Row],[SERIE]])</f>
        <v>4</v>
      </c>
      <c r="AX52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29" s="683">
        <f>COUNTIFS(BDEGENER[SERIE],BDEGENER[[#This Row],[SERIE]],BDEGENER[TIPO DE SERVICIO],"MANTENIMIENTO PREVENTIVO")</f>
        <v>10</v>
      </c>
      <c r="AZ529" s="683" t="str">
        <f>CONCATENATE("MANTENIMIENTO PREVENTIVO N°",BDEGENER[[#This Row],[GA1]])</f>
        <v>MANTENIMIENTO PREVENTIVO N°10</v>
      </c>
      <c r="BA529" s="683" t="str">
        <f>IF(BDEGENER[[#This Row],[SERVICIO]]=BDEGENER[[#This Row],[GA2]],BDEGENER[[#This Row],[HORAS]],"0")</f>
        <v>0</v>
      </c>
      <c r="BB529" s="683">
        <f>SUMIF(BDEGENER[SERIE],BDEGENER[[#This Row],[SERIE]],BDEGENER[GA3])</f>
        <v>3227.9</v>
      </c>
      <c r="BC529" s="761" t="str">
        <f>CONCATENATE("MANT",COUNTIF($Y$7:Y529,Y529))</f>
        <v>MANT8</v>
      </c>
      <c r="BD529" s="683" t="str">
        <f>CONCATENATE(BDEGENER[[#This Row],[SERIE]],BDEGENER[[#This Row],[GA5]])</f>
        <v>3004381438MANT8</v>
      </c>
      <c r="BE529" s="683" t="str">
        <f>CONCATENATE(BDEGENER[[#This Row],[CODIGO PATRIMONIAL]],BDEGENER[[#This Row],[GA5]])</f>
        <v>MANT8</v>
      </c>
      <c r="BF529" s="683">
        <f>COUNTIF(BDEGENER[SERIE],BDEGENER[[#This Row],[SERIE]])</f>
        <v>13</v>
      </c>
      <c r="BG529" s="761" t="str">
        <f>CONCATENATE("F",COUNTIF($K$7:K529,K529))</f>
        <v>F1</v>
      </c>
      <c r="BH529" s="683" t="str">
        <f>CONCATENATE(BDEGENER[[#This Row],[FECHA DE SERVICIO]],BDEGENER[[#This Row],[N° DE REGISTROS DEL DIA]])</f>
        <v>43927F1</v>
      </c>
      <c r="BI529" s="684">
        <v>30325.200000000001</v>
      </c>
      <c r="BJ529" s="683" t="s">
        <v>1544</v>
      </c>
      <c r="BK529" s="680"/>
    </row>
    <row r="530" spans="2:63" ht="69" hidden="1" x14ac:dyDescent="0.3">
      <c r="B530" s="2"/>
      <c r="C530" s="2"/>
      <c r="D530" s="2"/>
      <c r="E530" s="2"/>
      <c r="F530" s="2"/>
      <c r="G530" s="2"/>
      <c r="H530" s="2"/>
      <c r="I530" s="2"/>
      <c r="J530" s="685"/>
      <c r="K530" s="682">
        <v>43925</v>
      </c>
      <c r="L530" s="725" t="s">
        <v>248</v>
      </c>
      <c r="M530" s="683" t="s">
        <v>2078</v>
      </c>
      <c r="N530" s="683" t="s">
        <v>1319</v>
      </c>
      <c r="O530" s="683"/>
      <c r="P530" s="688" t="s">
        <v>2115</v>
      </c>
      <c r="Q530" s="683" t="s">
        <v>37</v>
      </c>
      <c r="R530" s="683" t="s">
        <v>1782</v>
      </c>
      <c r="S530" s="686" t="s">
        <v>2116</v>
      </c>
      <c r="T530" s="683" t="s">
        <v>1782</v>
      </c>
      <c r="U530" s="683" t="s">
        <v>2117</v>
      </c>
      <c r="V530" s="683" t="s">
        <v>148</v>
      </c>
      <c r="W530" s="683" t="s">
        <v>914</v>
      </c>
      <c r="X530" s="691" t="s">
        <v>918</v>
      </c>
      <c r="Y530" s="687">
        <v>3005005010</v>
      </c>
      <c r="Z530" s="692">
        <v>24547</v>
      </c>
      <c r="AA530" s="683" t="s">
        <v>33</v>
      </c>
      <c r="AB530" s="683" t="s">
        <v>34</v>
      </c>
      <c r="AC530" s="683" t="s">
        <v>230</v>
      </c>
      <c r="AD530" s="683" t="s">
        <v>1087</v>
      </c>
      <c r="AE530" s="683">
        <v>60</v>
      </c>
      <c r="AF530" s="684">
        <v>1192.5</v>
      </c>
      <c r="AG530" s="683" t="s">
        <v>243</v>
      </c>
      <c r="AH530" s="683" t="s">
        <v>220</v>
      </c>
      <c r="AI530" s="683" t="s">
        <v>33</v>
      </c>
      <c r="AJ530" s="683">
        <v>3005065416</v>
      </c>
      <c r="AK530" s="683" t="s">
        <v>33</v>
      </c>
      <c r="AL530" s="683"/>
      <c r="AM530" s="683" t="s">
        <v>1121</v>
      </c>
      <c r="AN530" s="683" t="s">
        <v>1352</v>
      </c>
      <c r="AO530" s="683" t="s">
        <v>1146</v>
      </c>
      <c r="AP530" s="683" t="s">
        <v>240</v>
      </c>
      <c r="AQ530" s="688" t="str">
        <f>CONCATENATE("REG-",BDEGENER[[#This Row],[FECHA DE SERVICIO]],"-",BDEGENER[[#This Row],[SERIE]],"-",BDEGENER[[#This Row],[HORAS]])</f>
        <v>REG-43925-3005005010-1192,5</v>
      </c>
      <c r="AR530" s="683" t="str">
        <f>CONCATENATE("MARCA: ",BDEGENER[[#This Row],[MARCA]],"
 MODELO: ",BDEGENER[[#This Row],[MODELO]])</f>
        <v>MARCA: GENERAC
 MODELO: PG090</v>
      </c>
      <c r="AS530" s="683" t="str">
        <f>CONCATENATE("MARCA: ",BDEGENER[[#This Row],[MARCA DE MOTOR]],"
SERIE: ",BDEGENER[[#This Row],[SERIE DE MOTOR]])</f>
        <v>MARCA: GENERAC
SERIE: 3005065416</v>
      </c>
      <c r="AT530" s="683" t="str">
        <f>CONCATENATE("MARCA: ",BDEGENER[[#This Row],[MARCA ALTERNADOR ]],"
SERIE: ",BDEGENER[[#This Row],[SERIE DE ALTERNADOR]])</f>
        <v xml:space="preserve">MARCA: GENERAC
SERIE: </v>
      </c>
      <c r="AU530" s="683" t="str">
        <f>CONCATENATE("HORAS: ",BDEGENER[[#This Row],[HORAS]],"
KW-HR: ",BDEGENER[[#This Row],[KW-HORA]],"
VOLT.BATERIA: ",BDEGENER[[#This Row],[VOLTAJE DE BATERIA]],"
TEMPERATURA: ",BDEGENER[[#This Row],[TEMPERATURA DE AGUA]],"
PRES. ACEITE: ",BDEGENER[[#This Row],[PRESION DE ACEITE]])</f>
        <v>HORAS: 1192,5
KW-HR: 37994,2
VOLT.BATERIA: 13.7 V
TEMPERATURA: 196 °F
PRES. ACEITE: 62 PSI</v>
      </c>
      <c r="AV530" s="683">
        <f>COUNTIFS(Q530:Q2530,"MANTENIMIENTO CORRECTIVO",Y530:Y2530,BDEGENER[[#This Row],[SERIE]])</f>
        <v>0</v>
      </c>
      <c r="AW530" s="683">
        <f>COUNTIFS(Q530:Q2530,"MANTENIMIENTO PREVENTIVO",Y530:Y2530,BDEGENER[[#This Row],[SERIE]])</f>
        <v>4</v>
      </c>
      <c r="AX53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30" s="683">
        <f>COUNTIFS(BDEGENER[SERIE],BDEGENER[[#This Row],[SERIE]],BDEGENER[TIPO DE SERVICIO],"MANTENIMIENTO PREVENTIVO")</f>
        <v>9</v>
      </c>
      <c r="AZ530" s="683" t="str">
        <f>CONCATENATE("MANTENIMIENTO PREVENTIVO N°",BDEGENER[[#This Row],[GA1]])</f>
        <v>MANTENIMIENTO PREVENTIVO N°9</v>
      </c>
      <c r="BA530" s="683" t="str">
        <f>IF(BDEGENER[[#This Row],[SERVICIO]]=BDEGENER[[#This Row],[GA2]],BDEGENER[[#This Row],[HORAS]],"0")</f>
        <v>0</v>
      </c>
      <c r="BB530" s="683">
        <f>SUMIF(BDEGENER[SERIE],BDEGENER[[#This Row],[SERIE]],BDEGENER[GA3])</f>
        <v>2557.3000000000002</v>
      </c>
      <c r="BC530" s="683" t="str">
        <f>CONCATENATE("MANT",COUNTIF($Y$7:Y530,Y530))</f>
        <v>MANT9</v>
      </c>
      <c r="BD530" s="683" t="str">
        <f>CONCATENATE(BDEGENER[[#This Row],[SERIE]],BDEGENER[[#This Row],[GA5]])</f>
        <v>3005005010MANT9</v>
      </c>
      <c r="BE530" s="683" t="str">
        <f>CONCATENATE(BDEGENER[[#This Row],[CODIGO PATRIMONIAL]],BDEGENER[[#This Row],[GA5]])</f>
        <v>24547MANT9</v>
      </c>
      <c r="BF530" s="683">
        <f>COUNTIF(BDEGENER[SERIE],BDEGENER[[#This Row],[SERIE]])</f>
        <v>14</v>
      </c>
      <c r="BG530" s="683" t="str">
        <f>CONCATENATE("F",COUNTIF($K$7:K530,K530))</f>
        <v>F1</v>
      </c>
      <c r="BH530" s="683" t="str">
        <f>CONCATENATE(BDEGENER[[#This Row],[FECHA DE SERVICIO]],BDEGENER[[#This Row],[N° DE REGISTROS DEL DIA]])</f>
        <v>43925F1</v>
      </c>
      <c r="BI530" s="684">
        <v>37994.199999999997</v>
      </c>
      <c r="BJ530" s="683" t="s">
        <v>1544</v>
      </c>
      <c r="BK530" s="680"/>
    </row>
    <row r="531" spans="2:63" ht="69" hidden="1" x14ac:dyDescent="0.3">
      <c r="B531" s="2"/>
      <c r="C531" s="2"/>
      <c r="D531" s="2"/>
      <c r="E531" s="2"/>
      <c r="F531" s="2"/>
      <c r="G531" s="2"/>
      <c r="H531" s="2"/>
      <c r="I531" s="2"/>
      <c r="J531" s="685"/>
      <c r="K531" s="682">
        <v>43925</v>
      </c>
      <c r="L531" s="725" t="s">
        <v>248</v>
      </c>
      <c r="M531" s="683" t="s">
        <v>1224</v>
      </c>
      <c r="N531" s="683" t="s">
        <v>1319</v>
      </c>
      <c r="O531" s="683"/>
      <c r="P531" s="688" t="s">
        <v>2115</v>
      </c>
      <c r="Q531" s="683" t="s">
        <v>37</v>
      </c>
      <c r="R531" s="683" t="s">
        <v>1782</v>
      </c>
      <c r="S531" s="686" t="s">
        <v>2116</v>
      </c>
      <c r="T531" s="683" t="s">
        <v>1782</v>
      </c>
      <c r="U531" s="683" t="s">
        <v>2117</v>
      </c>
      <c r="V531" s="683" t="s">
        <v>148</v>
      </c>
      <c r="W531" s="683" t="s">
        <v>914</v>
      </c>
      <c r="X531" s="691" t="s">
        <v>918</v>
      </c>
      <c r="Y531" s="687">
        <v>3004999911</v>
      </c>
      <c r="Z531" s="692">
        <v>24543</v>
      </c>
      <c r="AA531" s="683" t="s">
        <v>33</v>
      </c>
      <c r="AB531" s="683" t="s">
        <v>1728</v>
      </c>
      <c r="AC531" s="683" t="s">
        <v>528</v>
      </c>
      <c r="AD531" s="683" t="s">
        <v>1087</v>
      </c>
      <c r="AE531" s="683">
        <v>60.1</v>
      </c>
      <c r="AF531" s="684">
        <v>1141.2</v>
      </c>
      <c r="AG531" s="683" t="s">
        <v>243</v>
      </c>
      <c r="AH531" s="683" t="s">
        <v>220</v>
      </c>
      <c r="AI531" s="683" t="s">
        <v>1495</v>
      </c>
      <c r="AJ531" s="683" t="s">
        <v>1496</v>
      </c>
      <c r="AK531" s="683" t="s">
        <v>33</v>
      </c>
      <c r="AL531" s="683">
        <v>1395462</v>
      </c>
      <c r="AM531" s="683" t="s">
        <v>1121</v>
      </c>
      <c r="AN531" s="683" t="s">
        <v>2118</v>
      </c>
      <c r="AO531" s="683" t="s">
        <v>1090</v>
      </c>
      <c r="AP531" s="683" t="s">
        <v>240</v>
      </c>
      <c r="AQ531" s="688" t="str">
        <f>CONCATENATE("REG-",BDEGENER[[#This Row],[FECHA DE SERVICIO]],"-",BDEGENER[[#This Row],[SERIE]],"-",BDEGENER[[#This Row],[HORAS]])</f>
        <v>REG-43925-3004999911-1141,2</v>
      </c>
      <c r="AR531" s="683" t="str">
        <f>CONCATENATE("MARCA: ",BDEGENER[[#This Row],[MARCA]],"
 MODELO: ",BDEGENER[[#This Row],[MODELO]])</f>
        <v>MARCA: GENERAC
 MODELO: PG054</v>
      </c>
      <c r="AS531" s="683" t="str">
        <f>CONCATENATE("MARCA: ",BDEGENER[[#This Row],[MARCA DE MOTOR]],"
SERIE: ",BDEGENER[[#This Row],[SERIE DE MOTOR]])</f>
        <v>MARCA: FORD
SERIE: GP680AA</v>
      </c>
      <c r="AT531" s="683" t="str">
        <f>CONCATENATE("MARCA: ",BDEGENER[[#This Row],[MARCA ALTERNADOR ]],"
SERIE: ",BDEGENER[[#This Row],[SERIE DE ALTERNADOR]])</f>
        <v>MARCA: GENERAC
SERIE: 1395462</v>
      </c>
      <c r="AU531" s="683" t="str">
        <f>CONCATENATE("HORAS: ",BDEGENER[[#This Row],[HORAS]],"
KW-HR: ",BDEGENER[[#This Row],[KW-HORA]],"
VOLT.BATERIA: ",BDEGENER[[#This Row],[VOLTAJE DE BATERIA]],"
TEMPERATURA: ",BDEGENER[[#This Row],[TEMPERATURA DE AGUA]],"
PRES. ACEITE: ",BDEGENER[[#This Row],[PRESION DE ACEITE]])</f>
        <v>HORAS: 1141,2
KW-HR: 27683,2
VOLT.BATERIA: 13.7 V
TEMPERATURA: 192 °F
PRES. ACEITE: 69 PSI</v>
      </c>
      <c r="AV531" s="683">
        <f>COUNTIFS(Q531:Q2531,"MANTENIMIENTO CORRECTIVO",Y531:Y2531,BDEGENER[[#This Row],[SERIE]])</f>
        <v>0</v>
      </c>
      <c r="AW531" s="683">
        <f>COUNTIFS(Q531:Q2531,"MANTENIMIENTO PREVENTIVO",Y531:Y2531,BDEGENER[[#This Row],[SERIE]])</f>
        <v>4</v>
      </c>
      <c r="AX53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31" s="683">
        <f>COUNTIFS(BDEGENER[SERIE],BDEGENER[[#This Row],[SERIE]],BDEGENER[TIPO DE SERVICIO],"MANTENIMIENTO PREVENTIVO")</f>
        <v>12</v>
      </c>
      <c r="AZ531" s="683" t="str">
        <f>CONCATENATE("MANTENIMIENTO PREVENTIVO N°",BDEGENER[[#This Row],[GA1]])</f>
        <v>MANTENIMIENTO PREVENTIVO N°12</v>
      </c>
      <c r="BA531" s="683" t="str">
        <f>IF(BDEGENER[[#This Row],[SERVICIO]]=BDEGENER[[#This Row],[GA2]],BDEGENER[[#This Row],[HORAS]],"0")</f>
        <v>0</v>
      </c>
      <c r="BB531" s="683">
        <f>SUMIF(BDEGENER[SERIE],BDEGENER[[#This Row],[SERIE]],BDEGENER[GA3])</f>
        <v>3510.8</v>
      </c>
      <c r="BC531" s="683" t="str">
        <f>CONCATENATE("MANT",COUNTIF($Y$7:Y531,Y531))</f>
        <v>MANT9</v>
      </c>
      <c r="BD531" s="683" t="str">
        <f>CONCATENATE(BDEGENER[[#This Row],[SERIE]],BDEGENER[[#This Row],[GA5]])</f>
        <v>3004999911MANT9</v>
      </c>
      <c r="BE531" s="683" t="str">
        <f>CONCATENATE(BDEGENER[[#This Row],[CODIGO PATRIMONIAL]],BDEGENER[[#This Row],[GA5]])</f>
        <v>24543MANT9</v>
      </c>
      <c r="BF531" s="683">
        <f>COUNTIF(BDEGENER[SERIE],BDEGENER[[#This Row],[SERIE]])</f>
        <v>14</v>
      </c>
      <c r="BG531" s="683" t="str">
        <f>CONCATENATE("F",COUNTIF($K$7:K531,K531))</f>
        <v>F2</v>
      </c>
      <c r="BH531" s="683" t="str">
        <f>CONCATENATE(BDEGENER[[#This Row],[FECHA DE SERVICIO]],BDEGENER[[#This Row],[N° DE REGISTROS DEL DIA]])</f>
        <v>43925F2</v>
      </c>
      <c r="BI531" s="684">
        <v>27683.200000000001</v>
      </c>
      <c r="BJ531" s="683" t="s">
        <v>1544</v>
      </c>
      <c r="BK531" s="680"/>
    </row>
    <row r="532" spans="2:63" ht="69" hidden="1" x14ac:dyDescent="0.3">
      <c r="B532" s="2"/>
      <c r="C532" s="2"/>
      <c r="D532" s="2"/>
      <c r="E532" s="2"/>
      <c r="F532" s="2"/>
      <c r="G532" s="2"/>
      <c r="H532" s="2"/>
      <c r="I532" s="2"/>
      <c r="J532" s="685"/>
      <c r="K532" s="682">
        <v>43924</v>
      </c>
      <c r="L532" s="725" t="s">
        <v>181</v>
      </c>
      <c r="M532" s="683" t="s">
        <v>190</v>
      </c>
      <c r="N532" s="683" t="s">
        <v>183</v>
      </c>
      <c r="O532" s="683">
        <v>4500853865</v>
      </c>
      <c r="P532" s="688" t="s">
        <v>2093</v>
      </c>
      <c r="Q532" s="683" t="s">
        <v>37</v>
      </c>
      <c r="R532" s="683" t="s">
        <v>1782</v>
      </c>
      <c r="S532" s="686" t="s">
        <v>2094</v>
      </c>
      <c r="T532" s="683" t="s">
        <v>2092</v>
      </c>
      <c r="U532" s="683" t="s">
        <v>2095</v>
      </c>
      <c r="V532" s="683" t="s">
        <v>146</v>
      </c>
      <c r="W532" s="683" t="s">
        <v>914</v>
      </c>
      <c r="X532" s="691" t="s">
        <v>918</v>
      </c>
      <c r="Y532" s="687">
        <v>3004336196</v>
      </c>
      <c r="Z532" s="692"/>
      <c r="AA532" s="683" t="s">
        <v>33</v>
      </c>
      <c r="AB532" s="683" t="s">
        <v>34</v>
      </c>
      <c r="AC532" s="683" t="s">
        <v>230</v>
      </c>
      <c r="AD532" s="683" t="s">
        <v>1110</v>
      </c>
      <c r="AE532" s="683">
        <v>60</v>
      </c>
      <c r="AF532" s="684">
        <v>1132.5999999999999</v>
      </c>
      <c r="AG532" s="683" t="s">
        <v>243</v>
      </c>
      <c r="AH532" s="683" t="s">
        <v>220</v>
      </c>
      <c r="AI532" s="683" t="s">
        <v>33</v>
      </c>
      <c r="AJ532" s="683">
        <v>3004346824</v>
      </c>
      <c r="AK532" s="683" t="s">
        <v>33</v>
      </c>
      <c r="AL532" s="85">
        <v>10630720</v>
      </c>
      <c r="AM532" s="683" t="s">
        <v>1121</v>
      </c>
      <c r="AN532" s="683" t="s">
        <v>1143</v>
      </c>
      <c r="AO532" s="683" t="s">
        <v>247</v>
      </c>
      <c r="AP532" s="683" t="s">
        <v>240</v>
      </c>
      <c r="AQ532" s="688" t="str">
        <f>CONCATENATE("REG-",BDEGENER[[#This Row],[FECHA DE SERVICIO]],"-",BDEGENER[[#This Row],[SERIE]],"-",BDEGENER[[#This Row],[HORAS]])</f>
        <v>REG-43924-3004336196-1132,6</v>
      </c>
      <c r="AR532" s="683" t="str">
        <f>CONCATENATE("MARCA: ",BDEGENER[[#This Row],[MARCA]],"
 MODELO: ",BDEGENER[[#This Row],[MODELO]])</f>
        <v>MARCA: GENERAC
 MODELO: PG090</v>
      </c>
      <c r="AS532" s="683" t="str">
        <f>CONCATENATE("MARCA: ",BDEGENER[[#This Row],[MARCA DE MOTOR]],"
SERIE: ",BDEGENER[[#This Row],[SERIE DE MOTOR]])</f>
        <v>MARCA: GENERAC
SERIE: 3004346824</v>
      </c>
      <c r="AT532" s="683" t="str">
        <f>CONCATENATE("MARCA: ",BDEGENER[[#This Row],[MARCA ALTERNADOR ]],"
SERIE: ",BDEGENER[[#This Row],[SERIE DE ALTERNADOR]])</f>
        <v>MARCA: GENERAC
SERIE: 10630720</v>
      </c>
      <c r="AU532" s="683" t="str">
        <f>CONCATENATE("HORAS: ",BDEGENER[[#This Row],[HORAS]],"
KW-HR: ",BDEGENER[[#This Row],[KW-HORA]],"
VOLT.BATERIA: ",BDEGENER[[#This Row],[VOLTAJE DE BATERIA]],"
TEMPERATURA: ",BDEGENER[[#This Row],[TEMPERATURA DE AGUA]],"
PRES. ACEITE: ",BDEGENER[[#This Row],[PRESION DE ACEITE]])</f>
        <v>HORAS: 1132,6
KW-HR: 27446,9
VOLT.BATERIA: 13.7 V
TEMPERATURA: 197 °F
PRES. ACEITE: 55 PSI</v>
      </c>
      <c r="AV532" s="761">
        <f>COUNTIFS(Q532:Q2532,"MANTENIMIENTO CORRECTIVO",Y532:Y2532,BDEGENER[[#This Row],[SERIE]])</f>
        <v>2</v>
      </c>
      <c r="AW532" s="761">
        <f>COUNTIFS(Q532:Q2532,"MANTENIMIENTO PREVENTIVO",Y532:Y2532,BDEGENER[[#This Row],[SERIE]])</f>
        <v>3</v>
      </c>
      <c r="AX53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32" s="683">
        <f>COUNTIFS(BDEGENER[SERIE],BDEGENER[[#This Row],[SERIE]],BDEGENER[TIPO DE SERVICIO],"MANTENIMIENTO PREVENTIVO")</f>
        <v>9</v>
      </c>
      <c r="AZ532" s="683" t="str">
        <f>CONCATENATE("MANTENIMIENTO PREVENTIVO N°",BDEGENER[[#This Row],[GA1]])</f>
        <v>MANTENIMIENTO PREVENTIVO N°9</v>
      </c>
      <c r="BA532" s="683" t="str">
        <f>IF(BDEGENER[[#This Row],[SERVICIO]]=BDEGENER[[#This Row],[GA2]],BDEGENER[[#This Row],[HORAS]],"0")</f>
        <v>0</v>
      </c>
      <c r="BB532" s="683">
        <f>SUMIF(BDEGENER[SERIE],BDEGENER[[#This Row],[SERIE]],BDEGENER[GA3])</f>
        <v>3148.2</v>
      </c>
      <c r="BC532" s="761" t="str">
        <f>CONCATENATE("MANT",COUNTIF($Y$7:Y532,Y532))</f>
        <v>MANT8</v>
      </c>
      <c r="BD532" s="683" t="str">
        <f>CONCATENATE(BDEGENER[[#This Row],[SERIE]],BDEGENER[[#This Row],[GA5]])</f>
        <v>3004336196MANT8</v>
      </c>
      <c r="BE532" s="683" t="str">
        <f>CONCATENATE(BDEGENER[[#This Row],[CODIGO PATRIMONIAL]],BDEGENER[[#This Row],[GA5]])</f>
        <v>MANT8</v>
      </c>
      <c r="BF532" s="683">
        <f>COUNTIF(BDEGENER[SERIE],BDEGENER[[#This Row],[SERIE]])</f>
        <v>13</v>
      </c>
      <c r="BG532" s="761" t="str">
        <f>CONCATENATE("F",COUNTIF($K$7:K532,K532))</f>
        <v>F1</v>
      </c>
      <c r="BH532" s="683" t="str">
        <f>CONCATENATE(BDEGENER[[#This Row],[FECHA DE SERVICIO]],BDEGENER[[#This Row],[N° DE REGISTROS DEL DIA]])</f>
        <v>43924F1</v>
      </c>
      <c r="BI532" s="684">
        <v>27446.9</v>
      </c>
      <c r="BJ532" s="683" t="s">
        <v>1544</v>
      </c>
      <c r="BK532" s="680"/>
    </row>
    <row r="533" spans="2:63" ht="69" hidden="1" x14ac:dyDescent="0.3">
      <c r="B533" s="2"/>
      <c r="C533" s="2"/>
      <c r="D533" s="2"/>
      <c r="E533" s="2"/>
      <c r="F533" s="2"/>
      <c r="G533" s="2"/>
      <c r="H533" s="2"/>
      <c r="I533" s="2"/>
      <c r="J533" s="685"/>
      <c r="K533" s="682">
        <v>43924</v>
      </c>
      <c r="L533" s="725" t="s">
        <v>181</v>
      </c>
      <c r="M533" s="683" t="s">
        <v>190</v>
      </c>
      <c r="N533" s="683" t="s">
        <v>183</v>
      </c>
      <c r="O533" s="683"/>
      <c r="P533" s="683"/>
      <c r="Q533" s="683" t="s">
        <v>107</v>
      </c>
      <c r="R533" s="683" t="s">
        <v>2096</v>
      </c>
      <c r="S533" s="686" t="s">
        <v>2097</v>
      </c>
      <c r="T533" s="683" t="s">
        <v>2098</v>
      </c>
      <c r="U533" s="683" t="s">
        <v>2099</v>
      </c>
      <c r="V533" s="683" t="s">
        <v>146</v>
      </c>
      <c r="W533" s="683" t="s">
        <v>914</v>
      </c>
      <c r="X533" s="691" t="s">
        <v>918</v>
      </c>
      <c r="Y533" s="687">
        <v>3004336196</v>
      </c>
      <c r="Z533" s="692"/>
      <c r="AA533" s="683" t="s">
        <v>33</v>
      </c>
      <c r="AB533" s="683" t="s">
        <v>34</v>
      </c>
      <c r="AC533" s="683" t="s">
        <v>230</v>
      </c>
      <c r="AD533" s="683" t="s">
        <v>1110</v>
      </c>
      <c r="AE533" s="683">
        <v>60</v>
      </c>
      <c r="AF533" s="684">
        <v>1132.4000000000001</v>
      </c>
      <c r="AG533" s="683" t="s">
        <v>243</v>
      </c>
      <c r="AH533" s="683" t="s">
        <v>220</v>
      </c>
      <c r="AI533" s="683" t="s">
        <v>33</v>
      </c>
      <c r="AJ533" s="683">
        <v>3004346824</v>
      </c>
      <c r="AK533" s="683" t="s">
        <v>33</v>
      </c>
      <c r="AL533" s="683">
        <v>10630720</v>
      </c>
      <c r="AM533" s="683"/>
      <c r="AN533" s="683"/>
      <c r="AO533" s="683"/>
      <c r="AP533" s="683" t="s">
        <v>240</v>
      </c>
      <c r="AQ533" s="688" t="str">
        <f>CONCATENATE("REG-",BDEGENER[[#This Row],[FECHA DE SERVICIO]],"-",BDEGENER[[#This Row],[SERIE]],"-",BDEGENER[[#This Row],[HORAS]])</f>
        <v>REG-43924-3004336196-1132,4</v>
      </c>
      <c r="AR533" s="683" t="str">
        <f>CONCATENATE("MARCA: ",BDEGENER[[#This Row],[MARCA]],"
 MODELO: ",BDEGENER[[#This Row],[MODELO]])</f>
        <v>MARCA: GENERAC
 MODELO: PG090</v>
      </c>
      <c r="AS533" s="683" t="str">
        <f>CONCATENATE("MARCA: ",BDEGENER[[#This Row],[MARCA DE MOTOR]],"
SERIE: ",BDEGENER[[#This Row],[SERIE DE MOTOR]])</f>
        <v>MARCA: GENERAC
SERIE: 3004346824</v>
      </c>
      <c r="AT533" s="683" t="str">
        <f>CONCATENATE("MARCA: ",BDEGENER[[#This Row],[MARCA ALTERNADOR ]],"
SERIE: ",BDEGENER[[#This Row],[SERIE DE ALTERNADOR]])</f>
        <v>MARCA: GENERAC
SERIE: 10630720</v>
      </c>
      <c r="AU533" s="683" t="str">
        <f>CONCATENATE("HORAS: ",BDEGENER[[#This Row],[HORAS]],"
KW-HR: ",BDEGENER[[#This Row],[KW-HORA]],"
VOLT.BATERIA: ",BDEGENER[[#This Row],[VOLTAJE DE BATERIA]],"
TEMPERATURA: ",BDEGENER[[#This Row],[TEMPERATURA DE AGUA]],"
PRES. ACEITE: ",BDEGENER[[#This Row],[PRESION DE ACEITE]])</f>
        <v xml:space="preserve">HORAS: 1132,4
KW-HR: 
VOLT.BATERIA: 
TEMPERATURA: 
PRES. ACEITE: </v>
      </c>
      <c r="AV533" s="683">
        <f>COUNTIFS(Q533:Q2533,"MANTENIMIENTO CORRECTIVO",Y533:Y2533,BDEGENER[[#This Row],[SERIE]])</f>
        <v>2</v>
      </c>
      <c r="AW533" s="683">
        <f>COUNTIFS(Q533:Q2533,"MANTENIMIENTO PREVENTIVO",Y533:Y2533,BDEGENER[[#This Row],[SERIE]])</f>
        <v>2</v>
      </c>
      <c r="AX53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533" s="683">
        <f>COUNTIFS(BDEGENER[SERIE],BDEGENER[[#This Row],[SERIE]],BDEGENER[TIPO DE SERVICIO],"MANTENIMIENTO PREVENTIVO")</f>
        <v>9</v>
      </c>
      <c r="AZ533" s="683" t="str">
        <f>CONCATENATE("MANTENIMIENTO PREVENTIVO N°",BDEGENER[[#This Row],[GA1]])</f>
        <v>MANTENIMIENTO PREVENTIVO N°9</v>
      </c>
      <c r="BA533" s="683" t="str">
        <f>IF(BDEGENER[[#This Row],[SERVICIO]]=BDEGENER[[#This Row],[GA2]],BDEGENER[[#This Row],[HORAS]],"0")</f>
        <v>0</v>
      </c>
      <c r="BB533" s="683">
        <f>SUMIF(BDEGENER[SERIE],BDEGENER[[#This Row],[SERIE]],BDEGENER[GA3])</f>
        <v>3148.2</v>
      </c>
      <c r="BC533" s="683" t="str">
        <f>CONCATENATE("MANT",COUNTIF($Y$7:Y533,Y533))</f>
        <v>MANT9</v>
      </c>
      <c r="BD533" s="683" t="str">
        <f>CONCATENATE(BDEGENER[[#This Row],[SERIE]],BDEGENER[[#This Row],[GA5]])</f>
        <v>3004336196MANT9</v>
      </c>
      <c r="BE533" s="683" t="str">
        <f>CONCATENATE(BDEGENER[[#This Row],[CODIGO PATRIMONIAL]],BDEGENER[[#This Row],[GA5]])</f>
        <v>MANT9</v>
      </c>
      <c r="BF533" s="683">
        <f>COUNTIF(BDEGENER[SERIE],BDEGENER[[#This Row],[SERIE]])</f>
        <v>13</v>
      </c>
      <c r="BG533" s="683" t="str">
        <f>CONCATENATE("F",COUNTIF($K$7:K533,K533))</f>
        <v>F2</v>
      </c>
      <c r="BH533" s="683" t="str">
        <f>CONCATENATE(BDEGENER[[#This Row],[FECHA DE SERVICIO]],BDEGENER[[#This Row],[N° DE REGISTROS DEL DIA]])</f>
        <v>43924F2</v>
      </c>
      <c r="BI533" s="684"/>
      <c r="BJ533" s="683" t="s">
        <v>1544</v>
      </c>
      <c r="BK533" s="680"/>
    </row>
    <row r="534" spans="2:63" ht="69" hidden="1" x14ac:dyDescent="0.3">
      <c r="B534" s="2"/>
      <c r="C534" s="2"/>
      <c r="D534" s="2"/>
      <c r="E534" s="2"/>
      <c r="F534" s="2"/>
      <c r="G534" s="2"/>
      <c r="H534" s="2"/>
      <c r="I534" s="2"/>
      <c r="J534" s="685"/>
      <c r="K534" s="682">
        <v>43923</v>
      </c>
      <c r="L534" s="725" t="s">
        <v>181</v>
      </c>
      <c r="M534" s="683" t="s">
        <v>184</v>
      </c>
      <c r="N534" s="683" t="s">
        <v>183</v>
      </c>
      <c r="O534" s="683">
        <v>45000873022</v>
      </c>
      <c r="P534" s="683" t="s">
        <v>2090</v>
      </c>
      <c r="Q534" s="683" t="s">
        <v>37</v>
      </c>
      <c r="R534" s="683" t="s">
        <v>1782</v>
      </c>
      <c r="S534" s="686" t="s">
        <v>2091</v>
      </c>
      <c r="T534" s="683" t="s">
        <v>2092</v>
      </c>
      <c r="U534" s="683" t="s">
        <v>2053</v>
      </c>
      <c r="V534" s="683" t="s">
        <v>146</v>
      </c>
      <c r="W534" s="683" t="s">
        <v>914</v>
      </c>
      <c r="X534" s="691" t="s">
        <v>918</v>
      </c>
      <c r="Y534" s="687">
        <v>3004402507</v>
      </c>
      <c r="Z534" s="692"/>
      <c r="AA534" s="683" t="s">
        <v>33</v>
      </c>
      <c r="AB534" s="683" t="s">
        <v>34</v>
      </c>
      <c r="AC534" s="683" t="s">
        <v>230</v>
      </c>
      <c r="AD534" s="683" t="s">
        <v>1110</v>
      </c>
      <c r="AE534" s="683">
        <v>60</v>
      </c>
      <c r="AF534" s="684">
        <v>1592.6</v>
      </c>
      <c r="AG534" s="683" t="s">
        <v>243</v>
      </c>
      <c r="AH534" s="683" t="s">
        <v>220</v>
      </c>
      <c r="AI534" s="683" t="s">
        <v>33</v>
      </c>
      <c r="AJ534" s="683">
        <v>3004425772</v>
      </c>
      <c r="AK534" s="683" t="s">
        <v>33</v>
      </c>
      <c r="AL534" s="683">
        <v>106310030</v>
      </c>
      <c r="AM534" s="683" t="s">
        <v>1121</v>
      </c>
      <c r="AN534" s="683" t="s">
        <v>1143</v>
      </c>
      <c r="AO534" s="683" t="s">
        <v>247</v>
      </c>
      <c r="AP534" s="683" t="s">
        <v>240</v>
      </c>
      <c r="AQ534" s="688" t="str">
        <f>CONCATENATE("REG-",BDEGENER[[#This Row],[FECHA DE SERVICIO]],"-",BDEGENER[[#This Row],[SERIE]],"-",BDEGENER[[#This Row],[HORAS]])</f>
        <v>REG-43923-3004402507-1592,6</v>
      </c>
      <c r="AR534" s="683" t="str">
        <f>CONCATENATE("MARCA: ",BDEGENER[[#This Row],[MARCA]],"
 MODELO: ",BDEGENER[[#This Row],[MODELO]])</f>
        <v>MARCA: GENERAC
 MODELO: PG090</v>
      </c>
      <c r="AS534" s="683" t="str">
        <f>CONCATENATE("MARCA: ",BDEGENER[[#This Row],[MARCA DE MOTOR]],"
SERIE: ",BDEGENER[[#This Row],[SERIE DE MOTOR]])</f>
        <v>MARCA: GENERAC
SERIE: 3004425772</v>
      </c>
      <c r="AT534" s="683" t="str">
        <f>CONCATENATE("MARCA: ",BDEGENER[[#This Row],[MARCA ALTERNADOR ]],"
SERIE: ",BDEGENER[[#This Row],[SERIE DE ALTERNADOR]])</f>
        <v>MARCA: GENERAC
SERIE: 106310030</v>
      </c>
      <c r="AU534" s="683" t="str">
        <f>CONCATENATE("HORAS: ",BDEGENER[[#This Row],[HORAS]],"
KW-HR: ",BDEGENER[[#This Row],[KW-HORA]],"
VOLT.BATERIA: ",BDEGENER[[#This Row],[VOLTAJE DE BATERIA]],"
TEMPERATURA: ",BDEGENER[[#This Row],[TEMPERATURA DE AGUA]],"
PRES. ACEITE: ",BDEGENER[[#This Row],[PRESION DE ACEITE]])</f>
        <v>HORAS: 1592,6
KW-HR: 33503,8
VOLT.BATERIA: 13.7 V
TEMPERATURA: 197 °F
PRES. ACEITE: 55 PSI</v>
      </c>
      <c r="AV534" s="683">
        <f>COUNTIFS(Q534:Q2534,"MANTENIMIENTO CORRECTIVO",Y534:Y2534,BDEGENER[[#This Row],[SERIE]])</f>
        <v>4</v>
      </c>
      <c r="AW534" s="683">
        <f>COUNTIFS(Q534:Q2534,"MANTENIMIENTO PREVENTIVO",Y534:Y2534,BDEGENER[[#This Row],[SERIE]])</f>
        <v>5</v>
      </c>
      <c r="AX53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534" s="683">
        <f>COUNTIFS(BDEGENER[SERIE],BDEGENER[[#This Row],[SERIE]],BDEGENER[TIPO DE SERVICIO],"MANTENIMIENTO PREVENTIVO")</f>
        <v>7</v>
      </c>
      <c r="AZ534" s="683" t="str">
        <f>CONCATENATE("MANTENIMIENTO PREVENTIVO N°",BDEGENER[[#This Row],[GA1]])</f>
        <v>MANTENIMIENTO PREVENTIVO N°7</v>
      </c>
      <c r="BA534" s="683" t="str">
        <f>IF(BDEGENER[[#This Row],[SERVICIO]]=BDEGENER[[#This Row],[GA2]],BDEGENER[[#This Row],[HORAS]],"0")</f>
        <v>0</v>
      </c>
      <c r="BB534" s="683">
        <f>SUMIF(BDEGENER[SERIE],BDEGENER[[#This Row],[SERIE]],BDEGENER[GA3])</f>
        <v>2134</v>
      </c>
      <c r="BC534" s="683" t="str">
        <f>CONCATENATE("MANT",COUNTIF($Y$7:Y534,Y534))</f>
        <v>MANT5</v>
      </c>
      <c r="BD534" s="683" t="str">
        <f>CONCATENATE(BDEGENER[[#This Row],[SERIE]],BDEGENER[[#This Row],[GA5]])</f>
        <v>3004402507MANT5</v>
      </c>
      <c r="BE534" s="683" t="str">
        <f>CONCATENATE(BDEGENER[[#This Row],[CODIGO PATRIMONIAL]],BDEGENER[[#This Row],[GA5]])</f>
        <v>MANT5</v>
      </c>
      <c r="BF534" s="683">
        <f>COUNTIF(BDEGENER[SERIE],BDEGENER[[#This Row],[SERIE]])</f>
        <v>16</v>
      </c>
      <c r="BG534" s="683" t="str">
        <f>CONCATENATE("F",COUNTIF($K$7:K534,K534))</f>
        <v>F1</v>
      </c>
      <c r="BH534" s="683" t="str">
        <f>CONCATENATE(BDEGENER[[#This Row],[FECHA DE SERVICIO]],BDEGENER[[#This Row],[N° DE REGISTROS DEL DIA]])</f>
        <v>43923F1</v>
      </c>
      <c r="BI534" s="684">
        <v>33503.800000000003</v>
      </c>
      <c r="BJ534" s="683" t="s">
        <v>1544</v>
      </c>
      <c r="BK534" s="680"/>
    </row>
    <row r="535" spans="2:63" ht="69" hidden="1" x14ac:dyDescent="0.3">
      <c r="B535" s="2"/>
      <c r="C535" s="2"/>
      <c r="D535" s="2"/>
      <c r="E535" s="2"/>
      <c r="F535" s="2"/>
      <c r="G535" s="2"/>
      <c r="H535" s="2"/>
      <c r="I535" s="2"/>
      <c r="J535" s="685"/>
      <c r="K535" s="682">
        <v>43921</v>
      </c>
      <c r="L535" s="725" t="s">
        <v>181</v>
      </c>
      <c r="M535" s="683" t="s">
        <v>185</v>
      </c>
      <c r="N535" s="683" t="s">
        <v>183</v>
      </c>
      <c r="O535" s="683">
        <v>4500873022</v>
      </c>
      <c r="P535" s="688" t="s">
        <v>2086</v>
      </c>
      <c r="Q535" s="683" t="s">
        <v>37</v>
      </c>
      <c r="R535" s="683" t="s">
        <v>1782</v>
      </c>
      <c r="S535" s="686" t="s">
        <v>2087</v>
      </c>
      <c r="T535" s="683" t="s">
        <v>2088</v>
      </c>
      <c r="U535" s="683" t="s">
        <v>2089</v>
      </c>
      <c r="V535" s="683" t="s">
        <v>146</v>
      </c>
      <c r="W535" s="683" t="s">
        <v>914</v>
      </c>
      <c r="X535" s="691" t="s">
        <v>918</v>
      </c>
      <c r="Y535" s="687">
        <v>3004290366</v>
      </c>
      <c r="Z535" s="692"/>
      <c r="AA535" s="683" t="s">
        <v>33</v>
      </c>
      <c r="AB535" s="683" t="s">
        <v>34</v>
      </c>
      <c r="AC535" s="683" t="s">
        <v>230</v>
      </c>
      <c r="AD535" s="683" t="s">
        <v>1110</v>
      </c>
      <c r="AE535" s="683">
        <v>60</v>
      </c>
      <c r="AF535" s="684">
        <v>1641.5</v>
      </c>
      <c r="AG535" s="683" t="s">
        <v>243</v>
      </c>
      <c r="AH535" s="683" t="s">
        <v>220</v>
      </c>
      <c r="AI535" s="683" t="s">
        <v>33</v>
      </c>
      <c r="AJ535" s="683">
        <v>3004295604</v>
      </c>
      <c r="AK535" s="683" t="s">
        <v>33</v>
      </c>
      <c r="AL535" s="85">
        <v>10631290</v>
      </c>
      <c r="AM535" s="683" t="s">
        <v>1121</v>
      </c>
      <c r="AN535" s="683" t="s">
        <v>246</v>
      </c>
      <c r="AO535" s="683" t="s">
        <v>247</v>
      </c>
      <c r="AP535" s="683" t="s">
        <v>240</v>
      </c>
      <c r="AQ535" s="688" t="str">
        <f>CONCATENATE("REG-",BDEGENER[[#This Row],[FECHA DE SERVICIO]],"-",BDEGENER[[#This Row],[SERIE]],"-",BDEGENER[[#This Row],[HORAS]])</f>
        <v>REG-43921-3004290366-1641,5</v>
      </c>
      <c r="AR535" s="683" t="str">
        <f>CONCATENATE("MARCA: ",BDEGENER[[#This Row],[MARCA]],"
 MODELO: ",BDEGENER[[#This Row],[MODELO]])</f>
        <v>MARCA: GENERAC
 MODELO: PG090</v>
      </c>
      <c r="AS535" s="683" t="str">
        <f>CONCATENATE("MARCA: ",BDEGENER[[#This Row],[MARCA DE MOTOR]],"
SERIE: ",BDEGENER[[#This Row],[SERIE DE MOTOR]])</f>
        <v>MARCA: GENERAC
SERIE: 3004295604</v>
      </c>
      <c r="AT535" s="683" t="str">
        <f>CONCATENATE("MARCA: ",BDEGENER[[#This Row],[MARCA ALTERNADOR ]],"
SERIE: ",BDEGENER[[#This Row],[SERIE DE ALTERNADOR]])</f>
        <v>MARCA: GENERAC
SERIE: 10631290</v>
      </c>
      <c r="AU535" s="683" t="str">
        <f>CONCATENATE("HORAS: ",BDEGENER[[#This Row],[HORAS]],"
KW-HR: ",BDEGENER[[#This Row],[KW-HORA]],"
VOLT.BATERIA: ",BDEGENER[[#This Row],[VOLTAJE DE BATERIA]],"
TEMPERATURA: ",BDEGENER[[#This Row],[TEMPERATURA DE AGUA]],"
PRES. ACEITE: ",BDEGENER[[#This Row],[PRESION DE ACEITE]])</f>
        <v>HORAS: 1641,5
KW-HR: 17725,4
VOLT.BATERIA: 13.7 V
TEMPERATURA: 198 °F
PRES. ACEITE: 55 PSI</v>
      </c>
      <c r="AV535" s="761">
        <f>COUNTIFS(Q535:Q2535,"MANTENIMIENTO CORRECTIVO",Y535:Y2535,BDEGENER[[#This Row],[SERIE]])</f>
        <v>1</v>
      </c>
      <c r="AW535" s="761">
        <f>COUNTIFS(Q535:Q2535,"MANTENIMIENTO PREVENTIVO",Y535:Y2535,BDEGENER[[#This Row],[SERIE]])</f>
        <v>4</v>
      </c>
      <c r="AX53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35" s="683">
        <f>COUNTIFS(BDEGENER[SERIE],BDEGENER[[#This Row],[SERIE]],BDEGENER[TIPO DE SERVICIO],"MANTENIMIENTO PREVENTIVO")</f>
        <v>7</v>
      </c>
      <c r="AZ535" s="683" t="str">
        <f>CONCATENATE("MANTENIMIENTO PREVENTIVO N°",BDEGENER[[#This Row],[GA1]])</f>
        <v>MANTENIMIENTO PREVENTIVO N°7</v>
      </c>
      <c r="BA535" s="683" t="str">
        <f>IF(BDEGENER[[#This Row],[SERVICIO]]=BDEGENER[[#This Row],[GA2]],BDEGENER[[#This Row],[HORAS]],"0")</f>
        <v>0</v>
      </c>
      <c r="BB535" s="683">
        <f>SUMIF(BDEGENER[SERIE],BDEGENER[[#This Row],[SERIE]],BDEGENER[GA3])</f>
        <v>2629.6</v>
      </c>
      <c r="BC535" s="761" t="str">
        <f>CONCATENATE("MANT",COUNTIF($Y$7:Y535,Y535))</f>
        <v>MANT9</v>
      </c>
      <c r="BD535" s="683" t="str">
        <f>CONCATENATE(BDEGENER[[#This Row],[SERIE]],BDEGENER[[#This Row],[GA5]])</f>
        <v>3004290366MANT9</v>
      </c>
      <c r="BE535" s="683" t="str">
        <f>CONCATENATE(BDEGENER[[#This Row],[CODIGO PATRIMONIAL]],BDEGENER[[#This Row],[GA5]])</f>
        <v>MANT9</v>
      </c>
      <c r="BF535" s="683">
        <f>COUNTIF(BDEGENER[SERIE],BDEGENER[[#This Row],[SERIE]])</f>
        <v>14</v>
      </c>
      <c r="BG535" s="761" t="str">
        <f>CONCATENATE("F",COUNTIF($K$7:K535,K535))</f>
        <v>F1</v>
      </c>
      <c r="BH535" s="683" t="str">
        <f>CONCATENATE(BDEGENER[[#This Row],[FECHA DE SERVICIO]],BDEGENER[[#This Row],[N° DE REGISTROS DEL DIA]])</f>
        <v>43921F1</v>
      </c>
      <c r="BI535" s="684">
        <v>17725.400000000001</v>
      </c>
      <c r="BJ535" s="683" t="s">
        <v>1544</v>
      </c>
      <c r="BK535" s="680"/>
    </row>
    <row r="536" spans="2:63" ht="69" hidden="1" x14ac:dyDescent="0.3">
      <c r="B536" s="2"/>
      <c r="C536" s="2"/>
      <c r="D536" s="2"/>
      <c r="E536" s="2"/>
      <c r="F536" s="2"/>
      <c r="G536" s="2"/>
      <c r="H536" s="2"/>
      <c r="I536" s="2"/>
      <c r="J536" s="685"/>
      <c r="K536" s="682">
        <v>43921</v>
      </c>
      <c r="L536" s="725" t="s">
        <v>181</v>
      </c>
      <c r="M536" s="683" t="s">
        <v>185</v>
      </c>
      <c r="N536" s="683" t="s">
        <v>183</v>
      </c>
      <c r="O536" s="683"/>
      <c r="P536" s="683"/>
      <c r="Q536" s="683" t="s">
        <v>107</v>
      </c>
      <c r="R536" s="683" t="s">
        <v>2083</v>
      </c>
      <c r="S536" s="686" t="s">
        <v>2084</v>
      </c>
      <c r="T536" s="683" t="s">
        <v>2042</v>
      </c>
      <c r="U536" s="683" t="s">
        <v>2085</v>
      </c>
      <c r="V536" s="683" t="s">
        <v>146</v>
      </c>
      <c r="W536" s="683" t="s">
        <v>914</v>
      </c>
      <c r="X536" s="691" t="s">
        <v>918</v>
      </c>
      <c r="Y536" s="687">
        <v>3004344014</v>
      </c>
      <c r="Z536" s="692"/>
      <c r="AA536" s="683" t="s">
        <v>33</v>
      </c>
      <c r="AB536" s="683" t="s">
        <v>34</v>
      </c>
      <c r="AC536" s="683" t="s">
        <v>230</v>
      </c>
      <c r="AD536" s="683"/>
      <c r="AE536" s="683"/>
      <c r="AF536" s="684">
        <v>1045.4000000000001</v>
      </c>
      <c r="AG536" s="683" t="s">
        <v>243</v>
      </c>
      <c r="AH536" s="683" t="s">
        <v>220</v>
      </c>
      <c r="AI536" s="683" t="s">
        <v>33</v>
      </c>
      <c r="AJ536" s="683">
        <v>3004346826</v>
      </c>
      <c r="AK536" s="683" t="s">
        <v>33</v>
      </c>
      <c r="AL536" s="683">
        <v>106308730</v>
      </c>
      <c r="AM536" s="683"/>
      <c r="AN536" s="683"/>
      <c r="AO536" s="683"/>
      <c r="AP536" s="683" t="s">
        <v>240</v>
      </c>
      <c r="AQ536" s="688" t="str">
        <f>CONCATENATE("REG-",BDEGENER[[#This Row],[FECHA DE SERVICIO]],"-",BDEGENER[[#This Row],[SERIE]],"-",BDEGENER[[#This Row],[HORAS]])</f>
        <v>REG-43921-3004344014-1045,4</v>
      </c>
      <c r="AR536" s="683" t="str">
        <f>CONCATENATE("MARCA: ",BDEGENER[[#This Row],[MARCA]],"
 MODELO: ",BDEGENER[[#This Row],[MODELO]])</f>
        <v>MARCA: GENERAC
 MODELO: PG090</v>
      </c>
      <c r="AS536" s="683" t="str">
        <f>CONCATENATE("MARCA: ",BDEGENER[[#This Row],[MARCA DE MOTOR]],"
SERIE: ",BDEGENER[[#This Row],[SERIE DE MOTOR]])</f>
        <v>MARCA: GENERAC
SERIE: 3004346826</v>
      </c>
      <c r="AT536" s="683" t="str">
        <f>CONCATENATE("MARCA: ",BDEGENER[[#This Row],[MARCA ALTERNADOR ]],"
SERIE: ",BDEGENER[[#This Row],[SERIE DE ALTERNADOR]])</f>
        <v>MARCA: GENERAC
SERIE: 106308730</v>
      </c>
      <c r="AU536" s="683" t="str">
        <f>CONCATENATE("HORAS: ",BDEGENER[[#This Row],[HORAS]],"
KW-HR: ",BDEGENER[[#This Row],[KW-HORA]],"
VOLT.BATERIA: ",BDEGENER[[#This Row],[VOLTAJE DE BATERIA]],"
TEMPERATURA: ",BDEGENER[[#This Row],[TEMPERATURA DE AGUA]],"
PRES. ACEITE: ",BDEGENER[[#This Row],[PRESION DE ACEITE]])</f>
        <v xml:space="preserve">HORAS: 1045,4
KW-HR: 24398,3
VOLT.BATERIA: 
TEMPERATURA: 
PRES. ACEITE: </v>
      </c>
      <c r="AV536" s="683">
        <f>COUNTIFS(Q536:Q2536,"MANTENIMIENTO CORRECTIVO",Y536:Y2536,BDEGENER[[#This Row],[SERIE]])</f>
        <v>2</v>
      </c>
      <c r="AW536" s="683">
        <f>COUNTIFS(Q536:Q2536,"MANTENIMIENTO PREVENTIVO",Y536:Y2536,BDEGENER[[#This Row],[SERIE]])</f>
        <v>4</v>
      </c>
      <c r="AX53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536" s="683">
        <f>COUNTIFS(BDEGENER[SERIE],BDEGENER[[#This Row],[SERIE]],BDEGENER[TIPO DE SERVICIO],"MANTENIMIENTO PREVENTIVO")</f>
        <v>8</v>
      </c>
      <c r="AZ536" s="683" t="str">
        <f>CONCATENATE("MANTENIMIENTO PREVENTIVO N°",BDEGENER[[#This Row],[GA1]])</f>
        <v>MANTENIMIENTO PREVENTIVO N°8</v>
      </c>
      <c r="BA536" s="683" t="str">
        <f>IF(BDEGENER[[#This Row],[SERVICIO]]=BDEGENER[[#This Row],[GA2]],BDEGENER[[#This Row],[HORAS]],"0")</f>
        <v>0</v>
      </c>
      <c r="BB536" s="683">
        <f>SUMIF(BDEGENER[SERIE],BDEGENER[[#This Row],[SERIE]],BDEGENER[GA3])</f>
        <v>2070.3000000000002</v>
      </c>
      <c r="BC536" s="683" t="str">
        <f>CONCATENATE("MANT",COUNTIF($Y$7:Y536,Y536))</f>
        <v>MANT6</v>
      </c>
      <c r="BD536" s="683" t="str">
        <f>CONCATENATE(BDEGENER[[#This Row],[SERIE]],BDEGENER[[#This Row],[GA5]])</f>
        <v>3004344014MANT6</v>
      </c>
      <c r="BE536" s="683" t="str">
        <f>CONCATENATE(BDEGENER[[#This Row],[CODIGO PATRIMONIAL]],BDEGENER[[#This Row],[GA5]])</f>
        <v>MANT6</v>
      </c>
      <c r="BF536" s="683">
        <f>COUNTIF(BDEGENER[SERIE],BDEGENER[[#This Row],[SERIE]])</f>
        <v>12</v>
      </c>
      <c r="BG536" s="683" t="str">
        <f>CONCATENATE("F",COUNTIF($K$7:K536,K536))</f>
        <v>F2</v>
      </c>
      <c r="BH536" s="683" t="str">
        <f>CONCATENATE(BDEGENER[[#This Row],[FECHA DE SERVICIO]],BDEGENER[[#This Row],[N° DE REGISTROS DEL DIA]])</f>
        <v>43921F2</v>
      </c>
      <c r="BI536" s="684">
        <v>24398.3</v>
      </c>
      <c r="BJ536" s="683" t="s">
        <v>1544</v>
      </c>
      <c r="BK536" s="680"/>
    </row>
    <row r="537" spans="2:63" ht="69" hidden="1" x14ac:dyDescent="0.3">
      <c r="B537" s="2"/>
      <c r="C537" s="2"/>
      <c r="D537" s="2"/>
      <c r="E537" s="2"/>
      <c r="F537" s="2"/>
      <c r="G537" s="2"/>
      <c r="H537" s="2"/>
      <c r="I537" s="2"/>
      <c r="J537" s="685"/>
      <c r="K537" s="682">
        <v>43920</v>
      </c>
      <c r="L537" s="683" t="s">
        <v>791</v>
      </c>
      <c r="M537" s="683" t="s">
        <v>3356</v>
      </c>
      <c r="N537" s="683" t="s">
        <v>792</v>
      </c>
      <c r="O537" s="683"/>
      <c r="P537" s="683"/>
      <c r="Q537" s="683" t="s">
        <v>37</v>
      </c>
      <c r="R537" s="683" t="s">
        <v>1782</v>
      </c>
      <c r="S537" s="686" t="s">
        <v>3373</v>
      </c>
      <c r="T537" s="683" t="s">
        <v>3372</v>
      </c>
      <c r="U537" s="683"/>
      <c r="V537" s="683" t="s">
        <v>150</v>
      </c>
      <c r="W537" s="683" t="s">
        <v>914</v>
      </c>
      <c r="X537" s="691" t="s">
        <v>917</v>
      </c>
      <c r="Y537" s="687" t="s">
        <v>3367</v>
      </c>
      <c r="Z537" s="692"/>
      <c r="AA537" s="683" t="s">
        <v>840</v>
      </c>
      <c r="AB537" s="683" t="s">
        <v>3361</v>
      </c>
      <c r="AC537" s="683" t="s">
        <v>851</v>
      </c>
      <c r="AD537" s="683" t="s">
        <v>1945</v>
      </c>
      <c r="AE537" s="683"/>
      <c r="AF537" s="684">
        <v>307.8</v>
      </c>
      <c r="AG537" s="683"/>
      <c r="AH537" s="683" t="s">
        <v>3368</v>
      </c>
      <c r="AI537" s="683" t="s">
        <v>844</v>
      </c>
      <c r="AJ537" s="683" t="s">
        <v>859</v>
      </c>
      <c r="AK537" s="683" t="s">
        <v>1923</v>
      </c>
      <c r="AL537" s="683" t="s">
        <v>3355</v>
      </c>
      <c r="AM537" s="683"/>
      <c r="AN537" s="683"/>
      <c r="AO537" s="683" t="s">
        <v>1443</v>
      </c>
      <c r="AP537" s="683" t="s">
        <v>240</v>
      </c>
      <c r="AQ537" s="688" t="str">
        <f>CONCATENATE("REG-",BDEGENER[[#This Row],[FECHA DE SERVICIO]],"-",BDEGENER[[#This Row],[SERIE]],"-",BDEGENER[[#This Row],[HORAS]])</f>
        <v>REG-43920-A5245J-001-307,8</v>
      </c>
      <c r="AR537" s="683" t="str">
        <f>CONCATENATE("MARCA: ",BDEGENER[[#This Row],[MARCA]],"
 MODELO: ",BDEGENER[[#This Row],[MODELO]])</f>
        <v>MARCA: FG - WILSON
 MODELO: PG-90</v>
      </c>
      <c r="AS537" s="683" t="str">
        <f>CONCATENATE("MARCA: ",BDEGENER[[#This Row],[MARCA DE MOTOR]],"
SERIE: ",BDEGENER[[#This Row],[SERIE DE MOTOR]])</f>
        <v>MARCA: PERKINS
SERIE: U613189</v>
      </c>
      <c r="AT537" s="683" t="str">
        <f>CONCATENATE("MARCA: ",BDEGENER[[#This Row],[MARCA ALTERNADOR ]],"
SERIE: ",BDEGENER[[#This Row],[SERIE DE ALTERNADOR]])</f>
        <v>MARCA: FG WILSON
SERIE: A5245J/001</v>
      </c>
      <c r="AU537" s="683" t="str">
        <f>CONCATENATE("HORAS: ",BDEGENER[[#This Row],[HORAS]],"
KW-HR: ",BDEGENER[[#This Row],[KW-HORA]],"
VOLT.BATERIA: ",BDEGENER[[#This Row],[VOLTAJE DE BATERIA]],"
TEMPERATURA: ",BDEGENER[[#This Row],[TEMPERATURA DE AGUA]],"
PRES. ACEITE: ",BDEGENER[[#This Row],[PRESION DE ACEITE]])</f>
        <v>HORAS: 307,8
KW-HR: 
VOLT.BATERIA: 
TEMPERATURA: 
PRES. ACEITE: 80 PSI</v>
      </c>
      <c r="AV537" s="683">
        <f>COUNTIFS(Q537:Q2537,"MANTENIMIENTO CORRECTIVO",Y537:Y2537,BDEGENER[[#This Row],[SERIE]])</f>
        <v>0</v>
      </c>
      <c r="AW537" s="683">
        <f>COUNTIFS(Q537:Q2537,"MANTENIMIENTO PREVENTIVO",Y537:Y2537,BDEGENER[[#This Row],[SERIE]])</f>
        <v>5</v>
      </c>
      <c r="AX53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537" s="683">
        <f>COUNTIFS(BDEGENER[SERIE],BDEGENER[[#This Row],[SERIE]],BDEGENER[TIPO DE SERVICIO],"MANTENIMIENTO PREVENTIVO")</f>
        <v>6</v>
      </c>
      <c r="AZ537" s="683" t="str">
        <f>CONCATENATE("MANTENIMIENTO PREVENTIVO N°",BDEGENER[[#This Row],[GA1]])</f>
        <v>MANTENIMIENTO PREVENTIVO N°6</v>
      </c>
      <c r="BA537" s="683" t="str">
        <f>IF(BDEGENER[[#This Row],[SERVICIO]]=BDEGENER[[#This Row],[GA2]],BDEGENER[[#This Row],[HORAS]],"0")</f>
        <v>0</v>
      </c>
      <c r="BB537" s="683">
        <f>SUMIF(BDEGENER[SERIE],BDEGENER[[#This Row],[SERIE]],BDEGENER[GA3])</f>
        <v>308.10000000000002</v>
      </c>
      <c r="BC537" s="683" t="str">
        <f>CONCATENATE("MANT",COUNTIF($Y$7:Y537,Y537))</f>
        <v>MANT3</v>
      </c>
      <c r="BD537" s="683" t="str">
        <f>CONCATENATE(BDEGENER[[#This Row],[SERIE]],BDEGENER[[#This Row],[GA5]])</f>
        <v>A5245J-001MANT3</v>
      </c>
      <c r="BE537" s="683" t="str">
        <f>CONCATENATE(BDEGENER[[#This Row],[CODIGO PATRIMONIAL]],BDEGENER[[#This Row],[GA5]])</f>
        <v>MANT3</v>
      </c>
      <c r="BF537" s="683">
        <f>COUNTIF(BDEGENER[SERIE],BDEGENER[[#This Row],[SERIE]])</f>
        <v>7</v>
      </c>
      <c r="BG537" s="683" t="str">
        <f>CONCATENATE("F",COUNTIF($K$7:K537,K537))</f>
        <v>F1</v>
      </c>
      <c r="BH537" s="683" t="str">
        <f>CONCATENATE(BDEGENER[[#This Row],[FECHA DE SERVICIO]],BDEGENER[[#This Row],[N° DE REGISTROS DEL DIA]])</f>
        <v>43920F1</v>
      </c>
      <c r="BI537" s="684"/>
      <c r="BJ537" s="683" t="s">
        <v>1544</v>
      </c>
      <c r="BK537" s="680"/>
    </row>
    <row r="538" spans="2:63" ht="82.8" hidden="1" x14ac:dyDescent="0.3">
      <c r="B538" s="2"/>
      <c r="C538" s="2"/>
      <c r="D538" s="2"/>
      <c r="E538" s="2"/>
      <c r="F538" s="2"/>
      <c r="G538" s="2"/>
      <c r="H538" s="2"/>
      <c r="I538" s="2"/>
      <c r="J538" s="685"/>
      <c r="K538" s="682">
        <v>43920</v>
      </c>
      <c r="L538" s="725" t="s">
        <v>181</v>
      </c>
      <c r="M538" s="683" t="s">
        <v>184</v>
      </c>
      <c r="N538" s="683" t="s">
        <v>183</v>
      </c>
      <c r="O538" s="683"/>
      <c r="P538" s="683"/>
      <c r="Q538" s="683" t="s">
        <v>108</v>
      </c>
      <c r="R538" s="683" t="s">
        <v>2126</v>
      </c>
      <c r="S538" s="686" t="s">
        <v>2127</v>
      </c>
      <c r="T538" s="683" t="s">
        <v>2128</v>
      </c>
      <c r="U538" s="683"/>
      <c r="V538" s="683" t="s">
        <v>148</v>
      </c>
      <c r="W538" s="683" t="s">
        <v>914</v>
      </c>
      <c r="X538" s="691" t="s">
        <v>918</v>
      </c>
      <c r="Y538" s="687">
        <v>3004402507</v>
      </c>
      <c r="Z538" s="692"/>
      <c r="AA538" s="683" t="s">
        <v>33</v>
      </c>
      <c r="AB538" s="683" t="s">
        <v>34</v>
      </c>
      <c r="AC538" s="683" t="s">
        <v>230</v>
      </c>
      <c r="AD538" s="683"/>
      <c r="AE538" s="683"/>
      <c r="AF538" s="684">
        <v>1549.1</v>
      </c>
      <c r="AG538" s="683" t="s">
        <v>243</v>
      </c>
      <c r="AH538" s="683" t="s">
        <v>220</v>
      </c>
      <c r="AI538" s="683" t="s">
        <v>33</v>
      </c>
      <c r="AJ538" s="683">
        <v>3004425772</v>
      </c>
      <c r="AK538" s="683" t="s">
        <v>33</v>
      </c>
      <c r="AL538" s="683">
        <v>106310030</v>
      </c>
      <c r="AM538" s="683" t="s">
        <v>245</v>
      </c>
      <c r="AN538" s="683" t="s">
        <v>1143</v>
      </c>
      <c r="AO538" s="683" t="s">
        <v>2129</v>
      </c>
      <c r="AP538" s="683" t="s">
        <v>240</v>
      </c>
      <c r="AQ538" s="688" t="str">
        <f>CONCATENATE("REG-",BDEGENER[[#This Row],[FECHA DE SERVICIO]],"-",BDEGENER[[#This Row],[SERIE]],"-",BDEGENER[[#This Row],[HORAS]])</f>
        <v>REG-43920-3004402507-1549,1</v>
      </c>
      <c r="AR538" s="683" t="str">
        <f>CONCATENATE("MARCA: ",BDEGENER[[#This Row],[MARCA]],"
 MODELO: ",BDEGENER[[#This Row],[MODELO]])</f>
        <v>MARCA: GENERAC
 MODELO: PG090</v>
      </c>
      <c r="AS538" s="683" t="str">
        <f>CONCATENATE("MARCA: ",BDEGENER[[#This Row],[MARCA DE MOTOR]],"
SERIE: ",BDEGENER[[#This Row],[SERIE DE MOTOR]])</f>
        <v>MARCA: GENERAC
SERIE: 3004425772</v>
      </c>
      <c r="AT538" s="683" t="str">
        <f>CONCATENATE("MARCA: ",BDEGENER[[#This Row],[MARCA ALTERNADOR ]],"
SERIE: ",BDEGENER[[#This Row],[SERIE DE ALTERNADOR]])</f>
        <v>MARCA: GENERAC
SERIE: 106310030</v>
      </c>
      <c r="AU538" s="683" t="str">
        <f>CONCATENATE("HORAS: ",BDEGENER[[#This Row],[HORAS]],"
KW-HR: ",BDEGENER[[#This Row],[KW-HORA]],"
VOLT.BATERIA: ",BDEGENER[[#This Row],[VOLTAJE DE BATERIA]],"
TEMPERATURA: ",BDEGENER[[#This Row],[TEMPERATURA DE AGUA]],"
PRES. ACEITE: ",BDEGENER[[#This Row],[PRESION DE ACEITE]])</f>
        <v>HORAS: 1549,1
KW-HR: 32055,6
VOLT.BATERIA: 13.6 V
TEMPERATURA: 197 °F
PRES. ACEITE: 44 PSI</v>
      </c>
      <c r="AV538" s="761">
        <f>COUNTIFS(Q538:Q2538,"MANTENIMIENTO CORRECTIVO",Y538:Y2538,BDEGENER[[#This Row],[SERIE]])</f>
        <v>4</v>
      </c>
      <c r="AW538" s="761">
        <f>COUNTIFS(Q538:Q2538,"MANTENIMIENTO PREVENTIVO",Y538:Y2538,BDEGENER[[#This Row],[SERIE]])</f>
        <v>4</v>
      </c>
      <c r="AX53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38" s="683">
        <f>COUNTIFS(BDEGENER[SERIE],BDEGENER[[#This Row],[SERIE]],BDEGENER[TIPO DE SERVICIO],"MANTENIMIENTO PREVENTIVO")</f>
        <v>7</v>
      </c>
      <c r="AZ538" s="683" t="str">
        <f>CONCATENATE("MANTENIMIENTO PREVENTIVO N°",BDEGENER[[#This Row],[GA1]])</f>
        <v>MANTENIMIENTO PREVENTIVO N°7</v>
      </c>
      <c r="BA538" s="683" t="str">
        <f>IF(BDEGENER[[#This Row],[SERVICIO]]=BDEGENER[[#This Row],[GA2]],BDEGENER[[#This Row],[HORAS]],"0")</f>
        <v>0</v>
      </c>
      <c r="BB538" s="683">
        <f>SUMIF(BDEGENER[SERIE],BDEGENER[[#This Row],[SERIE]],BDEGENER[GA3])</f>
        <v>2134</v>
      </c>
      <c r="BC538" s="761" t="str">
        <f>CONCATENATE("MANT",COUNTIF($Y$7:Y538,Y538))</f>
        <v>MANT6</v>
      </c>
      <c r="BD538" s="683" t="str">
        <f>CONCATENATE(BDEGENER[[#This Row],[SERIE]],BDEGENER[[#This Row],[GA5]])</f>
        <v>3004402507MANT6</v>
      </c>
      <c r="BE538" s="683" t="str">
        <f>CONCATENATE(BDEGENER[[#This Row],[CODIGO PATRIMONIAL]],BDEGENER[[#This Row],[GA5]])</f>
        <v>MANT6</v>
      </c>
      <c r="BF538" s="683">
        <f>COUNTIF(BDEGENER[SERIE],BDEGENER[[#This Row],[SERIE]])</f>
        <v>16</v>
      </c>
      <c r="BG538" s="761" t="str">
        <f>CONCATENATE("F",COUNTIF($K$7:K538,K538))</f>
        <v>F2</v>
      </c>
      <c r="BH538" s="683" t="str">
        <f>CONCATENATE(BDEGENER[[#This Row],[FECHA DE SERVICIO]],BDEGENER[[#This Row],[N° DE REGISTROS DEL DIA]])</f>
        <v>43920F2</v>
      </c>
      <c r="BI538" s="684">
        <v>32055.599999999999</v>
      </c>
      <c r="BJ538" s="683" t="s">
        <v>1544</v>
      </c>
      <c r="BK538" s="680"/>
    </row>
    <row r="539" spans="2:63" ht="82.8" hidden="1" x14ac:dyDescent="0.3">
      <c r="B539" s="2"/>
      <c r="C539" s="2"/>
      <c r="D539" s="2"/>
      <c r="E539" s="2"/>
      <c r="F539" s="2"/>
      <c r="G539" s="2"/>
      <c r="H539" s="2"/>
      <c r="I539" s="2"/>
      <c r="J539" s="685"/>
      <c r="K539" s="682">
        <v>43920</v>
      </c>
      <c r="L539" s="725" t="s">
        <v>181</v>
      </c>
      <c r="M539" s="683" t="s">
        <v>187</v>
      </c>
      <c r="N539" s="683" t="s">
        <v>183</v>
      </c>
      <c r="O539" s="683"/>
      <c r="P539" s="683"/>
      <c r="Q539" s="683" t="s">
        <v>108</v>
      </c>
      <c r="R539" s="683" t="s">
        <v>2122</v>
      </c>
      <c r="S539" s="686" t="s">
        <v>2123</v>
      </c>
      <c r="T539" s="683" t="s">
        <v>2124</v>
      </c>
      <c r="U539" s="683"/>
      <c r="V539" s="683" t="s">
        <v>148</v>
      </c>
      <c r="W539" s="683" t="s">
        <v>914</v>
      </c>
      <c r="X539" s="691" t="s">
        <v>918</v>
      </c>
      <c r="Y539" s="687">
        <v>3004337430</v>
      </c>
      <c r="Z539" s="692" t="s">
        <v>192</v>
      </c>
      <c r="AA539" s="683" t="s">
        <v>33</v>
      </c>
      <c r="AB539" s="683" t="s">
        <v>34</v>
      </c>
      <c r="AC539" s="683" t="s">
        <v>230</v>
      </c>
      <c r="AD539" s="683"/>
      <c r="AE539" s="683"/>
      <c r="AF539" s="684">
        <v>572.29999999999995</v>
      </c>
      <c r="AG539" s="683" t="s">
        <v>243</v>
      </c>
      <c r="AH539" s="683" t="s">
        <v>220</v>
      </c>
      <c r="AI539" s="683" t="s">
        <v>33</v>
      </c>
      <c r="AJ539" s="683">
        <v>3004346827</v>
      </c>
      <c r="AK539" s="683" t="s">
        <v>33</v>
      </c>
      <c r="AL539" s="683"/>
      <c r="AM539" s="683"/>
      <c r="AN539" s="683"/>
      <c r="AO539" s="683" t="s">
        <v>2125</v>
      </c>
      <c r="AP539" s="683" t="s">
        <v>557</v>
      </c>
      <c r="AQ539" s="688" t="str">
        <f>CONCATENATE("REG-",BDEGENER[[#This Row],[FECHA DE SERVICIO]],"-",BDEGENER[[#This Row],[SERIE]],"-",BDEGENER[[#This Row],[HORAS]])</f>
        <v>REG-43920-3004337430-572,3</v>
      </c>
      <c r="AR539" s="683" t="str">
        <f>CONCATENATE("MARCA: ",BDEGENER[[#This Row],[MARCA]],"
 MODELO: ",BDEGENER[[#This Row],[MODELO]])</f>
        <v>MARCA: GENERAC
 MODELO: PG090</v>
      </c>
      <c r="AS539" s="683" t="str">
        <f>CONCATENATE("MARCA: ",BDEGENER[[#This Row],[MARCA DE MOTOR]],"
SERIE: ",BDEGENER[[#This Row],[SERIE DE MOTOR]])</f>
        <v>MARCA: GENERAC
SERIE: 3004346827</v>
      </c>
      <c r="AT539" s="683" t="str">
        <f>CONCATENATE("MARCA: ",BDEGENER[[#This Row],[MARCA ALTERNADOR ]],"
SERIE: ",BDEGENER[[#This Row],[SERIE DE ALTERNADOR]])</f>
        <v xml:space="preserve">MARCA: GENERAC
SERIE: </v>
      </c>
      <c r="AU539" s="683" t="str">
        <f>CONCATENATE("HORAS: ",BDEGENER[[#This Row],[HORAS]],"
KW-HR: ",BDEGENER[[#This Row],[KW-HORA]],"
VOLT.BATERIA: ",BDEGENER[[#This Row],[VOLTAJE DE BATERIA]],"
TEMPERATURA: ",BDEGENER[[#This Row],[TEMPERATURA DE AGUA]],"
PRES. ACEITE: ",BDEGENER[[#This Row],[PRESION DE ACEITE]])</f>
        <v>HORAS: 572,3
KW-HR: 7266,7
VOLT.BATERIA: 
TEMPERATURA: 
PRES. ACEITE: 20 PSI</v>
      </c>
      <c r="AV539" s="683">
        <f>COUNTIFS(Q539:Q2539,"MANTENIMIENTO CORRECTIVO",Y539:Y2539,BDEGENER[[#This Row],[SERIE]])</f>
        <v>1</v>
      </c>
      <c r="AW539" s="683">
        <f>COUNTIFS(Q539:Q2539,"MANTENIMIENTO PREVENTIVO",Y539:Y2539,BDEGENER[[#This Row],[SERIE]])</f>
        <v>2</v>
      </c>
      <c r="AX53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39" s="683">
        <f>COUNTIFS(BDEGENER[SERIE],BDEGENER[[#This Row],[SERIE]],BDEGENER[TIPO DE SERVICIO],"MANTENIMIENTO PREVENTIVO")</f>
        <v>3</v>
      </c>
      <c r="AZ539" s="683" t="str">
        <f>CONCATENATE("MANTENIMIENTO PREVENTIVO N°",BDEGENER[[#This Row],[GA1]])</f>
        <v>MANTENIMIENTO PREVENTIVO N°3</v>
      </c>
      <c r="BA539" s="683" t="str">
        <f>IF(BDEGENER[[#This Row],[SERVICIO]]=BDEGENER[[#This Row],[GA2]],BDEGENER[[#This Row],[HORAS]],"0")</f>
        <v>0</v>
      </c>
      <c r="BB539" s="683">
        <f>SUMIF(BDEGENER[SERIE],BDEGENER[[#This Row],[SERIE]],BDEGENER[GA3])</f>
        <v>596.6</v>
      </c>
      <c r="BC539" s="683" t="str">
        <f>CONCATENATE("MANT",COUNTIF($Y$7:Y539,Y539))</f>
        <v>MANT5</v>
      </c>
      <c r="BD539" s="683" t="str">
        <f>CONCATENATE(BDEGENER[[#This Row],[SERIE]],BDEGENER[[#This Row],[GA5]])</f>
        <v>3004337430MANT5</v>
      </c>
      <c r="BE539" s="683" t="str">
        <f>CONCATENATE(BDEGENER[[#This Row],[CODIGO PATRIMONIAL]],BDEGENER[[#This Row],[GA5]])</f>
        <v xml:space="preserve"> MANT5</v>
      </c>
      <c r="BF539" s="683">
        <f>COUNTIF(BDEGENER[SERIE],BDEGENER[[#This Row],[SERIE]])</f>
        <v>11</v>
      </c>
      <c r="BG539" s="683" t="str">
        <f>CONCATENATE("F",COUNTIF($K$7:K539,K539))</f>
        <v>F3</v>
      </c>
      <c r="BH539" s="683" t="str">
        <f>CONCATENATE(BDEGENER[[#This Row],[FECHA DE SERVICIO]],BDEGENER[[#This Row],[N° DE REGISTROS DEL DIA]])</f>
        <v>43920F3</v>
      </c>
      <c r="BI539" s="684">
        <v>7266.7</v>
      </c>
      <c r="BJ539" s="683" t="s">
        <v>1544</v>
      </c>
      <c r="BK539" s="680"/>
    </row>
    <row r="540" spans="2:63" ht="96.6" hidden="1" x14ac:dyDescent="0.3">
      <c r="B540" s="2"/>
      <c r="C540" s="2"/>
      <c r="D540" s="2"/>
      <c r="E540" s="2"/>
      <c r="F540" s="2"/>
      <c r="G540" s="2"/>
      <c r="H540" s="2"/>
      <c r="I540" s="2"/>
      <c r="J540" s="685"/>
      <c r="K540" s="682">
        <v>43920</v>
      </c>
      <c r="L540" s="725" t="s">
        <v>181</v>
      </c>
      <c r="M540" s="683" t="s">
        <v>188</v>
      </c>
      <c r="N540" s="683" t="s">
        <v>183</v>
      </c>
      <c r="O540" s="683"/>
      <c r="P540" s="683"/>
      <c r="Q540" s="683" t="s">
        <v>108</v>
      </c>
      <c r="R540" s="683" t="s">
        <v>2120</v>
      </c>
      <c r="S540" s="686" t="s">
        <v>2322</v>
      </c>
      <c r="T540" s="683" t="s">
        <v>2121</v>
      </c>
      <c r="U540" s="683"/>
      <c r="V540" s="683" t="s">
        <v>148</v>
      </c>
      <c r="W540" s="683" t="s">
        <v>914</v>
      </c>
      <c r="X540" s="691" t="s">
        <v>918</v>
      </c>
      <c r="Y540" s="687">
        <v>3004331707</v>
      </c>
      <c r="Z540" s="692" t="s">
        <v>192</v>
      </c>
      <c r="AA540" s="683" t="s">
        <v>33</v>
      </c>
      <c r="AB540" s="683" t="s">
        <v>34</v>
      </c>
      <c r="AC540" s="683" t="s">
        <v>230</v>
      </c>
      <c r="AD540" s="683"/>
      <c r="AE540" s="683"/>
      <c r="AF540" s="684">
        <v>836.5</v>
      </c>
      <c r="AG540" s="683" t="s">
        <v>243</v>
      </c>
      <c r="AH540" s="683" t="s">
        <v>220</v>
      </c>
      <c r="AI540" s="683" t="s">
        <v>33</v>
      </c>
      <c r="AJ540" s="683">
        <v>3004308222</v>
      </c>
      <c r="AK540" s="683" t="s">
        <v>33</v>
      </c>
      <c r="AL540" s="683">
        <v>106304910</v>
      </c>
      <c r="AM540" s="683"/>
      <c r="AN540" s="683"/>
      <c r="AO540" s="683"/>
      <c r="AP540" s="683" t="s">
        <v>557</v>
      </c>
      <c r="AQ540" s="688" t="str">
        <f>CONCATENATE("REG-",BDEGENER[[#This Row],[FECHA DE SERVICIO]],"-",BDEGENER[[#This Row],[SERIE]],"-",BDEGENER[[#This Row],[HORAS]])</f>
        <v>REG-43920-3004331707-836,5</v>
      </c>
      <c r="AR540" s="683" t="str">
        <f>CONCATENATE("MARCA: ",BDEGENER[[#This Row],[MARCA]],"
 MODELO: ",BDEGENER[[#This Row],[MODELO]])</f>
        <v>MARCA: GENERAC
 MODELO: PG090</v>
      </c>
      <c r="AS540" s="683" t="str">
        <f>CONCATENATE("MARCA: ",BDEGENER[[#This Row],[MARCA DE MOTOR]],"
SERIE: ",BDEGENER[[#This Row],[SERIE DE MOTOR]])</f>
        <v>MARCA: GENERAC
SERIE: 3004308222</v>
      </c>
      <c r="AT540" s="683" t="str">
        <f>CONCATENATE("MARCA: ",BDEGENER[[#This Row],[MARCA ALTERNADOR ]],"
SERIE: ",BDEGENER[[#This Row],[SERIE DE ALTERNADOR]])</f>
        <v>MARCA: GENERAC
SERIE: 106304910</v>
      </c>
      <c r="AU540" s="683" t="str">
        <f>CONCATENATE("HORAS: ",BDEGENER[[#This Row],[HORAS]],"
KW-HR: ",BDEGENER[[#This Row],[KW-HORA]],"
VOLT.BATERIA: ",BDEGENER[[#This Row],[VOLTAJE DE BATERIA]],"
TEMPERATURA: ",BDEGENER[[#This Row],[TEMPERATURA DE AGUA]],"
PRES. ACEITE: ",BDEGENER[[#This Row],[PRESION DE ACEITE]])</f>
        <v xml:space="preserve">HORAS: 836,5
KW-HR: 17616,5
VOLT.BATERIA: 
TEMPERATURA: 
PRES. ACEITE: </v>
      </c>
      <c r="AV540" s="683">
        <f>COUNTIFS(Q540:Q2540,"MANTENIMIENTO CORRECTIVO",Y540:Y2540,BDEGENER[[#This Row],[SERIE]])</f>
        <v>1</v>
      </c>
      <c r="AW540" s="683">
        <f>COUNTIFS(Q540:Q2540,"MANTENIMIENTO PREVENTIVO",Y540:Y2540,BDEGENER[[#This Row],[SERIE]])</f>
        <v>2</v>
      </c>
      <c r="AX54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40" s="683">
        <f>COUNTIFS(BDEGENER[SERIE],BDEGENER[[#This Row],[SERIE]],BDEGENER[TIPO DE SERVICIO],"MANTENIMIENTO PREVENTIVO")</f>
        <v>3</v>
      </c>
      <c r="AZ540" s="683" t="str">
        <f>CONCATENATE("MANTENIMIENTO PREVENTIVO N°",BDEGENER[[#This Row],[GA1]])</f>
        <v>MANTENIMIENTO PREVENTIVO N°3</v>
      </c>
      <c r="BA540" s="683" t="str">
        <f>IF(BDEGENER[[#This Row],[SERVICIO]]=BDEGENER[[#This Row],[GA2]],BDEGENER[[#This Row],[HORAS]],"0")</f>
        <v>0</v>
      </c>
      <c r="BB540" s="683">
        <f>SUMIF(BDEGENER[SERIE],BDEGENER[[#This Row],[SERIE]],BDEGENER[GA3])</f>
        <v>938</v>
      </c>
      <c r="BC540" s="683" t="str">
        <f>CONCATENATE("MANT",COUNTIF($Y$7:Y540,Y540))</f>
        <v>MANT3</v>
      </c>
      <c r="BD540" s="683" t="str">
        <f>CONCATENATE(BDEGENER[[#This Row],[SERIE]],BDEGENER[[#This Row],[GA5]])</f>
        <v>3004331707MANT3</v>
      </c>
      <c r="BE540" s="683" t="str">
        <f>CONCATENATE(BDEGENER[[#This Row],[CODIGO PATRIMONIAL]],BDEGENER[[#This Row],[GA5]])</f>
        <v xml:space="preserve"> MANT3</v>
      </c>
      <c r="BF540" s="683">
        <f>COUNTIF(BDEGENER[SERIE],BDEGENER[[#This Row],[SERIE]])</f>
        <v>8</v>
      </c>
      <c r="BG540" s="683" t="str">
        <f>CONCATENATE("F",COUNTIF($K$7:K540,K540))</f>
        <v>F4</v>
      </c>
      <c r="BH540" s="683" t="str">
        <f>CONCATENATE(BDEGENER[[#This Row],[FECHA DE SERVICIO]],BDEGENER[[#This Row],[N° DE REGISTROS DEL DIA]])</f>
        <v>43920F4</v>
      </c>
      <c r="BI540" s="684">
        <v>17616.5</v>
      </c>
      <c r="BJ540" s="683" t="s">
        <v>1544</v>
      </c>
      <c r="BK540" s="680"/>
    </row>
    <row r="541" spans="2:63" ht="69" hidden="1" x14ac:dyDescent="0.3">
      <c r="B541" s="2"/>
      <c r="C541" s="2"/>
      <c r="D541" s="2"/>
      <c r="E541" s="2"/>
      <c r="F541" s="2"/>
      <c r="G541" s="2"/>
      <c r="H541" s="2"/>
      <c r="I541" s="2"/>
      <c r="J541" s="685"/>
      <c r="K541" s="682">
        <v>43918</v>
      </c>
      <c r="L541" s="725" t="s">
        <v>181</v>
      </c>
      <c r="M541" s="683" t="s">
        <v>187</v>
      </c>
      <c r="N541" s="683" t="s">
        <v>183</v>
      </c>
      <c r="O541" s="683">
        <v>4500853865</v>
      </c>
      <c r="P541" s="688" t="s">
        <v>2057</v>
      </c>
      <c r="Q541" s="683" t="s">
        <v>37</v>
      </c>
      <c r="R541" s="683" t="s">
        <v>1782</v>
      </c>
      <c r="S541" s="686" t="s">
        <v>2061</v>
      </c>
      <c r="T541" s="683" t="s">
        <v>2047</v>
      </c>
      <c r="U541" s="683" t="s">
        <v>2053</v>
      </c>
      <c r="V541" s="683" t="s">
        <v>146</v>
      </c>
      <c r="W541" s="683" t="s">
        <v>914</v>
      </c>
      <c r="X541" s="691" t="s">
        <v>918</v>
      </c>
      <c r="Y541" s="687">
        <v>3004214491</v>
      </c>
      <c r="Z541" s="692"/>
      <c r="AA541" s="683" t="s">
        <v>33</v>
      </c>
      <c r="AB541" s="683" t="s">
        <v>34</v>
      </c>
      <c r="AC541" s="683" t="s">
        <v>230</v>
      </c>
      <c r="AD541" s="683" t="s">
        <v>1110</v>
      </c>
      <c r="AE541" s="683">
        <v>60</v>
      </c>
      <c r="AF541" s="684">
        <v>885.9</v>
      </c>
      <c r="AG541" s="683" t="s">
        <v>243</v>
      </c>
      <c r="AH541" s="683" t="s">
        <v>244</v>
      </c>
      <c r="AI541" s="683" t="s">
        <v>33</v>
      </c>
      <c r="AJ541" s="683">
        <v>3004133600</v>
      </c>
      <c r="AK541" s="683" t="s">
        <v>33</v>
      </c>
      <c r="AL541" s="683">
        <v>1063014</v>
      </c>
      <c r="AM541" s="683" t="s">
        <v>1121</v>
      </c>
      <c r="AN541" s="683" t="s">
        <v>1352</v>
      </c>
      <c r="AO541" s="683" t="s">
        <v>1349</v>
      </c>
      <c r="AP541" s="683" t="s">
        <v>240</v>
      </c>
      <c r="AQ541" s="688" t="str">
        <f>CONCATENATE("REG-",BDEGENER[[#This Row],[FECHA DE SERVICIO]],"-",BDEGENER[[#This Row],[SERIE]],"-",BDEGENER[[#This Row],[HORAS]])</f>
        <v>REG-43918-3004214491-885,9</v>
      </c>
      <c r="AR541" s="683" t="str">
        <f>CONCATENATE("MARCA: ",BDEGENER[[#This Row],[MARCA]],"
 MODELO: ",BDEGENER[[#This Row],[MODELO]])</f>
        <v>MARCA: GENERAC
 MODELO: PG090</v>
      </c>
      <c r="AS541" s="683" t="str">
        <f>CONCATENATE("MARCA: ",BDEGENER[[#This Row],[MARCA DE MOTOR]],"
SERIE: ",BDEGENER[[#This Row],[SERIE DE MOTOR]])</f>
        <v>MARCA: GENERAC
SERIE: 3004133600</v>
      </c>
      <c r="AT541" s="683" t="str">
        <f>CONCATENATE("MARCA: ",BDEGENER[[#This Row],[MARCA ALTERNADOR ]],"
SERIE: ",BDEGENER[[#This Row],[SERIE DE ALTERNADOR]])</f>
        <v>MARCA: GENERAC
SERIE: 1063014</v>
      </c>
      <c r="AU541" s="683" t="str">
        <f>CONCATENATE("HORAS: ",BDEGENER[[#This Row],[HORAS]],"
KW-HR: ",BDEGENER[[#This Row],[KW-HORA]],"
VOLT.BATERIA: ",BDEGENER[[#This Row],[VOLTAJE DE BATERIA]],"
TEMPERATURA: ",BDEGENER[[#This Row],[TEMPERATURA DE AGUA]],"
PRES. ACEITE: ",BDEGENER[[#This Row],[PRESION DE ACEITE]])</f>
        <v>HORAS: 885,9
KW-HR: 13980,4
VOLT.BATERIA: 13.7 V
TEMPERATURA: 196 °F
PRES. ACEITE: 56 PSI</v>
      </c>
      <c r="AV541" s="761">
        <f>COUNTIFS(Q541:Q2541,"MANTENIMIENTO CORRECTIVO",Y541:Y2541,BDEGENER[[#This Row],[SERIE]])</f>
        <v>4</v>
      </c>
      <c r="AW541" s="761">
        <f>COUNTIFS(Q541:Q2541,"MANTENIMIENTO PREVENTIVO",Y541:Y2541,BDEGENER[[#This Row],[SERIE]])</f>
        <v>3</v>
      </c>
      <c r="AX54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41" s="683">
        <f>COUNTIFS(BDEGENER[SERIE],BDEGENER[[#This Row],[SERIE]],BDEGENER[TIPO DE SERVICIO],"MANTENIMIENTO PREVENTIVO")</f>
        <v>9</v>
      </c>
      <c r="AZ541" s="683" t="str">
        <f>CONCATENATE("MANTENIMIENTO PREVENTIVO N°",BDEGENER[[#This Row],[GA1]])</f>
        <v>MANTENIMIENTO PREVENTIVO N°9</v>
      </c>
      <c r="BA541" s="683" t="str">
        <f>IF(BDEGENER[[#This Row],[SERVICIO]]=BDEGENER[[#This Row],[GA2]],BDEGENER[[#This Row],[HORAS]],"0")</f>
        <v>0</v>
      </c>
      <c r="BB541" s="683">
        <f>SUMIF(BDEGENER[SERIE],BDEGENER[[#This Row],[SERIE]],BDEGENER[GA3])</f>
        <v>2751</v>
      </c>
      <c r="BC541" s="761" t="str">
        <f>CONCATENATE("MANT",COUNTIF($Y$7:Y541,Y541))</f>
        <v>MANT11</v>
      </c>
      <c r="BD541" s="683" t="str">
        <f>CONCATENATE(BDEGENER[[#This Row],[SERIE]],BDEGENER[[#This Row],[GA5]])</f>
        <v>3004214491MANT11</v>
      </c>
      <c r="BE541" s="683" t="str">
        <f>CONCATENATE(BDEGENER[[#This Row],[CODIGO PATRIMONIAL]],BDEGENER[[#This Row],[GA5]])</f>
        <v>MANT11</v>
      </c>
      <c r="BF541" s="683">
        <f>COUNTIF(BDEGENER[SERIE],BDEGENER[[#This Row],[SERIE]])</f>
        <v>18</v>
      </c>
      <c r="BG541" s="761" t="str">
        <f>CONCATENATE("F",COUNTIF($K$7:K541,K541))</f>
        <v>F1</v>
      </c>
      <c r="BH541" s="683" t="str">
        <f>CONCATENATE(BDEGENER[[#This Row],[FECHA DE SERVICIO]],BDEGENER[[#This Row],[N° DE REGISTROS DEL DIA]])</f>
        <v>43918F1</v>
      </c>
      <c r="BI541" s="684">
        <v>13980.4</v>
      </c>
      <c r="BJ541" s="683" t="s">
        <v>1544</v>
      </c>
      <c r="BK541" s="680"/>
    </row>
    <row r="542" spans="2:63" ht="69" hidden="1" x14ac:dyDescent="0.3">
      <c r="B542" s="2"/>
      <c r="C542" s="2"/>
      <c r="D542" s="2"/>
      <c r="E542" s="2"/>
      <c r="F542" s="2"/>
      <c r="G542" s="2"/>
      <c r="H542" s="2"/>
      <c r="I542" s="2"/>
      <c r="J542" s="685"/>
      <c r="K542" s="682">
        <v>43918</v>
      </c>
      <c r="L542" s="725" t="s">
        <v>181</v>
      </c>
      <c r="M542" s="683" t="s">
        <v>187</v>
      </c>
      <c r="N542" s="683" t="s">
        <v>183</v>
      </c>
      <c r="O542" s="683">
        <v>4500873022</v>
      </c>
      <c r="P542" s="688" t="s">
        <v>2057</v>
      </c>
      <c r="Q542" s="683" t="s">
        <v>37</v>
      </c>
      <c r="R542" s="683" t="s">
        <v>1782</v>
      </c>
      <c r="S542" s="686" t="s">
        <v>2060</v>
      </c>
      <c r="T542" s="683" t="s">
        <v>2047</v>
      </c>
      <c r="U542" s="683" t="s">
        <v>2053</v>
      </c>
      <c r="V542" s="683" t="s">
        <v>146</v>
      </c>
      <c r="W542" s="683" t="s">
        <v>914</v>
      </c>
      <c r="X542" s="691" t="s">
        <v>918</v>
      </c>
      <c r="Y542" s="687">
        <v>3004218547</v>
      </c>
      <c r="Z542" s="692" t="s">
        <v>192</v>
      </c>
      <c r="AA542" s="683" t="s">
        <v>33</v>
      </c>
      <c r="AB542" s="683" t="s">
        <v>34</v>
      </c>
      <c r="AC542" s="683" t="s">
        <v>230</v>
      </c>
      <c r="AD542" s="683" t="s">
        <v>1110</v>
      </c>
      <c r="AE542" s="683">
        <v>60</v>
      </c>
      <c r="AF542" s="684">
        <v>851.3</v>
      </c>
      <c r="AG542" s="683" t="s">
        <v>243</v>
      </c>
      <c r="AH542" s="683" t="s">
        <v>220</v>
      </c>
      <c r="AI542" s="683" t="s">
        <v>33</v>
      </c>
      <c r="AJ542" s="683">
        <v>3003966252</v>
      </c>
      <c r="AK542" s="683" t="s">
        <v>33</v>
      </c>
      <c r="AL542" s="683">
        <v>10630140</v>
      </c>
      <c r="AM542" s="683" t="s">
        <v>1121</v>
      </c>
      <c r="AN542" s="683" t="s">
        <v>246</v>
      </c>
      <c r="AO542" s="683" t="s">
        <v>247</v>
      </c>
      <c r="AP542" s="683" t="s">
        <v>240</v>
      </c>
      <c r="AQ542" s="688" t="str">
        <f>CONCATENATE("REG-",BDEGENER[[#This Row],[FECHA DE SERVICIO]],"-",BDEGENER[[#This Row],[SERIE]],"-",BDEGENER[[#This Row],[HORAS]])</f>
        <v>REG-43918-3004218547-851,3</v>
      </c>
      <c r="AR542" s="683" t="str">
        <f>CONCATENATE("MARCA: ",BDEGENER[[#This Row],[MARCA]],"
 MODELO: ",BDEGENER[[#This Row],[MODELO]])</f>
        <v>MARCA: GENERAC
 MODELO: PG090</v>
      </c>
      <c r="AS542" s="683" t="str">
        <f>CONCATENATE("MARCA: ",BDEGENER[[#This Row],[MARCA DE MOTOR]],"
SERIE: ",BDEGENER[[#This Row],[SERIE DE MOTOR]])</f>
        <v>MARCA: GENERAC
SERIE: 3003966252</v>
      </c>
      <c r="AT542" s="683" t="str">
        <f>CONCATENATE("MARCA: ",BDEGENER[[#This Row],[MARCA ALTERNADOR ]],"
SERIE: ",BDEGENER[[#This Row],[SERIE DE ALTERNADOR]])</f>
        <v>MARCA: GENERAC
SERIE: 10630140</v>
      </c>
      <c r="AU542" s="683" t="str">
        <f>CONCATENATE("HORAS: ",BDEGENER[[#This Row],[HORAS]],"
KW-HR: ",BDEGENER[[#This Row],[KW-HORA]],"
VOLT.BATERIA: ",BDEGENER[[#This Row],[VOLTAJE DE BATERIA]],"
TEMPERATURA: ",BDEGENER[[#This Row],[TEMPERATURA DE AGUA]],"
PRES. ACEITE: ",BDEGENER[[#This Row],[PRESION DE ACEITE]])</f>
        <v>HORAS: 851,3
KW-HR: 27154,6
VOLT.BATERIA: 13.7 V
TEMPERATURA: 198 °F
PRES. ACEITE: 55 PSI</v>
      </c>
      <c r="AV542" s="683">
        <f>COUNTIFS(Q542:Q2542,"MANTENIMIENTO CORRECTIVO",Y542:Y2542,BDEGENER[[#This Row],[SERIE]])</f>
        <v>1</v>
      </c>
      <c r="AW542" s="683">
        <f>COUNTIFS(Q542:Q2542,"MANTENIMIENTO PREVENTIVO",Y542:Y2542,BDEGENER[[#This Row],[SERIE]])</f>
        <v>3</v>
      </c>
      <c r="AX54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42" s="683">
        <f>COUNTIFS(BDEGENER[SERIE],BDEGENER[[#This Row],[SERIE]],BDEGENER[TIPO DE SERVICIO],"MANTENIMIENTO PREVENTIVO")</f>
        <v>7</v>
      </c>
      <c r="AZ542" s="683" t="str">
        <f>CONCATENATE("MANTENIMIENTO PREVENTIVO N°",BDEGENER[[#This Row],[GA1]])</f>
        <v>MANTENIMIENTO PREVENTIVO N°7</v>
      </c>
      <c r="BA542" s="683" t="str">
        <f>IF(BDEGENER[[#This Row],[SERVICIO]]=BDEGENER[[#This Row],[GA2]],BDEGENER[[#This Row],[HORAS]],"0")</f>
        <v>0</v>
      </c>
      <c r="BB542" s="683">
        <f>SUMIF(BDEGENER[SERIE],BDEGENER[[#This Row],[SERIE]],BDEGENER[GA3])</f>
        <v>2015.6</v>
      </c>
      <c r="BC542" s="683" t="str">
        <f>CONCATENATE("MANT",COUNTIF($Y$7:Y542,Y542))</f>
        <v>MANT8</v>
      </c>
      <c r="BD542" s="683" t="str">
        <f>CONCATENATE(BDEGENER[[#This Row],[SERIE]],BDEGENER[[#This Row],[GA5]])</f>
        <v>3004218547MANT8</v>
      </c>
      <c r="BE542" s="683" t="str">
        <f>CONCATENATE(BDEGENER[[#This Row],[CODIGO PATRIMONIAL]],BDEGENER[[#This Row],[GA5]])</f>
        <v xml:space="preserve"> MANT8</v>
      </c>
      <c r="BF542" s="683">
        <f>COUNTIF(BDEGENER[SERIE],BDEGENER[[#This Row],[SERIE]])</f>
        <v>12</v>
      </c>
      <c r="BG542" s="683" t="str">
        <f>CONCATENATE("F",COUNTIF($K$7:K542,K542))</f>
        <v>F2</v>
      </c>
      <c r="BH542" s="683" t="str">
        <f>CONCATENATE(BDEGENER[[#This Row],[FECHA DE SERVICIO]],BDEGENER[[#This Row],[N° DE REGISTROS DEL DIA]])</f>
        <v>43918F2</v>
      </c>
      <c r="BI542" s="684">
        <v>27154.6</v>
      </c>
      <c r="BJ542" s="683" t="s">
        <v>1544</v>
      </c>
      <c r="BK542" s="680"/>
    </row>
    <row r="543" spans="2:63" ht="69" hidden="1" x14ac:dyDescent="0.3">
      <c r="B543" s="2"/>
      <c r="C543" s="2"/>
      <c r="D543" s="2"/>
      <c r="E543" s="2"/>
      <c r="F543" s="2"/>
      <c r="G543" s="2"/>
      <c r="H543" s="2"/>
      <c r="I543" s="2"/>
      <c r="J543" s="685"/>
      <c r="K543" s="682">
        <v>43918</v>
      </c>
      <c r="L543" s="725" t="s">
        <v>181</v>
      </c>
      <c r="M543" s="683" t="s">
        <v>187</v>
      </c>
      <c r="N543" s="683" t="s">
        <v>183</v>
      </c>
      <c r="O543" s="683">
        <v>4500848079</v>
      </c>
      <c r="P543" s="688" t="s">
        <v>2057</v>
      </c>
      <c r="Q543" s="683" t="s">
        <v>37</v>
      </c>
      <c r="R543" s="683" t="s">
        <v>1782</v>
      </c>
      <c r="S543" s="686" t="s">
        <v>2058</v>
      </c>
      <c r="T543" s="683" t="s">
        <v>2047</v>
      </c>
      <c r="U543" s="683" t="s">
        <v>2059</v>
      </c>
      <c r="V543" s="683" t="s">
        <v>146</v>
      </c>
      <c r="W543" s="683" t="s">
        <v>914</v>
      </c>
      <c r="X543" s="691" t="s">
        <v>918</v>
      </c>
      <c r="Y543" s="687">
        <v>3004337428</v>
      </c>
      <c r="Z543" s="692" t="s">
        <v>192</v>
      </c>
      <c r="AA543" s="683" t="s">
        <v>33</v>
      </c>
      <c r="AB543" s="683" t="s">
        <v>34</v>
      </c>
      <c r="AC543" s="683" t="s">
        <v>230</v>
      </c>
      <c r="AD543" s="683" t="s">
        <v>1110</v>
      </c>
      <c r="AE543" s="683">
        <v>60</v>
      </c>
      <c r="AF543" s="684">
        <v>323.39999999999998</v>
      </c>
      <c r="AG543" s="683" t="s">
        <v>243</v>
      </c>
      <c r="AH543" s="683" t="s">
        <v>220</v>
      </c>
      <c r="AI543" s="683" t="s">
        <v>33</v>
      </c>
      <c r="AJ543" s="683">
        <v>3004333869</v>
      </c>
      <c r="AK543" s="683" t="s">
        <v>33</v>
      </c>
      <c r="AL543" s="683">
        <v>10630350</v>
      </c>
      <c r="AM543" s="683" t="s">
        <v>1121</v>
      </c>
      <c r="AN543" s="683" t="s">
        <v>1352</v>
      </c>
      <c r="AO543" s="683" t="s">
        <v>1166</v>
      </c>
      <c r="AP543" s="683" t="s">
        <v>240</v>
      </c>
      <c r="AQ543" s="688" t="str">
        <f>CONCATENATE("REG-",BDEGENER[[#This Row],[FECHA DE SERVICIO]],"-",BDEGENER[[#This Row],[SERIE]],"-",BDEGENER[[#This Row],[HORAS]])</f>
        <v>REG-43918-3004337428-323,4</v>
      </c>
      <c r="AR543" s="683" t="str">
        <f>CONCATENATE("MARCA: ",BDEGENER[[#This Row],[MARCA]],"
 MODELO: ",BDEGENER[[#This Row],[MODELO]])</f>
        <v>MARCA: GENERAC
 MODELO: PG090</v>
      </c>
      <c r="AS543" s="683" t="str">
        <f>CONCATENATE("MARCA: ",BDEGENER[[#This Row],[MARCA DE MOTOR]],"
SERIE: ",BDEGENER[[#This Row],[SERIE DE MOTOR]])</f>
        <v>MARCA: GENERAC
SERIE: 3004333869</v>
      </c>
      <c r="AT543" s="683" t="str">
        <f>CONCATENATE("MARCA: ",BDEGENER[[#This Row],[MARCA ALTERNADOR ]],"
SERIE: ",BDEGENER[[#This Row],[SERIE DE ALTERNADOR]])</f>
        <v>MARCA: GENERAC
SERIE: 10630350</v>
      </c>
      <c r="AU543" s="683" t="str">
        <f>CONCATENATE("HORAS: ",BDEGENER[[#This Row],[HORAS]],"
KW-HR: ",BDEGENER[[#This Row],[KW-HORA]],"
VOLT.BATERIA: ",BDEGENER[[#This Row],[VOLTAJE DE BATERIA]],"
TEMPERATURA: ",BDEGENER[[#This Row],[TEMPERATURA DE AGUA]],"
PRES. ACEITE: ",BDEGENER[[#This Row],[PRESION DE ACEITE]])</f>
        <v>HORAS: 323,4
KW-HR: 8920,4
VOLT.BATERIA: 13.7 V
TEMPERATURA: 196 °F
PRES. ACEITE: 57 PSI</v>
      </c>
      <c r="AV543" s="683">
        <f>COUNTIFS(Q543:Q2543,"MANTENIMIENTO CORRECTIVO",Y543:Y2543,BDEGENER[[#This Row],[SERIE]])</f>
        <v>1</v>
      </c>
      <c r="AW543" s="683">
        <f>COUNTIFS(Q543:Q2543,"MANTENIMIENTO PREVENTIVO",Y543:Y2543,BDEGENER[[#This Row],[SERIE]])</f>
        <v>2</v>
      </c>
      <c r="AX54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543" s="683">
        <f>COUNTIFS(BDEGENER[SERIE],BDEGENER[[#This Row],[SERIE]],BDEGENER[TIPO DE SERVICIO],"MANTENIMIENTO PREVENTIVO")</f>
        <v>6</v>
      </c>
      <c r="AZ543" s="683" t="str">
        <f>CONCATENATE("MANTENIMIENTO PREVENTIVO N°",BDEGENER[[#This Row],[GA1]])</f>
        <v>MANTENIMIENTO PREVENTIVO N°6</v>
      </c>
      <c r="BA543" s="683" t="str">
        <f>IF(BDEGENER[[#This Row],[SERVICIO]]=BDEGENER[[#This Row],[GA2]],BDEGENER[[#This Row],[HORAS]],"0")</f>
        <v>0</v>
      </c>
      <c r="BB543" s="683">
        <f>SUMIF(BDEGENER[SERIE],BDEGENER[[#This Row],[SERIE]],BDEGENER[GA3])</f>
        <v>1586.2</v>
      </c>
      <c r="BC543" s="683" t="str">
        <f>CONCATENATE("MANT",COUNTIF($Y$7:Y543,Y543))</f>
        <v>MANT6</v>
      </c>
      <c r="BD543" s="683" t="str">
        <f>CONCATENATE(BDEGENER[[#This Row],[SERIE]],BDEGENER[[#This Row],[GA5]])</f>
        <v>3004337428MANT6</v>
      </c>
      <c r="BE543" s="683" t="str">
        <f>CONCATENATE(BDEGENER[[#This Row],[CODIGO PATRIMONIAL]],BDEGENER[[#This Row],[GA5]])</f>
        <v xml:space="preserve"> MANT6</v>
      </c>
      <c r="BF543" s="683">
        <f>COUNTIF(BDEGENER[SERIE],BDEGENER[[#This Row],[SERIE]])</f>
        <v>9</v>
      </c>
      <c r="BG543" s="683" t="str">
        <f>CONCATENATE("F",COUNTIF($K$7:K543,K543))</f>
        <v>F3</v>
      </c>
      <c r="BH543" s="683" t="str">
        <f>CONCATENATE(BDEGENER[[#This Row],[FECHA DE SERVICIO]],BDEGENER[[#This Row],[N° DE REGISTROS DEL DIA]])</f>
        <v>43918F3</v>
      </c>
      <c r="BI543" s="684">
        <v>8920.4</v>
      </c>
      <c r="BJ543" s="683" t="s">
        <v>1544</v>
      </c>
      <c r="BK543" s="680"/>
    </row>
    <row r="544" spans="2:63" ht="67.5" hidden="1" customHeight="1" x14ac:dyDescent="0.3">
      <c r="B544" s="2"/>
      <c r="C544" s="2"/>
      <c r="D544" s="2"/>
      <c r="E544" s="2"/>
      <c r="F544" s="2"/>
      <c r="G544" s="2"/>
      <c r="H544" s="2"/>
      <c r="I544" s="2"/>
      <c r="J544" s="685"/>
      <c r="K544" s="682">
        <v>43917</v>
      </c>
      <c r="L544" s="725" t="s">
        <v>181</v>
      </c>
      <c r="M544" s="683" t="s">
        <v>189</v>
      </c>
      <c r="N544" s="683" t="s">
        <v>1982</v>
      </c>
      <c r="O544" s="683">
        <v>4500850370</v>
      </c>
      <c r="P544" s="688" t="s">
        <v>2064</v>
      </c>
      <c r="Q544" s="683" t="s">
        <v>37</v>
      </c>
      <c r="R544" s="683" t="s">
        <v>1782</v>
      </c>
      <c r="S544" s="686" t="s">
        <v>2062</v>
      </c>
      <c r="T544" s="683" t="s">
        <v>2063</v>
      </c>
      <c r="U544" s="683" t="s">
        <v>2053</v>
      </c>
      <c r="V544" s="683" t="s">
        <v>149</v>
      </c>
      <c r="W544" s="683" t="s">
        <v>914</v>
      </c>
      <c r="X544" s="691" t="s">
        <v>918</v>
      </c>
      <c r="Y544" s="687">
        <v>3004331708</v>
      </c>
      <c r="Z544" s="692"/>
      <c r="AA544" s="683" t="s">
        <v>33</v>
      </c>
      <c r="AB544" s="683" t="s">
        <v>34</v>
      </c>
      <c r="AC544" s="683" t="s">
        <v>230</v>
      </c>
      <c r="AD544" s="683" t="s">
        <v>1112</v>
      </c>
      <c r="AE544" s="683">
        <v>60</v>
      </c>
      <c r="AF544" s="684">
        <v>1163.8</v>
      </c>
      <c r="AG544" s="683" t="s">
        <v>243</v>
      </c>
      <c r="AH544" s="683" t="s">
        <v>220</v>
      </c>
      <c r="AI544" s="683" t="s">
        <v>33</v>
      </c>
      <c r="AJ544" s="683">
        <v>3004309058</v>
      </c>
      <c r="AK544" s="683" t="s">
        <v>33</v>
      </c>
      <c r="AL544" s="683">
        <v>106302850</v>
      </c>
      <c r="AM544" s="683" t="s">
        <v>245</v>
      </c>
      <c r="AN544" s="683" t="s">
        <v>2067</v>
      </c>
      <c r="AO544" s="683" t="s">
        <v>1095</v>
      </c>
      <c r="AP544" s="683" t="s">
        <v>240</v>
      </c>
      <c r="AQ544" s="688" t="str">
        <f>CONCATENATE("REG-",BDEGENER[[#This Row],[FECHA DE SERVICIO]],"-",BDEGENER[[#This Row],[SERIE]],"-",BDEGENER[[#This Row],[HORAS]])</f>
        <v>REG-43917-3004331708-1163,8</v>
      </c>
      <c r="AR544" s="683" t="str">
        <f>CONCATENATE("MARCA: ",BDEGENER[[#This Row],[MARCA]],"
 MODELO: ",BDEGENER[[#This Row],[MODELO]])</f>
        <v>MARCA: GENERAC
 MODELO: PG090</v>
      </c>
      <c r="AS544" s="683" t="str">
        <f>CONCATENATE("MARCA: ",BDEGENER[[#This Row],[MARCA DE MOTOR]],"
SERIE: ",BDEGENER[[#This Row],[SERIE DE MOTOR]])</f>
        <v>MARCA: GENERAC
SERIE: 3004309058</v>
      </c>
      <c r="AT544" s="683" t="str">
        <f>CONCATENATE("MARCA: ",BDEGENER[[#This Row],[MARCA ALTERNADOR ]],"
SERIE: ",BDEGENER[[#This Row],[SERIE DE ALTERNADOR]])</f>
        <v>MARCA: GENERAC
SERIE: 106302850</v>
      </c>
      <c r="AU544" s="683" t="str">
        <f>CONCATENATE("HORAS: ",BDEGENER[[#This Row],[HORAS]],"
KW-HR: ",BDEGENER[[#This Row],[KW-HORA]],"
VOLT.BATERIA: ",BDEGENER[[#This Row],[VOLTAJE DE BATERIA]],"
TEMPERATURA: ",BDEGENER[[#This Row],[TEMPERATURA DE AGUA]],"
PRES. ACEITE: ",BDEGENER[[#This Row],[PRESION DE ACEITE]])</f>
        <v>HORAS: 1163,8
KW-HR: 28931,4
VOLT.BATERIA: 13.6 V
TEMPERATURA: 200 °F
PRES. ACEITE: 54 PSI</v>
      </c>
      <c r="AV544" s="761">
        <f>COUNTIFS(Q544:Q2544,"MANTENIMIENTO CORRECTIVO",Y544:Y2544,BDEGENER[[#This Row],[SERIE]])</f>
        <v>3</v>
      </c>
      <c r="AW544" s="761">
        <f>COUNTIFS(Q544:Q2544,"MANTENIMIENTO PREVENTIVO",Y544:Y2544,BDEGENER[[#This Row],[SERIE]])</f>
        <v>4</v>
      </c>
      <c r="AX54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44" s="683">
        <f>COUNTIFS(BDEGENER[SERIE],BDEGENER[[#This Row],[SERIE]],BDEGENER[TIPO DE SERVICIO],"MANTENIMIENTO PREVENTIVO")</f>
        <v>6</v>
      </c>
      <c r="AZ544" s="683" t="str">
        <f>CONCATENATE("MANTENIMIENTO PREVENTIVO N°",BDEGENER[[#This Row],[GA1]])</f>
        <v>MANTENIMIENTO PREVENTIVO N°6</v>
      </c>
      <c r="BA544" s="683" t="str">
        <f>IF(BDEGENER[[#This Row],[SERVICIO]]=BDEGENER[[#This Row],[GA2]],BDEGENER[[#This Row],[HORAS]],"0")</f>
        <v>0</v>
      </c>
      <c r="BB544" s="683">
        <f>SUMIF(BDEGENER[SERIE],BDEGENER[[#This Row],[SERIE]],BDEGENER[GA3])</f>
        <v>1635.5</v>
      </c>
      <c r="BC544" s="761" t="str">
        <f>CONCATENATE("MANT",COUNTIF($Y$7:Y544,Y544))</f>
        <v>MANT5</v>
      </c>
      <c r="BD544" s="683" t="str">
        <f>CONCATENATE(BDEGENER[[#This Row],[SERIE]],BDEGENER[[#This Row],[GA5]])</f>
        <v>3004331708MANT5</v>
      </c>
      <c r="BE544" s="683" t="str">
        <f>CONCATENATE(BDEGENER[[#This Row],[CODIGO PATRIMONIAL]],BDEGENER[[#This Row],[GA5]])</f>
        <v>MANT5</v>
      </c>
      <c r="BF544" s="683">
        <f>COUNTIF(BDEGENER[SERIE],BDEGENER[[#This Row],[SERIE]])</f>
        <v>13</v>
      </c>
      <c r="BG544" s="761" t="str">
        <f>CONCATENATE("F",COUNTIF($K$7:K544,K544))</f>
        <v>F1</v>
      </c>
      <c r="BH544" s="683" t="str">
        <f>CONCATENATE(BDEGENER[[#This Row],[FECHA DE SERVICIO]],BDEGENER[[#This Row],[N° DE REGISTROS DEL DIA]])</f>
        <v>43917F1</v>
      </c>
      <c r="BI544" s="684">
        <v>28931.4</v>
      </c>
      <c r="BJ544" s="683" t="s">
        <v>1544</v>
      </c>
      <c r="BK544" s="680"/>
    </row>
    <row r="545" spans="2:63" ht="69" hidden="1" x14ac:dyDescent="0.3">
      <c r="B545" s="2"/>
      <c r="C545" s="2"/>
      <c r="D545" s="2"/>
      <c r="E545" s="2"/>
      <c r="F545" s="2"/>
      <c r="G545" s="2"/>
      <c r="H545" s="2"/>
      <c r="I545" s="2"/>
      <c r="J545" s="685"/>
      <c r="K545" s="682">
        <v>43917</v>
      </c>
      <c r="L545" s="725" t="s">
        <v>181</v>
      </c>
      <c r="M545" s="683" t="s">
        <v>186</v>
      </c>
      <c r="N545" s="683" t="s">
        <v>1982</v>
      </c>
      <c r="O545" s="683">
        <v>4500850370</v>
      </c>
      <c r="P545" s="688" t="s">
        <v>2064</v>
      </c>
      <c r="Q545" s="683" t="s">
        <v>37</v>
      </c>
      <c r="R545" s="683" t="s">
        <v>1782</v>
      </c>
      <c r="S545" s="686" t="s">
        <v>2062</v>
      </c>
      <c r="T545" s="683" t="s">
        <v>2063</v>
      </c>
      <c r="U545" s="683" t="s">
        <v>2053</v>
      </c>
      <c r="V545" s="683" t="s">
        <v>149</v>
      </c>
      <c r="W545" s="683" t="s">
        <v>914</v>
      </c>
      <c r="X545" s="691" t="s">
        <v>918</v>
      </c>
      <c r="Y545" s="687">
        <v>3004327722</v>
      </c>
      <c r="Z545" s="692"/>
      <c r="AA545" s="683" t="s">
        <v>33</v>
      </c>
      <c r="AB545" s="683" t="s">
        <v>34</v>
      </c>
      <c r="AC545" s="683" t="s">
        <v>230</v>
      </c>
      <c r="AD545" s="683" t="s">
        <v>2065</v>
      </c>
      <c r="AE545" s="683">
        <v>60</v>
      </c>
      <c r="AF545" s="684">
        <v>1076.4000000000001</v>
      </c>
      <c r="AG545" s="683" t="s">
        <v>243</v>
      </c>
      <c r="AH545" s="683" t="s">
        <v>220</v>
      </c>
      <c r="AI545" s="683" t="s">
        <v>33</v>
      </c>
      <c r="AJ545" s="683">
        <v>3004346816</v>
      </c>
      <c r="AK545" s="683" t="s">
        <v>33</v>
      </c>
      <c r="AL545" s="683"/>
      <c r="AM545" s="683" t="s">
        <v>1121</v>
      </c>
      <c r="AN545" s="683" t="s">
        <v>2066</v>
      </c>
      <c r="AO545" s="683" t="s">
        <v>1349</v>
      </c>
      <c r="AP545" s="683" t="s">
        <v>240</v>
      </c>
      <c r="AQ545" s="688" t="str">
        <f>CONCATENATE("REG-",BDEGENER[[#This Row],[FECHA DE SERVICIO]],"-",BDEGENER[[#This Row],[SERIE]],"-",BDEGENER[[#This Row],[HORAS]])</f>
        <v>REG-43917-3004327722-1076,4</v>
      </c>
      <c r="AR545" s="683" t="str">
        <f>CONCATENATE("MARCA: ",BDEGENER[[#This Row],[MARCA]],"
 MODELO: ",BDEGENER[[#This Row],[MODELO]])</f>
        <v>MARCA: GENERAC
 MODELO: PG090</v>
      </c>
      <c r="AS545" s="683" t="str">
        <f>CONCATENATE("MARCA: ",BDEGENER[[#This Row],[MARCA DE MOTOR]],"
SERIE: ",BDEGENER[[#This Row],[SERIE DE MOTOR]])</f>
        <v>MARCA: GENERAC
SERIE: 3004346816</v>
      </c>
      <c r="AT545" s="683" t="str">
        <f>CONCATENATE("MARCA: ",BDEGENER[[#This Row],[MARCA ALTERNADOR ]],"
SERIE: ",BDEGENER[[#This Row],[SERIE DE ALTERNADOR]])</f>
        <v xml:space="preserve">MARCA: GENERAC
SERIE: </v>
      </c>
      <c r="AU545" s="683" t="str">
        <f>CONCATENATE("HORAS: ",BDEGENER[[#This Row],[HORAS]],"
KW-HR: ",BDEGENER[[#This Row],[KW-HORA]],"
VOLT.BATERIA: ",BDEGENER[[#This Row],[VOLTAJE DE BATERIA]],"
TEMPERATURA: ",BDEGENER[[#This Row],[TEMPERATURA DE AGUA]],"
PRES. ACEITE: ",BDEGENER[[#This Row],[PRESION DE ACEITE]])</f>
        <v>HORAS: 1076,4
KW-HR: 25098,2
VOLT.BATERIA: 13.7 V
TEMPERATURA: 202 °F
PRES. ACEITE: 56 PSI</v>
      </c>
      <c r="AV545" s="683">
        <f>COUNTIFS(Q545:Q2545,"MANTENIMIENTO CORRECTIVO",Y545:Y2545,BDEGENER[[#This Row],[SERIE]])</f>
        <v>1</v>
      </c>
      <c r="AW545" s="683">
        <f>COUNTIFS(Q545:Q2545,"MANTENIMIENTO PREVENTIVO",Y545:Y2545,BDEGENER[[#This Row],[SERIE]])</f>
        <v>4</v>
      </c>
      <c r="AX54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45" s="683">
        <f>COUNTIFS(BDEGENER[SERIE],BDEGENER[[#This Row],[SERIE]],BDEGENER[TIPO DE SERVICIO],"MANTENIMIENTO PREVENTIVO")</f>
        <v>8</v>
      </c>
      <c r="AZ545" s="683" t="str">
        <f>CONCATENATE("MANTENIMIENTO PREVENTIVO N°",BDEGENER[[#This Row],[GA1]])</f>
        <v>MANTENIMIENTO PREVENTIVO N°8</v>
      </c>
      <c r="BA545" s="683" t="str">
        <f>IF(BDEGENER[[#This Row],[SERVICIO]]=BDEGENER[[#This Row],[GA2]],BDEGENER[[#This Row],[HORAS]],"0")</f>
        <v>0</v>
      </c>
      <c r="BB545" s="683">
        <f>SUMIF(BDEGENER[SERIE],BDEGENER[[#This Row],[SERIE]],BDEGENER[GA3])</f>
        <v>2102.5</v>
      </c>
      <c r="BC545" s="683" t="str">
        <f>CONCATENATE("MANT",COUNTIF($Y$7:Y545,Y545))</f>
        <v>MANT5</v>
      </c>
      <c r="BD545" s="683" t="str">
        <f>CONCATENATE(BDEGENER[[#This Row],[SERIE]],BDEGENER[[#This Row],[GA5]])</f>
        <v>3004327722MANT5</v>
      </c>
      <c r="BE545" s="683" t="str">
        <f>CONCATENATE(BDEGENER[[#This Row],[CODIGO PATRIMONIAL]],BDEGENER[[#This Row],[GA5]])</f>
        <v>MANT5</v>
      </c>
      <c r="BF545" s="683">
        <f>COUNTIF(BDEGENER[SERIE],BDEGENER[[#This Row],[SERIE]])</f>
        <v>10</v>
      </c>
      <c r="BG545" s="683" t="str">
        <f>CONCATENATE("F",COUNTIF($K$7:K545,K545))</f>
        <v>F2</v>
      </c>
      <c r="BH545" s="683" t="str">
        <f>CONCATENATE(BDEGENER[[#This Row],[FECHA DE SERVICIO]],BDEGENER[[#This Row],[N° DE REGISTROS DEL DIA]])</f>
        <v>43917F2</v>
      </c>
      <c r="BI545" s="684">
        <v>25098.2</v>
      </c>
      <c r="BJ545" s="683" t="s">
        <v>1544</v>
      </c>
      <c r="BK545" s="680"/>
    </row>
    <row r="546" spans="2:63" ht="69" hidden="1" x14ac:dyDescent="0.3">
      <c r="B546" s="2"/>
      <c r="C546" s="2"/>
      <c r="D546" s="2"/>
      <c r="E546" s="2"/>
      <c r="F546" s="2"/>
      <c r="G546" s="2"/>
      <c r="H546" s="2"/>
      <c r="I546" s="2"/>
      <c r="J546" s="685"/>
      <c r="K546" s="682">
        <v>43917</v>
      </c>
      <c r="L546" s="725" t="s">
        <v>181</v>
      </c>
      <c r="M546" s="683" t="s">
        <v>187</v>
      </c>
      <c r="N546" s="683" t="s">
        <v>183</v>
      </c>
      <c r="O546" s="683">
        <v>4500873022</v>
      </c>
      <c r="P546" s="688" t="s">
        <v>2054</v>
      </c>
      <c r="Q546" s="683" t="s">
        <v>37</v>
      </c>
      <c r="R546" s="683" t="s">
        <v>1782</v>
      </c>
      <c r="S546" s="686" t="s">
        <v>2048</v>
      </c>
      <c r="T546" s="683" t="s">
        <v>2047</v>
      </c>
      <c r="U546" s="683" t="s">
        <v>2049</v>
      </c>
      <c r="V546" s="683" t="s">
        <v>146</v>
      </c>
      <c r="W546" s="683" t="s">
        <v>914</v>
      </c>
      <c r="X546" s="691" t="s">
        <v>918</v>
      </c>
      <c r="Y546" s="687">
        <v>3004327725</v>
      </c>
      <c r="Z546" s="692" t="s">
        <v>192</v>
      </c>
      <c r="AA546" s="683" t="s">
        <v>33</v>
      </c>
      <c r="AB546" s="683" t="s">
        <v>34</v>
      </c>
      <c r="AC546" s="683" t="s">
        <v>230</v>
      </c>
      <c r="AD546" s="683" t="s">
        <v>1110</v>
      </c>
      <c r="AE546" s="683">
        <v>60</v>
      </c>
      <c r="AF546" s="684">
        <v>808.5</v>
      </c>
      <c r="AG546" s="683" t="s">
        <v>243</v>
      </c>
      <c r="AH546" s="683" t="s">
        <v>220</v>
      </c>
      <c r="AI546" s="683" t="s">
        <v>33</v>
      </c>
      <c r="AJ546" s="683">
        <v>3004333865</v>
      </c>
      <c r="AK546" s="683" t="s">
        <v>33</v>
      </c>
      <c r="AL546" s="683">
        <v>1065020</v>
      </c>
      <c r="AM546" s="683" t="s">
        <v>1121</v>
      </c>
      <c r="AN546" s="683" t="s">
        <v>1143</v>
      </c>
      <c r="AO546" s="683" t="s">
        <v>1095</v>
      </c>
      <c r="AP546" s="683" t="s">
        <v>240</v>
      </c>
      <c r="AQ546" s="688" t="str">
        <f>CONCATENATE("REG-",BDEGENER[[#This Row],[FECHA DE SERVICIO]],"-",BDEGENER[[#This Row],[SERIE]],"-",BDEGENER[[#This Row],[HORAS]])</f>
        <v>REG-43917-3004327725-808,5</v>
      </c>
      <c r="AR546" s="683" t="str">
        <f>CONCATENATE("MARCA: ",BDEGENER[[#This Row],[MARCA]],"
 MODELO: ",BDEGENER[[#This Row],[MODELO]])</f>
        <v>MARCA: GENERAC
 MODELO: PG090</v>
      </c>
      <c r="AS546" s="683" t="str">
        <f>CONCATENATE("MARCA: ",BDEGENER[[#This Row],[MARCA DE MOTOR]],"
SERIE: ",BDEGENER[[#This Row],[SERIE DE MOTOR]])</f>
        <v>MARCA: GENERAC
SERIE: 3004333865</v>
      </c>
      <c r="AT546" s="683" t="str">
        <f>CONCATENATE("MARCA: ",BDEGENER[[#This Row],[MARCA ALTERNADOR ]],"
SERIE: ",BDEGENER[[#This Row],[SERIE DE ALTERNADOR]])</f>
        <v>MARCA: GENERAC
SERIE: 1065020</v>
      </c>
      <c r="AU546" s="683" t="str">
        <f>CONCATENATE("HORAS: ",BDEGENER[[#This Row],[HORAS]],"
KW-HR: ",BDEGENER[[#This Row],[KW-HORA]],"
VOLT.BATERIA: ",BDEGENER[[#This Row],[VOLTAJE DE BATERIA]],"
TEMPERATURA: ",BDEGENER[[#This Row],[TEMPERATURA DE AGUA]],"
PRES. ACEITE: ",BDEGENER[[#This Row],[PRESION DE ACEITE]])</f>
        <v>HORAS: 808,5
KW-HR: 12539
VOLT.BATERIA: 13.7 V
TEMPERATURA: 197 °F
PRES. ACEITE: 54 PSI</v>
      </c>
      <c r="AV546" s="683">
        <f>COUNTIFS(Q546:Q2546,"MANTENIMIENTO CORRECTIVO",Y546:Y2546,BDEGENER[[#This Row],[SERIE]])</f>
        <v>1</v>
      </c>
      <c r="AW546" s="683">
        <f>COUNTIFS(Q546:Q2546,"MANTENIMIENTO PREVENTIVO",Y546:Y2546,BDEGENER[[#This Row],[SERIE]])</f>
        <v>3</v>
      </c>
      <c r="AX54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46" s="683">
        <f>COUNTIFS(BDEGENER[SERIE],BDEGENER[[#This Row],[SERIE]],BDEGENER[TIPO DE SERVICIO],"MANTENIMIENTO PREVENTIVO")</f>
        <v>6</v>
      </c>
      <c r="AZ546" s="683" t="str">
        <f>CONCATENATE("MANTENIMIENTO PREVENTIVO N°",BDEGENER[[#This Row],[GA1]])</f>
        <v>MANTENIMIENTO PREVENTIVO N°6</v>
      </c>
      <c r="BA546" s="683" t="str">
        <f>IF(BDEGENER[[#This Row],[SERVICIO]]=BDEGENER[[#This Row],[GA2]],BDEGENER[[#This Row],[HORAS]],"0")</f>
        <v>0</v>
      </c>
      <c r="BB546" s="683">
        <f>SUMIF(BDEGENER[SERIE],BDEGENER[[#This Row],[SERIE]],BDEGENER[GA3])</f>
        <v>1599.8</v>
      </c>
      <c r="BC546" s="683" t="str">
        <f>CONCATENATE("MANT",COUNTIF($Y$7:Y546,Y546))</f>
        <v>MANT9</v>
      </c>
      <c r="BD546" s="683" t="str">
        <f>CONCATENATE(BDEGENER[[#This Row],[SERIE]],BDEGENER[[#This Row],[GA5]])</f>
        <v>3004327725MANT9</v>
      </c>
      <c r="BE546" s="683" t="str">
        <f>CONCATENATE(BDEGENER[[#This Row],[CODIGO PATRIMONIAL]],BDEGENER[[#This Row],[GA5]])</f>
        <v xml:space="preserve"> MANT9</v>
      </c>
      <c r="BF546" s="683">
        <f>COUNTIF(BDEGENER[SERIE],BDEGENER[[#This Row],[SERIE]])</f>
        <v>13</v>
      </c>
      <c r="BG546" s="683" t="str">
        <f>CONCATENATE("F",COUNTIF($K$7:K546,K546))</f>
        <v>F3</v>
      </c>
      <c r="BH546" s="683" t="str">
        <f>CONCATENATE(BDEGENER[[#This Row],[FECHA DE SERVICIO]],BDEGENER[[#This Row],[N° DE REGISTROS DEL DIA]])</f>
        <v>43917F3</v>
      </c>
      <c r="BI546" s="684">
        <v>12539</v>
      </c>
      <c r="BJ546" s="683" t="s">
        <v>1544</v>
      </c>
      <c r="BK546" s="680"/>
    </row>
    <row r="547" spans="2:63" ht="69" hidden="1" x14ac:dyDescent="0.3">
      <c r="B547" s="2"/>
      <c r="C547" s="2"/>
      <c r="D547" s="2"/>
      <c r="E547" s="2"/>
      <c r="F547" s="2"/>
      <c r="G547" s="2"/>
      <c r="H547" s="2"/>
      <c r="I547" s="2"/>
      <c r="J547" s="685"/>
      <c r="K547" s="682">
        <v>43917</v>
      </c>
      <c r="L547" s="725" t="s">
        <v>181</v>
      </c>
      <c r="M547" s="683" t="s">
        <v>187</v>
      </c>
      <c r="N547" s="683" t="s">
        <v>183</v>
      </c>
      <c r="O547" s="683">
        <v>4500873022</v>
      </c>
      <c r="P547" s="688" t="s">
        <v>2054</v>
      </c>
      <c r="Q547" s="683" t="s">
        <v>37</v>
      </c>
      <c r="R547" s="683" t="s">
        <v>1782</v>
      </c>
      <c r="S547" s="686" t="s">
        <v>2055</v>
      </c>
      <c r="T547" s="683" t="s">
        <v>2047</v>
      </c>
      <c r="U547" s="683" t="s">
        <v>2056</v>
      </c>
      <c r="V547" s="683" t="s">
        <v>146</v>
      </c>
      <c r="W547" s="683" t="s">
        <v>914</v>
      </c>
      <c r="X547" s="691" t="s">
        <v>918</v>
      </c>
      <c r="Y547" s="687">
        <v>3004337429</v>
      </c>
      <c r="Z547" s="692"/>
      <c r="AA547" s="683" t="s">
        <v>33</v>
      </c>
      <c r="AB547" s="683" t="s">
        <v>34</v>
      </c>
      <c r="AC547" s="683" t="s">
        <v>230</v>
      </c>
      <c r="AD547" s="683" t="s">
        <v>1993</v>
      </c>
      <c r="AE547" s="683">
        <v>60</v>
      </c>
      <c r="AF547" s="684">
        <v>1071.8</v>
      </c>
      <c r="AG547" s="683" t="s">
        <v>243</v>
      </c>
      <c r="AH547" s="683" t="s">
        <v>220</v>
      </c>
      <c r="AI547" s="683" t="s">
        <v>33</v>
      </c>
      <c r="AJ547" s="683">
        <v>3004346833</v>
      </c>
      <c r="AK547" s="683" t="s">
        <v>33</v>
      </c>
      <c r="AL547" s="683">
        <v>106303570</v>
      </c>
      <c r="AM547" s="683" t="s">
        <v>1121</v>
      </c>
      <c r="AN547" s="683" t="s">
        <v>246</v>
      </c>
      <c r="AO547" s="683" t="s">
        <v>247</v>
      </c>
      <c r="AP547" s="683" t="s">
        <v>240</v>
      </c>
      <c r="AQ547" s="688" t="str">
        <f>CONCATENATE("REG-",BDEGENER[[#This Row],[FECHA DE SERVICIO]],"-",BDEGENER[[#This Row],[SERIE]],"-",BDEGENER[[#This Row],[HORAS]])</f>
        <v>REG-43917-3004337429-1071,8</v>
      </c>
      <c r="AR547" s="683" t="str">
        <f>CONCATENATE("MARCA: ",BDEGENER[[#This Row],[MARCA]],"
 MODELO: ",BDEGENER[[#This Row],[MODELO]])</f>
        <v>MARCA: GENERAC
 MODELO: PG090</v>
      </c>
      <c r="AS547" s="683" t="str">
        <f>CONCATENATE("MARCA: ",BDEGENER[[#This Row],[MARCA DE MOTOR]],"
SERIE: ",BDEGENER[[#This Row],[SERIE DE MOTOR]])</f>
        <v>MARCA: GENERAC
SERIE: 3004346833</v>
      </c>
      <c r="AT547" s="683" t="str">
        <f>CONCATENATE("MARCA: ",BDEGENER[[#This Row],[MARCA ALTERNADOR ]],"
SERIE: ",BDEGENER[[#This Row],[SERIE DE ALTERNADOR]])</f>
        <v>MARCA: GENERAC
SERIE: 106303570</v>
      </c>
      <c r="AU547" s="683" t="str">
        <f>CONCATENATE("HORAS: ",BDEGENER[[#This Row],[HORAS]],"
KW-HR: ",BDEGENER[[#This Row],[KW-HORA]],"
VOLT.BATERIA: ",BDEGENER[[#This Row],[VOLTAJE DE BATERIA]],"
TEMPERATURA: ",BDEGENER[[#This Row],[TEMPERATURA DE AGUA]],"
PRES. ACEITE: ",BDEGENER[[#This Row],[PRESION DE ACEITE]])</f>
        <v>HORAS: 1071,8
KW-HR: 25113,5
VOLT.BATERIA: 13.7 V
TEMPERATURA: 198 °F
PRES. ACEITE: 55 PSI</v>
      </c>
      <c r="AV547" s="761">
        <f>COUNTIFS(Q547:Q2547,"MANTENIMIENTO CORRECTIVO",Y547:Y2547,BDEGENER[[#This Row],[SERIE]])</f>
        <v>1</v>
      </c>
      <c r="AW547" s="761">
        <f>COUNTIFS(Q547:Q2547,"MANTENIMIENTO PREVENTIVO",Y547:Y2547,BDEGENER[[#This Row],[SERIE]])</f>
        <v>4</v>
      </c>
      <c r="AX54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47" s="683">
        <f>COUNTIFS(BDEGENER[SERIE],BDEGENER[[#This Row],[SERIE]],BDEGENER[TIPO DE SERVICIO],"MANTENIMIENTO PREVENTIVO")</f>
        <v>7</v>
      </c>
      <c r="AZ547" s="683" t="str">
        <f>CONCATENATE("MANTENIMIENTO PREVENTIVO N°",BDEGENER[[#This Row],[GA1]])</f>
        <v>MANTENIMIENTO PREVENTIVO N°7</v>
      </c>
      <c r="BA547" s="683" t="str">
        <f>IF(BDEGENER[[#This Row],[SERVICIO]]=BDEGENER[[#This Row],[GA2]],BDEGENER[[#This Row],[HORAS]],"0")</f>
        <v>0</v>
      </c>
      <c r="BB547" s="683">
        <f>SUMIF(BDEGENER[SERIE],BDEGENER[[#This Row],[SERIE]],BDEGENER[GA3])</f>
        <v>2207.6999999999998</v>
      </c>
      <c r="BC547" s="761" t="str">
        <f>CONCATENATE("MANT",COUNTIF($Y$7:Y547,Y547))</f>
        <v>MANT4</v>
      </c>
      <c r="BD547" s="683" t="str">
        <f>CONCATENATE(BDEGENER[[#This Row],[SERIE]],BDEGENER[[#This Row],[GA5]])</f>
        <v>3004337429MANT4</v>
      </c>
      <c r="BE547" s="683" t="str">
        <f>CONCATENATE(BDEGENER[[#This Row],[CODIGO PATRIMONIAL]],BDEGENER[[#This Row],[GA5]])</f>
        <v>MANT4</v>
      </c>
      <c r="BF547" s="683">
        <f>COUNTIF(BDEGENER[SERIE],BDEGENER[[#This Row],[SERIE]])</f>
        <v>9</v>
      </c>
      <c r="BG547" s="761" t="str">
        <f>CONCATENATE("F",COUNTIF($K$7:K547,K547))</f>
        <v>F4</v>
      </c>
      <c r="BH547" s="683" t="str">
        <f>CONCATENATE(BDEGENER[[#This Row],[FECHA DE SERVICIO]],BDEGENER[[#This Row],[N° DE REGISTROS DEL DIA]])</f>
        <v>43917F4</v>
      </c>
      <c r="BI547" s="684">
        <v>25113.5</v>
      </c>
      <c r="BJ547" s="683" t="s">
        <v>1544</v>
      </c>
      <c r="BK547" s="680"/>
    </row>
    <row r="548" spans="2:63" ht="69" hidden="1" x14ac:dyDescent="0.3">
      <c r="B548" s="2"/>
      <c r="C548" s="2"/>
      <c r="D548" s="2"/>
      <c r="E548" s="2"/>
      <c r="F548" s="2"/>
      <c r="G548" s="2"/>
      <c r="H548" s="2"/>
      <c r="I548" s="2"/>
      <c r="J548" s="685"/>
      <c r="K548" s="682">
        <v>43917</v>
      </c>
      <c r="L548" s="725" t="s">
        <v>181</v>
      </c>
      <c r="M548" s="683" t="s">
        <v>185</v>
      </c>
      <c r="N548" s="683" t="s">
        <v>183</v>
      </c>
      <c r="O548" s="683"/>
      <c r="P548" s="683"/>
      <c r="Q548" s="683" t="s">
        <v>107</v>
      </c>
      <c r="R548" s="683" t="s">
        <v>2040</v>
      </c>
      <c r="S548" s="686" t="s">
        <v>2041</v>
      </c>
      <c r="T548" s="683" t="s">
        <v>2042</v>
      </c>
      <c r="U548" s="683" t="s">
        <v>2043</v>
      </c>
      <c r="V548" s="683" t="s">
        <v>146</v>
      </c>
      <c r="W548" s="683" t="s">
        <v>914</v>
      </c>
      <c r="X548" s="691" t="s">
        <v>918</v>
      </c>
      <c r="Y548" s="687">
        <v>3004402506</v>
      </c>
      <c r="Z548" s="692"/>
      <c r="AA548" s="683" t="s">
        <v>33</v>
      </c>
      <c r="AB548" s="683" t="s">
        <v>34</v>
      </c>
      <c r="AC548" s="683" t="s">
        <v>230</v>
      </c>
      <c r="AD548" s="683" t="s">
        <v>1110</v>
      </c>
      <c r="AE548" s="683">
        <v>60</v>
      </c>
      <c r="AF548" s="684">
        <v>1534</v>
      </c>
      <c r="AG548" s="683" t="s">
        <v>243</v>
      </c>
      <c r="AH548" s="683" t="s">
        <v>220</v>
      </c>
      <c r="AI548" s="683" t="s">
        <v>33</v>
      </c>
      <c r="AJ548" s="683">
        <v>3004333866</v>
      </c>
      <c r="AK548" s="683" t="s">
        <v>33</v>
      </c>
      <c r="AL548" s="683">
        <v>1063100</v>
      </c>
      <c r="AM548" s="683" t="s">
        <v>245</v>
      </c>
      <c r="AN548" s="683" t="s">
        <v>246</v>
      </c>
      <c r="AO548" s="683" t="s">
        <v>1095</v>
      </c>
      <c r="AP548" s="683" t="s">
        <v>240</v>
      </c>
      <c r="AQ548" s="688" t="str">
        <f>CONCATENATE("REG-",BDEGENER[[#This Row],[FECHA DE SERVICIO]],"-",BDEGENER[[#This Row],[SERIE]],"-",BDEGENER[[#This Row],[HORAS]])</f>
        <v>REG-43917-3004402506-1534</v>
      </c>
      <c r="AR548" s="683" t="str">
        <f>CONCATENATE("MARCA: ",BDEGENER[[#This Row],[MARCA]],"
 MODELO: ",BDEGENER[[#This Row],[MODELO]])</f>
        <v>MARCA: GENERAC
 MODELO: PG090</v>
      </c>
      <c r="AS548" s="683" t="str">
        <f>CONCATENATE("MARCA: ",BDEGENER[[#This Row],[MARCA DE MOTOR]],"
SERIE: ",BDEGENER[[#This Row],[SERIE DE MOTOR]])</f>
        <v>MARCA: GENERAC
SERIE: 3004333866</v>
      </c>
      <c r="AT548" s="683" t="str">
        <f>CONCATENATE("MARCA: ",BDEGENER[[#This Row],[MARCA ALTERNADOR ]],"
SERIE: ",BDEGENER[[#This Row],[SERIE DE ALTERNADOR]])</f>
        <v>MARCA: GENERAC
SERIE: 1063100</v>
      </c>
      <c r="AU548" s="683" t="str">
        <f>CONCATENATE("HORAS: ",BDEGENER[[#This Row],[HORAS]],"
KW-HR: ",BDEGENER[[#This Row],[KW-HORA]],"
VOLT.BATERIA: ",BDEGENER[[#This Row],[VOLTAJE DE BATERIA]],"
TEMPERATURA: ",BDEGENER[[#This Row],[TEMPERATURA DE AGUA]],"
PRES. ACEITE: ",BDEGENER[[#This Row],[PRESION DE ACEITE]])</f>
        <v>HORAS: 1534
KW-HR: 31716
VOLT.BATERIA: 13.6 V
TEMPERATURA: 198 °F
PRES. ACEITE: 54 PSI</v>
      </c>
      <c r="AV548" s="683">
        <f>COUNTIFS(Q548:Q2548,"MANTENIMIENTO CORRECTIVO",Y548:Y2548,BDEGENER[[#This Row],[SERIE]])</f>
        <v>2</v>
      </c>
      <c r="AW548" s="683">
        <f>COUNTIFS(Q548:Q2548,"MANTENIMIENTO PREVENTIVO",Y548:Y2548,BDEGENER[[#This Row],[SERIE]])</f>
        <v>3</v>
      </c>
      <c r="AX54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548" s="683">
        <f>COUNTIFS(BDEGENER[SERIE],BDEGENER[[#This Row],[SERIE]],BDEGENER[TIPO DE SERVICIO],"MANTENIMIENTO PREVENTIVO")</f>
        <v>8</v>
      </c>
      <c r="AZ548" s="683" t="str">
        <f>CONCATENATE("MANTENIMIENTO PREVENTIVO N°",BDEGENER[[#This Row],[GA1]])</f>
        <v>MANTENIMIENTO PREVENTIVO N°8</v>
      </c>
      <c r="BA548" s="683" t="str">
        <f>IF(BDEGENER[[#This Row],[SERVICIO]]=BDEGENER[[#This Row],[GA2]],BDEGENER[[#This Row],[HORAS]],"0")</f>
        <v>0</v>
      </c>
      <c r="BB548" s="683">
        <f>SUMIF(BDEGENER[SERIE],BDEGENER[[#This Row],[SERIE]],BDEGENER[GA3])</f>
        <v>2907.9</v>
      </c>
      <c r="BC548" s="683" t="str">
        <f>CONCATENATE("MANT",COUNTIF($Y$7:Y548,Y548))</f>
        <v>MANT8</v>
      </c>
      <c r="BD548" s="683" t="str">
        <f>CONCATENATE(BDEGENER[[#This Row],[SERIE]],BDEGENER[[#This Row],[GA5]])</f>
        <v>3004402506MANT8</v>
      </c>
      <c r="BE548" s="683" t="str">
        <f>CONCATENATE(BDEGENER[[#This Row],[CODIGO PATRIMONIAL]],BDEGENER[[#This Row],[GA5]])</f>
        <v>MANT8</v>
      </c>
      <c r="BF548" s="683">
        <f>COUNTIF(BDEGENER[SERIE],BDEGENER[[#This Row],[SERIE]])</f>
        <v>14</v>
      </c>
      <c r="BG548" s="683" t="str">
        <f>CONCATENATE("F",COUNTIF($K$7:K548,K548))</f>
        <v>F5</v>
      </c>
      <c r="BH548" s="683" t="str">
        <f>CONCATENATE(BDEGENER[[#This Row],[FECHA DE SERVICIO]],BDEGENER[[#This Row],[N° DE REGISTROS DEL DIA]])</f>
        <v>43917F5</v>
      </c>
      <c r="BI548" s="684">
        <v>31716</v>
      </c>
      <c r="BJ548" s="683" t="s">
        <v>1544</v>
      </c>
      <c r="BK548" s="680"/>
    </row>
    <row r="549" spans="2:63" ht="69" hidden="1" x14ac:dyDescent="0.3">
      <c r="B549" s="2"/>
      <c r="C549" s="2"/>
      <c r="D549" s="2"/>
      <c r="E549" s="2"/>
      <c r="F549" s="2"/>
      <c r="G549" s="2"/>
      <c r="H549" s="2"/>
      <c r="I549" s="2"/>
      <c r="J549" s="685"/>
      <c r="K549" s="682">
        <v>43916</v>
      </c>
      <c r="L549" s="725" t="s">
        <v>181</v>
      </c>
      <c r="M549" s="683" t="s">
        <v>2050</v>
      </c>
      <c r="N549" s="683" t="s">
        <v>183</v>
      </c>
      <c r="O549" s="683">
        <v>4500848079</v>
      </c>
      <c r="P549" s="688" t="s">
        <v>2051</v>
      </c>
      <c r="Q549" s="683" t="s">
        <v>37</v>
      </c>
      <c r="R549" s="683" t="s">
        <v>1782</v>
      </c>
      <c r="S549" s="686" t="s">
        <v>2052</v>
      </c>
      <c r="T549" s="683" t="s">
        <v>2047</v>
      </c>
      <c r="U549" s="683" t="s">
        <v>2053</v>
      </c>
      <c r="V549" s="683" t="s">
        <v>146</v>
      </c>
      <c r="W549" s="683" t="s">
        <v>914</v>
      </c>
      <c r="X549" s="691" t="s">
        <v>918</v>
      </c>
      <c r="Y549" s="687">
        <v>3004381435</v>
      </c>
      <c r="Z549" s="692"/>
      <c r="AA549" s="683" t="s">
        <v>33</v>
      </c>
      <c r="AB549" s="683" t="s">
        <v>34</v>
      </c>
      <c r="AC549" s="683" t="s">
        <v>230</v>
      </c>
      <c r="AD549" s="683" t="s">
        <v>1110</v>
      </c>
      <c r="AE549" s="683">
        <v>60</v>
      </c>
      <c r="AF549" s="684">
        <v>379.5</v>
      </c>
      <c r="AG549" s="683" t="s">
        <v>243</v>
      </c>
      <c r="AH549" s="683" t="s">
        <v>220</v>
      </c>
      <c r="AI549" s="683" t="s">
        <v>33</v>
      </c>
      <c r="AJ549" s="683">
        <v>3004346796</v>
      </c>
      <c r="AK549" s="683" t="s">
        <v>33</v>
      </c>
      <c r="AL549" s="683">
        <v>10630960</v>
      </c>
      <c r="AM549" s="683" t="s">
        <v>1121</v>
      </c>
      <c r="AN549" s="683" t="s">
        <v>246</v>
      </c>
      <c r="AO549" s="683" t="s">
        <v>1095</v>
      </c>
      <c r="AP549" s="683" t="s">
        <v>240</v>
      </c>
      <c r="AQ549" s="688" t="str">
        <f>CONCATENATE("REG-",BDEGENER[[#This Row],[FECHA DE SERVICIO]],"-",BDEGENER[[#This Row],[SERIE]],"-",BDEGENER[[#This Row],[HORAS]])</f>
        <v>REG-43916-3004381435-379,5</v>
      </c>
      <c r="AR549" s="683" t="str">
        <f>CONCATENATE("MARCA: ",BDEGENER[[#This Row],[MARCA]],"
 MODELO: ",BDEGENER[[#This Row],[MODELO]])</f>
        <v>MARCA: GENERAC
 MODELO: PG090</v>
      </c>
      <c r="AS549" s="683" t="str">
        <f>CONCATENATE("MARCA: ",BDEGENER[[#This Row],[MARCA DE MOTOR]],"
SERIE: ",BDEGENER[[#This Row],[SERIE DE MOTOR]])</f>
        <v>MARCA: GENERAC
SERIE: 3004346796</v>
      </c>
      <c r="AT549" s="683" t="str">
        <f>CONCATENATE("MARCA: ",BDEGENER[[#This Row],[MARCA ALTERNADOR ]],"
SERIE: ",BDEGENER[[#This Row],[SERIE DE ALTERNADOR]])</f>
        <v>MARCA: GENERAC
SERIE: 10630960</v>
      </c>
      <c r="AU549" s="683" t="str">
        <f>CONCATENATE("HORAS: ",BDEGENER[[#This Row],[HORAS]],"
KW-HR: ",BDEGENER[[#This Row],[KW-HORA]],"
VOLT.BATERIA: ",BDEGENER[[#This Row],[VOLTAJE DE BATERIA]],"
TEMPERATURA: ",BDEGENER[[#This Row],[TEMPERATURA DE AGUA]],"
PRES. ACEITE: ",BDEGENER[[#This Row],[PRESION DE ACEITE]])</f>
        <v>HORAS: 379,5
KW-HR: 6016,8
VOLT.BATERIA: 13.7 V
TEMPERATURA: 198 °F
PRES. ACEITE: 54 PSI</v>
      </c>
      <c r="AV549" s="683">
        <f>COUNTIFS(Q549:Q2549,"MANTENIMIENTO CORRECTIVO",Y549:Y2549,BDEGENER[[#This Row],[SERIE]])</f>
        <v>2</v>
      </c>
      <c r="AW549" s="683">
        <f>COUNTIFS(Q549:Q2549,"MANTENIMIENTO PREVENTIVO",Y549:Y2549,BDEGENER[[#This Row],[SERIE]])</f>
        <v>2</v>
      </c>
      <c r="AX54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549" s="683">
        <f>COUNTIFS(BDEGENER[SERIE],BDEGENER[[#This Row],[SERIE]],BDEGENER[TIPO DE SERVICIO],"MANTENIMIENTO PREVENTIVO")</f>
        <v>8</v>
      </c>
      <c r="AZ549" s="683" t="str">
        <f>CONCATENATE("MANTENIMIENTO PREVENTIVO N°",BDEGENER[[#This Row],[GA1]])</f>
        <v>MANTENIMIENTO PREVENTIVO N°8</v>
      </c>
      <c r="BA549" s="683" t="str">
        <f>IF(BDEGENER[[#This Row],[SERVICIO]]=BDEGENER[[#This Row],[GA2]],BDEGENER[[#This Row],[HORAS]],"0")</f>
        <v>0</v>
      </c>
      <c r="BB549" s="683">
        <f>SUMIF(BDEGENER[SERIE],BDEGENER[[#This Row],[SERIE]],BDEGENER[GA3])</f>
        <v>2141.3000000000002</v>
      </c>
      <c r="BC549" s="683" t="str">
        <f>CONCATENATE("MANT",COUNTIF($Y$7:Y549,Y549))</f>
        <v>MANT9</v>
      </c>
      <c r="BD549" s="683" t="str">
        <f>CONCATENATE(BDEGENER[[#This Row],[SERIE]],BDEGENER[[#This Row],[GA5]])</f>
        <v>3004381435MANT9</v>
      </c>
      <c r="BE549" s="683" t="str">
        <f>CONCATENATE(BDEGENER[[#This Row],[CODIGO PATRIMONIAL]],BDEGENER[[#This Row],[GA5]])</f>
        <v>MANT9</v>
      </c>
      <c r="BF549" s="683">
        <f>COUNTIF(BDEGENER[SERIE],BDEGENER[[#This Row],[SERIE]])</f>
        <v>13</v>
      </c>
      <c r="BG549" s="683" t="str">
        <f>CONCATENATE("F",COUNTIF($K$7:K549,K549))</f>
        <v>F1</v>
      </c>
      <c r="BH549" s="683" t="str">
        <f>CONCATENATE(BDEGENER[[#This Row],[FECHA DE SERVICIO]],BDEGENER[[#This Row],[N° DE REGISTROS DEL DIA]])</f>
        <v>43916F1</v>
      </c>
      <c r="BI549" s="684">
        <v>6016.8</v>
      </c>
      <c r="BJ549" s="683" t="s">
        <v>1544</v>
      </c>
      <c r="BK549" s="680"/>
    </row>
    <row r="550" spans="2:63" ht="69" hidden="1" x14ac:dyDescent="0.3">
      <c r="B550" s="2"/>
      <c r="C550" s="2"/>
      <c r="D550" s="2"/>
      <c r="E550" s="2"/>
      <c r="F550" s="2"/>
      <c r="G550" s="2"/>
      <c r="H550" s="2"/>
      <c r="I550" s="2"/>
      <c r="J550" s="685"/>
      <c r="K550" s="682">
        <v>43916</v>
      </c>
      <c r="L550" s="725" t="s">
        <v>181</v>
      </c>
      <c r="M550" s="683" t="s">
        <v>188</v>
      </c>
      <c r="N550" s="683" t="s">
        <v>183</v>
      </c>
      <c r="O550" s="683">
        <v>4500873022</v>
      </c>
      <c r="P550" s="744" t="s">
        <v>2044</v>
      </c>
      <c r="Q550" s="683" t="s">
        <v>37</v>
      </c>
      <c r="R550" s="683" t="s">
        <v>1782</v>
      </c>
      <c r="S550" s="686" t="s">
        <v>2048</v>
      </c>
      <c r="T550" s="683" t="s">
        <v>2047</v>
      </c>
      <c r="U550" s="683" t="s">
        <v>2049</v>
      </c>
      <c r="V550" s="683" t="s">
        <v>146</v>
      </c>
      <c r="W550" s="683" t="s">
        <v>914</v>
      </c>
      <c r="X550" s="691" t="s">
        <v>918</v>
      </c>
      <c r="Y550" s="687">
        <v>3004381437</v>
      </c>
      <c r="Z550" s="692"/>
      <c r="AA550" s="683" t="s">
        <v>33</v>
      </c>
      <c r="AB550" s="683" t="s">
        <v>34</v>
      </c>
      <c r="AC550" s="683" t="s">
        <v>230</v>
      </c>
      <c r="AD550" s="683" t="s">
        <v>1110</v>
      </c>
      <c r="AE550" s="683">
        <v>60</v>
      </c>
      <c r="AF550" s="684">
        <v>816.9</v>
      </c>
      <c r="AG550" s="683" t="s">
        <v>243</v>
      </c>
      <c r="AH550" s="683" t="s">
        <v>220</v>
      </c>
      <c r="AI550" s="683" t="s">
        <v>33</v>
      </c>
      <c r="AJ550" s="683">
        <v>3004346804</v>
      </c>
      <c r="AK550" s="683" t="s">
        <v>33</v>
      </c>
      <c r="AL550" s="683">
        <v>106309630</v>
      </c>
      <c r="AM550" s="683" t="s">
        <v>1121</v>
      </c>
      <c r="AN550" s="683" t="s">
        <v>1102</v>
      </c>
      <c r="AO550" s="683" t="s">
        <v>247</v>
      </c>
      <c r="AP550" s="683" t="s">
        <v>240</v>
      </c>
      <c r="AQ550" s="688" t="str">
        <f>CONCATENATE("REG-",BDEGENER[[#This Row],[FECHA DE SERVICIO]],"-",BDEGENER[[#This Row],[SERIE]],"-",BDEGENER[[#This Row],[HORAS]])</f>
        <v>REG-43916-3004381437-816,9</v>
      </c>
      <c r="AR550" s="683" t="str">
        <f>CONCATENATE("MARCA: ",BDEGENER[[#This Row],[MARCA]],"
 MODELO: ",BDEGENER[[#This Row],[MODELO]])</f>
        <v>MARCA: GENERAC
 MODELO: PG090</v>
      </c>
      <c r="AS550" s="683" t="str">
        <f>CONCATENATE("MARCA: ",BDEGENER[[#This Row],[MARCA DE MOTOR]],"
SERIE: ",BDEGENER[[#This Row],[SERIE DE MOTOR]])</f>
        <v>MARCA: GENERAC
SERIE: 3004346804</v>
      </c>
      <c r="AT550" s="683" t="str">
        <f>CONCATENATE("MARCA: ",BDEGENER[[#This Row],[MARCA ALTERNADOR ]],"
SERIE: ",BDEGENER[[#This Row],[SERIE DE ALTERNADOR]])</f>
        <v>MARCA: GENERAC
SERIE: 106309630</v>
      </c>
      <c r="AU550" s="683" t="str">
        <f>CONCATENATE("HORAS: ",BDEGENER[[#This Row],[HORAS]],"
KW-HR: ",BDEGENER[[#This Row],[KW-HORA]],"
VOLT.BATERIA: ",BDEGENER[[#This Row],[VOLTAJE DE BATERIA]],"
TEMPERATURA: ",BDEGENER[[#This Row],[TEMPERATURA DE AGUA]],"
PRES. ACEITE: ",BDEGENER[[#This Row],[PRESION DE ACEITE]])</f>
        <v>HORAS: 816,9
KW-HR: 14269,3
VOLT.BATERIA: 13.7 V
TEMPERATURA: 199 °F
PRES. ACEITE: 55 PSI</v>
      </c>
      <c r="AV550" s="761">
        <f>COUNTIFS(Q550:Q2550,"MANTENIMIENTO CORRECTIVO",Y550:Y2550,BDEGENER[[#This Row],[SERIE]])</f>
        <v>2</v>
      </c>
      <c r="AW550" s="761">
        <f>COUNTIFS(Q550:Q2550,"MANTENIMIENTO PREVENTIVO",Y550:Y2550,BDEGENER[[#This Row],[SERIE]])</f>
        <v>3</v>
      </c>
      <c r="AX55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50" s="683">
        <f>COUNTIFS(BDEGENER[SERIE],BDEGENER[[#This Row],[SERIE]],BDEGENER[TIPO DE SERVICIO],"MANTENIMIENTO PREVENTIVO")</f>
        <v>8</v>
      </c>
      <c r="AZ550" s="683" t="str">
        <f>CONCATENATE("MANTENIMIENTO PREVENTIVO N°",BDEGENER[[#This Row],[GA1]])</f>
        <v>MANTENIMIENTO PREVENTIVO N°8</v>
      </c>
      <c r="BA550" s="683" t="str">
        <f>IF(BDEGENER[[#This Row],[SERVICIO]]=BDEGENER[[#This Row],[GA2]],BDEGENER[[#This Row],[HORAS]],"0")</f>
        <v>0</v>
      </c>
      <c r="BB550" s="683">
        <f>SUMIF(BDEGENER[SERIE],BDEGENER[[#This Row],[SERIE]],BDEGENER[GA3])</f>
        <v>2359.6</v>
      </c>
      <c r="BC550" s="761" t="str">
        <f>CONCATENATE("MANT",COUNTIF($Y$7:Y550,Y550))</f>
        <v>MANT7</v>
      </c>
      <c r="BD550" s="683" t="str">
        <f>CONCATENATE(BDEGENER[[#This Row],[SERIE]],BDEGENER[[#This Row],[GA5]])</f>
        <v>3004381437MANT7</v>
      </c>
      <c r="BE550" s="683" t="str">
        <f>CONCATENATE(BDEGENER[[#This Row],[CODIGO PATRIMONIAL]],BDEGENER[[#This Row],[GA5]])</f>
        <v>MANT7</v>
      </c>
      <c r="BF550" s="683">
        <f>COUNTIF(BDEGENER[SERIE],BDEGENER[[#This Row],[SERIE]])</f>
        <v>12</v>
      </c>
      <c r="BG550" s="761" t="str">
        <f>CONCATENATE("F",COUNTIF($K$7:K550,K550))</f>
        <v>F2</v>
      </c>
      <c r="BH550" s="683" t="str">
        <f>CONCATENATE(BDEGENER[[#This Row],[FECHA DE SERVICIO]],BDEGENER[[#This Row],[N° DE REGISTROS DEL DIA]])</f>
        <v>43916F2</v>
      </c>
      <c r="BI550" s="684">
        <v>14269.3</v>
      </c>
      <c r="BJ550" s="683" t="s">
        <v>1544</v>
      </c>
      <c r="BK550" s="680"/>
    </row>
    <row r="551" spans="2:63" ht="69" hidden="1" x14ac:dyDescent="0.3">
      <c r="B551" s="2"/>
      <c r="C551" s="2"/>
      <c r="D551" s="2"/>
      <c r="E551" s="2"/>
      <c r="F551" s="2"/>
      <c r="G551" s="2"/>
      <c r="H551" s="2"/>
      <c r="I551" s="2"/>
      <c r="J551" s="685"/>
      <c r="K551" s="682">
        <v>43916</v>
      </c>
      <c r="L551" s="725" t="s">
        <v>181</v>
      </c>
      <c r="M551" s="683" t="s">
        <v>188</v>
      </c>
      <c r="N551" s="683" t="s">
        <v>183</v>
      </c>
      <c r="O551" s="683"/>
      <c r="P551" s="683"/>
      <c r="Q551" s="683" t="s">
        <v>107</v>
      </c>
      <c r="R551" s="683" t="s">
        <v>2040</v>
      </c>
      <c r="S551" s="686" t="s">
        <v>2041</v>
      </c>
      <c r="T551" s="683" t="s">
        <v>2042</v>
      </c>
      <c r="U551" s="683" t="s">
        <v>2043</v>
      </c>
      <c r="V551" s="683" t="s">
        <v>146</v>
      </c>
      <c r="W551" s="683" t="s">
        <v>914</v>
      </c>
      <c r="X551" s="691" t="s">
        <v>918</v>
      </c>
      <c r="Y551" s="687">
        <v>3004416582</v>
      </c>
      <c r="Z551" s="692"/>
      <c r="AA551" s="683" t="s">
        <v>33</v>
      </c>
      <c r="AB551" s="683" t="s">
        <v>34</v>
      </c>
      <c r="AC551" s="683" t="s">
        <v>230</v>
      </c>
      <c r="AD551" s="683" t="s">
        <v>1110</v>
      </c>
      <c r="AE551" s="683">
        <v>60</v>
      </c>
      <c r="AF551" s="684">
        <v>1008.7</v>
      </c>
      <c r="AG551" s="683" t="s">
        <v>243</v>
      </c>
      <c r="AH551" s="683" t="s">
        <v>220</v>
      </c>
      <c r="AI551" s="683" t="s">
        <v>33</v>
      </c>
      <c r="AJ551" s="683">
        <v>3004309061</v>
      </c>
      <c r="AK551" s="683" t="s">
        <v>33</v>
      </c>
      <c r="AL551" s="683">
        <v>107748830</v>
      </c>
      <c r="AM551" s="683" t="s">
        <v>245</v>
      </c>
      <c r="AN551" s="683" t="s">
        <v>246</v>
      </c>
      <c r="AO551" s="683" t="s">
        <v>247</v>
      </c>
      <c r="AP551" s="683" t="s">
        <v>240</v>
      </c>
      <c r="AQ551" s="688" t="str">
        <f>CONCATENATE("REG-",BDEGENER[[#This Row],[FECHA DE SERVICIO]],"-",BDEGENER[[#This Row],[SERIE]],"-",BDEGENER[[#This Row],[HORAS]])</f>
        <v>REG-43916-3004416582-1008,7</v>
      </c>
      <c r="AR551" s="683" t="str">
        <f>CONCATENATE("MARCA: ",BDEGENER[[#This Row],[MARCA]],"
 MODELO: ",BDEGENER[[#This Row],[MODELO]])</f>
        <v>MARCA: GENERAC
 MODELO: PG090</v>
      </c>
      <c r="AS551" s="683" t="str">
        <f>CONCATENATE("MARCA: ",BDEGENER[[#This Row],[MARCA DE MOTOR]],"
SERIE: ",BDEGENER[[#This Row],[SERIE DE MOTOR]])</f>
        <v>MARCA: GENERAC
SERIE: 3004309061</v>
      </c>
      <c r="AT551" s="683" t="str">
        <f>CONCATENATE("MARCA: ",BDEGENER[[#This Row],[MARCA ALTERNADOR ]],"
SERIE: ",BDEGENER[[#This Row],[SERIE DE ALTERNADOR]])</f>
        <v>MARCA: GENERAC
SERIE: 107748830</v>
      </c>
      <c r="AU551" s="683" t="str">
        <f>CONCATENATE("HORAS: ",BDEGENER[[#This Row],[HORAS]],"
KW-HR: ",BDEGENER[[#This Row],[KW-HORA]],"
VOLT.BATERIA: ",BDEGENER[[#This Row],[VOLTAJE DE BATERIA]],"
TEMPERATURA: ",BDEGENER[[#This Row],[TEMPERATURA DE AGUA]],"
PRES. ACEITE: ",BDEGENER[[#This Row],[PRESION DE ACEITE]])</f>
        <v>HORAS: 1008,7
KW-HR: 
VOLT.BATERIA: 13.6 V
TEMPERATURA: 198 °F
PRES. ACEITE: 55 PSI</v>
      </c>
      <c r="AV551" s="683">
        <f>COUNTIFS(Q551:Q2551,"MANTENIMIENTO CORRECTIVO",Y551:Y2551,BDEGENER[[#This Row],[SERIE]])</f>
        <v>2</v>
      </c>
      <c r="AW551" s="683">
        <f>COUNTIFS(Q551:Q2551,"MANTENIMIENTO PREVENTIVO",Y551:Y2551,BDEGENER[[#This Row],[SERIE]])</f>
        <v>3</v>
      </c>
      <c r="AX55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551" s="683">
        <f>COUNTIFS(BDEGENER[SERIE],BDEGENER[[#This Row],[SERIE]],BDEGENER[TIPO DE SERVICIO],"MANTENIMIENTO PREVENTIVO")</f>
        <v>7</v>
      </c>
      <c r="AZ551" s="683" t="str">
        <f>CONCATENATE("MANTENIMIENTO PREVENTIVO N°",BDEGENER[[#This Row],[GA1]])</f>
        <v>MANTENIMIENTO PREVENTIVO N°7</v>
      </c>
      <c r="BA551" s="683" t="str">
        <f>IF(BDEGENER[[#This Row],[SERVICIO]]=BDEGENER[[#This Row],[GA2]],BDEGENER[[#This Row],[HORAS]],"0")</f>
        <v>0</v>
      </c>
      <c r="BB551" s="683">
        <f>SUMIF(BDEGENER[SERIE],BDEGENER[[#This Row],[SERIE]],BDEGENER[GA3])</f>
        <v>2342.3000000000002</v>
      </c>
      <c r="BC551" s="683" t="str">
        <f>CONCATENATE("MANT",COUNTIF($Y$7:Y551,Y551))</f>
        <v>MANT6</v>
      </c>
      <c r="BD551" s="683" t="str">
        <f>CONCATENATE(BDEGENER[[#This Row],[SERIE]],BDEGENER[[#This Row],[GA5]])</f>
        <v>3004416582MANT6</v>
      </c>
      <c r="BE551" s="683" t="str">
        <f>CONCATENATE(BDEGENER[[#This Row],[CODIGO PATRIMONIAL]],BDEGENER[[#This Row],[GA5]])</f>
        <v>MANT6</v>
      </c>
      <c r="BF551" s="683">
        <f>COUNTIF(BDEGENER[SERIE],BDEGENER[[#This Row],[SERIE]])</f>
        <v>11</v>
      </c>
      <c r="BG551" s="683" t="str">
        <f>CONCATENATE("F",COUNTIF($K$7:K551,K551))</f>
        <v>F3</v>
      </c>
      <c r="BH551" s="683" t="str">
        <f>CONCATENATE(BDEGENER[[#This Row],[FECHA DE SERVICIO]],BDEGENER[[#This Row],[N° DE REGISTROS DEL DIA]])</f>
        <v>43916F3</v>
      </c>
      <c r="BI551" s="684"/>
      <c r="BJ551" s="683" t="s">
        <v>1544</v>
      </c>
      <c r="BK551" s="680"/>
    </row>
    <row r="552" spans="2:63" ht="69" hidden="1" x14ac:dyDescent="0.3">
      <c r="B552" s="2"/>
      <c r="C552" s="2"/>
      <c r="D552" s="2"/>
      <c r="E552" s="2"/>
      <c r="F552" s="2"/>
      <c r="G552" s="2"/>
      <c r="H552" s="2"/>
      <c r="I552" s="2"/>
      <c r="J552" s="685"/>
      <c r="K552" s="682">
        <v>43915</v>
      </c>
      <c r="L552" s="683" t="s">
        <v>181</v>
      </c>
      <c r="M552" s="683" t="s">
        <v>187</v>
      </c>
      <c r="N552" s="683" t="s">
        <v>183</v>
      </c>
      <c r="O552" s="683"/>
      <c r="P552" s="683"/>
      <c r="Q552" s="683" t="s">
        <v>108</v>
      </c>
      <c r="R552" s="683" t="s">
        <v>2357</v>
      </c>
      <c r="S552" s="686" t="s">
        <v>2358</v>
      </c>
      <c r="T552" s="683" t="s">
        <v>2359</v>
      </c>
      <c r="U552" s="683"/>
      <c r="V552" s="683" t="s">
        <v>146</v>
      </c>
      <c r="W552" s="683" t="s">
        <v>914</v>
      </c>
      <c r="X552" s="691" t="s">
        <v>918</v>
      </c>
      <c r="Y552" s="687">
        <v>3004418790</v>
      </c>
      <c r="Z552" s="692"/>
      <c r="AA552" s="683" t="s">
        <v>33</v>
      </c>
      <c r="AB552" s="683" t="s">
        <v>34</v>
      </c>
      <c r="AC552" s="683" t="s">
        <v>230</v>
      </c>
      <c r="AD552" s="683"/>
      <c r="AE552" s="683"/>
      <c r="AF552" s="684">
        <v>981.5</v>
      </c>
      <c r="AG552" s="683" t="s">
        <v>243</v>
      </c>
      <c r="AH552" s="683" t="s">
        <v>220</v>
      </c>
      <c r="AI552" s="683" t="s">
        <v>33</v>
      </c>
      <c r="AJ552" s="683">
        <v>3005413982</v>
      </c>
      <c r="AK552" s="683" t="s">
        <v>33</v>
      </c>
      <c r="AL552" s="683">
        <v>107745310</v>
      </c>
      <c r="AM552" s="683"/>
      <c r="AN552" s="683"/>
      <c r="AO552" s="683"/>
      <c r="AP552" s="683" t="s">
        <v>240</v>
      </c>
      <c r="AQ552" s="688" t="str">
        <f>CONCATENATE("REG-",BDEGENER[[#This Row],[FECHA DE SERVICIO]],"-",BDEGENER[[#This Row],[SERIE]],"-",BDEGENER[[#This Row],[HORAS]])</f>
        <v>REG-43915-3004418790-981,5</v>
      </c>
      <c r="AR552" s="683" t="str">
        <f>CONCATENATE("MARCA: ",BDEGENER[[#This Row],[MARCA]],"
 MODELO: ",BDEGENER[[#This Row],[MODELO]])</f>
        <v>MARCA: GENERAC
 MODELO: PG090</v>
      </c>
      <c r="AS552" s="683" t="str">
        <f>CONCATENATE("MARCA: ",BDEGENER[[#This Row],[MARCA DE MOTOR]],"
SERIE: ",BDEGENER[[#This Row],[SERIE DE MOTOR]])</f>
        <v>MARCA: GENERAC
SERIE: 3005413982</v>
      </c>
      <c r="AT552" s="683" t="str">
        <f>CONCATENATE("MARCA: ",BDEGENER[[#This Row],[MARCA ALTERNADOR ]],"
SERIE: ",BDEGENER[[#This Row],[SERIE DE ALTERNADOR]])</f>
        <v>MARCA: GENERAC
SERIE: 107745310</v>
      </c>
      <c r="AU552" s="683" t="str">
        <f>CONCATENATE("HORAS: ",BDEGENER[[#This Row],[HORAS]],"
KW-HR: ",BDEGENER[[#This Row],[KW-HORA]],"
VOLT.BATERIA: ",BDEGENER[[#This Row],[VOLTAJE DE BATERIA]],"
TEMPERATURA: ",BDEGENER[[#This Row],[TEMPERATURA DE AGUA]],"
PRES. ACEITE: ",BDEGENER[[#This Row],[PRESION DE ACEITE]])</f>
        <v xml:space="preserve">HORAS: 981,5
KW-HR: 
VOLT.BATERIA: 
TEMPERATURA: 
PRES. ACEITE: </v>
      </c>
      <c r="AV552" s="683">
        <f>COUNTIFS(Q552:Q2552,"MANTENIMIENTO CORRECTIVO",Y552:Y2552,BDEGENER[[#This Row],[SERIE]])</f>
        <v>1</v>
      </c>
      <c r="AW552" s="683">
        <f>COUNTIFS(Q552:Q2552,"MANTENIMIENTO PREVENTIVO",Y552:Y2552,BDEGENER[[#This Row],[SERIE]])</f>
        <v>3</v>
      </c>
      <c r="AX55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52" s="683">
        <f>COUNTIFS(BDEGENER[SERIE],BDEGENER[[#This Row],[SERIE]],BDEGENER[TIPO DE SERVICIO],"MANTENIMIENTO PREVENTIVO")</f>
        <v>8</v>
      </c>
      <c r="AZ552" s="683" t="str">
        <f>CONCATENATE("MANTENIMIENTO PREVENTIVO N°",BDEGENER[[#This Row],[GA1]])</f>
        <v>MANTENIMIENTO PREVENTIVO N°8</v>
      </c>
      <c r="BA552" s="683" t="str">
        <f>IF(BDEGENER[[#This Row],[SERVICIO]]=BDEGENER[[#This Row],[GA2]],BDEGENER[[#This Row],[HORAS]],"0")</f>
        <v>0</v>
      </c>
      <c r="BB552" s="683">
        <f>SUMIF(BDEGENER[SERIE],BDEGENER[[#This Row],[SERIE]],BDEGENER[GA3])</f>
        <v>2579.3000000000002</v>
      </c>
      <c r="BC552" s="683" t="str">
        <f>CONCATENATE("MANT",COUNTIF($Y$7:Y552,Y552))</f>
        <v>MANT8</v>
      </c>
      <c r="BD552" s="683" t="str">
        <f>CONCATENATE(BDEGENER[[#This Row],[SERIE]],BDEGENER[[#This Row],[GA5]])</f>
        <v>3004418790MANT8</v>
      </c>
      <c r="BE552" s="683" t="str">
        <f>CONCATENATE(BDEGENER[[#This Row],[CODIGO PATRIMONIAL]],BDEGENER[[#This Row],[GA5]])</f>
        <v>MANT8</v>
      </c>
      <c r="BF552" s="683">
        <f>COUNTIF(BDEGENER[SERIE],BDEGENER[[#This Row],[SERIE]])</f>
        <v>14</v>
      </c>
      <c r="BG552" s="683" t="str">
        <f>CONCATENATE("F",COUNTIF($K$7:K552,K552))</f>
        <v>F1</v>
      </c>
      <c r="BH552" s="683" t="str">
        <f>CONCATENATE(BDEGENER[[#This Row],[FECHA DE SERVICIO]],BDEGENER[[#This Row],[N° DE REGISTROS DEL DIA]])</f>
        <v>43915F1</v>
      </c>
      <c r="BI552" s="684"/>
      <c r="BJ552" s="683" t="s">
        <v>1544</v>
      </c>
      <c r="BK552" s="680"/>
    </row>
    <row r="553" spans="2:63" ht="110.4" hidden="1" x14ac:dyDescent="0.3">
      <c r="B553" s="2"/>
      <c r="C553" s="2"/>
      <c r="D553" s="2"/>
      <c r="E553" s="2"/>
      <c r="F553" s="2"/>
      <c r="G553" s="2"/>
      <c r="H553" s="2"/>
      <c r="I553" s="2"/>
      <c r="J553" s="685"/>
      <c r="K553" s="682">
        <v>43915</v>
      </c>
      <c r="L553" s="725" t="s">
        <v>764</v>
      </c>
      <c r="M553" s="683" t="s">
        <v>2074</v>
      </c>
      <c r="N553" s="683" t="s">
        <v>1384</v>
      </c>
      <c r="O553" s="683"/>
      <c r="P553" s="683"/>
      <c r="Q553" s="683" t="s">
        <v>107</v>
      </c>
      <c r="R553" s="683" t="s">
        <v>2075</v>
      </c>
      <c r="S553" s="686" t="s">
        <v>2076</v>
      </c>
      <c r="T553" s="683" t="s">
        <v>2341</v>
      </c>
      <c r="U553" s="683"/>
      <c r="V553" s="683" t="s">
        <v>150</v>
      </c>
      <c r="W553" s="683" t="s">
        <v>914</v>
      </c>
      <c r="X553" s="691" t="s">
        <v>917</v>
      </c>
      <c r="Y553" s="687">
        <v>8754673</v>
      </c>
      <c r="Z553" s="692"/>
      <c r="AA553" s="683" t="s">
        <v>1387</v>
      </c>
      <c r="AB553" s="683" t="s">
        <v>1393</v>
      </c>
      <c r="AC553" s="683" t="s">
        <v>787</v>
      </c>
      <c r="AD553" s="683"/>
      <c r="AE553" s="683"/>
      <c r="AF553" s="684">
        <v>137.6</v>
      </c>
      <c r="AG553" s="683" t="s">
        <v>243</v>
      </c>
      <c r="AH553" s="683" t="s">
        <v>2342</v>
      </c>
      <c r="AI553" s="683" t="s">
        <v>844</v>
      </c>
      <c r="AJ553" s="683" t="s">
        <v>1386</v>
      </c>
      <c r="AK553" s="683"/>
      <c r="AL553" s="683"/>
      <c r="AM553" s="683"/>
      <c r="AN553" s="683"/>
      <c r="AO553" s="683"/>
      <c r="AP553" s="683" t="s">
        <v>240</v>
      </c>
      <c r="AQ553" s="744" t="str">
        <f>CONCATENATE("REG-",BDEGENER[[#This Row],[FECHA DE SERVICIO]],"-",BDEGENER[[#This Row],[SERIE]],"-",BDEGENER[[#This Row],[HORAS]])</f>
        <v>REG-43915-8754673-137,6</v>
      </c>
      <c r="AR553" s="683" t="str">
        <f>CONCATENATE("MARCA: ",BDEGENER[[#This Row],[MARCA]],"
 MODELO: ",BDEGENER[[#This Row],[MODELO]])</f>
        <v>MARCA: GAMMA
 MODELO: GPLS-400I</v>
      </c>
      <c r="AS553" s="683" t="str">
        <f>CONCATENATE("MARCA: ",BDEGENER[[#This Row],[MARCA DE MOTOR]],"
SERIE: ",BDEGENER[[#This Row],[SERIE DE MOTOR]])</f>
        <v>MARCA: PERKINS
SERIE: TGHF5219</v>
      </c>
      <c r="AT553" s="683" t="str">
        <f>CONCATENATE("MARCA: ",BDEGENER[[#This Row],[MARCA ALTERNADOR ]],"
SERIE: ",BDEGENER[[#This Row],[SERIE DE ALTERNADOR]])</f>
        <v xml:space="preserve">MARCA: 
SERIE: </v>
      </c>
      <c r="AU553" s="683" t="str">
        <f>CONCATENATE("HORAS: ",BDEGENER[[#This Row],[HORAS]],"
KW-HR: ",BDEGENER[[#This Row],[KW-HORA]],"
VOLT.BATERIA: ",BDEGENER[[#This Row],[VOLTAJE DE BATERIA]],"
TEMPERATURA: ",BDEGENER[[#This Row],[TEMPERATURA DE AGUA]],"
PRES. ACEITE: ",BDEGENER[[#This Row],[PRESION DE ACEITE]])</f>
        <v xml:space="preserve">HORAS: 137,6
KW-HR: 
VOLT.BATERIA: 
TEMPERATURA: 
PRES. ACEITE: </v>
      </c>
      <c r="AV553" s="761">
        <f>COUNTIFS(Q553:Q2553,"MANTENIMIENTO CORRECTIVO",Y553:Y2553,BDEGENER[[#This Row],[SERIE]])</f>
        <v>1</v>
      </c>
      <c r="AW553" s="761">
        <f>COUNTIFS(Q553:Q2553,"MANTENIMIENTO PREVENTIVO",Y553:Y2553,BDEGENER[[#This Row],[SERIE]])</f>
        <v>1</v>
      </c>
      <c r="AX55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553" s="683">
        <f>COUNTIFS(BDEGENER[SERIE],BDEGENER[[#This Row],[SERIE]],BDEGENER[TIPO DE SERVICIO],"MANTENIMIENTO PREVENTIVO")</f>
        <v>2</v>
      </c>
      <c r="AZ553" s="683" t="str">
        <f>CONCATENATE("MANTENIMIENTO PREVENTIVO N°",BDEGENER[[#This Row],[GA1]])</f>
        <v>MANTENIMIENTO PREVENTIVO N°2</v>
      </c>
      <c r="BA553" s="683" t="str">
        <f>IF(BDEGENER[[#This Row],[SERVICIO]]=BDEGENER[[#This Row],[GA2]],BDEGENER[[#This Row],[HORAS]],"0")</f>
        <v>0</v>
      </c>
      <c r="BB553" s="683">
        <f>SUMIF(BDEGENER[SERIE],BDEGENER[[#This Row],[SERIE]],BDEGENER[GA3])</f>
        <v>152.9</v>
      </c>
      <c r="BC553" s="761" t="str">
        <f>CONCATENATE("MANT",COUNTIF($Y$7:Y553,Y553))</f>
        <v>MANT3</v>
      </c>
      <c r="BD553" s="683" t="str">
        <f>CONCATENATE(BDEGENER[[#This Row],[SERIE]],BDEGENER[[#This Row],[GA5]])</f>
        <v>8754673MANT3</v>
      </c>
      <c r="BE553" s="683" t="str">
        <f>CONCATENATE(BDEGENER[[#This Row],[CODIGO PATRIMONIAL]],BDEGENER[[#This Row],[GA5]])</f>
        <v>MANT3</v>
      </c>
      <c r="BF553" s="683">
        <f>COUNTIF(BDEGENER[SERIE],BDEGENER[[#This Row],[SERIE]])</f>
        <v>6</v>
      </c>
      <c r="BG553" s="761" t="str">
        <f>CONCATENATE("F",COUNTIF($K$7:K553,K553))</f>
        <v>F2</v>
      </c>
      <c r="BH553" s="683" t="str">
        <f>CONCATENATE(BDEGENER[[#This Row],[FECHA DE SERVICIO]],BDEGENER[[#This Row],[N° DE REGISTROS DEL DIA]])</f>
        <v>43915F2</v>
      </c>
      <c r="BI553" s="684"/>
      <c r="BJ553" s="683" t="s">
        <v>1544</v>
      </c>
      <c r="BK553" s="680"/>
    </row>
    <row r="554" spans="2:63" ht="69" hidden="1" x14ac:dyDescent="0.3">
      <c r="B554" s="2"/>
      <c r="C554" s="2"/>
      <c r="D554" s="2"/>
      <c r="E554" s="2"/>
      <c r="F554" s="2"/>
      <c r="G554" s="2"/>
      <c r="H554" s="2"/>
      <c r="I554" s="2"/>
      <c r="J554" s="685"/>
      <c r="K554" s="682">
        <v>43915</v>
      </c>
      <c r="L554" s="725" t="s">
        <v>181</v>
      </c>
      <c r="M554" s="683" t="s">
        <v>188</v>
      </c>
      <c r="N554" s="683" t="s">
        <v>183</v>
      </c>
      <c r="O554" s="683">
        <v>4500873022</v>
      </c>
      <c r="P554" s="744" t="s">
        <v>2044</v>
      </c>
      <c r="Q554" s="683" t="s">
        <v>37</v>
      </c>
      <c r="R554" s="683" t="s">
        <v>1782</v>
      </c>
      <c r="S554" s="686" t="s">
        <v>2045</v>
      </c>
      <c r="T554" s="683" t="s">
        <v>2047</v>
      </c>
      <c r="U554" s="683" t="s">
        <v>2046</v>
      </c>
      <c r="V554" s="683" t="s">
        <v>146</v>
      </c>
      <c r="W554" s="683" t="s">
        <v>914</v>
      </c>
      <c r="X554" s="691" t="s">
        <v>918</v>
      </c>
      <c r="Y554" s="687">
        <v>3004235514</v>
      </c>
      <c r="Z554" s="692" t="s">
        <v>192</v>
      </c>
      <c r="AA554" s="683" t="s">
        <v>33</v>
      </c>
      <c r="AB554" s="683" t="s">
        <v>34</v>
      </c>
      <c r="AC554" s="683" t="s">
        <v>230</v>
      </c>
      <c r="AD554" s="683" t="s">
        <v>1110</v>
      </c>
      <c r="AE554" s="683">
        <v>60</v>
      </c>
      <c r="AF554" s="684">
        <v>919.9</v>
      </c>
      <c r="AG554" s="683" t="s">
        <v>243</v>
      </c>
      <c r="AH554" s="683" t="s">
        <v>220</v>
      </c>
      <c r="AI554" s="683" t="s">
        <v>33</v>
      </c>
      <c r="AJ554" s="683">
        <v>3003266420</v>
      </c>
      <c r="AK554" s="683" t="s">
        <v>33</v>
      </c>
      <c r="AL554" s="683">
        <v>163025</v>
      </c>
      <c r="AM554" s="683" t="s">
        <v>1121</v>
      </c>
      <c r="AN554" s="683" t="s">
        <v>246</v>
      </c>
      <c r="AO554" s="683" t="s">
        <v>247</v>
      </c>
      <c r="AP554" s="683" t="s">
        <v>240</v>
      </c>
      <c r="AQ554" s="688" t="str">
        <f>CONCATENATE("REG-",BDEGENER[[#This Row],[FECHA DE SERVICIO]],"-",BDEGENER[[#This Row],[SERIE]],"-",BDEGENER[[#This Row],[HORAS]])</f>
        <v>REG-43915-3004235514-919,9</v>
      </c>
      <c r="AR554" s="683" t="str">
        <f>CONCATENATE("MARCA: ",BDEGENER[[#This Row],[MARCA]],"
 MODELO: ",BDEGENER[[#This Row],[MODELO]])</f>
        <v>MARCA: GENERAC
 MODELO: PG090</v>
      </c>
      <c r="AS554" s="683" t="str">
        <f>CONCATENATE("MARCA: ",BDEGENER[[#This Row],[MARCA DE MOTOR]],"
SERIE: ",BDEGENER[[#This Row],[SERIE DE MOTOR]])</f>
        <v>MARCA: GENERAC
SERIE: 3003266420</v>
      </c>
      <c r="AT554" s="683" t="str">
        <f>CONCATENATE("MARCA: ",BDEGENER[[#This Row],[MARCA ALTERNADOR ]],"
SERIE: ",BDEGENER[[#This Row],[SERIE DE ALTERNADOR]])</f>
        <v>MARCA: GENERAC
SERIE: 163025</v>
      </c>
      <c r="AU554" s="683" t="str">
        <f>CONCATENATE("HORAS: ",BDEGENER[[#This Row],[HORAS]],"
KW-HR: ",BDEGENER[[#This Row],[KW-HORA]],"
VOLT.BATERIA: ",BDEGENER[[#This Row],[VOLTAJE DE BATERIA]],"
TEMPERATURA: ",BDEGENER[[#This Row],[TEMPERATURA DE AGUA]],"
PRES. ACEITE: ",BDEGENER[[#This Row],[PRESION DE ACEITE]])</f>
        <v>HORAS: 919,9
KW-HR: 19231,7
VOLT.BATERIA: 13.7 V
TEMPERATURA: 198 °F
PRES. ACEITE: 55 PSI</v>
      </c>
      <c r="AV554" s="683">
        <f>COUNTIFS(Q554:Q2554,"MANTENIMIENTO CORRECTIVO",Y554:Y2554,BDEGENER[[#This Row],[SERIE]])</f>
        <v>1</v>
      </c>
      <c r="AW554" s="683">
        <f>COUNTIFS(Q554:Q2554,"MANTENIMIENTO PREVENTIVO",Y554:Y2554,BDEGENER[[#This Row],[SERIE]])</f>
        <v>3</v>
      </c>
      <c r="AX55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54" s="683">
        <f>COUNTIFS(BDEGENER[SERIE],BDEGENER[[#This Row],[SERIE]],BDEGENER[TIPO DE SERVICIO],"MANTENIMIENTO PREVENTIVO")</f>
        <v>7</v>
      </c>
      <c r="AZ554" s="683" t="str">
        <f>CONCATENATE("MANTENIMIENTO PREVENTIVO N°",BDEGENER[[#This Row],[GA1]])</f>
        <v>MANTENIMIENTO PREVENTIVO N°7</v>
      </c>
      <c r="BA554" s="683" t="str">
        <f>IF(BDEGENER[[#This Row],[SERVICIO]]=BDEGENER[[#This Row],[GA2]],BDEGENER[[#This Row],[HORAS]],"0")</f>
        <v>0</v>
      </c>
      <c r="BB554" s="683">
        <f>SUMIF(BDEGENER[SERIE],BDEGENER[[#This Row],[SERIE]],BDEGENER[GA3])</f>
        <v>2044.9</v>
      </c>
      <c r="BC554" s="683" t="str">
        <f>CONCATENATE("MANT",COUNTIF($Y$7:Y554,Y554))</f>
        <v>MANT6</v>
      </c>
      <c r="BD554" s="683" t="str">
        <f>CONCATENATE(BDEGENER[[#This Row],[SERIE]],BDEGENER[[#This Row],[GA5]])</f>
        <v>3004235514MANT6</v>
      </c>
      <c r="BE554" s="683" t="str">
        <f>CONCATENATE(BDEGENER[[#This Row],[CODIGO PATRIMONIAL]],BDEGENER[[#This Row],[GA5]])</f>
        <v xml:space="preserve"> MANT6</v>
      </c>
      <c r="BF554" s="683">
        <f>COUNTIF(BDEGENER[SERIE],BDEGENER[[#This Row],[SERIE]])</f>
        <v>10</v>
      </c>
      <c r="BG554" s="683" t="str">
        <f>CONCATENATE("F",COUNTIF($K$7:K554,K554))</f>
        <v>F3</v>
      </c>
      <c r="BH554" s="683" t="str">
        <f>CONCATENATE(BDEGENER[[#This Row],[FECHA DE SERVICIO]],BDEGENER[[#This Row],[N° DE REGISTROS DEL DIA]])</f>
        <v>43915F3</v>
      </c>
      <c r="BI554" s="684">
        <v>19231.7</v>
      </c>
      <c r="BJ554" s="683" t="s">
        <v>1544</v>
      </c>
      <c r="BK554" s="680"/>
    </row>
    <row r="555" spans="2:63" ht="69" hidden="1" x14ac:dyDescent="0.3">
      <c r="B555" s="2"/>
      <c r="C555" s="2"/>
      <c r="D555" s="2"/>
      <c r="E555" s="2"/>
      <c r="F555" s="2"/>
      <c r="G555" s="2"/>
      <c r="H555" s="2"/>
      <c r="I555" s="2"/>
      <c r="J555" s="685"/>
      <c r="K555" s="682">
        <v>43914</v>
      </c>
      <c r="L555" s="725" t="s">
        <v>181</v>
      </c>
      <c r="M555" s="683" t="s">
        <v>188</v>
      </c>
      <c r="N555" s="683" t="s">
        <v>183</v>
      </c>
      <c r="O555" s="683"/>
      <c r="P555" s="688" t="s">
        <v>2035</v>
      </c>
      <c r="Q555" s="683" t="s">
        <v>2037</v>
      </c>
      <c r="R555" s="683" t="s">
        <v>2036</v>
      </c>
      <c r="S555" s="686" t="s">
        <v>2038</v>
      </c>
      <c r="T555" s="683" t="s">
        <v>1782</v>
      </c>
      <c r="U555" s="683"/>
      <c r="V555" s="683" t="s">
        <v>148</v>
      </c>
      <c r="W555" s="683" t="s">
        <v>914</v>
      </c>
      <c r="X555" s="691" t="s">
        <v>918</v>
      </c>
      <c r="Y555" s="687">
        <v>3004337388</v>
      </c>
      <c r="Z555" s="692"/>
      <c r="AA555" s="683" t="s">
        <v>33</v>
      </c>
      <c r="AB555" s="683" t="s">
        <v>34</v>
      </c>
      <c r="AC555" s="683" t="s">
        <v>230</v>
      </c>
      <c r="AD555" s="683" t="s">
        <v>1110</v>
      </c>
      <c r="AE555" s="683">
        <v>60</v>
      </c>
      <c r="AF555" s="684">
        <v>853.8</v>
      </c>
      <c r="AG555" s="683" t="s">
        <v>243</v>
      </c>
      <c r="AH555" s="683" t="s">
        <v>220</v>
      </c>
      <c r="AI555" s="683" t="s">
        <v>33</v>
      </c>
      <c r="AJ555" s="683">
        <v>3004346829</v>
      </c>
      <c r="AK555" s="683" t="s">
        <v>33</v>
      </c>
      <c r="AL555" s="683">
        <v>106308710</v>
      </c>
      <c r="AM555" s="683" t="s">
        <v>1145</v>
      </c>
      <c r="AN555" s="683" t="s">
        <v>2039</v>
      </c>
      <c r="AO555" s="683" t="s">
        <v>1427</v>
      </c>
      <c r="AP555" s="683" t="s">
        <v>240</v>
      </c>
      <c r="AQ555" s="688" t="str">
        <f>CONCATENATE("REG-",BDEGENER[[#This Row],[FECHA DE SERVICIO]],"-",BDEGENER[[#This Row],[SERIE]],"-",BDEGENER[[#This Row],[HORAS]])</f>
        <v>REG-43914-3004337388-853,8</v>
      </c>
      <c r="AR555" s="683" t="str">
        <f>CONCATENATE("MARCA: ",BDEGENER[[#This Row],[MARCA]],"
 MODELO: ",BDEGENER[[#This Row],[MODELO]])</f>
        <v>MARCA: GENERAC
 MODELO: PG090</v>
      </c>
      <c r="AS555" s="683" t="str">
        <f>CONCATENATE("MARCA: ",BDEGENER[[#This Row],[MARCA DE MOTOR]],"
SERIE: ",BDEGENER[[#This Row],[SERIE DE MOTOR]])</f>
        <v>MARCA: GENERAC
SERIE: 3004346829</v>
      </c>
      <c r="AT555" s="683" t="str">
        <f>CONCATENATE("MARCA: ",BDEGENER[[#This Row],[MARCA ALTERNADOR ]],"
SERIE: ",BDEGENER[[#This Row],[SERIE DE ALTERNADOR]])</f>
        <v>MARCA: GENERAC
SERIE: 106308710</v>
      </c>
      <c r="AU555" s="683" t="str">
        <f>CONCATENATE("HORAS: ",BDEGENER[[#This Row],[HORAS]],"
KW-HR: ",BDEGENER[[#This Row],[KW-HORA]],"
VOLT.BATERIA: ",BDEGENER[[#This Row],[VOLTAJE DE BATERIA]],"
TEMPERATURA: ",BDEGENER[[#This Row],[TEMPERATURA DE AGUA]],"
PRES. ACEITE: ",BDEGENER[[#This Row],[PRESION DE ACEITE]])</f>
        <v>HORAS: 853,8
KW-HR: 9077,5
VOLT.BATERIA: 13.4 V
TEMPERATURA: 170 °F
PRES. ACEITE: 60 PSI</v>
      </c>
      <c r="AV555" s="683">
        <f>COUNTIFS(Q555:Q2555,"MANTENIMIENTO CORRECTIVO",Y555:Y2555,BDEGENER[[#This Row],[SERIE]])</f>
        <v>2</v>
      </c>
      <c r="AW555" s="683">
        <f>COUNTIFS(Q555:Q2555,"MANTENIMIENTO PREVENTIVO",Y555:Y2555,BDEGENER[[#This Row],[SERIE]])</f>
        <v>3</v>
      </c>
      <c r="AX55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555" s="683">
        <f>COUNTIFS(BDEGENER[SERIE],BDEGENER[[#This Row],[SERIE]],BDEGENER[TIPO DE SERVICIO],"MANTENIMIENTO PREVENTIVO")</f>
        <v>7</v>
      </c>
      <c r="AZ555" s="683" t="str">
        <f>CONCATENATE("MANTENIMIENTO PREVENTIVO N°",BDEGENER[[#This Row],[GA1]])</f>
        <v>MANTENIMIENTO PREVENTIVO N°7</v>
      </c>
      <c r="BA555" s="683" t="str">
        <f>IF(BDEGENER[[#This Row],[SERVICIO]]=BDEGENER[[#This Row],[GA2]],BDEGENER[[#This Row],[HORAS]],"0")</f>
        <v>0</v>
      </c>
      <c r="BB555" s="683">
        <f>SUMIF(BDEGENER[SERIE],BDEGENER[[#This Row],[SERIE]],BDEGENER[GA3])</f>
        <v>2129.8000000000002</v>
      </c>
      <c r="BC555" s="683" t="str">
        <f>CONCATENATE("MANT",COUNTIF($Y$7:Y555,Y555))</f>
        <v>MANT8</v>
      </c>
      <c r="BD555" s="683" t="str">
        <f>CONCATENATE(BDEGENER[[#This Row],[SERIE]],BDEGENER[[#This Row],[GA5]])</f>
        <v>3004337388MANT8</v>
      </c>
      <c r="BE555" s="683" t="str">
        <f>CONCATENATE(BDEGENER[[#This Row],[CODIGO PATRIMONIAL]],BDEGENER[[#This Row],[GA5]])</f>
        <v>MANT8</v>
      </c>
      <c r="BF555" s="683">
        <f>COUNTIF(BDEGENER[SERIE],BDEGENER[[#This Row],[SERIE]])</f>
        <v>14</v>
      </c>
      <c r="BG555" s="683" t="str">
        <f>CONCATENATE("F",COUNTIF($K$7:K555,K555))</f>
        <v>F1</v>
      </c>
      <c r="BH555" s="683" t="str">
        <f>CONCATENATE(BDEGENER[[#This Row],[FECHA DE SERVICIO]],BDEGENER[[#This Row],[N° DE REGISTROS DEL DIA]])</f>
        <v>43914F1</v>
      </c>
      <c r="BI555" s="684">
        <v>9077.5</v>
      </c>
      <c r="BJ555" s="683" t="s">
        <v>1544</v>
      </c>
      <c r="BK555" s="680"/>
    </row>
    <row r="556" spans="2:63" ht="69" hidden="1" x14ac:dyDescent="0.3">
      <c r="B556" s="2"/>
      <c r="C556" s="2"/>
      <c r="D556" s="2"/>
      <c r="E556" s="2"/>
      <c r="F556" s="2"/>
      <c r="G556" s="2"/>
      <c r="H556" s="2"/>
      <c r="I556" s="2"/>
      <c r="J556" s="685"/>
      <c r="K556" s="682">
        <v>43914</v>
      </c>
      <c r="L556" s="725" t="s">
        <v>181</v>
      </c>
      <c r="M556" s="683" t="s">
        <v>187</v>
      </c>
      <c r="N556" s="683" t="s">
        <v>183</v>
      </c>
      <c r="O556" s="683"/>
      <c r="P556" s="688" t="s">
        <v>2035</v>
      </c>
      <c r="Q556" s="683" t="s">
        <v>2037</v>
      </c>
      <c r="R556" s="683" t="s">
        <v>2036</v>
      </c>
      <c r="S556" s="686" t="s">
        <v>2038</v>
      </c>
      <c r="T556" s="683" t="s">
        <v>1782</v>
      </c>
      <c r="U556" s="683"/>
      <c r="V556" s="683" t="s">
        <v>148</v>
      </c>
      <c r="W556" s="683" t="s">
        <v>914</v>
      </c>
      <c r="X556" s="691" t="s">
        <v>918</v>
      </c>
      <c r="Y556" s="687">
        <v>3004418790</v>
      </c>
      <c r="Z556" s="692"/>
      <c r="AA556" s="683" t="s">
        <v>33</v>
      </c>
      <c r="AB556" s="683" t="s">
        <v>34</v>
      </c>
      <c r="AC556" s="683" t="s">
        <v>230</v>
      </c>
      <c r="AD556" s="683" t="s">
        <v>1110</v>
      </c>
      <c r="AE556" s="683">
        <v>60</v>
      </c>
      <c r="AF556" s="684">
        <v>981.2</v>
      </c>
      <c r="AG556" s="683" t="s">
        <v>243</v>
      </c>
      <c r="AH556" s="683" t="s">
        <v>220</v>
      </c>
      <c r="AI556" s="683" t="s">
        <v>33</v>
      </c>
      <c r="AJ556" s="683">
        <v>3005413982</v>
      </c>
      <c r="AK556" s="683" t="s">
        <v>33</v>
      </c>
      <c r="AL556" s="683">
        <v>107745310</v>
      </c>
      <c r="AM556" s="683" t="s">
        <v>245</v>
      </c>
      <c r="AN556" s="683" t="s">
        <v>1352</v>
      </c>
      <c r="AO556" s="683" t="s">
        <v>2019</v>
      </c>
      <c r="AP556" s="683" t="s">
        <v>240</v>
      </c>
      <c r="AQ556" s="688" t="str">
        <f>CONCATENATE("REG-",BDEGENER[[#This Row],[FECHA DE SERVICIO]],"-",BDEGENER[[#This Row],[SERIE]],"-",BDEGENER[[#This Row],[HORAS]])</f>
        <v>REG-43914-3004418790-981,2</v>
      </c>
      <c r="AR556" s="683" t="str">
        <f>CONCATENATE("MARCA: ",BDEGENER[[#This Row],[MARCA]],"
 MODELO: ",BDEGENER[[#This Row],[MODELO]])</f>
        <v>MARCA: GENERAC
 MODELO: PG090</v>
      </c>
      <c r="AS556" s="683" t="str">
        <f>CONCATENATE("MARCA: ",BDEGENER[[#This Row],[MARCA DE MOTOR]],"
SERIE: ",BDEGENER[[#This Row],[SERIE DE MOTOR]])</f>
        <v>MARCA: GENERAC
SERIE: 3005413982</v>
      </c>
      <c r="AT556" s="683" t="str">
        <f>CONCATENATE("MARCA: ",BDEGENER[[#This Row],[MARCA ALTERNADOR ]],"
SERIE: ",BDEGENER[[#This Row],[SERIE DE ALTERNADOR]])</f>
        <v>MARCA: GENERAC
SERIE: 107745310</v>
      </c>
      <c r="AU556" s="683" t="str">
        <f>CONCATENATE("HORAS: ",BDEGENER[[#This Row],[HORAS]],"
KW-HR: ",BDEGENER[[#This Row],[KW-HORA]],"
VOLT.BATERIA: ",BDEGENER[[#This Row],[VOLTAJE DE BATERIA]],"
TEMPERATURA: ",BDEGENER[[#This Row],[TEMPERATURA DE AGUA]],"
PRES. ACEITE: ",BDEGENER[[#This Row],[PRESION DE ACEITE]])</f>
        <v>HORAS: 981,2
KW-HR: 12231
VOLT.BATERIA: 13.6 V
TEMPERATURA: 196 °F
PRES. ACEITE: 64 PSI</v>
      </c>
      <c r="AV556" s="761">
        <f>COUNTIFS(Q556:Q2556,"MANTENIMIENTO CORRECTIVO",Y556:Y2556,BDEGENER[[#This Row],[SERIE]])</f>
        <v>1</v>
      </c>
      <c r="AW556" s="761">
        <f>COUNTIFS(Q556:Q2556,"MANTENIMIENTO PREVENTIVO",Y556:Y2556,BDEGENER[[#This Row],[SERIE]])</f>
        <v>3</v>
      </c>
      <c r="AX55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INSTALACION</v>
      </c>
      <c r="AY556" s="683">
        <f>COUNTIFS(BDEGENER[SERIE],BDEGENER[[#This Row],[SERIE]],BDEGENER[TIPO DE SERVICIO],"MANTENIMIENTO PREVENTIVO")</f>
        <v>8</v>
      </c>
      <c r="AZ556" s="683" t="str">
        <f>CONCATENATE("MANTENIMIENTO PREVENTIVO N°",BDEGENER[[#This Row],[GA1]])</f>
        <v>MANTENIMIENTO PREVENTIVO N°8</v>
      </c>
      <c r="BA556" s="683" t="str">
        <f>IF(BDEGENER[[#This Row],[SERVICIO]]=BDEGENER[[#This Row],[GA2]],BDEGENER[[#This Row],[HORAS]],"0")</f>
        <v>0</v>
      </c>
      <c r="BB556" s="683">
        <f>SUMIF(BDEGENER[SERIE],BDEGENER[[#This Row],[SERIE]],BDEGENER[GA3])</f>
        <v>2579.3000000000002</v>
      </c>
      <c r="BC556" s="761" t="str">
        <f>CONCATENATE("MANT",COUNTIF($Y$7:Y556,Y556))</f>
        <v>MANT9</v>
      </c>
      <c r="BD556" s="683" t="str">
        <f>CONCATENATE(BDEGENER[[#This Row],[SERIE]],BDEGENER[[#This Row],[GA5]])</f>
        <v>3004418790MANT9</v>
      </c>
      <c r="BE556" s="683" t="str">
        <f>CONCATENATE(BDEGENER[[#This Row],[CODIGO PATRIMONIAL]],BDEGENER[[#This Row],[GA5]])</f>
        <v>MANT9</v>
      </c>
      <c r="BF556" s="683">
        <f>COUNTIF(BDEGENER[SERIE],BDEGENER[[#This Row],[SERIE]])</f>
        <v>14</v>
      </c>
      <c r="BG556" s="761" t="str">
        <f>CONCATENATE("F",COUNTIF($K$7:K556,K556))</f>
        <v>F2</v>
      </c>
      <c r="BH556" s="683" t="str">
        <f>CONCATENATE(BDEGENER[[#This Row],[FECHA DE SERVICIO]],BDEGENER[[#This Row],[N° DE REGISTROS DEL DIA]])</f>
        <v>43914F2</v>
      </c>
      <c r="BI556" s="684">
        <v>12231</v>
      </c>
      <c r="BJ556" s="683" t="s">
        <v>1544</v>
      </c>
      <c r="BK556" s="680"/>
    </row>
    <row r="557" spans="2:63" ht="69" hidden="1" x14ac:dyDescent="0.3">
      <c r="B557" s="2"/>
      <c r="C557" s="2"/>
      <c r="D557" s="2"/>
      <c r="E557" s="2"/>
      <c r="F557" s="2"/>
      <c r="G557" s="2"/>
      <c r="H557" s="2"/>
      <c r="I557" s="2"/>
      <c r="J557" s="685"/>
      <c r="K557" s="682">
        <v>43913</v>
      </c>
      <c r="L557" s="683" t="s">
        <v>1545</v>
      </c>
      <c r="M557" s="683" t="s">
        <v>2748</v>
      </c>
      <c r="N557" s="683" t="s">
        <v>2749</v>
      </c>
      <c r="O557" s="683"/>
      <c r="P557" s="683"/>
      <c r="Q557" s="683" t="s">
        <v>107</v>
      </c>
      <c r="R557" s="683" t="s">
        <v>1782</v>
      </c>
      <c r="S557" s="686" t="s">
        <v>2985</v>
      </c>
      <c r="T557" s="683" t="s">
        <v>1782</v>
      </c>
      <c r="U557" s="683" t="s">
        <v>2986</v>
      </c>
      <c r="V557" s="683" t="s">
        <v>146</v>
      </c>
      <c r="W557" s="683" t="s">
        <v>2743</v>
      </c>
      <c r="X557" s="691" t="s">
        <v>2741</v>
      </c>
      <c r="Y557" s="687" t="s">
        <v>2742</v>
      </c>
      <c r="Z557" s="692" t="s">
        <v>159</v>
      </c>
      <c r="AA557" s="683" t="s">
        <v>1495</v>
      </c>
      <c r="AB557" s="683" t="s">
        <v>2744</v>
      </c>
      <c r="AC557" s="683" t="s">
        <v>2745</v>
      </c>
      <c r="AD557" s="683"/>
      <c r="AE557" s="683"/>
      <c r="AF557" s="684">
        <v>134870</v>
      </c>
      <c r="AG557" s="683" t="s">
        <v>243</v>
      </c>
      <c r="AH557" s="683" t="s">
        <v>159</v>
      </c>
      <c r="AI557" s="683" t="s">
        <v>1495</v>
      </c>
      <c r="AJ557" s="683" t="s">
        <v>159</v>
      </c>
      <c r="AK557" s="683" t="s">
        <v>2746</v>
      </c>
      <c r="AL557" s="683" t="s">
        <v>2747</v>
      </c>
      <c r="AM557" s="683"/>
      <c r="AN557" s="683"/>
      <c r="AO557" s="683"/>
      <c r="AP557" s="683" t="s">
        <v>240</v>
      </c>
      <c r="AQ557" s="683" t="str">
        <f>CONCATENATE("REG-",BDEGENER[[#This Row],[FECHA DE SERVICIO]],"-",BDEGENER[[#This Row],[SERIE]],"-",BDEGENER[[#This Row],[HORAS]])</f>
        <v>REG-43913-D4Y-534-134870</v>
      </c>
      <c r="AR557" s="683" t="str">
        <f>CONCATENATE("MARCA: ",BDEGENER[[#This Row],[MARCA]],"
 MODELO: ",BDEGENER[[#This Row],[MODELO]])</f>
        <v>MARCA: FORD
 MODELO: ECOSPORT</v>
      </c>
      <c r="AS557" s="683" t="str">
        <f>CONCATENATE("MARCA: ",BDEGENER[[#This Row],[MARCA DE MOTOR]],"
SERIE: ",BDEGENER[[#This Row],[SERIE DE MOTOR]])</f>
        <v xml:space="preserve">MARCA: FORD
SERIE: </v>
      </c>
      <c r="AT557" s="683" t="str">
        <f>CONCATENATE("MARCA: ",BDEGENER[[#This Row],[MARCA ALTERNADOR ]],"
SERIE: ",BDEGENER[[#This Row],[SERIE DE ALTERNADOR]])</f>
        <v>MARCA: CHASIS FORD
SERIE: 9BFZE1GF358634864</v>
      </c>
      <c r="AU557" s="683" t="str">
        <f>CONCATENATE("HORAS: ",BDEGENER[[#This Row],[HORAS]],"
KW-HR: ",BDEGENER[[#This Row],[KW-HORA]],"
VOLT.BATERIA: ",BDEGENER[[#This Row],[VOLTAJE DE BATERIA]],"
TEMPERATURA: ",BDEGENER[[#This Row],[TEMPERATURA DE AGUA]],"
PRES. ACEITE: ",BDEGENER[[#This Row],[PRESION DE ACEITE]])</f>
        <v xml:space="preserve">HORAS: 134870
KW-HR: 
VOLT.BATERIA: 
TEMPERATURA: 
PRES. ACEITE: </v>
      </c>
      <c r="AV557" s="683">
        <f>COUNTIFS(Q557:Q2557,"MANTENIMIENTO CORRECTIVO",Y557:Y2557,BDEGENER[[#This Row],[SERIE]])</f>
        <v>2</v>
      </c>
      <c r="AW557" s="683">
        <f>COUNTIFS(Q557:Q2557,"MANTENIMIENTO PREVENTIVO",Y557:Y2557,BDEGENER[[#This Row],[SERIE]])</f>
        <v>1</v>
      </c>
      <c r="AX55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557" s="683">
        <f>COUNTIFS(BDEGENER[SERIE],BDEGENER[[#This Row],[SERIE]],BDEGENER[TIPO DE SERVICIO],"MANTENIMIENTO PREVENTIVO")</f>
        <v>3</v>
      </c>
      <c r="AZ557" s="683" t="str">
        <f>CONCATENATE("MANTENIMIENTO PREVENTIVO N°",BDEGENER[[#This Row],[GA1]])</f>
        <v>MANTENIMIENTO PREVENTIVO N°3</v>
      </c>
      <c r="BA557" s="683" t="str">
        <f>IF(BDEGENER[[#This Row],[SERVICIO]]=BDEGENER[[#This Row],[GA2]],BDEGENER[[#This Row],[HORAS]],"0")</f>
        <v>0</v>
      </c>
      <c r="BB557" s="683">
        <f>SUMIF(BDEGENER[SERIE],BDEGENER[[#This Row],[SERIE]],BDEGENER[GA3])</f>
        <v>141510</v>
      </c>
      <c r="BC557" s="683" t="str">
        <f>CONCATENATE("MANT",COUNTIF($Y$7:Y557,Y557))</f>
        <v>MANT4</v>
      </c>
      <c r="BD557" s="683" t="str">
        <f>CONCATENATE(BDEGENER[[#This Row],[SERIE]],BDEGENER[[#This Row],[GA5]])</f>
        <v>D4Y-534MANT4</v>
      </c>
      <c r="BE557" s="683" t="str">
        <f>CONCATENATE(BDEGENER[[#This Row],[CODIGO PATRIMONIAL]],BDEGENER[[#This Row],[GA5]])</f>
        <v>MANT4</v>
      </c>
      <c r="BF557" s="683">
        <f>COUNTIF(BDEGENER[SERIE],BDEGENER[[#This Row],[SERIE]])</f>
        <v>6</v>
      </c>
      <c r="BG557" s="683" t="str">
        <f>CONCATENATE("F",COUNTIF($K$7:K557,K557))</f>
        <v>F1</v>
      </c>
      <c r="BH557" s="683" t="str">
        <f>CONCATENATE(BDEGENER[[#This Row],[FECHA DE SERVICIO]],BDEGENER[[#This Row],[N° DE REGISTROS DEL DIA]])</f>
        <v>43913F1</v>
      </c>
      <c r="BI557" s="684"/>
      <c r="BJ557" s="683" t="s">
        <v>1545</v>
      </c>
      <c r="BK557" s="680"/>
    </row>
    <row r="558" spans="2:63" ht="69" hidden="1" x14ac:dyDescent="0.3">
      <c r="B558" s="2"/>
      <c r="C558" s="2"/>
      <c r="D558" s="2"/>
      <c r="E558" s="2"/>
      <c r="F558" s="2"/>
      <c r="G558" s="2"/>
      <c r="H558" s="2"/>
      <c r="I558" s="2"/>
      <c r="J558" s="685"/>
      <c r="K558" s="682">
        <v>43912</v>
      </c>
      <c r="L558" s="725" t="s">
        <v>181</v>
      </c>
      <c r="M558" s="683" t="s">
        <v>185</v>
      </c>
      <c r="N558" s="683" t="s">
        <v>183</v>
      </c>
      <c r="O558" s="683"/>
      <c r="P558" s="683"/>
      <c r="Q558" s="683" t="s">
        <v>108</v>
      </c>
      <c r="R558" s="683" t="s">
        <v>1782</v>
      </c>
      <c r="S558" s="686" t="s">
        <v>1782</v>
      </c>
      <c r="T558" s="683" t="s">
        <v>2034</v>
      </c>
      <c r="U558" s="683"/>
      <c r="V558" s="683" t="s">
        <v>146</v>
      </c>
      <c r="W558" s="683" t="s">
        <v>914</v>
      </c>
      <c r="X558" s="691" t="s">
        <v>918</v>
      </c>
      <c r="Y558" s="687">
        <v>3004402506</v>
      </c>
      <c r="Z558" s="692"/>
      <c r="AA558" s="683" t="s">
        <v>33</v>
      </c>
      <c r="AB558" s="683" t="s">
        <v>34</v>
      </c>
      <c r="AC558" s="683" t="s">
        <v>230</v>
      </c>
      <c r="AD558" s="683" t="s">
        <v>1110</v>
      </c>
      <c r="AE558" s="683">
        <v>60</v>
      </c>
      <c r="AF558" s="684">
        <v>1533.9</v>
      </c>
      <c r="AG558" s="683" t="s">
        <v>243</v>
      </c>
      <c r="AH558" s="683" t="s">
        <v>220</v>
      </c>
      <c r="AI558" s="683" t="s">
        <v>33</v>
      </c>
      <c r="AJ558" s="683">
        <v>3004333866</v>
      </c>
      <c r="AK558" s="683" t="s">
        <v>33</v>
      </c>
      <c r="AL558" s="683">
        <v>1063100</v>
      </c>
      <c r="AM558" s="683"/>
      <c r="AN558" s="683"/>
      <c r="AO558" s="683"/>
      <c r="AP558" s="683" t="s">
        <v>557</v>
      </c>
      <c r="AQ558" s="683" t="str">
        <f>CONCATENATE("REG-",BDEGENER[[#This Row],[FECHA DE SERVICIO]],"-",BDEGENER[[#This Row],[SERIE]],"-",BDEGENER[[#This Row],[HORAS]])</f>
        <v>REG-43912-3004402506-1533,9</v>
      </c>
      <c r="AR558" s="683" t="str">
        <f>CONCATENATE("MARCA: ",BDEGENER[[#This Row],[MARCA]],"
 MODELO: ",BDEGENER[[#This Row],[MODELO]])</f>
        <v>MARCA: GENERAC
 MODELO: PG090</v>
      </c>
      <c r="AS558" s="683" t="str">
        <f>CONCATENATE("MARCA: ",BDEGENER[[#This Row],[MARCA DE MOTOR]],"
SERIE: ",BDEGENER[[#This Row],[SERIE DE MOTOR]])</f>
        <v>MARCA: GENERAC
SERIE: 3004333866</v>
      </c>
      <c r="AT558" s="683" t="str">
        <f>CONCATENATE("MARCA: ",BDEGENER[[#This Row],[MARCA ALTERNADOR ]],"
SERIE: ",BDEGENER[[#This Row],[SERIE DE ALTERNADOR]])</f>
        <v>MARCA: GENERAC
SERIE: 1063100</v>
      </c>
      <c r="AU558" s="683" t="str">
        <f>CONCATENATE("HORAS: ",BDEGENER[[#This Row],[HORAS]],"
KW-HR: ",BDEGENER[[#This Row],[KW-HORA]],"
VOLT.BATERIA: ",BDEGENER[[#This Row],[VOLTAJE DE BATERIA]],"
TEMPERATURA: ",BDEGENER[[#This Row],[TEMPERATURA DE AGUA]],"
PRES. ACEITE: ",BDEGENER[[#This Row],[PRESION DE ACEITE]])</f>
        <v xml:space="preserve">HORAS: 1533,9
KW-HR: 
VOLT.BATERIA: 
TEMPERATURA: 
PRES. ACEITE: </v>
      </c>
      <c r="AV558" s="683">
        <f>COUNTIFS(Q558:Q2558,"MANTENIMIENTO CORRECTIVO",Y558:Y2558,BDEGENER[[#This Row],[SERIE]])</f>
        <v>1</v>
      </c>
      <c r="AW558" s="683">
        <f>COUNTIFS(Q558:Q2558,"MANTENIMIENTO PREVENTIVO",Y558:Y2558,BDEGENER[[#This Row],[SERIE]])</f>
        <v>3</v>
      </c>
      <c r="AX55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58" s="683">
        <f>COUNTIFS(BDEGENER[SERIE],BDEGENER[[#This Row],[SERIE]],BDEGENER[TIPO DE SERVICIO],"MANTENIMIENTO PREVENTIVO")</f>
        <v>8</v>
      </c>
      <c r="AZ558" s="683" t="str">
        <f>CONCATENATE("MANTENIMIENTO PREVENTIVO N°",BDEGENER[[#This Row],[GA1]])</f>
        <v>MANTENIMIENTO PREVENTIVO N°8</v>
      </c>
      <c r="BA558" s="683" t="str">
        <f>IF(BDEGENER[[#This Row],[SERVICIO]]=BDEGENER[[#This Row],[GA2]],BDEGENER[[#This Row],[HORAS]],"0")</f>
        <v>0</v>
      </c>
      <c r="BB558" s="683">
        <f>SUMIF(BDEGENER[SERIE],BDEGENER[[#This Row],[SERIE]],BDEGENER[GA3])</f>
        <v>2907.9</v>
      </c>
      <c r="BC558" s="683" t="str">
        <f>CONCATENATE("MANT",COUNTIF($Y$7:Y558,Y558))</f>
        <v>MANT9</v>
      </c>
      <c r="BD558" s="683" t="str">
        <f>CONCATENATE(BDEGENER[[#This Row],[SERIE]],BDEGENER[[#This Row],[GA5]])</f>
        <v>3004402506MANT9</v>
      </c>
      <c r="BE558" s="683" t="str">
        <f>CONCATENATE(BDEGENER[[#This Row],[CODIGO PATRIMONIAL]],BDEGENER[[#This Row],[GA5]])</f>
        <v>MANT9</v>
      </c>
      <c r="BF558" s="683">
        <f>COUNTIF(BDEGENER[SERIE],BDEGENER[[#This Row],[SERIE]])</f>
        <v>14</v>
      </c>
      <c r="BG558" s="683" t="str">
        <f>CONCATENATE("F",COUNTIF($K$7:K558,K558))</f>
        <v>F1</v>
      </c>
      <c r="BH558" s="683" t="str">
        <f>CONCATENATE(BDEGENER[[#This Row],[FECHA DE SERVICIO]],BDEGENER[[#This Row],[N° DE REGISTROS DEL DIA]])</f>
        <v>43912F1</v>
      </c>
      <c r="BI558" s="684"/>
      <c r="BJ558" s="683" t="s">
        <v>1544</v>
      </c>
      <c r="BK558" s="680"/>
    </row>
    <row r="559" spans="2:63" ht="69" hidden="1" x14ac:dyDescent="0.3">
      <c r="B559" s="2"/>
      <c r="C559" s="2"/>
      <c r="D559" s="2"/>
      <c r="E559" s="2"/>
      <c r="F559" s="2"/>
      <c r="G559" s="2"/>
      <c r="H559" s="2"/>
      <c r="I559" s="2"/>
      <c r="J559" s="685"/>
      <c r="K559" s="682">
        <v>43911</v>
      </c>
      <c r="L559" s="725" t="s">
        <v>181</v>
      </c>
      <c r="M559" s="683" t="s">
        <v>186</v>
      </c>
      <c r="N559" s="683" t="s">
        <v>1982</v>
      </c>
      <c r="O559" s="683">
        <v>4500850370</v>
      </c>
      <c r="P559" s="688" t="s">
        <v>2015</v>
      </c>
      <c r="Q559" s="683" t="s">
        <v>37</v>
      </c>
      <c r="R559" s="683" t="s">
        <v>1782</v>
      </c>
      <c r="S559" s="686" t="s">
        <v>2018</v>
      </c>
      <c r="T559" s="683" t="s">
        <v>2017</v>
      </c>
      <c r="U559" s="683" t="s">
        <v>1850</v>
      </c>
      <c r="V559" s="683" t="s">
        <v>149</v>
      </c>
      <c r="W559" s="683" t="s">
        <v>914</v>
      </c>
      <c r="X559" s="691" t="s">
        <v>918</v>
      </c>
      <c r="Y559" s="687">
        <v>3004327724</v>
      </c>
      <c r="Z559" s="692"/>
      <c r="AA559" s="683" t="s">
        <v>33</v>
      </c>
      <c r="AB559" s="683" t="s">
        <v>34</v>
      </c>
      <c r="AC559" s="683" t="s">
        <v>230</v>
      </c>
      <c r="AD559" s="683" t="s">
        <v>1112</v>
      </c>
      <c r="AE559" s="683">
        <v>60.1</v>
      </c>
      <c r="AF559" s="684">
        <v>1213.5</v>
      </c>
      <c r="AG559" s="683" t="s">
        <v>243</v>
      </c>
      <c r="AH559" s="683" t="s">
        <v>220</v>
      </c>
      <c r="AI559" s="683" t="s">
        <v>33</v>
      </c>
      <c r="AJ559" s="683">
        <v>3004333872</v>
      </c>
      <c r="AK559" s="683" t="s">
        <v>33</v>
      </c>
      <c r="AL559" s="683"/>
      <c r="AM559" s="683" t="s">
        <v>1094</v>
      </c>
      <c r="AN559" s="683" t="s">
        <v>2020</v>
      </c>
      <c r="AO559" s="683" t="s">
        <v>1166</v>
      </c>
      <c r="AP559" s="683" t="s">
        <v>240</v>
      </c>
      <c r="AQ559" s="688" t="str">
        <f>CONCATENATE("REG-",BDEGENER[[#This Row],[FECHA DE SERVICIO]],"-",BDEGENER[[#This Row],[SERIE]],"-",BDEGENER[[#This Row],[HORAS]])</f>
        <v>REG-43911-3004327724-1213,5</v>
      </c>
      <c r="AR559" s="683" t="str">
        <f>CONCATENATE("MARCA: ",BDEGENER[[#This Row],[MARCA]],"
 MODELO: ",BDEGENER[[#This Row],[MODELO]])</f>
        <v>MARCA: GENERAC
 MODELO: PG090</v>
      </c>
      <c r="AS559" s="683" t="str">
        <f>CONCATENATE("MARCA: ",BDEGENER[[#This Row],[MARCA DE MOTOR]],"
SERIE: ",BDEGENER[[#This Row],[SERIE DE MOTOR]])</f>
        <v>MARCA: GENERAC
SERIE: 3004333872</v>
      </c>
      <c r="AT559" s="683" t="str">
        <f>CONCATENATE("MARCA: ",BDEGENER[[#This Row],[MARCA ALTERNADOR ]],"
SERIE: ",BDEGENER[[#This Row],[SERIE DE ALTERNADOR]])</f>
        <v xml:space="preserve">MARCA: GENERAC
SERIE: </v>
      </c>
      <c r="AU559" s="683" t="str">
        <f>CONCATENATE("HORAS: ",BDEGENER[[#This Row],[HORAS]],"
KW-HR: ",BDEGENER[[#This Row],[KW-HORA]],"
VOLT.BATERIA: ",BDEGENER[[#This Row],[VOLTAJE DE BATERIA]],"
TEMPERATURA: ",BDEGENER[[#This Row],[TEMPERATURA DE AGUA]],"
PRES. ACEITE: ",BDEGENER[[#This Row],[PRESION DE ACEITE]])</f>
        <v>HORAS: 1213,5
KW-HR: 26728,1
VOLT.BATERIA: 13.5 V
TEMPERATURA: 186 °F
PRES. ACEITE: 57 PSI</v>
      </c>
      <c r="AV559" s="761">
        <f>COUNTIFS(Q559:Q2559,"MANTENIMIENTO CORRECTIVO",Y559:Y2559,BDEGENER[[#This Row],[SERIE]])</f>
        <v>5</v>
      </c>
      <c r="AW559" s="761">
        <f>COUNTIFS(Q559:Q2559,"MANTENIMIENTO PREVENTIVO",Y559:Y2559,BDEGENER[[#This Row],[SERIE]])</f>
        <v>4</v>
      </c>
      <c r="AX55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59" s="683">
        <f>COUNTIFS(BDEGENER[SERIE],BDEGENER[[#This Row],[SERIE]],BDEGENER[TIPO DE SERVICIO],"MANTENIMIENTO PREVENTIVO")</f>
        <v>8</v>
      </c>
      <c r="AZ559" s="683" t="str">
        <f>CONCATENATE("MANTENIMIENTO PREVENTIVO N°",BDEGENER[[#This Row],[GA1]])</f>
        <v>MANTENIMIENTO PREVENTIVO N°8</v>
      </c>
      <c r="BA559" s="683" t="str">
        <f>IF(BDEGENER[[#This Row],[SERVICIO]]=BDEGENER[[#This Row],[GA2]],BDEGENER[[#This Row],[HORAS]],"0")</f>
        <v>0</v>
      </c>
      <c r="BB559" s="683">
        <f>SUMIF(BDEGENER[SERIE],BDEGENER[[#This Row],[SERIE]],BDEGENER[GA3])</f>
        <v>2271.8000000000002</v>
      </c>
      <c r="BC559" s="761" t="str">
        <f>CONCATENATE("MANT",COUNTIF($Y$7:Y559,Y559))</f>
        <v>MANT8</v>
      </c>
      <c r="BD559" s="683" t="str">
        <f>CONCATENATE(BDEGENER[[#This Row],[SERIE]],BDEGENER[[#This Row],[GA5]])</f>
        <v>3004327724MANT8</v>
      </c>
      <c r="BE559" s="683" t="str">
        <f>CONCATENATE(BDEGENER[[#This Row],[CODIGO PATRIMONIAL]],BDEGENER[[#This Row],[GA5]])</f>
        <v>MANT8</v>
      </c>
      <c r="BF559" s="683">
        <f>COUNTIF(BDEGENER[SERIE],BDEGENER[[#This Row],[SERIE]])</f>
        <v>17</v>
      </c>
      <c r="BG559" s="761" t="str">
        <f>CONCATENATE("F",COUNTIF($K$7:K559,K559))</f>
        <v>F1</v>
      </c>
      <c r="BH559" s="683" t="str">
        <f>CONCATENATE(BDEGENER[[#This Row],[FECHA DE SERVICIO]],BDEGENER[[#This Row],[N° DE REGISTROS DEL DIA]])</f>
        <v>43911F1</v>
      </c>
      <c r="BI559" s="684">
        <v>26728.1</v>
      </c>
      <c r="BJ559" s="683" t="s">
        <v>1544</v>
      </c>
      <c r="BK559" s="680"/>
    </row>
    <row r="560" spans="2:63" ht="69" x14ac:dyDescent="0.3">
      <c r="B560" s="2"/>
      <c r="C560" s="2"/>
      <c r="D560" s="2"/>
      <c r="E560" s="2"/>
      <c r="F560" s="2"/>
      <c r="G560" s="2"/>
      <c r="H560" s="2"/>
      <c r="I560" s="2"/>
      <c r="J560" s="685"/>
      <c r="K560" s="682">
        <v>43911</v>
      </c>
      <c r="L560" s="725" t="s">
        <v>181</v>
      </c>
      <c r="M560" s="683" t="s">
        <v>186</v>
      </c>
      <c r="N560" s="683" t="s">
        <v>1982</v>
      </c>
      <c r="O560" s="683">
        <v>4500850370</v>
      </c>
      <c r="P560" s="688" t="s">
        <v>2015</v>
      </c>
      <c r="Q560" s="683" t="s">
        <v>37</v>
      </c>
      <c r="R560" s="683" t="s">
        <v>1782</v>
      </c>
      <c r="S560" s="686" t="s">
        <v>2018</v>
      </c>
      <c r="T560" s="683" t="s">
        <v>2017</v>
      </c>
      <c r="U560" s="683" t="s">
        <v>1850</v>
      </c>
      <c r="V560" s="683" t="s">
        <v>149</v>
      </c>
      <c r="W560" s="683" t="s">
        <v>914</v>
      </c>
      <c r="X560" s="691" t="s">
        <v>918</v>
      </c>
      <c r="Y560" s="687">
        <v>3004336198</v>
      </c>
      <c r="Z560" s="692"/>
      <c r="AA560" s="683" t="s">
        <v>33</v>
      </c>
      <c r="AB560" s="683" t="s">
        <v>34</v>
      </c>
      <c r="AC560" s="683" t="s">
        <v>230</v>
      </c>
      <c r="AD560" s="683" t="s">
        <v>1110</v>
      </c>
      <c r="AE560" s="683">
        <v>60.2</v>
      </c>
      <c r="AF560" s="684">
        <v>1339.9</v>
      </c>
      <c r="AG560" s="683" t="s">
        <v>243</v>
      </c>
      <c r="AH560" s="683" t="s">
        <v>220</v>
      </c>
      <c r="AI560" s="683" t="s">
        <v>33</v>
      </c>
      <c r="AJ560" s="683">
        <v>3004345803</v>
      </c>
      <c r="AK560" s="683" t="s">
        <v>33</v>
      </c>
      <c r="AL560" s="683"/>
      <c r="AM560" s="683" t="s">
        <v>1121</v>
      </c>
      <c r="AN560" s="683" t="s">
        <v>1505</v>
      </c>
      <c r="AO560" s="683" t="s">
        <v>1144</v>
      </c>
      <c r="AP560" s="683" t="s">
        <v>240</v>
      </c>
      <c r="AQ560" s="688" t="str">
        <f>CONCATENATE("REG-",BDEGENER[[#This Row],[FECHA DE SERVICIO]],"-",BDEGENER[[#This Row],[SERIE]],"-",BDEGENER[[#This Row],[HORAS]])</f>
        <v>REG-43911-3004336198-1339,9</v>
      </c>
      <c r="AR560" s="683" t="str">
        <f>CONCATENATE("MARCA: ",BDEGENER[[#This Row],[MARCA]],"
 MODELO: ",BDEGENER[[#This Row],[MODELO]])</f>
        <v>MARCA: GENERAC
 MODELO: PG090</v>
      </c>
      <c r="AS560" s="683" t="str">
        <f>CONCATENATE("MARCA: ",BDEGENER[[#This Row],[MARCA DE MOTOR]],"
SERIE: ",BDEGENER[[#This Row],[SERIE DE MOTOR]])</f>
        <v>MARCA: GENERAC
SERIE: 3004345803</v>
      </c>
      <c r="AT560" s="683" t="str">
        <f>CONCATENATE("MARCA: ",BDEGENER[[#This Row],[MARCA ALTERNADOR ]],"
SERIE: ",BDEGENER[[#This Row],[SERIE DE ALTERNADOR]])</f>
        <v xml:space="preserve">MARCA: GENERAC
SERIE: </v>
      </c>
      <c r="AU560" s="683" t="str">
        <f>CONCATENATE("HORAS: ",BDEGENER[[#This Row],[HORAS]],"
KW-HR: ",BDEGENER[[#This Row],[KW-HORA]],"
VOLT.BATERIA: ",BDEGENER[[#This Row],[VOLTAJE DE BATERIA]],"
TEMPERATURA: ",BDEGENER[[#This Row],[TEMPERATURA DE AGUA]],"
PRES. ACEITE: ",BDEGENER[[#This Row],[PRESION DE ACEITE]])</f>
        <v>HORAS: 1339,9
KW-HR: 29376,7
VOLT.BATERIA: 13.7 V
TEMPERATURA: 194 °F
PRES. ACEITE: 59 PSI</v>
      </c>
      <c r="AV560" s="683">
        <f>COUNTIFS(Q560:Q2560,"MANTENIMIENTO CORRECTIVO",Y560:Y2560,BDEGENER[[#This Row],[SERIE]])</f>
        <v>1</v>
      </c>
      <c r="AW560" s="683">
        <f>COUNTIFS(Q560:Q2560,"MANTENIMIENTO PREVENTIVO",Y560:Y2560,BDEGENER[[#This Row],[SERIE]])</f>
        <v>4</v>
      </c>
      <c r="AX56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60" s="683">
        <f>COUNTIFS(BDEGENER[SERIE],BDEGENER[[#This Row],[SERIE]],BDEGENER[TIPO DE SERVICIO],"MANTENIMIENTO PREVENTIVO")</f>
        <v>7</v>
      </c>
      <c r="AZ560" s="683" t="str">
        <f>CONCATENATE("MANTENIMIENTO PREVENTIVO N°",BDEGENER[[#This Row],[GA1]])</f>
        <v>MANTENIMIENTO PREVENTIVO N°7</v>
      </c>
      <c r="BA560" s="683" t="str">
        <f>IF(BDEGENER[[#This Row],[SERVICIO]]=BDEGENER[[#This Row],[GA2]],BDEGENER[[#This Row],[HORAS]],"0")</f>
        <v>0</v>
      </c>
      <c r="BB560" s="683">
        <f>SUMIF(BDEGENER[SERIE],BDEGENER[[#This Row],[SERIE]],BDEGENER[GA3])</f>
        <v>2049.3000000000002</v>
      </c>
      <c r="BC560" s="683" t="str">
        <f>CONCATENATE("MANT",COUNTIF($Y$7:Y560,Y560))</f>
        <v>MANT7</v>
      </c>
      <c r="BD560" s="683" t="str">
        <f>CONCATENATE(BDEGENER[[#This Row],[SERIE]],BDEGENER[[#This Row],[GA5]])</f>
        <v>3004336198MANT7</v>
      </c>
      <c r="BE560" s="683" t="str">
        <f>CONCATENATE(BDEGENER[[#This Row],[CODIGO PATRIMONIAL]],BDEGENER[[#This Row],[GA5]])</f>
        <v>MANT7</v>
      </c>
      <c r="BF560" s="683">
        <f>COUNTIF(BDEGENER[SERIE],BDEGENER[[#This Row],[SERIE]])</f>
        <v>12</v>
      </c>
      <c r="BG560" s="683" t="str">
        <f>CONCATENATE("F",COUNTIF($K$7:K560,K560))</f>
        <v>F2</v>
      </c>
      <c r="BH560" s="683" t="str">
        <f>CONCATENATE(BDEGENER[[#This Row],[FECHA DE SERVICIO]],BDEGENER[[#This Row],[N° DE REGISTROS DEL DIA]])</f>
        <v>43911F2</v>
      </c>
      <c r="BI560" s="684">
        <v>29376.7</v>
      </c>
      <c r="BJ560" s="683" t="s">
        <v>1544</v>
      </c>
      <c r="BK560" s="680"/>
    </row>
    <row r="561" spans="2:63" ht="69" hidden="1" x14ac:dyDescent="0.3">
      <c r="B561" s="2"/>
      <c r="C561" s="2"/>
      <c r="D561" s="2"/>
      <c r="E561" s="2"/>
      <c r="F561" s="2"/>
      <c r="G561" s="2"/>
      <c r="H561" s="2"/>
      <c r="I561" s="2"/>
      <c r="J561" s="685"/>
      <c r="K561" s="682">
        <v>43911</v>
      </c>
      <c r="L561" s="725" t="s">
        <v>181</v>
      </c>
      <c r="M561" s="683" t="s">
        <v>189</v>
      </c>
      <c r="N561" s="683" t="s">
        <v>1982</v>
      </c>
      <c r="O561" s="683">
        <v>4500853877</v>
      </c>
      <c r="P561" s="688" t="s">
        <v>2015</v>
      </c>
      <c r="Q561" s="683" t="s">
        <v>37</v>
      </c>
      <c r="R561" s="683" t="s">
        <v>1782</v>
      </c>
      <c r="S561" s="686" t="s">
        <v>2018</v>
      </c>
      <c r="T561" s="683" t="s">
        <v>2017</v>
      </c>
      <c r="U561" s="683" t="s">
        <v>1850</v>
      </c>
      <c r="V561" s="683" t="s">
        <v>149</v>
      </c>
      <c r="W561" s="683" t="s">
        <v>914</v>
      </c>
      <c r="X561" s="691" t="s">
        <v>918</v>
      </c>
      <c r="Y561" s="687">
        <v>3004331705</v>
      </c>
      <c r="Z561" s="692"/>
      <c r="AA561" s="683" t="s">
        <v>33</v>
      </c>
      <c r="AB561" s="683" t="s">
        <v>34</v>
      </c>
      <c r="AC561" s="683" t="s">
        <v>230</v>
      </c>
      <c r="AD561" s="683" t="s">
        <v>1112</v>
      </c>
      <c r="AE561" s="683">
        <v>60.1</v>
      </c>
      <c r="AF561" s="684">
        <v>1638.3</v>
      </c>
      <c r="AG561" s="683" t="s">
        <v>243</v>
      </c>
      <c r="AH561" s="683" t="s">
        <v>220</v>
      </c>
      <c r="AI561" s="683" t="s">
        <v>33</v>
      </c>
      <c r="AJ561" s="683">
        <v>3004333867</v>
      </c>
      <c r="AK561" s="683" t="s">
        <v>33</v>
      </c>
      <c r="AL561" s="683"/>
      <c r="AM561" s="683" t="s">
        <v>1094</v>
      </c>
      <c r="AN561" s="683" t="s">
        <v>1953</v>
      </c>
      <c r="AO561" s="683" t="s">
        <v>2019</v>
      </c>
      <c r="AP561" s="683" t="s">
        <v>240</v>
      </c>
      <c r="AQ561" s="688" t="str">
        <f>CONCATENATE("REG-",BDEGENER[[#This Row],[FECHA DE SERVICIO]],"-",BDEGENER[[#This Row],[SERIE]],"-",BDEGENER[[#This Row],[HORAS]])</f>
        <v>REG-43911-3004331705-1638,3</v>
      </c>
      <c r="AR561" s="683" t="str">
        <f>CONCATENATE("MARCA: ",BDEGENER[[#This Row],[MARCA]],"
 MODELO: ",BDEGENER[[#This Row],[MODELO]])</f>
        <v>MARCA: GENERAC
 MODELO: PG090</v>
      </c>
      <c r="AS561" s="683" t="str">
        <f>CONCATENATE("MARCA: ",BDEGENER[[#This Row],[MARCA DE MOTOR]],"
SERIE: ",BDEGENER[[#This Row],[SERIE DE MOTOR]])</f>
        <v>MARCA: GENERAC
SERIE: 3004333867</v>
      </c>
      <c r="AT561" s="683" t="str">
        <f>CONCATENATE("MARCA: ",BDEGENER[[#This Row],[MARCA ALTERNADOR ]],"
SERIE: ",BDEGENER[[#This Row],[SERIE DE ALTERNADOR]])</f>
        <v xml:space="preserve">MARCA: GENERAC
SERIE: </v>
      </c>
      <c r="AU561" s="683" t="str">
        <f>CONCATENATE("HORAS: ",BDEGENER[[#This Row],[HORAS]],"
KW-HR: ",BDEGENER[[#This Row],[KW-HORA]],"
VOLT.BATERIA: ",BDEGENER[[#This Row],[VOLTAJE DE BATERIA]],"
TEMPERATURA: ",BDEGENER[[#This Row],[TEMPERATURA DE AGUA]],"
PRES. ACEITE: ",BDEGENER[[#This Row],[PRESION DE ACEITE]])</f>
        <v>HORAS: 1638,3
KW-HR: 41879,7
VOLT.BATERIA: 13.5 V
TEMPERATURA: 148 °F
PRES. ACEITE: 64 PSI</v>
      </c>
      <c r="AV561" s="683">
        <f>COUNTIFS(Q561:Q2561,"MANTENIMIENTO CORRECTIVO",Y561:Y2561,BDEGENER[[#This Row],[SERIE]])</f>
        <v>1</v>
      </c>
      <c r="AW561" s="683">
        <f>COUNTIFS(Q561:Q2561,"MANTENIMIENTO PREVENTIVO",Y561:Y2561,BDEGENER[[#This Row],[SERIE]])</f>
        <v>5</v>
      </c>
      <c r="AX56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561" s="683">
        <f>COUNTIFS(BDEGENER[SERIE],BDEGENER[[#This Row],[SERIE]],BDEGENER[TIPO DE SERVICIO],"MANTENIMIENTO PREVENTIVO")</f>
        <v>8</v>
      </c>
      <c r="AZ561" s="683" t="str">
        <f>CONCATENATE("MANTENIMIENTO PREVENTIVO N°",BDEGENER[[#This Row],[GA1]])</f>
        <v>MANTENIMIENTO PREVENTIVO N°8</v>
      </c>
      <c r="BA561" s="683" t="str">
        <f>IF(BDEGENER[[#This Row],[SERVICIO]]=BDEGENER[[#This Row],[GA2]],BDEGENER[[#This Row],[HORAS]],"0")</f>
        <v>0</v>
      </c>
      <c r="BB561" s="683">
        <f>SUMIF(BDEGENER[SERIE],BDEGENER[[#This Row],[SERIE]],BDEGENER[GA3])</f>
        <v>2381.3000000000002</v>
      </c>
      <c r="BC561" s="683" t="str">
        <f>CONCATENATE("MANT",COUNTIF($Y$7:Y561,Y561))</f>
        <v>MANT4</v>
      </c>
      <c r="BD561" s="683" t="str">
        <f>CONCATENATE(BDEGENER[[#This Row],[SERIE]],BDEGENER[[#This Row],[GA5]])</f>
        <v>3004331705MANT4</v>
      </c>
      <c r="BE561" s="683" t="str">
        <f>CONCATENATE(BDEGENER[[#This Row],[CODIGO PATRIMONIAL]],BDEGENER[[#This Row],[GA5]])</f>
        <v>MANT4</v>
      </c>
      <c r="BF561" s="683">
        <f>COUNTIF(BDEGENER[SERIE],BDEGENER[[#This Row],[SERIE]])</f>
        <v>10</v>
      </c>
      <c r="BG561" s="683" t="str">
        <f>CONCATENATE("F",COUNTIF($K$7:K561,K561))</f>
        <v>F3</v>
      </c>
      <c r="BH561" s="683" t="str">
        <f>CONCATENATE(BDEGENER[[#This Row],[FECHA DE SERVICIO]],BDEGENER[[#This Row],[N° DE REGISTROS DEL DIA]])</f>
        <v>43911F3</v>
      </c>
      <c r="BI561" s="684">
        <v>41879.699999999997</v>
      </c>
      <c r="BJ561" s="683" t="s">
        <v>1544</v>
      </c>
      <c r="BK561" s="680"/>
    </row>
    <row r="562" spans="2:63" ht="69" hidden="1" x14ac:dyDescent="0.3">
      <c r="B562" s="2"/>
      <c r="C562" s="2"/>
      <c r="D562" s="2"/>
      <c r="E562" s="2"/>
      <c r="F562" s="2"/>
      <c r="G562" s="2"/>
      <c r="H562" s="2"/>
      <c r="I562" s="2"/>
      <c r="J562" s="685"/>
      <c r="K562" s="682">
        <v>43911</v>
      </c>
      <c r="L562" s="725" t="s">
        <v>181</v>
      </c>
      <c r="M562" s="683" t="s">
        <v>189</v>
      </c>
      <c r="N562" s="683" t="s">
        <v>1982</v>
      </c>
      <c r="O562" s="683">
        <v>4500850370</v>
      </c>
      <c r="P562" s="9" t="s">
        <v>2015</v>
      </c>
      <c r="Q562" s="683" t="s">
        <v>37</v>
      </c>
      <c r="R562" s="683" t="s">
        <v>1782</v>
      </c>
      <c r="S562" s="686" t="s">
        <v>2016</v>
      </c>
      <c r="T562" s="683" t="s">
        <v>2017</v>
      </c>
      <c r="U562" s="683" t="s">
        <v>1850</v>
      </c>
      <c r="V562" s="683" t="s">
        <v>149</v>
      </c>
      <c r="W562" s="683" t="s">
        <v>914</v>
      </c>
      <c r="X562" s="691" t="s">
        <v>918</v>
      </c>
      <c r="Y562" s="687">
        <v>3004331709</v>
      </c>
      <c r="Z562" s="692"/>
      <c r="AA562" s="683" t="s">
        <v>33</v>
      </c>
      <c r="AB562" s="683" t="s">
        <v>34</v>
      </c>
      <c r="AC562" s="683" t="s">
        <v>230</v>
      </c>
      <c r="AD562" s="683" t="s">
        <v>1113</v>
      </c>
      <c r="AE562" s="683">
        <v>60</v>
      </c>
      <c r="AF562" s="684">
        <v>1247.5</v>
      </c>
      <c r="AG562" s="683" t="s">
        <v>243</v>
      </c>
      <c r="AH562" s="683" t="s">
        <v>220</v>
      </c>
      <c r="AI562" s="683" t="s">
        <v>33</v>
      </c>
      <c r="AJ562" s="683"/>
      <c r="AK562" s="683" t="s">
        <v>33</v>
      </c>
      <c r="AL562" s="683">
        <v>106302870</v>
      </c>
      <c r="AM562" s="683" t="s">
        <v>1121</v>
      </c>
      <c r="AN562" s="683" t="s">
        <v>1102</v>
      </c>
      <c r="AO562" s="683" t="s">
        <v>247</v>
      </c>
      <c r="AP562" s="683" t="s">
        <v>240</v>
      </c>
      <c r="AQ562" s="688" t="str">
        <f>CONCATENATE("REG-",BDEGENER[[#This Row],[FECHA DE SERVICIO]],"-",BDEGENER[[#This Row],[SERIE]],"-",BDEGENER[[#This Row],[HORAS]])</f>
        <v>REG-43911-3004331709-1247,5</v>
      </c>
      <c r="AR562" s="683" t="str">
        <f>CONCATENATE("MARCA: ",BDEGENER[[#This Row],[MARCA]],"
 MODELO: ",BDEGENER[[#This Row],[MODELO]])</f>
        <v>MARCA: GENERAC
 MODELO: PG090</v>
      </c>
      <c r="AS562" s="683" t="str">
        <f>CONCATENATE("MARCA: ",BDEGENER[[#This Row],[MARCA DE MOTOR]],"
SERIE: ",BDEGENER[[#This Row],[SERIE DE MOTOR]])</f>
        <v xml:space="preserve">MARCA: GENERAC
SERIE: </v>
      </c>
      <c r="AT562" s="683" t="str">
        <f>CONCATENATE("MARCA: ",BDEGENER[[#This Row],[MARCA ALTERNADOR ]],"
SERIE: ",BDEGENER[[#This Row],[SERIE DE ALTERNADOR]])</f>
        <v>MARCA: GENERAC
SERIE: 106302870</v>
      </c>
      <c r="AU562" s="683" t="str">
        <f>CONCATENATE("HORAS: ",BDEGENER[[#This Row],[HORAS]],"
KW-HR: ",BDEGENER[[#This Row],[KW-HORA]],"
VOLT.BATERIA: ",BDEGENER[[#This Row],[VOLTAJE DE BATERIA]],"
TEMPERATURA: ",BDEGENER[[#This Row],[TEMPERATURA DE AGUA]],"
PRES. ACEITE: ",BDEGENER[[#This Row],[PRESION DE ACEITE]])</f>
        <v>HORAS: 1247,5
KW-HR: 26079,4
VOLT.BATERIA: 13.7 V
TEMPERATURA: 199 °F
PRES. ACEITE: 55 PSI</v>
      </c>
      <c r="AV562" s="761">
        <f>COUNTIFS(Q562:Q2562,"MANTENIMIENTO CORRECTIVO",Y562:Y2562,BDEGENER[[#This Row],[SERIE]])</f>
        <v>2</v>
      </c>
      <c r="AW562" s="761">
        <f>COUNTIFS(Q562:Q2562,"MANTENIMIENTO PREVENTIVO",Y562:Y2562,BDEGENER[[#This Row],[SERIE]])</f>
        <v>4</v>
      </c>
      <c r="AX56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62" s="683">
        <f>COUNTIFS(BDEGENER[SERIE],BDEGENER[[#This Row],[SERIE]],BDEGENER[TIPO DE SERVICIO],"MANTENIMIENTO PREVENTIVO")</f>
        <v>7</v>
      </c>
      <c r="AZ562" s="683" t="str">
        <f>CONCATENATE("MANTENIMIENTO PREVENTIVO N°",BDEGENER[[#This Row],[GA1]])</f>
        <v>MANTENIMIENTO PREVENTIVO N°7</v>
      </c>
      <c r="BA562" s="683" t="str">
        <f>IF(BDEGENER[[#This Row],[SERVICIO]]=BDEGENER[[#This Row],[GA2]],BDEGENER[[#This Row],[HORAS]],"0")</f>
        <v>0</v>
      </c>
      <c r="BB562" s="683">
        <f>SUMIF(BDEGENER[SERIE],BDEGENER[[#This Row],[SERIE]],BDEGENER[GA3])</f>
        <v>2248.5</v>
      </c>
      <c r="BC562" s="761" t="str">
        <f>CONCATENATE("MANT",COUNTIF($Y$7:Y562,Y562))</f>
        <v>MANT4</v>
      </c>
      <c r="BD562" s="683" t="str">
        <f>CONCATENATE(BDEGENER[[#This Row],[SERIE]],BDEGENER[[#This Row],[GA5]])</f>
        <v>3004331709MANT4</v>
      </c>
      <c r="BE562" s="683" t="str">
        <f>CONCATENATE(BDEGENER[[#This Row],[CODIGO PATRIMONIAL]],BDEGENER[[#This Row],[GA5]])</f>
        <v>MANT4</v>
      </c>
      <c r="BF562" s="683">
        <f>COUNTIF(BDEGENER[SERIE],BDEGENER[[#This Row],[SERIE]])</f>
        <v>11</v>
      </c>
      <c r="BG562" s="761" t="str">
        <f>CONCATENATE("F",COUNTIF($K$7:K562,K562))</f>
        <v>F4</v>
      </c>
      <c r="BH562" s="683" t="str">
        <f>CONCATENATE(BDEGENER[[#This Row],[FECHA DE SERVICIO]],BDEGENER[[#This Row],[N° DE REGISTROS DEL DIA]])</f>
        <v>43911F4</v>
      </c>
      <c r="BI562" s="684">
        <v>26079.4</v>
      </c>
      <c r="BJ562" s="683" t="s">
        <v>1544</v>
      </c>
      <c r="BK562" s="680"/>
    </row>
    <row r="563" spans="2:63" ht="69" hidden="1" x14ac:dyDescent="0.3">
      <c r="B563" s="2"/>
      <c r="C563" s="2"/>
      <c r="D563" s="2"/>
      <c r="E563" s="2"/>
      <c r="F563" s="2"/>
      <c r="G563" s="2"/>
      <c r="H563" s="2"/>
      <c r="I563" s="2"/>
      <c r="J563" s="685"/>
      <c r="K563" s="682">
        <v>43908</v>
      </c>
      <c r="L563" s="725" t="s">
        <v>181</v>
      </c>
      <c r="M563" s="683" t="s">
        <v>184</v>
      </c>
      <c r="N563" s="683" t="s">
        <v>183</v>
      </c>
      <c r="O563" s="683"/>
      <c r="P563" s="85"/>
      <c r="Q563" s="683" t="s">
        <v>107</v>
      </c>
      <c r="R563" s="683" t="s">
        <v>2101</v>
      </c>
      <c r="S563" s="686" t="s">
        <v>2102</v>
      </c>
      <c r="T563" s="683" t="s">
        <v>2103</v>
      </c>
      <c r="U563" s="683" t="s">
        <v>2104</v>
      </c>
      <c r="V563" s="683" t="s">
        <v>146</v>
      </c>
      <c r="W563" s="683" t="s">
        <v>914</v>
      </c>
      <c r="X563" s="691" t="s">
        <v>918</v>
      </c>
      <c r="Y563" s="687">
        <v>3004402508</v>
      </c>
      <c r="Z563" s="692"/>
      <c r="AA563" s="683" t="s">
        <v>33</v>
      </c>
      <c r="AB563" s="683" t="s">
        <v>34</v>
      </c>
      <c r="AC563" s="683" t="s">
        <v>230</v>
      </c>
      <c r="AD563" s="683" t="s">
        <v>1110</v>
      </c>
      <c r="AE563" s="683">
        <v>60</v>
      </c>
      <c r="AF563" s="684">
        <v>573</v>
      </c>
      <c r="AG563" s="683" t="s">
        <v>243</v>
      </c>
      <c r="AH563" s="683" t="s">
        <v>220</v>
      </c>
      <c r="AI563" s="683" t="s">
        <v>33</v>
      </c>
      <c r="AJ563" s="722">
        <v>3004425773</v>
      </c>
      <c r="AK563" s="683" t="s">
        <v>33</v>
      </c>
      <c r="AL563" s="683">
        <v>106310050</v>
      </c>
      <c r="AM563" s="683"/>
      <c r="AN563" s="683"/>
      <c r="AO563" s="683"/>
      <c r="AP563" s="683" t="s">
        <v>240</v>
      </c>
      <c r="AQ563" s="683" t="str">
        <f>CONCATENATE("REG-",BDEGENER[[#This Row],[FECHA DE SERVICIO]],"-",BDEGENER[[#This Row],[SERIE]],"-",BDEGENER[[#This Row],[HORAS]])</f>
        <v>REG-43908-3004402508-573</v>
      </c>
      <c r="AR563" s="683" t="str">
        <f>CONCATENATE("MARCA: ",BDEGENER[[#This Row],[MARCA]],"
 MODELO: ",BDEGENER[[#This Row],[MODELO]])</f>
        <v>MARCA: GENERAC
 MODELO: PG090</v>
      </c>
      <c r="AS563" s="683" t="str">
        <f>CONCATENATE("MARCA: ",BDEGENER[[#This Row],[MARCA DE MOTOR]],"
SERIE: ",BDEGENER[[#This Row],[SERIE DE MOTOR]])</f>
        <v>MARCA: GENERAC
SERIE: 3004425773</v>
      </c>
      <c r="AT563" s="683" t="str">
        <f>CONCATENATE("MARCA: ",BDEGENER[[#This Row],[MARCA ALTERNADOR ]],"
SERIE: ",BDEGENER[[#This Row],[SERIE DE ALTERNADOR]])</f>
        <v>MARCA: GENERAC
SERIE: 106310050</v>
      </c>
      <c r="AU563" s="683" t="str">
        <f>CONCATENATE("HORAS: ",BDEGENER[[#This Row],[HORAS]],"
KW-HR: ",BDEGENER[[#This Row],[KW-HORA]],"
VOLT.BATERIA: ",BDEGENER[[#This Row],[VOLTAJE DE BATERIA]],"
TEMPERATURA: ",BDEGENER[[#This Row],[TEMPERATURA DE AGUA]],"
PRES. ACEITE: ",BDEGENER[[#This Row],[PRESION DE ACEITE]])</f>
        <v xml:space="preserve">HORAS: 573
KW-HR: 
VOLT.BATERIA: 
TEMPERATURA: 
PRES. ACEITE: </v>
      </c>
      <c r="AV563" s="683">
        <f>COUNTIFS(Q563:Q2563,"MANTENIMIENTO CORRECTIVO",Y563:Y2563,BDEGENER[[#This Row],[SERIE]])</f>
        <v>3</v>
      </c>
      <c r="AW563" s="683">
        <f>COUNTIFS(Q563:Q2563,"MANTENIMIENTO PREVENTIVO",Y563:Y2563,BDEGENER[[#This Row],[SERIE]])</f>
        <v>2</v>
      </c>
      <c r="AX56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563" s="683">
        <f>COUNTIFS(BDEGENER[SERIE],BDEGENER[[#This Row],[SERIE]],BDEGENER[TIPO DE SERVICIO],"MANTENIMIENTO PREVENTIVO")</f>
        <v>8</v>
      </c>
      <c r="AZ563" s="683" t="str">
        <f>CONCATENATE("MANTENIMIENTO PREVENTIVO N°",BDEGENER[[#This Row],[GA1]])</f>
        <v>MANTENIMIENTO PREVENTIVO N°8</v>
      </c>
      <c r="BA563" s="683" t="str">
        <f>IF(BDEGENER[[#This Row],[SERVICIO]]=BDEGENER[[#This Row],[GA2]],BDEGENER[[#This Row],[HORAS]],"0")</f>
        <v>0</v>
      </c>
      <c r="BB563" s="683">
        <f>SUMIF(BDEGENER[SERIE],BDEGENER[[#This Row],[SERIE]],BDEGENER[GA3])</f>
        <v>2186.3000000000002</v>
      </c>
      <c r="BC563" s="683" t="str">
        <f>CONCATENATE("MANT",COUNTIF($Y$7:Y563,Y563))</f>
        <v>MANT9</v>
      </c>
      <c r="BD563" s="683" t="str">
        <f>CONCATENATE(BDEGENER[[#This Row],[SERIE]],BDEGENER[[#This Row],[GA5]])</f>
        <v>3004402508MANT9</v>
      </c>
      <c r="BE563" s="683" t="str">
        <f>CONCATENATE(BDEGENER[[#This Row],[CODIGO PATRIMONIAL]],BDEGENER[[#This Row],[GA5]])</f>
        <v>MANT9</v>
      </c>
      <c r="BF563" s="683">
        <f>COUNTIF(BDEGENER[SERIE],BDEGENER[[#This Row],[SERIE]])</f>
        <v>15</v>
      </c>
      <c r="BG563" s="683" t="str">
        <f>CONCATENATE("F",COUNTIF($K$7:K563,K563))</f>
        <v>F1</v>
      </c>
      <c r="BH563" s="683" t="str">
        <f>CONCATENATE(BDEGENER[[#This Row],[FECHA DE SERVICIO]],BDEGENER[[#This Row],[N° DE REGISTROS DEL DIA]])</f>
        <v>43908F1</v>
      </c>
      <c r="BI563" s="684"/>
      <c r="BJ563" s="683" t="s">
        <v>1544</v>
      </c>
      <c r="BK563" s="680"/>
    </row>
    <row r="564" spans="2:63" ht="69" hidden="1" x14ac:dyDescent="0.3">
      <c r="B564" s="2"/>
      <c r="C564" s="2"/>
      <c r="D564" s="2"/>
      <c r="E564" s="2"/>
      <c r="F564" s="2"/>
      <c r="G564" s="2"/>
      <c r="H564" s="2"/>
      <c r="I564" s="2"/>
      <c r="J564" s="685"/>
      <c r="K564" s="682">
        <v>43908</v>
      </c>
      <c r="L564" s="725" t="s">
        <v>181</v>
      </c>
      <c r="M564" s="683" t="s">
        <v>184</v>
      </c>
      <c r="N564" s="683" t="s">
        <v>183</v>
      </c>
      <c r="O564" s="683"/>
      <c r="P564" s="9" t="s">
        <v>2009</v>
      </c>
      <c r="Q564" s="683" t="s">
        <v>107</v>
      </c>
      <c r="R564" s="683" t="s">
        <v>2010</v>
      </c>
      <c r="S564" s="686" t="s">
        <v>2011</v>
      </c>
      <c r="T564" s="683" t="s">
        <v>1782</v>
      </c>
      <c r="U564" s="683" t="s">
        <v>2012</v>
      </c>
      <c r="V564" s="683" t="s">
        <v>146</v>
      </c>
      <c r="W564" s="683" t="s">
        <v>914</v>
      </c>
      <c r="X564" s="691" t="s">
        <v>918</v>
      </c>
      <c r="Y564" s="687">
        <v>3004336197</v>
      </c>
      <c r="Z564" s="692"/>
      <c r="AA564" s="683" t="s">
        <v>33</v>
      </c>
      <c r="AB564" s="683" t="s">
        <v>34</v>
      </c>
      <c r="AC564" s="683" t="s">
        <v>230</v>
      </c>
      <c r="AD564" s="683" t="s">
        <v>1110</v>
      </c>
      <c r="AE564" s="683">
        <v>60</v>
      </c>
      <c r="AF564" s="684">
        <v>865.2</v>
      </c>
      <c r="AG564" s="683" t="s">
        <v>243</v>
      </c>
      <c r="AH564" s="683" t="s">
        <v>220</v>
      </c>
      <c r="AI564" s="683" t="s">
        <v>33</v>
      </c>
      <c r="AJ564" s="683">
        <v>3004309062</v>
      </c>
      <c r="AK564" s="683" t="s">
        <v>33</v>
      </c>
      <c r="AL564" s="683">
        <v>1065072</v>
      </c>
      <c r="AM564" s="683" t="s">
        <v>1095</v>
      </c>
      <c r="AN564" s="683" t="s">
        <v>246</v>
      </c>
      <c r="AO564" s="683" t="s">
        <v>1121</v>
      </c>
      <c r="AP564" s="683" t="s">
        <v>240</v>
      </c>
      <c r="AQ564" s="9" t="str">
        <f>CONCATENATE("REG-",BDEGENER[[#This Row],[FECHA DE SERVICIO]],"-",BDEGENER[[#This Row],[SERIE]],"-",BDEGENER[[#This Row],[HORAS]])</f>
        <v>REG-43908-3004336197-865,2</v>
      </c>
      <c r="AR564" s="683" t="str">
        <f>CONCATENATE("MARCA: ",BDEGENER[[#This Row],[MARCA]],"
 MODELO: ",BDEGENER[[#This Row],[MODELO]])</f>
        <v>MARCA: GENERAC
 MODELO: PG090</v>
      </c>
      <c r="AS564" s="683" t="str">
        <f>CONCATENATE("MARCA: ",BDEGENER[[#This Row],[MARCA DE MOTOR]],"
SERIE: ",BDEGENER[[#This Row],[SERIE DE MOTOR]])</f>
        <v>MARCA: GENERAC
SERIE: 3004309062</v>
      </c>
      <c r="AT564" s="683" t="str">
        <f>CONCATENATE("MARCA: ",BDEGENER[[#This Row],[MARCA ALTERNADOR ]],"
SERIE: ",BDEGENER[[#This Row],[SERIE DE ALTERNADOR]])</f>
        <v>MARCA: GENERAC
SERIE: 1065072</v>
      </c>
      <c r="AU564" s="683" t="str">
        <f>CONCATENATE("HORAS: ",BDEGENER[[#This Row],[HORAS]],"
KW-HR: ",BDEGENER[[#This Row],[KW-HORA]],"
VOLT.BATERIA: ",BDEGENER[[#This Row],[VOLTAJE DE BATERIA]],"
TEMPERATURA: ",BDEGENER[[#This Row],[TEMPERATURA DE AGUA]],"
PRES. ACEITE: ",BDEGENER[[#This Row],[PRESION DE ACEITE]])</f>
        <v>HORAS: 865,2
KW-HR: 17648,3
VOLT.BATERIA: 54 PSI
TEMPERATURA: 198 °F
PRES. ACEITE: 13.7 V</v>
      </c>
      <c r="AV564" s="683">
        <f>COUNTIFS(Q564:Q2564,"MANTENIMIENTO CORRECTIVO",Y564:Y2564,BDEGENER[[#This Row],[SERIE]])</f>
        <v>4</v>
      </c>
      <c r="AW564" s="683">
        <f>COUNTIFS(Q564:Q2564,"MANTENIMIENTO PREVENTIVO",Y564:Y2564,BDEGENER[[#This Row],[SERIE]])</f>
        <v>3</v>
      </c>
      <c r="AX56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564" s="683">
        <f>COUNTIFS(BDEGENER[SERIE],BDEGENER[[#This Row],[SERIE]],BDEGENER[TIPO DE SERVICIO],"MANTENIMIENTO PREVENTIVO")</f>
        <v>9</v>
      </c>
      <c r="AZ564" s="683" t="str">
        <f>CONCATENATE("MANTENIMIENTO PREVENTIVO N°",BDEGENER[[#This Row],[GA1]])</f>
        <v>MANTENIMIENTO PREVENTIVO N°9</v>
      </c>
      <c r="BA564" s="683" t="str">
        <f>IF(BDEGENER[[#This Row],[SERVICIO]]=BDEGENER[[#This Row],[GA2]],BDEGENER[[#This Row],[HORAS]],"0")</f>
        <v>0</v>
      </c>
      <c r="BB564" s="683">
        <f>SUMIF(BDEGENER[SERIE],BDEGENER[[#This Row],[SERIE]],BDEGENER[GA3])</f>
        <v>2922.3</v>
      </c>
      <c r="BC564" s="683" t="str">
        <f>CONCATENATE("MANT",COUNTIF($Y$7:Y564,Y564))</f>
        <v>MANT9</v>
      </c>
      <c r="BD564" s="683" t="str">
        <f>CONCATENATE(BDEGENER[[#This Row],[SERIE]],BDEGENER[[#This Row],[GA5]])</f>
        <v>3004336197MANT9</v>
      </c>
      <c r="BE564" s="683" t="str">
        <f>CONCATENATE(BDEGENER[[#This Row],[CODIGO PATRIMONIAL]],BDEGENER[[#This Row],[GA5]])</f>
        <v>MANT9</v>
      </c>
      <c r="BF564" s="683">
        <f>COUNTIF(BDEGENER[SERIE],BDEGENER[[#This Row],[SERIE]])</f>
        <v>17</v>
      </c>
      <c r="BG564" s="683" t="str">
        <f>CONCATENATE("F",COUNTIF($K$7:K564,K564))</f>
        <v>F2</v>
      </c>
      <c r="BH564" s="683" t="str">
        <f>CONCATENATE(BDEGENER[[#This Row],[FECHA DE SERVICIO]],BDEGENER[[#This Row],[N° DE REGISTROS DEL DIA]])</f>
        <v>43908F2</v>
      </c>
      <c r="BI564" s="684">
        <v>17648.3</v>
      </c>
      <c r="BJ564" s="683" t="s">
        <v>1544</v>
      </c>
      <c r="BK564" s="680"/>
    </row>
    <row r="565" spans="2:63" ht="69" hidden="1" x14ac:dyDescent="0.3">
      <c r="B565" s="2"/>
      <c r="C565" s="2"/>
      <c r="D565" s="2"/>
      <c r="E565" s="2"/>
      <c r="F565" s="2"/>
      <c r="G565" s="2"/>
      <c r="H565" s="2"/>
      <c r="I565" s="2"/>
      <c r="J565" s="685"/>
      <c r="K565" s="682">
        <v>43907</v>
      </c>
      <c r="L565" s="725" t="s">
        <v>181</v>
      </c>
      <c r="M565" s="683" t="s">
        <v>184</v>
      </c>
      <c r="N565" s="683" t="s">
        <v>183</v>
      </c>
      <c r="O565" s="683"/>
      <c r="P565" s="9" t="s">
        <v>2009</v>
      </c>
      <c r="Q565" s="683" t="s">
        <v>107</v>
      </c>
      <c r="R565" s="683" t="s">
        <v>2010</v>
      </c>
      <c r="S565" s="686" t="s">
        <v>2011</v>
      </c>
      <c r="T565" s="683" t="s">
        <v>1782</v>
      </c>
      <c r="U565" s="683" t="s">
        <v>2012</v>
      </c>
      <c r="V565" s="683" t="s">
        <v>146</v>
      </c>
      <c r="W565" s="683" t="s">
        <v>914</v>
      </c>
      <c r="X565" s="691" t="s">
        <v>918</v>
      </c>
      <c r="Y565" s="687">
        <v>3004227749</v>
      </c>
      <c r="Z565" s="692"/>
      <c r="AA565" s="683" t="s">
        <v>33</v>
      </c>
      <c r="AB565" s="683" t="s">
        <v>34</v>
      </c>
      <c r="AC565" s="683" t="s">
        <v>230</v>
      </c>
      <c r="AD565" s="683" t="s">
        <v>1110</v>
      </c>
      <c r="AE565" s="683">
        <v>60</v>
      </c>
      <c r="AF565" s="684">
        <v>808.7</v>
      </c>
      <c r="AG565" s="683" t="s">
        <v>243</v>
      </c>
      <c r="AH565" s="683" t="s">
        <v>220</v>
      </c>
      <c r="AI565" s="683" t="s">
        <v>33</v>
      </c>
      <c r="AJ565" s="683">
        <v>3004231901</v>
      </c>
      <c r="AK565" s="683" t="s">
        <v>33</v>
      </c>
      <c r="AL565" s="683">
        <v>1063014</v>
      </c>
      <c r="AM565" s="683" t="s">
        <v>247</v>
      </c>
      <c r="AN565" s="683" t="s">
        <v>1102</v>
      </c>
      <c r="AO565" s="683" t="s">
        <v>1157</v>
      </c>
      <c r="AP565" s="683" t="s">
        <v>240</v>
      </c>
      <c r="AQ565" s="688" t="str">
        <f>CONCATENATE("REG-",BDEGENER[[#This Row],[FECHA DE SERVICIO]],"-",BDEGENER[[#This Row],[SERIE]],"-",BDEGENER[[#This Row],[HORAS]])</f>
        <v>REG-43907-3004227749-808,7</v>
      </c>
      <c r="AR565" s="683" t="str">
        <f>CONCATENATE("MARCA: ",BDEGENER[[#This Row],[MARCA]],"
 MODELO: ",BDEGENER[[#This Row],[MODELO]])</f>
        <v>MARCA: GENERAC
 MODELO: PG090</v>
      </c>
      <c r="AS565" s="683" t="str">
        <f>CONCATENATE("MARCA: ",BDEGENER[[#This Row],[MARCA DE MOTOR]],"
SERIE: ",BDEGENER[[#This Row],[SERIE DE MOTOR]])</f>
        <v>MARCA: GENERAC
SERIE: 3004231901</v>
      </c>
      <c r="AT565" s="683" t="str">
        <f>CONCATENATE("MARCA: ",BDEGENER[[#This Row],[MARCA ALTERNADOR ]],"
SERIE: ",BDEGENER[[#This Row],[SERIE DE ALTERNADOR]])</f>
        <v>MARCA: GENERAC
SERIE: 1063014</v>
      </c>
      <c r="AU565" s="683" t="str">
        <f>CONCATENATE("HORAS: ",BDEGENER[[#This Row],[HORAS]],"
KW-HR: ",BDEGENER[[#This Row],[KW-HORA]],"
VOLT.BATERIA: ",BDEGENER[[#This Row],[VOLTAJE DE BATERIA]],"
TEMPERATURA: ",BDEGENER[[#This Row],[TEMPERATURA DE AGUA]],"
PRES. ACEITE: ",BDEGENER[[#This Row],[PRESION DE ACEITE]])</f>
        <v>HORAS: 808,7
KW-HR: 20246,5
VOLT.BATERIA: 55 PSI
TEMPERATURA: 199 °F
PRES. ACEITE: 13.9 V</v>
      </c>
      <c r="AV565" s="761">
        <f>COUNTIFS(Q565:Q2565,"MANTENIMIENTO CORRECTIVO",Y565:Y2565,BDEGENER[[#This Row],[SERIE]])</f>
        <v>3</v>
      </c>
      <c r="AW565" s="761">
        <f>COUNTIFS(Q565:Q2565,"MANTENIMIENTO PREVENTIVO",Y565:Y2565,BDEGENER[[#This Row],[SERIE]])</f>
        <v>3</v>
      </c>
      <c r="AX56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565" s="683">
        <f>COUNTIFS(BDEGENER[SERIE],BDEGENER[[#This Row],[SERIE]],BDEGENER[TIPO DE SERVICIO],"MANTENIMIENTO PREVENTIVO")</f>
        <v>8</v>
      </c>
      <c r="AZ565" s="683" t="str">
        <f>CONCATENATE("MANTENIMIENTO PREVENTIVO N°",BDEGENER[[#This Row],[GA1]])</f>
        <v>MANTENIMIENTO PREVENTIVO N°8</v>
      </c>
      <c r="BA565" s="683" t="str">
        <f>IF(BDEGENER[[#This Row],[SERVICIO]]=BDEGENER[[#This Row],[GA2]],BDEGENER[[#This Row],[HORAS]],"0")</f>
        <v>0</v>
      </c>
      <c r="BB565" s="683">
        <f>SUMIF(BDEGENER[SERIE],BDEGENER[[#This Row],[SERIE]],BDEGENER[GA3])</f>
        <v>2404.1999999999998</v>
      </c>
      <c r="BC565" s="761" t="str">
        <f>CONCATENATE("MANT",COUNTIF($Y$7:Y565,Y565))</f>
        <v>MANT8</v>
      </c>
      <c r="BD565" s="683" t="str">
        <f>CONCATENATE(BDEGENER[[#This Row],[SERIE]],BDEGENER[[#This Row],[GA5]])</f>
        <v>3004227749MANT8</v>
      </c>
      <c r="BE565" s="683" t="str">
        <f>CONCATENATE(BDEGENER[[#This Row],[CODIGO PATRIMONIAL]],BDEGENER[[#This Row],[GA5]])</f>
        <v>MANT8</v>
      </c>
      <c r="BF565" s="683">
        <f>COUNTIF(BDEGENER[SERIE],BDEGENER[[#This Row],[SERIE]])</f>
        <v>16</v>
      </c>
      <c r="BG565" s="761" t="str">
        <f>CONCATENATE("F",COUNTIF($K$7:K565,K565))</f>
        <v>F1</v>
      </c>
      <c r="BH565" s="683" t="str">
        <f>CONCATENATE(BDEGENER[[#This Row],[FECHA DE SERVICIO]],BDEGENER[[#This Row],[N° DE REGISTROS DEL DIA]])</f>
        <v>43907F1</v>
      </c>
      <c r="BI565" s="684">
        <v>20246.5</v>
      </c>
      <c r="BJ565" s="683" t="s">
        <v>1544</v>
      </c>
      <c r="BK565" s="680"/>
    </row>
    <row r="566" spans="2:63" ht="69" hidden="1" x14ac:dyDescent="0.3">
      <c r="B566" s="2"/>
      <c r="C566" s="2"/>
      <c r="D566" s="2"/>
      <c r="E566" s="2"/>
      <c r="F566" s="2"/>
      <c r="G566" s="2"/>
      <c r="H566" s="2"/>
      <c r="I566" s="2"/>
      <c r="J566" s="685"/>
      <c r="K566" s="682">
        <v>43906</v>
      </c>
      <c r="L566" s="725" t="s">
        <v>181</v>
      </c>
      <c r="M566" s="683" t="s">
        <v>184</v>
      </c>
      <c r="N566" s="683" t="s">
        <v>183</v>
      </c>
      <c r="O566" s="683"/>
      <c r="P566" s="683"/>
      <c r="Q566" s="683" t="s">
        <v>108</v>
      </c>
      <c r="R566" s="683" t="s">
        <v>2006</v>
      </c>
      <c r="S566" s="686" t="s">
        <v>2007</v>
      </c>
      <c r="T566" s="683" t="s">
        <v>2008</v>
      </c>
      <c r="U566" s="683"/>
      <c r="V566" s="683" t="s">
        <v>146</v>
      </c>
      <c r="W566" s="683" t="s">
        <v>914</v>
      </c>
      <c r="X566" s="691" t="s">
        <v>918</v>
      </c>
      <c r="Y566" s="687">
        <v>3004227749</v>
      </c>
      <c r="Z566" s="692"/>
      <c r="AA566" s="683" t="s">
        <v>33</v>
      </c>
      <c r="AB566" s="683" t="s">
        <v>34</v>
      </c>
      <c r="AC566" s="683" t="s">
        <v>230</v>
      </c>
      <c r="AD566" s="683" t="s">
        <v>1110</v>
      </c>
      <c r="AE566" s="683">
        <v>60</v>
      </c>
      <c r="AF566" s="684">
        <v>761.7</v>
      </c>
      <c r="AG566" s="683" t="s">
        <v>243</v>
      </c>
      <c r="AH566" s="683" t="s">
        <v>220</v>
      </c>
      <c r="AI566" s="683" t="s">
        <v>33</v>
      </c>
      <c r="AJ566" s="683">
        <v>3004231901</v>
      </c>
      <c r="AK566" s="683" t="s">
        <v>33</v>
      </c>
      <c r="AL566" s="683">
        <v>1063014</v>
      </c>
      <c r="AM566" s="683"/>
      <c r="AN566" s="683"/>
      <c r="AO566" s="683"/>
      <c r="AP566" s="683" t="s">
        <v>557</v>
      </c>
      <c r="AQ566" s="683" t="str">
        <f>CONCATENATE("REG-",BDEGENER[[#This Row],[FECHA DE SERVICIO]],"-",BDEGENER[[#This Row],[SERIE]],"-",BDEGENER[[#This Row],[HORAS]])</f>
        <v>REG-43906-3004227749-761,7</v>
      </c>
      <c r="AR566" s="683" t="str">
        <f>CONCATENATE("MARCA: ",BDEGENER[[#This Row],[MARCA]],"
 MODELO: ",BDEGENER[[#This Row],[MODELO]])</f>
        <v>MARCA: GENERAC
 MODELO: PG090</v>
      </c>
      <c r="AS566" s="683" t="str">
        <f>CONCATENATE("MARCA: ",BDEGENER[[#This Row],[MARCA DE MOTOR]],"
SERIE: ",BDEGENER[[#This Row],[SERIE DE MOTOR]])</f>
        <v>MARCA: GENERAC
SERIE: 3004231901</v>
      </c>
      <c r="AT566" s="683" t="str">
        <f>CONCATENATE("MARCA: ",BDEGENER[[#This Row],[MARCA ALTERNADOR ]],"
SERIE: ",BDEGENER[[#This Row],[SERIE DE ALTERNADOR]])</f>
        <v>MARCA: GENERAC
SERIE: 1063014</v>
      </c>
      <c r="AU566" s="683" t="str">
        <f>CONCATENATE("HORAS: ",BDEGENER[[#This Row],[HORAS]],"
KW-HR: ",BDEGENER[[#This Row],[KW-HORA]],"
VOLT.BATERIA: ",BDEGENER[[#This Row],[VOLTAJE DE BATERIA]],"
TEMPERATURA: ",BDEGENER[[#This Row],[TEMPERATURA DE AGUA]],"
PRES. ACEITE: ",BDEGENER[[#This Row],[PRESION DE ACEITE]])</f>
        <v xml:space="preserve">HORAS: 761,7
KW-HR: 
VOLT.BATERIA: 
TEMPERATURA: 
PRES. ACEITE: </v>
      </c>
      <c r="AV566" s="683">
        <f>COUNTIFS(Q566:Q2566,"MANTENIMIENTO CORRECTIVO",Y566:Y2566,BDEGENER[[#This Row],[SERIE]])</f>
        <v>2</v>
      </c>
      <c r="AW566" s="683">
        <f>COUNTIFS(Q566:Q2566,"MANTENIMIENTO PREVENTIVO",Y566:Y2566,BDEGENER[[#This Row],[SERIE]])</f>
        <v>3</v>
      </c>
      <c r="AX56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66" s="683">
        <f>COUNTIFS(BDEGENER[SERIE],BDEGENER[[#This Row],[SERIE]],BDEGENER[TIPO DE SERVICIO],"MANTENIMIENTO PREVENTIVO")</f>
        <v>8</v>
      </c>
      <c r="AZ566" s="683" t="str">
        <f>CONCATENATE("MANTENIMIENTO PREVENTIVO N°",BDEGENER[[#This Row],[GA1]])</f>
        <v>MANTENIMIENTO PREVENTIVO N°8</v>
      </c>
      <c r="BA566" s="683" t="str">
        <f>IF(BDEGENER[[#This Row],[SERVICIO]]=BDEGENER[[#This Row],[GA2]],BDEGENER[[#This Row],[HORAS]],"0")</f>
        <v>0</v>
      </c>
      <c r="BB566" s="683">
        <f>SUMIF(BDEGENER[SERIE],BDEGENER[[#This Row],[SERIE]],BDEGENER[GA3])</f>
        <v>2404.1999999999998</v>
      </c>
      <c r="BC566" s="683" t="str">
        <f>CONCATENATE("MANT",COUNTIF($Y$7:Y566,Y566))</f>
        <v>MANT9</v>
      </c>
      <c r="BD566" s="683" t="str">
        <f>CONCATENATE(BDEGENER[[#This Row],[SERIE]],BDEGENER[[#This Row],[GA5]])</f>
        <v>3004227749MANT9</v>
      </c>
      <c r="BE566" s="683" t="str">
        <f>CONCATENATE(BDEGENER[[#This Row],[CODIGO PATRIMONIAL]],BDEGENER[[#This Row],[GA5]])</f>
        <v>MANT9</v>
      </c>
      <c r="BF566" s="683">
        <f>COUNTIF(BDEGENER[SERIE],BDEGENER[[#This Row],[SERIE]])</f>
        <v>16</v>
      </c>
      <c r="BG566" s="683" t="str">
        <f>CONCATENATE("F",COUNTIF($K$7:K566,K566))</f>
        <v>F1</v>
      </c>
      <c r="BH566" s="683" t="str">
        <f>CONCATENATE(BDEGENER[[#This Row],[FECHA DE SERVICIO]],BDEGENER[[#This Row],[N° DE REGISTROS DEL DIA]])</f>
        <v>43906F1</v>
      </c>
      <c r="BI566" s="684"/>
      <c r="BJ566" s="683" t="s">
        <v>1544</v>
      </c>
      <c r="BK566" s="680"/>
    </row>
    <row r="567" spans="2:63" ht="69" hidden="1" x14ac:dyDescent="0.3">
      <c r="B567" s="2"/>
      <c r="C567" s="2"/>
      <c r="D567" s="2"/>
      <c r="E567" s="2"/>
      <c r="F567" s="2"/>
      <c r="G567" s="2"/>
      <c r="H567" s="2"/>
      <c r="I567" s="2"/>
      <c r="J567" s="685"/>
      <c r="K567" s="682">
        <v>43906</v>
      </c>
      <c r="L567" s="725" t="s">
        <v>181</v>
      </c>
      <c r="M567" s="683" t="s">
        <v>184</v>
      </c>
      <c r="N567" s="683" t="s">
        <v>183</v>
      </c>
      <c r="O567" s="683"/>
      <c r="P567" s="683"/>
      <c r="Q567" s="683" t="s">
        <v>108</v>
      </c>
      <c r="R567" s="683" t="s">
        <v>2006</v>
      </c>
      <c r="S567" s="686" t="s">
        <v>2007</v>
      </c>
      <c r="T567" s="683" t="s">
        <v>2008</v>
      </c>
      <c r="U567" s="683"/>
      <c r="V567" s="683" t="s">
        <v>146</v>
      </c>
      <c r="W567" s="683" t="s">
        <v>914</v>
      </c>
      <c r="X567" s="691" t="s">
        <v>918</v>
      </c>
      <c r="Y567" s="687">
        <v>3004336197</v>
      </c>
      <c r="Z567" s="692"/>
      <c r="AA567" s="683" t="s">
        <v>33</v>
      </c>
      <c r="AB567" s="683" t="s">
        <v>34</v>
      </c>
      <c r="AC567" s="683" t="s">
        <v>230</v>
      </c>
      <c r="AD567" s="683" t="s">
        <v>1110</v>
      </c>
      <c r="AE567" s="683">
        <v>60</v>
      </c>
      <c r="AF567" s="684">
        <v>865.3</v>
      </c>
      <c r="AG567" s="683" t="s">
        <v>243</v>
      </c>
      <c r="AH567" s="683" t="s">
        <v>220</v>
      </c>
      <c r="AI567" s="683" t="s">
        <v>33</v>
      </c>
      <c r="AJ567" s="683">
        <v>3004309062</v>
      </c>
      <c r="AK567" s="683" t="s">
        <v>33</v>
      </c>
      <c r="AL567" s="683">
        <v>1065072</v>
      </c>
      <c r="AM567" s="683"/>
      <c r="AN567" s="683"/>
      <c r="AO567" s="683"/>
      <c r="AP567" s="683" t="s">
        <v>557</v>
      </c>
      <c r="AQ567" s="683" t="str">
        <f>CONCATENATE("REG-",BDEGENER[[#This Row],[FECHA DE SERVICIO]],"-",BDEGENER[[#This Row],[SERIE]],"-",BDEGENER[[#This Row],[HORAS]])</f>
        <v>REG-43906-3004336197-865,3</v>
      </c>
      <c r="AR567" s="683" t="str">
        <f>CONCATENATE("MARCA: ",BDEGENER[[#This Row],[MARCA]],"
 MODELO: ",BDEGENER[[#This Row],[MODELO]])</f>
        <v>MARCA: GENERAC
 MODELO: PG090</v>
      </c>
      <c r="AS567" s="683" t="str">
        <f>CONCATENATE("MARCA: ",BDEGENER[[#This Row],[MARCA DE MOTOR]],"
SERIE: ",BDEGENER[[#This Row],[SERIE DE MOTOR]])</f>
        <v>MARCA: GENERAC
SERIE: 3004309062</v>
      </c>
      <c r="AT567" s="683" t="str">
        <f>CONCATENATE("MARCA: ",BDEGENER[[#This Row],[MARCA ALTERNADOR ]],"
SERIE: ",BDEGENER[[#This Row],[SERIE DE ALTERNADOR]])</f>
        <v>MARCA: GENERAC
SERIE: 1065072</v>
      </c>
      <c r="AU567" s="683" t="str">
        <f>CONCATENATE("HORAS: ",BDEGENER[[#This Row],[HORAS]],"
KW-HR: ",BDEGENER[[#This Row],[KW-HORA]],"
VOLT.BATERIA: ",BDEGENER[[#This Row],[VOLTAJE DE BATERIA]],"
TEMPERATURA: ",BDEGENER[[#This Row],[TEMPERATURA DE AGUA]],"
PRES. ACEITE: ",BDEGENER[[#This Row],[PRESION DE ACEITE]])</f>
        <v xml:space="preserve">HORAS: 865,3
KW-HR: 
VOLT.BATERIA: 
TEMPERATURA: 
PRES. ACEITE: </v>
      </c>
      <c r="AV567" s="683">
        <f>COUNTIFS(Q567:Q2567,"MANTENIMIENTO CORRECTIVO",Y567:Y2567,BDEGENER[[#This Row],[SERIE]])</f>
        <v>3</v>
      </c>
      <c r="AW567" s="683">
        <f>COUNTIFS(Q567:Q2567,"MANTENIMIENTO PREVENTIVO",Y567:Y2567,BDEGENER[[#This Row],[SERIE]])</f>
        <v>3</v>
      </c>
      <c r="AX56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67" s="683">
        <f>COUNTIFS(BDEGENER[SERIE],BDEGENER[[#This Row],[SERIE]],BDEGENER[TIPO DE SERVICIO],"MANTENIMIENTO PREVENTIVO")</f>
        <v>9</v>
      </c>
      <c r="AZ567" s="683" t="str">
        <f>CONCATENATE("MANTENIMIENTO PREVENTIVO N°",BDEGENER[[#This Row],[GA1]])</f>
        <v>MANTENIMIENTO PREVENTIVO N°9</v>
      </c>
      <c r="BA567" s="683" t="str">
        <f>IF(BDEGENER[[#This Row],[SERVICIO]]=BDEGENER[[#This Row],[GA2]],BDEGENER[[#This Row],[HORAS]],"0")</f>
        <v>0</v>
      </c>
      <c r="BB567" s="683">
        <f>SUMIF(BDEGENER[SERIE],BDEGENER[[#This Row],[SERIE]],BDEGENER[GA3])</f>
        <v>2922.3</v>
      </c>
      <c r="BC567" s="683" t="str">
        <f>CONCATENATE("MANT",COUNTIF($Y$7:Y567,Y567))</f>
        <v>MANT10</v>
      </c>
      <c r="BD567" s="683" t="str">
        <f>CONCATENATE(BDEGENER[[#This Row],[SERIE]],BDEGENER[[#This Row],[GA5]])</f>
        <v>3004336197MANT10</v>
      </c>
      <c r="BE567" s="683" t="str">
        <f>CONCATENATE(BDEGENER[[#This Row],[CODIGO PATRIMONIAL]],BDEGENER[[#This Row],[GA5]])</f>
        <v>MANT10</v>
      </c>
      <c r="BF567" s="683">
        <f>COUNTIF(BDEGENER[SERIE],BDEGENER[[#This Row],[SERIE]])</f>
        <v>17</v>
      </c>
      <c r="BG567" s="683" t="str">
        <f>CONCATENATE("F",COUNTIF($K$7:K567,K567))</f>
        <v>F2</v>
      </c>
      <c r="BH567" s="683" t="str">
        <f>CONCATENATE(BDEGENER[[#This Row],[FECHA DE SERVICIO]],BDEGENER[[#This Row],[N° DE REGISTROS DEL DIA]])</f>
        <v>43906F2</v>
      </c>
      <c r="BI567" s="684"/>
      <c r="BJ567" s="683" t="s">
        <v>1544</v>
      </c>
      <c r="BK567" s="680"/>
    </row>
    <row r="568" spans="2:63" ht="69" hidden="1" x14ac:dyDescent="0.3">
      <c r="B568" s="2"/>
      <c r="C568" s="2"/>
      <c r="D568" s="2"/>
      <c r="E568" s="2"/>
      <c r="F568" s="2"/>
      <c r="G568" s="2"/>
      <c r="H568" s="2"/>
      <c r="I568" s="2"/>
      <c r="J568" s="685"/>
      <c r="K568" s="682">
        <v>43903</v>
      </c>
      <c r="L568" s="725" t="s">
        <v>181</v>
      </c>
      <c r="M568" s="683" t="s">
        <v>189</v>
      </c>
      <c r="N568" s="683" t="s">
        <v>1982</v>
      </c>
      <c r="O568" s="683"/>
      <c r="P568" s="688" t="s">
        <v>1983</v>
      </c>
      <c r="Q568" s="683" t="s">
        <v>107</v>
      </c>
      <c r="R568" s="683" t="s">
        <v>1989</v>
      </c>
      <c r="S568" s="686" t="s">
        <v>1990</v>
      </c>
      <c r="T568" s="683" t="s">
        <v>1991</v>
      </c>
      <c r="U568" s="683" t="s">
        <v>1992</v>
      </c>
      <c r="V568" s="683" t="s">
        <v>149</v>
      </c>
      <c r="W568" s="683" t="s">
        <v>914</v>
      </c>
      <c r="X568" s="691" t="s">
        <v>918</v>
      </c>
      <c r="Y568" s="687">
        <v>3004331708</v>
      </c>
      <c r="Z568" s="692"/>
      <c r="AA568" s="683" t="s">
        <v>33</v>
      </c>
      <c r="AB568" s="683" t="s">
        <v>34</v>
      </c>
      <c r="AC568" s="683" t="s">
        <v>230</v>
      </c>
      <c r="AD568" s="683" t="s">
        <v>1993</v>
      </c>
      <c r="AE568" s="683">
        <v>60</v>
      </c>
      <c r="AF568" s="684">
        <v>997.8</v>
      </c>
      <c r="AG568" s="683" t="s">
        <v>243</v>
      </c>
      <c r="AH568" s="683" t="s">
        <v>220</v>
      </c>
      <c r="AI568" s="683" t="s">
        <v>33</v>
      </c>
      <c r="AJ568" s="683">
        <v>3004309058</v>
      </c>
      <c r="AK568" s="683" t="s">
        <v>33</v>
      </c>
      <c r="AL568" s="683">
        <v>106302850</v>
      </c>
      <c r="AM568" s="683" t="s">
        <v>1145</v>
      </c>
      <c r="AN568" s="683" t="s">
        <v>1988</v>
      </c>
      <c r="AO568" s="683" t="s">
        <v>1427</v>
      </c>
      <c r="AP568" s="683" t="s">
        <v>240</v>
      </c>
      <c r="AQ568" s="688" t="str">
        <f>CONCATENATE("REG-",BDEGENER[[#This Row],[FECHA DE SERVICIO]],"-",BDEGENER[[#This Row],[SERIE]],"-",BDEGENER[[#This Row],[HORAS]])</f>
        <v>REG-43903-3004331708-997,8</v>
      </c>
      <c r="AR568" s="683" t="str">
        <f>CONCATENATE("MARCA: ",BDEGENER[[#This Row],[MARCA]],"
 MODELO: ",BDEGENER[[#This Row],[MODELO]])</f>
        <v>MARCA: GENERAC
 MODELO: PG090</v>
      </c>
      <c r="AS568" s="683" t="str">
        <f>CONCATENATE("MARCA: ",BDEGENER[[#This Row],[MARCA DE MOTOR]],"
SERIE: ",BDEGENER[[#This Row],[SERIE DE MOTOR]])</f>
        <v>MARCA: GENERAC
SERIE: 3004309058</v>
      </c>
      <c r="AT568" s="683" t="str">
        <f>CONCATENATE("MARCA: ",BDEGENER[[#This Row],[MARCA ALTERNADOR ]],"
SERIE: ",BDEGENER[[#This Row],[SERIE DE ALTERNADOR]])</f>
        <v>MARCA: GENERAC
SERIE: 106302850</v>
      </c>
      <c r="AU568" s="683" t="str">
        <f>CONCATENATE("HORAS: ",BDEGENER[[#This Row],[HORAS]],"
KW-HR: ",BDEGENER[[#This Row],[KW-HORA]],"
VOLT.BATERIA: ",BDEGENER[[#This Row],[VOLTAJE DE BATERIA]],"
TEMPERATURA: ",BDEGENER[[#This Row],[TEMPERATURA DE AGUA]],"
PRES. ACEITE: ",BDEGENER[[#This Row],[PRESION DE ACEITE]])</f>
        <v>HORAS: 997,8
KW-HR: 21648,4
VOLT.BATERIA: 13.4 V
TEMPERATURA: 150 °F
PRES. ACEITE: 60 PSI</v>
      </c>
      <c r="AV568" s="761">
        <f>COUNTIFS(Q568:Q2568,"MANTENIMIENTO CORRECTIVO",Y568:Y2568,BDEGENER[[#This Row],[SERIE]])</f>
        <v>3</v>
      </c>
      <c r="AW568" s="761">
        <f>COUNTIFS(Q568:Q2568,"MANTENIMIENTO PREVENTIVO",Y568:Y2568,BDEGENER[[#This Row],[SERIE]])</f>
        <v>3</v>
      </c>
      <c r="AX56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568" s="683">
        <f>COUNTIFS(BDEGENER[SERIE],BDEGENER[[#This Row],[SERIE]],BDEGENER[TIPO DE SERVICIO],"MANTENIMIENTO PREVENTIVO")</f>
        <v>6</v>
      </c>
      <c r="AZ568" s="683" t="str">
        <f>CONCATENATE("MANTENIMIENTO PREVENTIVO N°",BDEGENER[[#This Row],[GA1]])</f>
        <v>MANTENIMIENTO PREVENTIVO N°6</v>
      </c>
      <c r="BA568" s="683" t="str">
        <f>IF(BDEGENER[[#This Row],[SERVICIO]]=BDEGENER[[#This Row],[GA2]],BDEGENER[[#This Row],[HORAS]],"0")</f>
        <v>0</v>
      </c>
      <c r="BB568" s="683">
        <f>SUMIF(BDEGENER[SERIE],BDEGENER[[#This Row],[SERIE]],BDEGENER[GA3])</f>
        <v>1635.5</v>
      </c>
      <c r="BC568" s="761" t="str">
        <f>CONCATENATE("MANT",COUNTIF($Y$7:Y568,Y568))</f>
        <v>MANT6</v>
      </c>
      <c r="BD568" s="683" t="str">
        <f>CONCATENATE(BDEGENER[[#This Row],[SERIE]],BDEGENER[[#This Row],[GA5]])</f>
        <v>3004331708MANT6</v>
      </c>
      <c r="BE568" s="683" t="str">
        <f>CONCATENATE(BDEGENER[[#This Row],[CODIGO PATRIMONIAL]],BDEGENER[[#This Row],[GA5]])</f>
        <v>MANT6</v>
      </c>
      <c r="BF568" s="683">
        <f>COUNTIF(BDEGENER[SERIE],BDEGENER[[#This Row],[SERIE]])</f>
        <v>13</v>
      </c>
      <c r="BG568" s="761" t="str">
        <f>CONCATENATE("F",COUNTIF($K$7:K568,K568))</f>
        <v>F1</v>
      </c>
      <c r="BH568" s="683" t="str">
        <f>CONCATENATE(BDEGENER[[#This Row],[FECHA DE SERVICIO]],BDEGENER[[#This Row],[N° DE REGISTROS DEL DIA]])</f>
        <v>43903F1</v>
      </c>
      <c r="BI568" s="684">
        <v>21648.400000000001</v>
      </c>
      <c r="BJ568" s="683" t="s">
        <v>1544</v>
      </c>
      <c r="BK568" s="680"/>
    </row>
    <row r="569" spans="2:63" ht="69" hidden="1" x14ac:dyDescent="0.3">
      <c r="B569" s="2"/>
      <c r="C569" s="2"/>
      <c r="D569" s="2"/>
      <c r="E569" s="2"/>
      <c r="F569" s="2"/>
      <c r="G569" s="2"/>
      <c r="H569" s="2"/>
      <c r="I569" s="2"/>
      <c r="J569" s="685"/>
      <c r="K569" s="682">
        <v>43903</v>
      </c>
      <c r="L569" s="725" t="s">
        <v>181</v>
      </c>
      <c r="M569" s="683" t="s">
        <v>189</v>
      </c>
      <c r="N569" s="683" t="s">
        <v>1982</v>
      </c>
      <c r="O569" s="683"/>
      <c r="P569" s="688" t="s">
        <v>1983</v>
      </c>
      <c r="Q569" s="683" t="s">
        <v>107</v>
      </c>
      <c r="R569" s="683" t="s">
        <v>1984</v>
      </c>
      <c r="S569" s="686" t="s">
        <v>1985</v>
      </c>
      <c r="T569" s="683" t="s">
        <v>1986</v>
      </c>
      <c r="U569" s="683" t="s">
        <v>1987</v>
      </c>
      <c r="V569" s="683" t="s">
        <v>149</v>
      </c>
      <c r="W569" s="683" t="s">
        <v>914</v>
      </c>
      <c r="X569" s="691" t="s">
        <v>918</v>
      </c>
      <c r="Y569" s="687">
        <v>3004331709</v>
      </c>
      <c r="Z569" s="692"/>
      <c r="AA569" s="683" t="s">
        <v>33</v>
      </c>
      <c r="AB569" s="683" t="s">
        <v>34</v>
      </c>
      <c r="AC569" s="683" t="s">
        <v>230</v>
      </c>
      <c r="AD569" s="683" t="s">
        <v>1110</v>
      </c>
      <c r="AE569" s="683">
        <v>60.1</v>
      </c>
      <c r="AF569" s="684">
        <v>1206.7</v>
      </c>
      <c r="AG569" s="683" t="s">
        <v>243</v>
      </c>
      <c r="AH569" s="683" t="s">
        <v>220</v>
      </c>
      <c r="AI569" s="683" t="s">
        <v>33</v>
      </c>
      <c r="AJ569" s="683"/>
      <c r="AK569" s="683" t="s">
        <v>33</v>
      </c>
      <c r="AL569" s="683">
        <v>106302870</v>
      </c>
      <c r="AM569" s="683" t="s">
        <v>1121</v>
      </c>
      <c r="AN569" s="683" t="s">
        <v>1988</v>
      </c>
      <c r="AO569" s="683" t="s">
        <v>1383</v>
      </c>
      <c r="AP569" s="683" t="s">
        <v>240</v>
      </c>
      <c r="AQ569" s="688" t="str">
        <f>CONCATENATE("REG-",BDEGENER[[#This Row],[FECHA DE SERVICIO]],"-",BDEGENER[[#This Row],[SERIE]],"-",BDEGENER[[#This Row],[HORAS]])</f>
        <v>REG-43903-3004331709-1206,7</v>
      </c>
      <c r="AR569" s="683" t="str">
        <f>CONCATENATE("MARCA: ",BDEGENER[[#This Row],[MARCA]],"
 MODELO: ",BDEGENER[[#This Row],[MODELO]])</f>
        <v>MARCA: GENERAC
 MODELO: PG090</v>
      </c>
      <c r="AS569" s="683" t="str">
        <f>CONCATENATE("MARCA: ",BDEGENER[[#This Row],[MARCA DE MOTOR]],"
SERIE: ",BDEGENER[[#This Row],[SERIE DE MOTOR]])</f>
        <v xml:space="preserve">MARCA: GENERAC
SERIE: </v>
      </c>
      <c r="AT569" s="683" t="str">
        <f>CONCATENATE("MARCA: ",BDEGENER[[#This Row],[MARCA ALTERNADOR ]],"
SERIE: ",BDEGENER[[#This Row],[SERIE DE ALTERNADOR]])</f>
        <v>MARCA: GENERAC
SERIE: 106302870</v>
      </c>
      <c r="AU569" s="683" t="str">
        <f>CONCATENATE("HORAS: ",BDEGENER[[#This Row],[HORAS]],"
KW-HR: ",BDEGENER[[#This Row],[KW-HORA]],"
VOLT.BATERIA: ",BDEGENER[[#This Row],[VOLTAJE DE BATERIA]],"
TEMPERATURA: ",BDEGENER[[#This Row],[TEMPERATURA DE AGUA]],"
PRES. ACEITE: ",BDEGENER[[#This Row],[PRESION DE ACEITE]])</f>
        <v>HORAS: 1206,7
KW-HR: 24784
VOLT.BATERIA: 13.7 V
TEMPERATURA: 150 °F
PRES. ACEITE: 68 PSI</v>
      </c>
      <c r="AV569" s="683">
        <f>COUNTIFS(Q569:Q2569,"MANTENIMIENTO CORRECTIVO",Y569:Y2569,BDEGENER[[#This Row],[SERIE]])</f>
        <v>2</v>
      </c>
      <c r="AW569" s="683">
        <f>COUNTIFS(Q569:Q2569,"MANTENIMIENTO PREVENTIVO",Y569:Y2569,BDEGENER[[#This Row],[SERIE]])</f>
        <v>3</v>
      </c>
      <c r="AX56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569" s="683">
        <f>COUNTIFS(BDEGENER[SERIE],BDEGENER[[#This Row],[SERIE]],BDEGENER[TIPO DE SERVICIO],"MANTENIMIENTO PREVENTIVO")</f>
        <v>7</v>
      </c>
      <c r="AZ569" s="683" t="str">
        <f>CONCATENATE("MANTENIMIENTO PREVENTIVO N°",BDEGENER[[#This Row],[GA1]])</f>
        <v>MANTENIMIENTO PREVENTIVO N°7</v>
      </c>
      <c r="BA569" s="683" t="str">
        <f>IF(BDEGENER[[#This Row],[SERVICIO]]=BDEGENER[[#This Row],[GA2]],BDEGENER[[#This Row],[HORAS]],"0")</f>
        <v>0</v>
      </c>
      <c r="BB569" s="683">
        <f>SUMIF(BDEGENER[SERIE],BDEGENER[[#This Row],[SERIE]],BDEGENER[GA3])</f>
        <v>2248.5</v>
      </c>
      <c r="BC569" s="683" t="str">
        <f>CONCATENATE("MANT",COUNTIF($Y$7:Y569,Y569))</f>
        <v>MANT5</v>
      </c>
      <c r="BD569" s="683" t="str">
        <f>CONCATENATE(BDEGENER[[#This Row],[SERIE]],BDEGENER[[#This Row],[GA5]])</f>
        <v>3004331709MANT5</v>
      </c>
      <c r="BE569" s="683" t="str">
        <f>CONCATENATE(BDEGENER[[#This Row],[CODIGO PATRIMONIAL]],BDEGENER[[#This Row],[GA5]])</f>
        <v>MANT5</v>
      </c>
      <c r="BF569" s="683">
        <f>COUNTIF(BDEGENER[SERIE],BDEGENER[[#This Row],[SERIE]])</f>
        <v>11</v>
      </c>
      <c r="BG569" s="683" t="str">
        <f>CONCATENATE("F",COUNTIF($K$7:K569,K569))</f>
        <v>F2</v>
      </c>
      <c r="BH569" s="683" t="str">
        <f>CONCATENATE(BDEGENER[[#This Row],[FECHA DE SERVICIO]],BDEGENER[[#This Row],[N° DE REGISTROS DEL DIA]])</f>
        <v>43903F2</v>
      </c>
      <c r="BI569" s="684">
        <v>24784</v>
      </c>
      <c r="BJ569" s="683" t="s">
        <v>1544</v>
      </c>
      <c r="BK569" s="680"/>
    </row>
    <row r="570" spans="2:63" ht="69" hidden="1" x14ac:dyDescent="0.3">
      <c r="B570" s="2"/>
      <c r="C570" s="2"/>
      <c r="D570" s="2"/>
      <c r="E570" s="2"/>
      <c r="F570" s="2"/>
      <c r="G570" s="2"/>
      <c r="H570" s="2"/>
      <c r="I570" s="2"/>
      <c r="J570" s="685"/>
      <c r="K570" s="682">
        <v>43903</v>
      </c>
      <c r="L570" s="725" t="s">
        <v>181</v>
      </c>
      <c r="M570" s="683" t="s">
        <v>184</v>
      </c>
      <c r="N570" s="683" t="s">
        <v>183</v>
      </c>
      <c r="O570" s="683">
        <v>4500873022</v>
      </c>
      <c r="P570" s="688" t="s">
        <v>2001</v>
      </c>
      <c r="Q570" s="683" t="s">
        <v>37</v>
      </c>
      <c r="R570" s="683" t="s">
        <v>1782</v>
      </c>
      <c r="S570" s="686" t="s">
        <v>1979</v>
      </c>
      <c r="T570" s="683" t="s">
        <v>1981</v>
      </c>
      <c r="U570" s="683" t="s">
        <v>1980</v>
      </c>
      <c r="V570" s="683" t="s">
        <v>146</v>
      </c>
      <c r="W570" s="683" t="s">
        <v>914</v>
      </c>
      <c r="X570" s="691" t="s">
        <v>918</v>
      </c>
      <c r="Y570" s="687">
        <v>3004416580</v>
      </c>
      <c r="Z570" s="692"/>
      <c r="AA570" s="683" t="s">
        <v>33</v>
      </c>
      <c r="AB570" s="683" t="s">
        <v>34</v>
      </c>
      <c r="AC570" s="683" t="s">
        <v>230</v>
      </c>
      <c r="AD570" s="683" t="s">
        <v>1110</v>
      </c>
      <c r="AE570" s="683">
        <v>60</v>
      </c>
      <c r="AF570" s="684">
        <v>1402.9</v>
      </c>
      <c r="AG570" s="683" t="s">
        <v>243</v>
      </c>
      <c r="AH570" s="683" t="s">
        <v>220</v>
      </c>
      <c r="AI570" s="683" t="s">
        <v>33</v>
      </c>
      <c r="AJ570" s="683">
        <v>3004426061</v>
      </c>
      <c r="AK570" s="683" t="s">
        <v>33</v>
      </c>
      <c r="AL570" s="683">
        <v>107746810</v>
      </c>
      <c r="AM570" s="683" t="s">
        <v>1121</v>
      </c>
      <c r="AN570" s="683" t="s">
        <v>246</v>
      </c>
      <c r="AO570" s="683" t="s">
        <v>247</v>
      </c>
      <c r="AP570" s="683" t="s">
        <v>240</v>
      </c>
      <c r="AQ570" s="688" t="str">
        <f>CONCATENATE("REG-",BDEGENER[[#This Row],[FECHA DE SERVICIO]],"-",BDEGENER[[#This Row],[SERIE]],"-",BDEGENER[[#This Row],[HORAS]])</f>
        <v>REG-43903-3004416580-1402,9</v>
      </c>
      <c r="AR570" s="683" t="str">
        <f>CONCATENATE("MARCA: ",BDEGENER[[#This Row],[MARCA]],"
 MODELO: ",BDEGENER[[#This Row],[MODELO]])</f>
        <v>MARCA: GENERAC
 MODELO: PG090</v>
      </c>
      <c r="AS570" s="683" t="str">
        <f>CONCATENATE("MARCA: ",BDEGENER[[#This Row],[MARCA DE MOTOR]],"
SERIE: ",BDEGENER[[#This Row],[SERIE DE MOTOR]])</f>
        <v>MARCA: GENERAC
SERIE: 3004426061</v>
      </c>
      <c r="AT570" s="683" t="str">
        <f>CONCATENATE("MARCA: ",BDEGENER[[#This Row],[MARCA ALTERNADOR ]],"
SERIE: ",BDEGENER[[#This Row],[SERIE DE ALTERNADOR]])</f>
        <v>MARCA: GENERAC
SERIE: 107746810</v>
      </c>
      <c r="AU570" s="683" t="str">
        <f>CONCATENATE("HORAS: ",BDEGENER[[#This Row],[HORAS]],"
KW-HR: ",BDEGENER[[#This Row],[KW-HORA]],"
VOLT.BATERIA: ",BDEGENER[[#This Row],[VOLTAJE DE BATERIA]],"
TEMPERATURA: ",BDEGENER[[#This Row],[TEMPERATURA DE AGUA]],"
PRES. ACEITE: ",BDEGENER[[#This Row],[PRESION DE ACEITE]])</f>
        <v>HORAS: 1402,9
KW-HR: 13910,3
VOLT.BATERIA: 13.7 V
TEMPERATURA: 198 °F
PRES. ACEITE: 55 PSI</v>
      </c>
      <c r="AV570" s="683">
        <f>COUNTIFS(Q570:Q2570,"MANTENIMIENTO CORRECTIVO",Y570:Y2570,BDEGENER[[#This Row],[SERIE]])</f>
        <v>2</v>
      </c>
      <c r="AW570" s="683">
        <f>COUNTIFS(Q570:Q2570,"MANTENIMIENTO PREVENTIVO",Y570:Y2570,BDEGENER[[#This Row],[SERIE]])</f>
        <v>4</v>
      </c>
      <c r="AX57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70" s="683">
        <f>COUNTIFS(BDEGENER[SERIE],BDEGENER[[#This Row],[SERIE]],BDEGENER[TIPO DE SERVICIO],"MANTENIMIENTO PREVENTIVO")</f>
        <v>8</v>
      </c>
      <c r="AZ570" s="683" t="str">
        <f>CONCATENATE("MANTENIMIENTO PREVENTIVO N°",BDEGENER[[#This Row],[GA1]])</f>
        <v>MANTENIMIENTO PREVENTIVO N°8</v>
      </c>
      <c r="BA570" s="683" t="str">
        <f>IF(BDEGENER[[#This Row],[SERVICIO]]=BDEGENER[[#This Row],[GA2]],BDEGENER[[#This Row],[HORAS]],"0")</f>
        <v>0</v>
      </c>
      <c r="BB570" s="683">
        <f>SUMIF(BDEGENER[SERIE],BDEGENER[[#This Row],[SERIE]],BDEGENER[GA3])</f>
        <v>3113.9</v>
      </c>
      <c r="BC570" s="683" t="str">
        <f>CONCATENATE("MANT",COUNTIF($Y$7:Y570,Y570))</f>
        <v>MANT8</v>
      </c>
      <c r="BD570" s="683" t="str">
        <f>CONCATENATE(BDEGENER[[#This Row],[SERIE]],BDEGENER[[#This Row],[GA5]])</f>
        <v>3004416580MANT8</v>
      </c>
      <c r="BE570" s="683" t="str">
        <f>CONCATENATE(BDEGENER[[#This Row],[CODIGO PATRIMONIAL]],BDEGENER[[#This Row],[GA5]])</f>
        <v>MANT8</v>
      </c>
      <c r="BF570" s="683">
        <f>COUNTIF(BDEGENER[SERIE],BDEGENER[[#This Row],[SERIE]])</f>
        <v>14</v>
      </c>
      <c r="BG570" s="683" t="str">
        <f>CONCATENATE("F",COUNTIF($K$7:K570,K570))</f>
        <v>F3</v>
      </c>
      <c r="BH570" s="683" t="str">
        <f>CONCATENATE(BDEGENER[[#This Row],[FECHA DE SERVICIO]],BDEGENER[[#This Row],[N° DE REGISTROS DEL DIA]])</f>
        <v>43903F3</v>
      </c>
      <c r="BI570" s="684">
        <v>13910.3</v>
      </c>
      <c r="BJ570" s="683" t="s">
        <v>1544</v>
      </c>
      <c r="BK570" s="680"/>
    </row>
    <row r="571" spans="2:63" ht="69" hidden="1" x14ac:dyDescent="0.3">
      <c r="B571" s="2"/>
      <c r="C571" s="2"/>
      <c r="D571" s="2"/>
      <c r="E571" s="2"/>
      <c r="F571" s="2"/>
      <c r="G571" s="2"/>
      <c r="H571" s="2"/>
      <c r="I571" s="2"/>
      <c r="J571" s="685"/>
      <c r="K571" s="682">
        <v>43903</v>
      </c>
      <c r="L571" s="725" t="s">
        <v>181</v>
      </c>
      <c r="M571" s="683" t="s">
        <v>184</v>
      </c>
      <c r="N571" s="683" t="s">
        <v>183</v>
      </c>
      <c r="O571" s="683">
        <v>4500873022</v>
      </c>
      <c r="P571" s="688" t="s">
        <v>2001</v>
      </c>
      <c r="Q571" s="683" t="s">
        <v>37</v>
      </c>
      <c r="R571" s="683" t="s">
        <v>1782</v>
      </c>
      <c r="S571" s="686" t="s">
        <v>1979</v>
      </c>
      <c r="T571" s="683" t="s">
        <v>1981</v>
      </c>
      <c r="U571" s="683" t="s">
        <v>1980</v>
      </c>
      <c r="V571" s="683" t="s">
        <v>146</v>
      </c>
      <c r="W571" s="683" t="s">
        <v>914</v>
      </c>
      <c r="X571" s="691" t="s">
        <v>918</v>
      </c>
      <c r="Y571" s="687">
        <v>3004227749</v>
      </c>
      <c r="Z571" s="692"/>
      <c r="AA571" s="683" t="s">
        <v>33</v>
      </c>
      <c r="AB571" s="683" t="s">
        <v>34</v>
      </c>
      <c r="AC571" s="683" t="s">
        <v>230</v>
      </c>
      <c r="AD571" s="683" t="s">
        <v>1110</v>
      </c>
      <c r="AE571" s="683">
        <v>60</v>
      </c>
      <c r="AF571" s="684">
        <v>761.9</v>
      </c>
      <c r="AG571" s="683" t="s">
        <v>243</v>
      </c>
      <c r="AH571" s="683" t="s">
        <v>220</v>
      </c>
      <c r="AI571" s="683" t="s">
        <v>33</v>
      </c>
      <c r="AJ571" s="683">
        <v>3004231901</v>
      </c>
      <c r="AK571" s="683" t="s">
        <v>33</v>
      </c>
      <c r="AL571" s="683">
        <v>1063014</v>
      </c>
      <c r="AM571" s="683" t="s">
        <v>245</v>
      </c>
      <c r="AN571" s="683" t="s">
        <v>1143</v>
      </c>
      <c r="AO571" s="683" t="s">
        <v>247</v>
      </c>
      <c r="AP571" s="683" t="s">
        <v>240</v>
      </c>
      <c r="AQ571" s="688" t="str">
        <f>CONCATENATE("REG-",BDEGENER[[#This Row],[FECHA DE SERVICIO]],"-",BDEGENER[[#This Row],[SERIE]],"-",BDEGENER[[#This Row],[HORAS]])</f>
        <v>REG-43903-3004227749-761,9</v>
      </c>
      <c r="AR571" s="683" t="str">
        <f>CONCATENATE("MARCA: ",BDEGENER[[#This Row],[MARCA]],"
 MODELO: ",BDEGENER[[#This Row],[MODELO]])</f>
        <v>MARCA: GENERAC
 MODELO: PG090</v>
      </c>
      <c r="AS571" s="683" t="str">
        <f>CONCATENATE("MARCA: ",BDEGENER[[#This Row],[MARCA DE MOTOR]],"
SERIE: ",BDEGENER[[#This Row],[SERIE DE MOTOR]])</f>
        <v>MARCA: GENERAC
SERIE: 3004231901</v>
      </c>
      <c r="AT571" s="683" t="str">
        <f>CONCATENATE("MARCA: ",BDEGENER[[#This Row],[MARCA ALTERNADOR ]],"
SERIE: ",BDEGENER[[#This Row],[SERIE DE ALTERNADOR]])</f>
        <v>MARCA: GENERAC
SERIE: 1063014</v>
      </c>
      <c r="AU571" s="683" t="str">
        <f>CONCATENATE("HORAS: ",BDEGENER[[#This Row],[HORAS]],"
KW-HR: ",BDEGENER[[#This Row],[KW-HORA]],"
VOLT.BATERIA: ",BDEGENER[[#This Row],[VOLTAJE DE BATERIA]],"
TEMPERATURA: ",BDEGENER[[#This Row],[TEMPERATURA DE AGUA]],"
PRES. ACEITE: ",BDEGENER[[#This Row],[PRESION DE ACEITE]])</f>
        <v>HORAS: 761,9
KW-HR: 18618,3
VOLT.BATERIA: 13.6 V
TEMPERATURA: 197 °F
PRES. ACEITE: 55 PSI</v>
      </c>
      <c r="AV571" s="761">
        <f>COUNTIFS(Q571:Q2571,"MANTENIMIENTO CORRECTIVO",Y571:Y2571,BDEGENER[[#This Row],[SERIE]])</f>
        <v>2</v>
      </c>
      <c r="AW571" s="761">
        <f>COUNTIFS(Q571:Q2571,"MANTENIMIENTO PREVENTIVO",Y571:Y2571,BDEGENER[[#This Row],[SERIE]])</f>
        <v>3</v>
      </c>
      <c r="AX57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71" s="683">
        <f>COUNTIFS(BDEGENER[SERIE],BDEGENER[[#This Row],[SERIE]],BDEGENER[TIPO DE SERVICIO],"MANTENIMIENTO PREVENTIVO")</f>
        <v>8</v>
      </c>
      <c r="AZ571" s="683" t="str">
        <f>CONCATENATE("MANTENIMIENTO PREVENTIVO N°",BDEGENER[[#This Row],[GA1]])</f>
        <v>MANTENIMIENTO PREVENTIVO N°8</v>
      </c>
      <c r="BA571" s="683" t="str">
        <f>IF(BDEGENER[[#This Row],[SERVICIO]]=BDEGENER[[#This Row],[GA2]],BDEGENER[[#This Row],[HORAS]],"0")</f>
        <v>0</v>
      </c>
      <c r="BB571" s="683">
        <f>SUMIF(BDEGENER[SERIE],BDEGENER[[#This Row],[SERIE]],BDEGENER[GA3])</f>
        <v>2404.1999999999998</v>
      </c>
      <c r="BC571" s="761" t="str">
        <f>CONCATENATE("MANT",COUNTIF($Y$7:Y571,Y571))</f>
        <v>MANT10</v>
      </c>
      <c r="BD571" s="683" t="str">
        <f>CONCATENATE(BDEGENER[[#This Row],[SERIE]],BDEGENER[[#This Row],[GA5]])</f>
        <v>3004227749MANT10</v>
      </c>
      <c r="BE571" s="683" t="str">
        <f>CONCATENATE(BDEGENER[[#This Row],[CODIGO PATRIMONIAL]],BDEGENER[[#This Row],[GA5]])</f>
        <v>MANT10</v>
      </c>
      <c r="BF571" s="683">
        <f>COUNTIF(BDEGENER[SERIE],BDEGENER[[#This Row],[SERIE]])</f>
        <v>16</v>
      </c>
      <c r="BG571" s="761" t="str">
        <f>CONCATENATE("F",COUNTIF($K$7:K571,K571))</f>
        <v>F4</v>
      </c>
      <c r="BH571" s="683" t="str">
        <f>CONCATENATE(BDEGENER[[#This Row],[FECHA DE SERVICIO]],BDEGENER[[#This Row],[N° DE REGISTROS DEL DIA]])</f>
        <v>43903F4</v>
      </c>
      <c r="BI571" s="684">
        <v>18618.3</v>
      </c>
      <c r="BJ571" s="683" t="s">
        <v>1544</v>
      </c>
      <c r="BK571" s="680"/>
    </row>
    <row r="572" spans="2:63" ht="69" hidden="1" x14ac:dyDescent="0.3">
      <c r="B572" s="2"/>
      <c r="C572" s="2"/>
      <c r="D572" s="2"/>
      <c r="E572" s="2"/>
      <c r="F572" s="2"/>
      <c r="G572" s="2"/>
      <c r="H572" s="2"/>
      <c r="I572" s="2"/>
      <c r="J572" s="685"/>
      <c r="K572" s="682">
        <v>43902</v>
      </c>
      <c r="L572" s="725" t="s">
        <v>181</v>
      </c>
      <c r="M572" s="683" t="s">
        <v>184</v>
      </c>
      <c r="N572" s="683" t="s">
        <v>183</v>
      </c>
      <c r="O572" s="683">
        <v>4500848079</v>
      </c>
      <c r="P572" s="688" t="s">
        <v>1960</v>
      </c>
      <c r="Q572" s="683" t="s">
        <v>37</v>
      </c>
      <c r="R572" s="683" t="s">
        <v>2100</v>
      </c>
      <c r="S572" s="686" t="s">
        <v>1956</v>
      </c>
      <c r="T572" s="683" t="s">
        <v>1957</v>
      </c>
      <c r="U572" s="683" t="s">
        <v>1958</v>
      </c>
      <c r="V572" s="683" t="s">
        <v>146</v>
      </c>
      <c r="W572" s="683" t="s">
        <v>914</v>
      </c>
      <c r="X572" s="691" t="s">
        <v>918</v>
      </c>
      <c r="Y572" s="687">
        <v>3004402508</v>
      </c>
      <c r="Z572" s="692"/>
      <c r="AA572" s="683" t="s">
        <v>33</v>
      </c>
      <c r="AB572" s="683" t="s">
        <v>34</v>
      </c>
      <c r="AC572" s="683" t="s">
        <v>230</v>
      </c>
      <c r="AD572" s="683" t="s">
        <v>1110</v>
      </c>
      <c r="AE572" s="683">
        <v>60</v>
      </c>
      <c r="AF572" s="684">
        <v>526.70000000000005</v>
      </c>
      <c r="AG572" s="683" t="s">
        <v>243</v>
      </c>
      <c r="AH572" s="683" t="s">
        <v>220</v>
      </c>
      <c r="AI572" s="683" t="s">
        <v>33</v>
      </c>
      <c r="AJ572" s="722">
        <v>3004425773</v>
      </c>
      <c r="AK572" s="683" t="s">
        <v>33</v>
      </c>
      <c r="AL572" s="683">
        <v>106310050</v>
      </c>
      <c r="AM572" s="683" t="s">
        <v>1121</v>
      </c>
      <c r="AN572" s="683" t="s">
        <v>1102</v>
      </c>
      <c r="AO572" s="683" t="s">
        <v>1959</v>
      </c>
      <c r="AP572" s="683" t="s">
        <v>240</v>
      </c>
      <c r="AQ572" s="688" t="str">
        <f>CONCATENATE("REG-",BDEGENER[[#This Row],[FECHA DE SERVICIO]],"-",BDEGENER[[#This Row],[SERIE]],"-",BDEGENER[[#This Row],[HORAS]])</f>
        <v>REG-43902-3004402508-526,7</v>
      </c>
      <c r="AR572" s="683" t="str">
        <f>CONCATENATE("MARCA: ",BDEGENER[[#This Row],[MARCA]],"
 MODELO: ",BDEGENER[[#This Row],[MODELO]])</f>
        <v>MARCA: GENERAC
 MODELO: PG090</v>
      </c>
      <c r="AS572" s="683" t="str">
        <f>CONCATENATE("MARCA: ",BDEGENER[[#This Row],[MARCA DE MOTOR]],"
SERIE: ",BDEGENER[[#This Row],[SERIE DE MOTOR]])</f>
        <v>MARCA: GENERAC
SERIE: 3004425773</v>
      </c>
      <c r="AT572" s="683" t="str">
        <f>CONCATENATE("MARCA: ",BDEGENER[[#This Row],[MARCA ALTERNADOR ]],"
SERIE: ",BDEGENER[[#This Row],[SERIE DE ALTERNADOR]])</f>
        <v>MARCA: GENERAC
SERIE: 106310050</v>
      </c>
      <c r="AU572" s="683" t="str">
        <f>CONCATENATE("HORAS: ",BDEGENER[[#This Row],[HORAS]],"
KW-HR: ",BDEGENER[[#This Row],[KW-HORA]],"
VOLT.BATERIA: ",BDEGENER[[#This Row],[VOLTAJE DE BATERIA]],"
TEMPERATURA: ",BDEGENER[[#This Row],[TEMPERATURA DE AGUA]],"
PRES. ACEITE: ",BDEGENER[[#This Row],[PRESION DE ACEITE]])</f>
        <v>HORAS: 526,7
KW-HR: 9437,9
VOLT.BATERIA: 13.7 V
TEMPERATURA: 199 °F
PRES. ACEITE: 38 PSI</v>
      </c>
      <c r="AV572" s="683">
        <f>COUNTIFS(Q572:Q2572,"MANTENIMIENTO CORRECTIVO",Y572:Y2572,BDEGENER[[#This Row],[SERIE]])</f>
        <v>2</v>
      </c>
      <c r="AW572" s="683">
        <f>COUNTIFS(Q572:Q2572,"MANTENIMIENTO PREVENTIVO",Y572:Y2572,BDEGENER[[#This Row],[SERIE]])</f>
        <v>2</v>
      </c>
      <c r="AX57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572" s="683">
        <f>COUNTIFS(BDEGENER[SERIE],BDEGENER[[#This Row],[SERIE]],BDEGENER[TIPO DE SERVICIO],"MANTENIMIENTO PREVENTIVO")</f>
        <v>8</v>
      </c>
      <c r="AZ572" s="683" t="str">
        <f>CONCATENATE("MANTENIMIENTO PREVENTIVO N°",BDEGENER[[#This Row],[GA1]])</f>
        <v>MANTENIMIENTO PREVENTIVO N°8</v>
      </c>
      <c r="BA572" s="683" t="str">
        <f>IF(BDEGENER[[#This Row],[SERVICIO]]=BDEGENER[[#This Row],[GA2]],BDEGENER[[#This Row],[HORAS]],"0")</f>
        <v>0</v>
      </c>
      <c r="BB572" s="683">
        <f>SUMIF(BDEGENER[SERIE],BDEGENER[[#This Row],[SERIE]],BDEGENER[GA3])</f>
        <v>2186.3000000000002</v>
      </c>
      <c r="BC572" s="683" t="str">
        <f>CONCATENATE("MANT",COUNTIF($Y$7:Y572,Y572))</f>
        <v>MANT10</v>
      </c>
      <c r="BD572" s="683" t="str">
        <f>CONCATENATE(BDEGENER[[#This Row],[SERIE]],BDEGENER[[#This Row],[GA5]])</f>
        <v>3004402508MANT10</v>
      </c>
      <c r="BE572" s="683" t="str">
        <f>CONCATENATE(BDEGENER[[#This Row],[CODIGO PATRIMONIAL]],BDEGENER[[#This Row],[GA5]])</f>
        <v>MANT10</v>
      </c>
      <c r="BF572" s="683">
        <f>COUNTIF(BDEGENER[SERIE],BDEGENER[[#This Row],[SERIE]])</f>
        <v>15</v>
      </c>
      <c r="BG572" s="683" t="str">
        <f>CONCATENATE("F",COUNTIF($K$7:K572,K572))</f>
        <v>F1</v>
      </c>
      <c r="BH572" s="683" t="str">
        <f>CONCATENATE(BDEGENER[[#This Row],[FECHA DE SERVICIO]],BDEGENER[[#This Row],[N° DE REGISTROS DEL DIA]])</f>
        <v>43902F1</v>
      </c>
      <c r="BI572" s="684">
        <v>9437.9</v>
      </c>
      <c r="BJ572" s="683" t="s">
        <v>1544</v>
      </c>
      <c r="BK572" s="680"/>
    </row>
    <row r="573" spans="2:63" ht="69" hidden="1" x14ac:dyDescent="0.3">
      <c r="B573" s="2"/>
      <c r="C573" s="2"/>
      <c r="D573" s="2"/>
      <c r="E573" s="2"/>
      <c r="F573" s="2"/>
      <c r="G573" s="2"/>
      <c r="H573" s="2"/>
      <c r="I573" s="2"/>
      <c r="J573" s="685"/>
      <c r="K573" s="682">
        <v>43902</v>
      </c>
      <c r="L573" s="725" t="s">
        <v>181</v>
      </c>
      <c r="M573" s="683" t="s">
        <v>184</v>
      </c>
      <c r="N573" s="683" t="s">
        <v>183</v>
      </c>
      <c r="O573" s="683"/>
      <c r="P573" s="683"/>
      <c r="Q573" s="683" t="s">
        <v>107</v>
      </c>
      <c r="R573" s="683" t="s">
        <v>2002</v>
      </c>
      <c r="S573" s="686" t="s">
        <v>2003</v>
      </c>
      <c r="T573" s="683" t="s">
        <v>2004</v>
      </c>
      <c r="U573" s="683" t="s">
        <v>2005</v>
      </c>
      <c r="V573" s="683" t="s">
        <v>146</v>
      </c>
      <c r="W573" s="683" t="s">
        <v>914</v>
      </c>
      <c r="X573" s="691" t="s">
        <v>918</v>
      </c>
      <c r="Y573" s="687">
        <v>3004336197</v>
      </c>
      <c r="Z573" s="692"/>
      <c r="AA573" s="683" t="s">
        <v>33</v>
      </c>
      <c r="AB573" s="683" t="s">
        <v>34</v>
      </c>
      <c r="AC573" s="683" t="s">
        <v>230</v>
      </c>
      <c r="AD573" s="683" t="s">
        <v>1993</v>
      </c>
      <c r="AE573" s="683">
        <v>60</v>
      </c>
      <c r="AF573" s="684">
        <v>865.2</v>
      </c>
      <c r="AG573" s="683" t="s">
        <v>243</v>
      </c>
      <c r="AH573" s="683" t="s">
        <v>220</v>
      </c>
      <c r="AI573" s="683" t="s">
        <v>33</v>
      </c>
      <c r="AJ573" s="683">
        <v>3004309062</v>
      </c>
      <c r="AK573" s="683" t="s">
        <v>33</v>
      </c>
      <c r="AL573" s="683">
        <v>1065072</v>
      </c>
      <c r="AM573" s="683"/>
      <c r="AN573" s="683"/>
      <c r="AO573" s="683"/>
      <c r="AP573" s="683" t="s">
        <v>240</v>
      </c>
      <c r="AQ573" s="688" t="str">
        <f>CONCATENATE("REG-",BDEGENER[[#This Row],[FECHA DE SERVICIO]],"-",BDEGENER[[#This Row],[SERIE]],"-",BDEGENER[[#This Row],[HORAS]])</f>
        <v>REG-43902-3004336197-865,2</v>
      </c>
      <c r="AR573" s="683" t="str">
        <f>CONCATENATE("MARCA: ",BDEGENER[[#This Row],[MARCA]],"
 MODELO: ",BDEGENER[[#This Row],[MODELO]])</f>
        <v>MARCA: GENERAC
 MODELO: PG090</v>
      </c>
      <c r="AS573" s="683" t="str">
        <f>CONCATENATE("MARCA: ",BDEGENER[[#This Row],[MARCA DE MOTOR]],"
SERIE: ",BDEGENER[[#This Row],[SERIE DE MOTOR]])</f>
        <v>MARCA: GENERAC
SERIE: 3004309062</v>
      </c>
      <c r="AT573" s="683" t="str">
        <f>CONCATENATE("MARCA: ",BDEGENER[[#This Row],[MARCA ALTERNADOR ]],"
SERIE: ",BDEGENER[[#This Row],[SERIE DE ALTERNADOR]])</f>
        <v>MARCA: GENERAC
SERIE: 1065072</v>
      </c>
      <c r="AU573" s="683" t="str">
        <f>CONCATENATE("HORAS: ",BDEGENER[[#This Row],[HORAS]],"
KW-HR: ",BDEGENER[[#This Row],[KW-HORA]],"
VOLT.BATERIA: ",BDEGENER[[#This Row],[VOLTAJE DE BATERIA]],"
TEMPERATURA: ",BDEGENER[[#This Row],[TEMPERATURA DE AGUA]],"
PRES. ACEITE: ",BDEGENER[[#This Row],[PRESION DE ACEITE]])</f>
        <v xml:space="preserve">HORAS: 865,2
KW-HR: 17648,3
VOLT.BATERIA: 
TEMPERATURA: 
PRES. ACEITE: </v>
      </c>
      <c r="AV573" s="683">
        <f>COUNTIFS(Q573:Q2573,"MANTENIMIENTO CORRECTIVO",Y573:Y2573,BDEGENER[[#This Row],[SERIE]])</f>
        <v>3</v>
      </c>
      <c r="AW573" s="683">
        <f>COUNTIFS(Q573:Q2573,"MANTENIMIENTO PREVENTIVO",Y573:Y2573,BDEGENER[[#This Row],[SERIE]])</f>
        <v>3</v>
      </c>
      <c r="AX57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573" s="683">
        <f>COUNTIFS(BDEGENER[SERIE],BDEGENER[[#This Row],[SERIE]],BDEGENER[TIPO DE SERVICIO],"MANTENIMIENTO PREVENTIVO")</f>
        <v>9</v>
      </c>
      <c r="AZ573" s="683" t="str">
        <f>CONCATENATE("MANTENIMIENTO PREVENTIVO N°",BDEGENER[[#This Row],[GA1]])</f>
        <v>MANTENIMIENTO PREVENTIVO N°9</v>
      </c>
      <c r="BA573" s="683" t="str">
        <f>IF(BDEGENER[[#This Row],[SERVICIO]]=BDEGENER[[#This Row],[GA2]],BDEGENER[[#This Row],[HORAS]],"0")</f>
        <v>0</v>
      </c>
      <c r="BB573" s="683">
        <f>SUMIF(BDEGENER[SERIE],BDEGENER[[#This Row],[SERIE]],BDEGENER[GA3])</f>
        <v>2922.3</v>
      </c>
      <c r="BC573" s="683" t="str">
        <f>CONCATENATE("MANT",COUNTIF($Y$7:Y573,Y573))</f>
        <v>MANT11</v>
      </c>
      <c r="BD573" s="683" t="str">
        <f>CONCATENATE(BDEGENER[[#This Row],[SERIE]],BDEGENER[[#This Row],[GA5]])</f>
        <v>3004336197MANT11</v>
      </c>
      <c r="BE573" s="683" t="str">
        <f>CONCATENATE(BDEGENER[[#This Row],[CODIGO PATRIMONIAL]],BDEGENER[[#This Row],[GA5]])</f>
        <v>MANT11</v>
      </c>
      <c r="BF573" s="683">
        <f>COUNTIF(BDEGENER[SERIE],BDEGENER[[#This Row],[SERIE]])</f>
        <v>17</v>
      </c>
      <c r="BG573" s="683" t="str">
        <f>CONCATENATE("F",COUNTIF($K$7:K573,K573))</f>
        <v>F2</v>
      </c>
      <c r="BH573" s="683" t="str">
        <f>CONCATENATE(BDEGENER[[#This Row],[FECHA DE SERVICIO]],BDEGENER[[#This Row],[N° DE REGISTROS DEL DIA]])</f>
        <v>43902F2</v>
      </c>
      <c r="BI573" s="684">
        <v>17648.3</v>
      </c>
      <c r="BJ573" s="683" t="s">
        <v>1544</v>
      </c>
      <c r="BK573" s="680"/>
    </row>
    <row r="574" spans="2:63" ht="69" hidden="1" x14ac:dyDescent="0.3">
      <c r="B574" s="2"/>
      <c r="C574" s="2"/>
      <c r="D574" s="2"/>
      <c r="E574" s="2"/>
      <c r="F574" s="2"/>
      <c r="G574" s="2"/>
      <c r="H574" s="2"/>
      <c r="I574" s="2"/>
      <c r="J574" s="685"/>
      <c r="K574" s="682">
        <v>43902</v>
      </c>
      <c r="L574" s="725" t="s">
        <v>181</v>
      </c>
      <c r="M574" s="683" t="s">
        <v>184</v>
      </c>
      <c r="N574" s="683" t="s">
        <v>183</v>
      </c>
      <c r="O574" s="683"/>
      <c r="P574" s="683"/>
      <c r="Q574" s="683" t="s">
        <v>107</v>
      </c>
      <c r="R574" s="683" t="s">
        <v>2002</v>
      </c>
      <c r="S574" s="686" t="s">
        <v>2003</v>
      </c>
      <c r="T574" s="683" t="s">
        <v>2004</v>
      </c>
      <c r="U574" s="683" t="s">
        <v>2005</v>
      </c>
      <c r="V574" s="683" t="s">
        <v>146</v>
      </c>
      <c r="W574" s="683" t="s">
        <v>914</v>
      </c>
      <c r="X574" s="691" t="s">
        <v>918</v>
      </c>
      <c r="Y574" s="687">
        <v>3004227749</v>
      </c>
      <c r="Z574" s="692"/>
      <c r="AA574" s="683" t="s">
        <v>33</v>
      </c>
      <c r="AB574" s="683" t="s">
        <v>34</v>
      </c>
      <c r="AC574" s="683" t="s">
        <v>230</v>
      </c>
      <c r="AD574" s="683" t="s">
        <v>1110</v>
      </c>
      <c r="AE574" s="683">
        <v>60</v>
      </c>
      <c r="AF574" s="684">
        <v>761.6</v>
      </c>
      <c r="AG574" s="683" t="s">
        <v>243</v>
      </c>
      <c r="AH574" s="683" t="s">
        <v>220</v>
      </c>
      <c r="AI574" s="683" t="s">
        <v>33</v>
      </c>
      <c r="AJ574" s="683">
        <v>3004231901</v>
      </c>
      <c r="AK574" s="683" t="s">
        <v>33</v>
      </c>
      <c r="AL574" s="683">
        <v>1063014</v>
      </c>
      <c r="AM574" s="683"/>
      <c r="AN574" s="683"/>
      <c r="AO574" s="683"/>
      <c r="AP574" s="683" t="s">
        <v>240</v>
      </c>
      <c r="AQ574" s="688" t="str">
        <f>CONCATENATE("REG-",BDEGENER[[#This Row],[FECHA DE SERVICIO]],"-",BDEGENER[[#This Row],[SERIE]],"-",BDEGENER[[#This Row],[HORAS]])</f>
        <v>REG-43902-3004227749-761,6</v>
      </c>
      <c r="AR574" s="683" t="str">
        <f>CONCATENATE("MARCA: ",BDEGENER[[#This Row],[MARCA]],"
 MODELO: ",BDEGENER[[#This Row],[MODELO]])</f>
        <v>MARCA: GENERAC
 MODELO: PG090</v>
      </c>
      <c r="AS574" s="683" t="str">
        <f>CONCATENATE("MARCA: ",BDEGENER[[#This Row],[MARCA DE MOTOR]],"
SERIE: ",BDEGENER[[#This Row],[SERIE DE MOTOR]])</f>
        <v>MARCA: GENERAC
SERIE: 3004231901</v>
      </c>
      <c r="AT574" s="683" t="str">
        <f>CONCATENATE("MARCA: ",BDEGENER[[#This Row],[MARCA ALTERNADOR ]],"
SERIE: ",BDEGENER[[#This Row],[SERIE DE ALTERNADOR]])</f>
        <v>MARCA: GENERAC
SERIE: 1063014</v>
      </c>
      <c r="AU574" s="683" t="str">
        <f>CONCATENATE("HORAS: ",BDEGENER[[#This Row],[HORAS]],"
KW-HR: ",BDEGENER[[#This Row],[KW-HORA]],"
VOLT.BATERIA: ",BDEGENER[[#This Row],[VOLTAJE DE BATERIA]],"
TEMPERATURA: ",BDEGENER[[#This Row],[TEMPERATURA DE AGUA]],"
PRES. ACEITE: ",BDEGENER[[#This Row],[PRESION DE ACEITE]])</f>
        <v xml:space="preserve">HORAS: 761,6
KW-HR: 18618,3
VOLT.BATERIA: 
TEMPERATURA: 
PRES. ACEITE: </v>
      </c>
      <c r="AV574" s="761">
        <f>COUNTIFS(Q574:Q2574,"MANTENIMIENTO CORRECTIVO",Y574:Y2574,BDEGENER[[#This Row],[SERIE]])</f>
        <v>2</v>
      </c>
      <c r="AW574" s="761">
        <f>COUNTIFS(Q574:Q2574,"MANTENIMIENTO PREVENTIVO",Y574:Y2574,BDEGENER[[#This Row],[SERIE]])</f>
        <v>2</v>
      </c>
      <c r="AX57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574" s="683">
        <f>COUNTIFS(BDEGENER[SERIE],BDEGENER[[#This Row],[SERIE]],BDEGENER[TIPO DE SERVICIO],"MANTENIMIENTO PREVENTIVO")</f>
        <v>8</v>
      </c>
      <c r="AZ574" s="683" t="str">
        <f>CONCATENATE("MANTENIMIENTO PREVENTIVO N°",BDEGENER[[#This Row],[GA1]])</f>
        <v>MANTENIMIENTO PREVENTIVO N°8</v>
      </c>
      <c r="BA574" s="683" t="str">
        <f>IF(BDEGENER[[#This Row],[SERVICIO]]=BDEGENER[[#This Row],[GA2]],BDEGENER[[#This Row],[HORAS]],"0")</f>
        <v>0</v>
      </c>
      <c r="BB574" s="683">
        <f>SUMIF(BDEGENER[SERIE],BDEGENER[[#This Row],[SERIE]],BDEGENER[GA3])</f>
        <v>2404.1999999999998</v>
      </c>
      <c r="BC574" s="761" t="str">
        <f>CONCATENATE("MANT",COUNTIF($Y$7:Y574,Y574))</f>
        <v>MANT11</v>
      </c>
      <c r="BD574" s="683" t="str">
        <f>CONCATENATE(BDEGENER[[#This Row],[SERIE]],BDEGENER[[#This Row],[GA5]])</f>
        <v>3004227749MANT11</v>
      </c>
      <c r="BE574" s="683" t="str">
        <f>CONCATENATE(BDEGENER[[#This Row],[CODIGO PATRIMONIAL]],BDEGENER[[#This Row],[GA5]])</f>
        <v>MANT11</v>
      </c>
      <c r="BF574" s="683">
        <f>COUNTIF(BDEGENER[SERIE],BDEGENER[[#This Row],[SERIE]])</f>
        <v>16</v>
      </c>
      <c r="BG574" s="761" t="str">
        <f>CONCATENATE("F",COUNTIF($K$7:K574,K574))</f>
        <v>F3</v>
      </c>
      <c r="BH574" s="683" t="str">
        <f>CONCATENATE(BDEGENER[[#This Row],[FECHA DE SERVICIO]],BDEGENER[[#This Row],[N° DE REGISTROS DEL DIA]])</f>
        <v>43902F3</v>
      </c>
      <c r="BI574" s="684">
        <v>18618.3</v>
      </c>
      <c r="BJ574" s="683" t="s">
        <v>1544</v>
      </c>
      <c r="BK574" s="680"/>
    </row>
    <row r="575" spans="2:63" ht="69" hidden="1" x14ac:dyDescent="0.3">
      <c r="B575" s="2"/>
      <c r="C575" s="2"/>
      <c r="D575" s="2"/>
      <c r="E575" s="2"/>
      <c r="F575" s="2"/>
      <c r="G575" s="2"/>
      <c r="H575" s="2"/>
      <c r="I575" s="2"/>
      <c r="J575" s="685"/>
      <c r="K575" s="682">
        <v>43901</v>
      </c>
      <c r="L575" s="725" t="s">
        <v>1546</v>
      </c>
      <c r="M575" s="683" t="s">
        <v>1395</v>
      </c>
      <c r="N575" s="683" t="s">
        <v>1547</v>
      </c>
      <c r="O575" s="683"/>
      <c r="P575" s="683"/>
      <c r="Q575" s="683" t="s">
        <v>108</v>
      </c>
      <c r="R575" s="683" t="s">
        <v>1942</v>
      </c>
      <c r="S575" s="686" t="s">
        <v>1943</v>
      </c>
      <c r="T575" s="683" t="s">
        <v>1955</v>
      </c>
      <c r="U575" s="683" t="s">
        <v>1944</v>
      </c>
      <c r="V575" s="683" t="s">
        <v>148</v>
      </c>
      <c r="W575" s="683" t="s">
        <v>914</v>
      </c>
      <c r="X575" s="691" t="s">
        <v>917</v>
      </c>
      <c r="Y575" s="687">
        <v>3002933964</v>
      </c>
      <c r="Z575" s="692"/>
      <c r="AA575" s="683" t="s">
        <v>33</v>
      </c>
      <c r="AB575" s="683" t="s">
        <v>1446</v>
      </c>
      <c r="AC575" s="683" t="s">
        <v>1445</v>
      </c>
      <c r="AD575" s="683" t="s">
        <v>1087</v>
      </c>
      <c r="AE575" s="683">
        <v>62</v>
      </c>
      <c r="AF575" s="684">
        <v>0.4</v>
      </c>
      <c r="AG575" s="683" t="s">
        <v>243</v>
      </c>
      <c r="AH575" s="683" t="s">
        <v>1946</v>
      </c>
      <c r="AI575" s="683" t="s">
        <v>844</v>
      </c>
      <c r="AJ575" s="683" t="s">
        <v>1951</v>
      </c>
      <c r="AK575" s="683" t="s">
        <v>1448</v>
      </c>
      <c r="AL575" s="683" t="s">
        <v>1952</v>
      </c>
      <c r="AM575" s="683" t="s">
        <v>1858</v>
      </c>
      <c r="AN575" s="683" t="s">
        <v>1953</v>
      </c>
      <c r="AO575" s="683" t="s">
        <v>1954</v>
      </c>
      <c r="AP575" s="683" t="s">
        <v>240</v>
      </c>
      <c r="AQ575" s="688" t="str">
        <f>CONCATENATE("REG-",BDEGENER[[#This Row],[FECHA DE SERVICIO]],"-",BDEGENER[[#This Row],[SERIE]],"-",BDEGENER[[#This Row],[HORAS]])</f>
        <v>REG-43901-3002933964-0,4</v>
      </c>
      <c r="AR575" s="683" t="str">
        <f>CONCATENATE("MARCA: ",BDEGENER[[#This Row],[MARCA]],"
 MODELO: ",BDEGENER[[#This Row],[MODELO]])</f>
        <v>MARCA: GENERAC
 MODELO: PLY125</v>
      </c>
      <c r="AS575" s="683" t="str">
        <f>CONCATENATE("MARCA: ",BDEGENER[[#This Row],[MARCA DE MOTOR]],"
SERIE: ",BDEGENER[[#This Row],[SERIE DE MOTOR]])</f>
        <v>MARCA: PERKINS
SERIE: PP71370U061051C</v>
      </c>
      <c r="AT575" s="683" t="str">
        <f>CONCATENATE("MARCA: ",BDEGENER[[#This Row],[MARCA ALTERNADOR ]],"
SERIE: ",BDEGENER[[#This Row],[SERIE DE ALTERNADOR]])</f>
        <v>MARCA: LEROY SOMER
SERIE: 346063/19</v>
      </c>
      <c r="AU575" s="683" t="str">
        <f>CONCATENATE("HORAS: ",BDEGENER[[#This Row],[HORAS]],"
KW-HR: ",BDEGENER[[#This Row],[KW-HORA]],"
VOLT.BATERIA: ",BDEGENER[[#This Row],[VOLTAJE DE BATERIA]],"
TEMPERATURA: ",BDEGENER[[#This Row],[TEMPERATURA DE AGUA]],"
PRES. ACEITE: ",BDEGENER[[#This Row],[PRESION DE ACEITE]])</f>
        <v>HORAS: 0,4
KW-HR: 
VOLT.BATERIA: 14.1 V
TEMPERATURA: 148 °F
PRES. ACEITE: 98 PSI</v>
      </c>
      <c r="AV575" s="683">
        <f>COUNTIFS(Q575:Q2575,"MANTENIMIENTO CORRECTIVO",Y575:Y2575,BDEGENER[[#This Row],[SERIE]])</f>
        <v>0</v>
      </c>
      <c r="AW575" s="683">
        <f>COUNTIFS(Q575:Q2575,"MANTENIMIENTO PREVENTIVO",Y575:Y2575,BDEGENER[[#This Row],[SERIE]])</f>
        <v>0</v>
      </c>
      <c r="AX57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75" s="683">
        <f>COUNTIFS(BDEGENER[SERIE],BDEGENER[[#This Row],[SERIE]],BDEGENER[TIPO DE SERVICIO],"MANTENIMIENTO PREVENTIVO")</f>
        <v>4</v>
      </c>
      <c r="AZ575" s="683" t="str">
        <f>CONCATENATE("MANTENIMIENTO PREVENTIVO N°",BDEGENER[[#This Row],[GA1]])</f>
        <v>MANTENIMIENTO PREVENTIVO N°4</v>
      </c>
      <c r="BA575" s="683" t="str">
        <f>IF(BDEGENER[[#This Row],[SERVICIO]]=BDEGENER[[#This Row],[GA2]],BDEGENER[[#This Row],[HORAS]],"0")</f>
        <v>0</v>
      </c>
      <c r="BB575" s="683">
        <f>SUMIF(BDEGENER[SERIE],BDEGENER[[#This Row],[SERIE]],BDEGENER[GA3])</f>
        <v>1609.45</v>
      </c>
      <c r="BC575" s="683" t="str">
        <f>CONCATENATE("MANT",COUNTIF($Y$7:Y575,Y575))</f>
        <v>MANT8</v>
      </c>
      <c r="BD575" s="683" t="str">
        <f>CONCATENATE(BDEGENER[[#This Row],[SERIE]],BDEGENER[[#This Row],[GA5]])</f>
        <v>3002933964MANT8</v>
      </c>
      <c r="BE575" s="683" t="str">
        <f>CONCATENATE(BDEGENER[[#This Row],[CODIGO PATRIMONIAL]],BDEGENER[[#This Row],[GA5]])</f>
        <v>MANT8</v>
      </c>
      <c r="BF575" s="683">
        <f>COUNTIF(BDEGENER[SERIE],BDEGENER[[#This Row],[SERIE]])</f>
        <v>8</v>
      </c>
      <c r="BG575" s="683" t="str">
        <f>CONCATENATE("F",COUNTIF($K$7:K575,K575))</f>
        <v>F1</v>
      </c>
      <c r="BH575" s="683" t="str">
        <f>CONCATENATE(BDEGENER[[#This Row],[FECHA DE SERVICIO]],BDEGENER[[#This Row],[N° DE REGISTROS DEL DIA]])</f>
        <v>43901F1</v>
      </c>
      <c r="BI575" s="684"/>
      <c r="BJ575" s="683" t="s">
        <v>1545</v>
      </c>
      <c r="BK575" s="680"/>
    </row>
    <row r="576" spans="2:63" ht="69" hidden="1" x14ac:dyDescent="0.3">
      <c r="B576" s="2"/>
      <c r="C576" s="2"/>
      <c r="D576" s="2"/>
      <c r="E576" s="2"/>
      <c r="F576" s="2"/>
      <c r="G576" s="2"/>
      <c r="H576" s="2"/>
      <c r="I576" s="2"/>
      <c r="J576" s="685"/>
      <c r="K576" s="682">
        <v>43901</v>
      </c>
      <c r="L576" s="725" t="s">
        <v>1546</v>
      </c>
      <c r="M576" s="683" t="s">
        <v>1395</v>
      </c>
      <c r="N576" s="683" t="s">
        <v>1547</v>
      </c>
      <c r="O576" s="683"/>
      <c r="P576" s="683"/>
      <c r="Q576" s="683" t="s">
        <v>108</v>
      </c>
      <c r="R576" s="683" t="s">
        <v>1942</v>
      </c>
      <c r="S576" s="686" t="s">
        <v>1943</v>
      </c>
      <c r="T576" s="683" t="s">
        <v>1955</v>
      </c>
      <c r="U576" s="683" t="s">
        <v>1944</v>
      </c>
      <c r="V576" s="683" t="s">
        <v>148</v>
      </c>
      <c r="W576" s="683" t="s">
        <v>914</v>
      </c>
      <c r="X576" s="691" t="s">
        <v>917</v>
      </c>
      <c r="Y576" s="687">
        <v>3002933963</v>
      </c>
      <c r="Z576" s="692" t="s">
        <v>159</v>
      </c>
      <c r="AA576" s="683" t="s">
        <v>33</v>
      </c>
      <c r="AB576" s="683" t="s">
        <v>1446</v>
      </c>
      <c r="AC576" s="683" t="s">
        <v>1445</v>
      </c>
      <c r="AD576" s="683" t="s">
        <v>1945</v>
      </c>
      <c r="AE576" s="683">
        <v>61.3</v>
      </c>
      <c r="AF576" s="684">
        <v>0.35</v>
      </c>
      <c r="AG576" s="683" t="s">
        <v>243</v>
      </c>
      <c r="AH576" s="683" t="s">
        <v>1946</v>
      </c>
      <c r="AI576" s="683" t="s">
        <v>844</v>
      </c>
      <c r="AJ576" s="85" t="s">
        <v>1947</v>
      </c>
      <c r="AK576" s="683" t="s">
        <v>1448</v>
      </c>
      <c r="AL576" s="683" t="s">
        <v>1948</v>
      </c>
      <c r="AM576" s="683" t="s">
        <v>1858</v>
      </c>
      <c r="AN576" s="683" t="s">
        <v>1949</v>
      </c>
      <c r="AO576" s="683" t="s">
        <v>1950</v>
      </c>
      <c r="AP576" s="683" t="s">
        <v>240</v>
      </c>
      <c r="AQ576" s="688" t="str">
        <f>CONCATENATE("REG-",BDEGENER[[#This Row],[FECHA DE SERVICIO]],"-",BDEGENER[[#This Row],[SERIE]],"-",BDEGENER[[#This Row],[HORAS]])</f>
        <v>REG-43901-3002933963-0,35</v>
      </c>
      <c r="AR576" s="683" t="str">
        <f>CONCATENATE("MARCA: ",BDEGENER[[#This Row],[MARCA]],"
 MODELO: ",BDEGENER[[#This Row],[MODELO]])</f>
        <v>MARCA: GENERAC
 MODELO: PLY125</v>
      </c>
      <c r="AS576" s="683" t="str">
        <f>CONCATENATE("MARCA: ",BDEGENER[[#This Row],[MARCA DE MOTOR]],"
SERIE: ",BDEGENER[[#This Row],[SERIE DE MOTOR]])</f>
        <v>MARCA: PERKINS
SERIE: PP71370U061050C</v>
      </c>
      <c r="AT576" s="683" t="str">
        <f>CONCATENATE("MARCA: ",BDEGENER[[#This Row],[MARCA ALTERNADOR ]],"
SERIE: ",BDEGENER[[#This Row],[SERIE DE ALTERNADOR]])</f>
        <v>MARCA: LEROY SOMER
SERIE: 346063/18</v>
      </c>
      <c r="AU576" s="683" t="str">
        <f>CONCATENATE("HORAS: ",BDEGENER[[#This Row],[HORAS]],"
KW-HR: ",BDEGENER[[#This Row],[KW-HORA]],"
VOLT.BATERIA: ",BDEGENER[[#This Row],[VOLTAJE DE BATERIA]],"
TEMPERATURA: ",BDEGENER[[#This Row],[TEMPERATURA DE AGUA]],"
PRES. ACEITE: ",BDEGENER[[#This Row],[PRESION DE ACEITE]])</f>
        <v>HORAS: 0,35
KW-HR: 
VOLT.BATERIA: 14.1 V
TEMPERATURA: 130 °F
PRES. ACEITE: 91 PSI</v>
      </c>
      <c r="AV576" s="683">
        <f>COUNTIFS(Q576:Q2576,"MANTENIMIENTO CORRECTIVO",Y576:Y2576,BDEGENER[[#This Row],[SERIE]])</f>
        <v>0</v>
      </c>
      <c r="AW576" s="683">
        <f>COUNTIFS(Q576:Q2576,"MANTENIMIENTO PREVENTIVO",Y576:Y2576,BDEGENER[[#This Row],[SERIE]])</f>
        <v>0</v>
      </c>
      <c r="AX57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76" s="683">
        <f>COUNTIFS(BDEGENER[SERIE],BDEGENER[[#This Row],[SERIE]],BDEGENER[TIPO DE SERVICIO],"MANTENIMIENTO PREVENTIVO")</f>
        <v>5</v>
      </c>
      <c r="AZ576" s="683" t="str">
        <f>CONCATENATE("MANTENIMIENTO PREVENTIVO N°",BDEGENER[[#This Row],[GA1]])</f>
        <v>MANTENIMIENTO PREVENTIVO N°5</v>
      </c>
      <c r="BA576" s="683" t="str">
        <f>IF(BDEGENER[[#This Row],[SERVICIO]]=BDEGENER[[#This Row],[GA2]],BDEGENER[[#This Row],[HORAS]],"0")</f>
        <v>0</v>
      </c>
      <c r="BB576" s="683">
        <f>SUMIF(BDEGENER[SERIE],BDEGENER[[#This Row],[SERIE]],BDEGENER[GA3])</f>
        <v>1473.6</v>
      </c>
      <c r="BC576" s="683" t="str">
        <f>CONCATENATE("MANT",COUNTIF($Y$7:Y576,Y576))</f>
        <v>MANT7</v>
      </c>
      <c r="BD576" s="683" t="str">
        <f>CONCATENATE(BDEGENER[[#This Row],[SERIE]],BDEGENER[[#This Row],[GA5]])</f>
        <v>3002933963MANT7</v>
      </c>
      <c r="BE576" s="683" t="str">
        <f>CONCATENATE(BDEGENER[[#This Row],[CODIGO PATRIMONIAL]],BDEGENER[[#This Row],[GA5]])</f>
        <v>MANT7</v>
      </c>
      <c r="BF576" s="683">
        <f>COUNTIF(BDEGENER[SERIE],BDEGENER[[#This Row],[SERIE]])</f>
        <v>7</v>
      </c>
      <c r="BG576" s="683" t="str">
        <f>CONCATENATE("F",COUNTIF($K$7:K576,K576))</f>
        <v>F2</v>
      </c>
      <c r="BH576" s="683" t="str">
        <f>CONCATENATE(BDEGENER[[#This Row],[FECHA DE SERVICIO]],BDEGENER[[#This Row],[N° DE REGISTROS DEL DIA]])</f>
        <v>43901F2</v>
      </c>
      <c r="BI576" s="684"/>
      <c r="BJ576" s="683" t="s">
        <v>1545</v>
      </c>
      <c r="BK576" s="680"/>
    </row>
    <row r="577" spans="2:63" ht="69" hidden="1" x14ac:dyDescent="0.3">
      <c r="B577" s="2"/>
      <c r="C577" s="2"/>
      <c r="D577" s="2"/>
      <c r="E577" s="2"/>
      <c r="F577" s="2"/>
      <c r="G577" s="2"/>
      <c r="H577" s="2"/>
      <c r="I577" s="2"/>
      <c r="J577" s="685"/>
      <c r="K577" s="682">
        <v>43901</v>
      </c>
      <c r="L577" s="725" t="s">
        <v>791</v>
      </c>
      <c r="M577" s="683" t="s">
        <v>1926</v>
      </c>
      <c r="N577" s="683" t="s">
        <v>795</v>
      </c>
      <c r="O577" s="683"/>
      <c r="P577" s="688" t="s">
        <v>1941</v>
      </c>
      <c r="Q577" s="683" t="s">
        <v>37</v>
      </c>
      <c r="R577" s="683" t="s">
        <v>1782</v>
      </c>
      <c r="S577" s="686" t="s">
        <v>1938</v>
      </c>
      <c r="T577" s="683" t="s">
        <v>1939</v>
      </c>
      <c r="U577" s="683" t="s">
        <v>1940</v>
      </c>
      <c r="V577" s="683" t="s">
        <v>149</v>
      </c>
      <c r="W577" s="683" t="s">
        <v>914</v>
      </c>
      <c r="X577" s="691" t="s">
        <v>917</v>
      </c>
      <c r="Y577" s="687" t="s">
        <v>1928</v>
      </c>
      <c r="Z577" s="692" t="s">
        <v>159</v>
      </c>
      <c r="AA577" s="683" t="s">
        <v>1929</v>
      </c>
      <c r="AB577" s="683" t="s">
        <v>1930</v>
      </c>
      <c r="AC577" s="683" t="s">
        <v>1931</v>
      </c>
      <c r="AD577" s="683" t="s">
        <v>1932</v>
      </c>
      <c r="AE577" s="683">
        <v>60.1</v>
      </c>
      <c r="AF577" s="684">
        <v>116.48</v>
      </c>
      <c r="AG577" s="683" t="s">
        <v>243</v>
      </c>
      <c r="AH577" s="683" t="s">
        <v>1933</v>
      </c>
      <c r="AI577" s="683" t="s">
        <v>2298</v>
      </c>
      <c r="AJ577" s="683">
        <v>5362010819</v>
      </c>
      <c r="AK577" s="683" t="s">
        <v>1934</v>
      </c>
      <c r="AL577" s="683" t="s">
        <v>1935</v>
      </c>
      <c r="AM577" s="683" t="s">
        <v>1936</v>
      </c>
      <c r="AN577" s="683" t="s">
        <v>1423</v>
      </c>
      <c r="AO577" s="683" t="s">
        <v>1937</v>
      </c>
      <c r="AP577" s="683" t="s">
        <v>240</v>
      </c>
      <c r="AQ577" s="688" t="str">
        <f>CONCATENATE("REG-",BDEGENER[[#This Row],[FECHA DE SERVICIO]],"-",BDEGENER[[#This Row],[SERIE]],"-",BDEGENER[[#This Row],[HORAS]])</f>
        <v>REG-43901-362973-1-1-0813-116,48</v>
      </c>
      <c r="AR577" s="683" t="str">
        <f>CONCATENATE("MARCA: ",BDEGENER[[#This Row],[MARCA]],"
 MODELO: ",BDEGENER[[#This Row],[MODELO]])</f>
        <v>MARCA: MTU
 MODELO: 9001XC6DT2</v>
      </c>
      <c r="AS577" s="683" t="str">
        <f>CONCATENATE("MARCA: ",BDEGENER[[#This Row],[MARCA DE MOTOR]],"
SERIE: ",BDEGENER[[#This Row],[SERIE DE MOTOR]])</f>
        <v>MARCA: MTU.DIESEL
SERIE: 5362010819</v>
      </c>
      <c r="AT577" s="683" t="str">
        <f>CONCATENATE("MARCA: ",BDEGENER[[#This Row],[MARCA ALTERNADOR ]],"
SERIE: ",BDEGENER[[#This Row],[SERIE DE ALTERNADOR]])</f>
        <v>MARCA: MARATHON
SERIE: WA-581537-0813</v>
      </c>
      <c r="AU577" s="683" t="str">
        <f>CONCATENATE("HORAS: ",BDEGENER[[#This Row],[HORAS]],"
KW-HR: ",BDEGENER[[#This Row],[KW-HORA]],"
VOLT.BATERIA: ",BDEGENER[[#This Row],[VOLTAJE DE BATERIA]],"
TEMPERATURA: ",BDEGENER[[#This Row],[TEMPERATURA DE AGUA]],"
PRES. ACEITE: ",BDEGENER[[#This Row],[PRESION DE ACEITE]])</f>
        <v>HORAS: 116,48
KW-HR: 
VOLT.BATERIA: 27.7 V
TEMPERATURA: 190 °F
PRES. ACEITE: 145 PSI</v>
      </c>
      <c r="AV577" s="761">
        <f>COUNTIFS(Q577:Q2577,"MANTENIMIENTO CORRECTIVO",Y577:Y2577,BDEGENER[[#This Row],[SERIE]])</f>
        <v>0</v>
      </c>
      <c r="AW577" s="761">
        <f>COUNTIFS(Q577:Q2577,"MANTENIMIENTO PREVENTIVO",Y577:Y2577,BDEGENER[[#This Row],[SERIE]])</f>
        <v>2</v>
      </c>
      <c r="AX57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577" s="683">
        <f>COUNTIFS(BDEGENER[SERIE],BDEGENER[[#This Row],[SERIE]],BDEGENER[TIPO DE SERVICIO],"MANTENIMIENTO PREVENTIVO")</f>
        <v>2</v>
      </c>
      <c r="AZ577" s="683" t="str">
        <f>CONCATENATE("MANTENIMIENTO PREVENTIVO N°",BDEGENER[[#This Row],[GA1]])</f>
        <v>MANTENIMIENTO PREVENTIVO N°2</v>
      </c>
      <c r="BA577" s="683">
        <f>IF(BDEGENER[[#This Row],[SERVICIO]]=BDEGENER[[#This Row],[GA2]],BDEGENER[[#This Row],[HORAS]],"0")</f>
        <v>116.48</v>
      </c>
      <c r="BB577" s="683">
        <f>SUMIF(BDEGENER[SERIE],BDEGENER[[#This Row],[SERIE]],BDEGENER[GA3])</f>
        <v>116.48</v>
      </c>
      <c r="BC577" s="761" t="str">
        <f>CONCATENATE("MANT",COUNTIF($Y$7:Y577,Y577))</f>
        <v>MANT1</v>
      </c>
      <c r="BD577" s="683" t="str">
        <f>CONCATENATE(BDEGENER[[#This Row],[SERIE]],BDEGENER[[#This Row],[GA5]])</f>
        <v>362973-1-1-0813MANT1</v>
      </c>
      <c r="BE577" s="683" t="str">
        <f>CONCATENATE(BDEGENER[[#This Row],[CODIGO PATRIMONIAL]],BDEGENER[[#This Row],[GA5]])</f>
        <v>MANT1</v>
      </c>
      <c r="BF577" s="683">
        <f>COUNTIF(BDEGENER[SERIE],BDEGENER[[#This Row],[SERIE]])</f>
        <v>2</v>
      </c>
      <c r="BG577" s="761" t="str">
        <f>CONCATENATE("F",COUNTIF($K$7:K577,K577))</f>
        <v>F3</v>
      </c>
      <c r="BH577" s="683" t="str">
        <f>CONCATENATE(BDEGENER[[#This Row],[FECHA DE SERVICIO]],BDEGENER[[#This Row],[N° DE REGISTROS DEL DIA]])</f>
        <v>43901F3</v>
      </c>
      <c r="BI577" s="684"/>
      <c r="BJ577" s="683" t="s">
        <v>1544</v>
      </c>
      <c r="BK577" s="680"/>
    </row>
    <row r="578" spans="2:63" ht="69" hidden="1" x14ac:dyDescent="0.3">
      <c r="B578" s="2"/>
      <c r="C578" s="2"/>
      <c r="D578" s="2"/>
      <c r="E578" s="2"/>
      <c r="F578" s="2"/>
      <c r="G578" s="2"/>
      <c r="H578" s="2"/>
      <c r="I578" s="2"/>
      <c r="J578" s="685"/>
      <c r="K578" s="682">
        <v>43901</v>
      </c>
      <c r="L578" s="725" t="s">
        <v>181</v>
      </c>
      <c r="M578" s="683" t="s">
        <v>185</v>
      </c>
      <c r="N578" s="683" t="s">
        <v>183</v>
      </c>
      <c r="O578" s="683">
        <v>4500853865</v>
      </c>
      <c r="P578" s="688" t="s">
        <v>1897</v>
      </c>
      <c r="Q578" s="683" t="s">
        <v>37</v>
      </c>
      <c r="R578" s="683" t="s">
        <v>1782</v>
      </c>
      <c r="S578" s="686" t="s">
        <v>1916</v>
      </c>
      <c r="T578" s="683" t="s">
        <v>1917</v>
      </c>
      <c r="U578" s="683" t="s">
        <v>1918</v>
      </c>
      <c r="V578" s="683" t="s">
        <v>146</v>
      </c>
      <c r="W578" s="683" t="s">
        <v>914</v>
      </c>
      <c r="X578" s="691" t="s">
        <v>918</v>
      </c>
      <c r="Y578" s="687">
        <v>3004290368</v>
      </c>
      <c r="Z578" s="692"/>
      <c r="AA578" s="683" t="s">
        <v>33</v>
      </c>
      <c r="AB578" s="683" t="s">
        <v>34</v>
      </c>
      <c r="AC578" s="683" t="s">
        <v>230</v>
      </c>
      <c r="AD578" s="683" t="s">
        <v>1110</v>
      </c>
      <c r="AE578" s="683">
        <v>60</v>
      </c>
      <c r="AF578" s="684">
        <v>1239.4000000000001</v>
      </c>
      <c r="AG578" s="683" t="s">
        <v>243</v>
      </c>
      <c r="AH578" s="683" t="s">
        <v>220</v>
      </c>
      <c r="AI578" s="683" t="s">
        <v>33</v>
      </c>
      <c r="AJ578" s="683">
        <v>3004034816</v>
      </c>
      <c r="AK578" s="683" t="s">
        <v>33</v>
      </c>
      <c r="AL578" s="722">
        <v>106312930</v>
      </c>
      <c r="AM578" s="683" t="s">
        <v>1121</v>
      </c>
      <c r="AN578" s="683" t="s">
        <v>1102</v>
      </c>
      <c r="AO578" s="683" t="s">
        <v>1095</v>
      </c>
      <c r="AP578" s="683" t="s">
        <v>240</v>
      </c>
      <c r="AQ578" s="688" t="str">
        <f>CONCATENATE("REG-",BDEGENER[[#This Row],[FECHA DE SERVICIO]],"-",BDEGENER[[#This Row],[SERIE]],"-",BDEGENER[[#This Row],[HORAS]])</f>
        <v>REG-43901-3004290368-1239,4</v>
      </c>
      <c r="AR578" s="683" t="str">
        <f>CONCATENATE("MARCA: ",BDEGENER[[#This Row],[MARCA]],"
 MODELO: ",BDEGENER[[#This Row],[MODELO]])</f>
        <v>MARCA: GENERAC
 MODELO: PG090</v>
      </c>
      <c r="AS578" s="683" t="str">
        <f>CONCATENATE("MARCA: ",BDEGENER[[#This Row],[MARCA DE MOTOR]],"
SERIE: ",BDEGENER[[#This Row],[SERIE DE MOTOR]])</f>
        <v>MARCA: GENERAC
SERIE: 3004034816</v>
      </c>
      <c r="AT578" s="683" t="str">
        <f>CONCATENATE("MARCA: ",BDEGENER[[#This Row],[MARCA ALTERNADOR ]],"
SERIE: ",BDEGENER[[#This Row],[SERIE DE ALTERNADOR]])</f>
        <v>MARCA: GENERAC
SERIE: 106312930</v>
      </c>
      <c r="AU578" s="683" t="str">
        <f>CONCATENATE("HORAS: ",BDEGENER[[#This Row],[HORAS]],"
KW-HR: ",BDEGENER[[#This Row],[KW-HORA]],"
VOLT.BATERIA: ",BDEGENER[[#This Row],[VOLTAJE DE BATERIA]],"
TEMPERATURA: ",BDEGENER[[#This Row],[TEMPERATURA DE AGUA]],"
PRES. ACEITE: ",BDEGENER[[#This Row],[PRESION DE ACEITE]])</f>
        <v>HORAS: 1239,4
KW-HR: 14872,8
VOLT.BATERIA: 13.7 V
TEMPERATURA: 199 °F
PRES. ACEITE: 54 PSI</v>
      </c>
      <c r="AV578" s="683">
        <f>COUNTIFS(Q578:Q2578,"MANTENIMIENTO CORRECTIVO",Y578:Y2578,BDEGENER[[#This Row],[SERIE]])</f>
        <v>2</v>
      </c>
      <c r="AW578" s="683">
        <f>COUNTIFS(Q578:Q2578,"MANTENIMIENTO PREVENTIVO",Y578:Y2578,BDEGENER[[#This Row],[SERIE]])</f>
        <v>3</v>
      </c>
      <c r="AX57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78" s="683">
        <f>COUNTIFS(BDEGENER[SERIE],BDEGENER[[#This Row],[SERIE]],BDEGENER[TIPO DE SERVICIO],"MANTENIMIENTO PREVENTIVO")</f>
        <v>6</v>
      </c>
      <c r="AZ578" s="683" t="str">
        <f>CONCATENATE("MANTENIMIENTO PREVENTIVO N°",BDEGENER[[#This Row],[GA1]])</f>
        <v>MANTENIMIENTO PREVENTIVO N°6</v>
      </c>
      <c r="BA578" s="683" t="str">
        <f>IF(BDEGENER[[#This Row],[SERVICIO]]=BDEGENER[[#This Row],[GA2]],BDEGENER[[#This Row],[HORAS]],"0")</f>
        <v>0</v>
      </c>
      <c r="BB578" s="683">
        <f>SUMIF(BDEGENER[SERIE],BDEGENER[[#This Row],[SERIE]],BDEGENER[GA3])</f>
        <v>2259.3000000000002</v>
      </c>
      <c r="BC578" s="683" t="str">
        <f>CONCATENATE("MANT",COUNTIF($Y$7:Y578,Y578))</f>
        <v>MANT10</v>
      </c>
      <c r="BD578" s="683" t="str">
        <f>CONCATENATE(BDEGENER[[#This Row],[SERIE]],BDEGENER[[#This Row],[GA5]])</f>
        <v>3004290368MANT10</v>
      </c>
      <c r="BE578" s="683" t="str">
        <f>CONCATENATE(BDEGENER[[#This Row],[CODIGO PATRIMONIAL]],BDEGENER[[#This Row],[GA5]])</f>
        <v>MANT10</v>
      </c>
      <c r="BF578" s="683">
        <f>COUNTIF(BDEGENER[SERIE],BDEGENER[[#This Row],[SERIE]])</f>
        <v>15</v>
      </c>
      <c r="BG578" s="683" t="str">
        <f>CONCATENATE("F",COUNTIF($K$7:K578,K578))</f>
        <v>F4</v>
      </c>
      <c r="BH578" s="683" t="str">
        <f>CONCATENATE(BDEGENER[[#This Row],[FECHA DE SERVICIO]],BDEGENER[[#This Row],[N° DE REGISTROS DEL DIA]])</f>
        <v>43901F4</v>
      </c>
      <c r="BI578" s="684">
        <v>14872.8</v>
      </c>
      <c r="BJ578" s="683" t="s">
        <v>1544</v>
      </c>
      <c r="BK578" s="680" t="s">
        <v>2348</v>
      </c>
    </row>
    <row r="579" spans="2:63" ht="69" hidden="1" x14ac:dyDescent="0.3">
      <c r="B579" s="2"/>
      <c r="C579" s="2"/>
      <c r="D579" s="2"/>
      <c r="E579" s="2"/>
      <c r="F579" s="2"/>
      <c r="G579" s="2"/>
      <c r="H579" s="2"/>
      <c r="I579" s="2"/>
      <c r="J579" s="685"/>
      <c r="K579" s="682">
        <v>43901</v>
      </c>
      <c r="L579" s="725" t="s">
        <v>181</v>
      </c>
      <c r="M579" s="683" t="s">
        <v>185</v>
      </c>
      <c r="N579" s="683" t="s">
        <v>183</v>
      </c>
      <c r="O579" s="683"/>
      <c r="P579" s="683"/>
      <c r="Q579" s="683" t="s">
        <v>107</v>
      </c>
      <c r="R579" s="683" t="s">
        <v>1914</v>
      </c>
      <c r="S579" s="686" t="s">
        <v>1913</v>
      </c>
      <c r="T579" s="683" t="s">
        <v>1782</v>
      </c>
      <c r="U579" s="683" t="s">
        <v>1915</v>
      </c>
      <c r="V579" s="683" t="s">
        <v>146</v>
      </c>
      <c r="W579" s="683" t="s">
        <v>914</v>
      </c>
      <c r="X579" s="691" t="s">
        <v>918</v>
      </c>
      <c r="Y579" s="687">
        <v>3004290368</v>
      </c>
      <c r="Z579" s="692"/>
      <c r="AA579" s="683" t="s">
        <v>33</v>
      </c>
      <c r="AB579" s="683" t="s">
        <v>34</v>
      </c>
      <c r="AC579" s="683" t="s">
        <v>230</v>
      </c>
      <c r="AD579" s="683"/>
      <c r="AE579" s="683"/>
      <c r="AF579" s="684">
        <v>1239.2</v>
      </c>
      <c r="AG579" s="683" t="s">
        <v>243</v>
      </c>
      <c r="AH579" s="683" t="s">
        <v>220</v>
      </c>
      <c r="AI579" s="683" t="s">
        <v>33</v>
      </c>
      <c r="AJ579" s="683">
        <v>3004034816</v>
      </c>
      <c r="AK579" s="683" t="s">
        <v>33</v>
      </c>
      <c r="AL579" s="722">
        <v>106312930</v>
      </c>
      <c r="AM579" s="683"/>
      <c r="AN579" s="683"/>
      <c r="AO579" s="683"/>
      <c r="AP579" s="683" t="s">
        <v>240</v>
      </c>
      <c r="AQ579" s="688" t="str">
        <f>CONCATENATE("REG-",BDEGENER[[#This Row],[FECHA DE SERVICIO]],"-",BDEGENER[[#This Row],[SERIE]],"-",BDEGENER[[#This Row],[HORAS]])</f>
        <v>REG-43901-3004290368-1239,2</v>
      </c>
      <c r="AR579" s="683" t="str">
        <f>CONCATENATE("MARCA: ",BDEGENER[[#This Row],[MARCA]],"
 MODELO: ",BDEGENER[[#This Row],[MODELO]])</f>
        <v>MARCA: GENERAC
 MODELO: PG090</v>
      </c>
      <c r="AS579" s="683" t="str">
        <f>CONCATENATE("MARCA: ",BDEGENER[[#This Row],[MARCA DE MOTOR]],"
SERIE: ",BDEGENER[[#This Row],[SERIE DE MOTOR]])</f>
        <v>MARCA: GENERAC
SERIE: 3004034816</v>
      </c>
      <c r="AT579" s="683" t="str">
        <f>CONCATENATE("MARCA: ",BDEGENER[[#This Row],[MARCA ALTERNADOR ]],"
SERIE: ",BDEGENER[[#This Row],[SERIE DE ALTERNADOR]])</f>
        <v>MARCA: GENERAC
SERIE: 106312930</v>
      </c>
      <c r="AU579" s="683" t="str">
        <f>CONCATENATE("HORAS: ",BDEGENER[[#This Row],[HORAS]],"
KW-HR: ",BDEGENER[[#This Row],[KW-HORA]],"
VOLT.BATERIA: ",BDEGENER[[#This Row],[VOLTAJE DE BATERIA]],"
TEMPERATURA: ",BDEGENER[[#This Row],[TEMPERATURA DE AGUA]],"
PRES. ACEITE: ",BDEGENER[[#This Row],[PRESION DE ACEITE]])</f>
        <v xml:space="preserve">HORAS: 1239,2
KW-HR: 
VOLT.BATERIA: 
TEMPERATURA: 
PRES. ACEITE: </v>
      </c>
      <c r="AV579" s="683">
        <f>COUNTIFS(Q579:Q2579,"MANTENIMIENTO CORRECTIVO",Y579:Y2579,BDEGENER[[#This Row],[SERIE]])</f>
        <v>2</v>
      </c>
      <c r="AW579" s="683">
        <f>COUNTIFS(Q579:Q2579,"MANTENIMIENTO PREVENTIVO",Y579:Y2579,BDEGENER[[#This Row],[SERIE]])</f>
        <v>2</v>
      </c>
      <c r="AX57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579" s="683">
        <f>COUNTIFS(BDEGENER[SERIE],BDEGENER[[#This Row],[SERIE]],BDEGENER[TIPO DE SERVICIO],"MANTENIMIENTO PREVENTIVO")</f>
        <v>6</v>
      </c>
      <c r="AZ579" s="683" t="str">
        <f>CONCATENATE("MANTENIMIENTO PREVENTIVO N°",BDEGENER[[#This Row],[GA1]])</f>
        <v>MANTENIMIENTO PREVENTIVO N°6</v>
      </c>
      <c r="BA579" s="683" t="str">
        <f>IF(BDEGENER[[#This Row],[SERVICIO]]=BDEGENER[[#This Row],[GA2]],BDEGENER[[#This Row],[HORAS]],"0")</f>
        <v>0</v>
      </c>
      <c r="BB579" s="683">
        <f>SUMIF(BDEGENER[SERIE],BDEGENER[[#This Row],[SERIE]],BDEGENER[GA3])</f>
        <v>2259.3000000000002</v>
      </c>
      <c r="BC579" s="683" t="str">
        <f>CONCATENATE("MANT",COUNTIF($Y$7:Y579,Y579))</f>
        <v>MANT11</v>
      </c>
      <c r="BD579" s="683" t="str">
        <f>CONCATENATE(BDEGENER[[#This Row],[SERIE]],BDEGENER[[#This Row],[GA5]])</f>
        <v>3004290368MANT11</v>
      </c>
      <c r="BE579" s="683" t="str">
        <f>CONCATENATE(BDEGENER[[#This Row],[CODIGO PATRIMONIAL]],BDEGENER[[#This Row],[GA5]])</f>
        <v>MANT11</v>
      </c>
      <c r="BF579" s="683">
        <f>COUNTIF(BDEGENER[SERIE],BDEGENER[[#This Row],[SERIE]])</f>
        <v>15</v>
      </c>
      <c r="BG579" s="683" t="str">
        <f>CONCATENATE("F",COUNTIF($K$7:K579,K579))</f>
        <v>F5</v>
      </c>
      <c r="BH579" s="683" t="str">
        <f>CONCATENATE(BDEGENER[[#This Row],[FECHA DE SERVICIO]],BDEGENER[[#This Row],[N° DE REGISTROS DEL DIA]])</f>
        <v>43901F5</v>
      </c>
      <c r="BI579" s="684"/>
      <c r="BJ579" s="683" t="s">
        <v>1544</v>
      </c>
      <c r="BK579" s="680"/>
    </row>
    <row r="580" spans="2:63" ht="69" hidden="1" x14ac:dyDescent="0.3">
      <c r="B580" s="2"/>
      <c r="C580" s="2"/>
      <c r="D580" s="2"/>
      <c r="E580" s="2"/>
      <c r="F580" s="2"/>
      <c r="G580" s="2"/>
      <c r="H580" s="2"/>
      <c r="I580" s="2"/>
      <c r="J580" s="685"/>
      <c r="K580" s="682">
        <v>43900</v>
      </c>
      <c r="L580" s="725" t="s">
        <v>181</v>
      </c>
      <c r="M580" s="683" t="s">
        <v>185</v>
      </c>
      <c r="N580" s="683" t="s">
        <v>183</v>
      </c>
      <c r="O580" s="683">
        <v>4500853865</v>
      </c>
      <c r="P580" s="688" t="s">
        <v>1897</v>
      </c>
      <c r="Q580" s="683" t="s">
        <v>37</v>
      </c>
      <c r="R580" s="683" t="s">
        <v>1782</v>
      </c>
      <c r="S580" s="686" t="s">
        <v>1891</v>
      </c>
      <c r="T580" s="683" t="s">
        <v>1892</v>
      </c>
      <c r="U580" s="683" t="s">
        <v>1893</v>
      </c>
      <c r="V580" s="683" t="s">
        <v>146</v>
      </c>
      <c r="W580" s="683" t="s">
        <v>914</v>
      </c>
      <c r="X580" s="691" t="s">
        <v>918</v>
      </c>
      <c r="Y580" s="687">
        <v>3004290365</v>
      </c>
      <c r="Z580" s="692"/>
      <c r="AA580" s="683" t="s">
        <v>33</v>
      </c>
      <c r="AB580" s="683" t="s">
        <v>34</v>
      </c>
      <c r="AC580" s="683" t="s">
        <v>230</v>
      </c>
      <c r="AD580" s="683" t="s">
        <v>1894</v>
      </c>
      <c r="AE580" s="683">
        <v>60</v>
      </c>
      <c r="AF580" s="684">
        <v>1015.6</v>
      </c>
      <c r="AG580" s="683" t="s">
        <v>243</v>
      </c>
      <c r="AH580" s="683" t="s">
        <v>220</v>
      </c>
      <c r="AI580" s="683" t="s">
        <v>33</v>
      </c>
      <c r="AJ580" s="683">
        <v>3004301039</v>
      </c>
      <c r="AK580" s="683" t="s">
        <v>33</v>
      </c>
      <c r="AL580" s="683">
        <v>1063018</v>
      </c>
      <c r="AM580" s="683" t="s">
        <v>1121</v>
      </c>
      <c r="AN580" s="683" t="s">
        <v>246</v>
      </c>
      <c r="AO580" s="683" t="s">
        <v>1095</v>
      </c>
      <c r="AP580" s="683" t="s">
        <v>240</v>
      </c>
      <c r="AQ580" s="688" t="str">
        <f>CONCATENATE("REG-",BDEGENER[[#This Row],[FECHA DE SERVICIO]],"-",BDEGENER[[#This Row],[SERIE]],"-",BDEGENER[[#This Row],[HORAS]])</f>
        <v>REG-43900-3004290365-1015,6</v>
      </c>
      <c r="AR580" s="683" t="str">
        <f>CONCATENATE("MARCA: ",BDEGENER[[#This Row],[MARCA]],"
 MODELO: ",BDEGENER[[#This Row],[MODELO]])</f>
        <v>MARCA: GENERAC
 MODELO: PG090</v>
      </c>
      <c r="AS580" s="683" t="str">
        <f>CONCATENATE("MARCA: ",BDEGENER[[#This Row],[MARCA DE MOTOR]],"
SERIE: ",BDEGENER[[#This Row],[SERIE DE MOTOR]])</f>
        <v>MARCA: GENERAC
SERIE: 3004301039</v>
      </c>
      <c r="AT580" s="683" t="str">
        <f>CONCATENATE("MARCA: ",BDEGENER[[#This Row],[MARCA ALTERNADOR ]],"
SERIE: ",BDEGENER[[#This Row],[SERIE DE ALTERNADOR]])</f>
        <v>MARCA: GENERAC
SERIE: 1063018</v>
      </c>
      <c r="AU580" s="683" t="str">
        <f>CONCATENATE("HORAS: ",BDEGENER[[#This Row],[HORAS]],"
KW-HR: ",BDEGENER[[#This Row],[KW-HORA]],"
VOLT.BATERIA: ",BDEGENER[[#This Row],[VOLTAJE DE BATERIA]],"
TEMPERATURA: ",BDEGENER[[#This Row],[TEMPERATURA DE AGUA]],"
PRES. ACEITE: ",BDEGENER[[#This Row],[PRESION DE ACEITE]])</f>
        <v>HORAS: 1015,6
KW-HR: 22343,2
VOLT.BATERIA: 13.7 V
TEMPERATURA: 198 °F
PRES. ACEITE: 54 PSI</v>
      </c>
      <c r="AV580" s="761">
        <f>COUNTIFS(Q580:Q2580,"MANTENIMIENTO CORRECTIVO",Y580:Y2580,BDEGENER[[#This Row],[SERIE]])</f>
        <v>4</v>
      </c>
      <c r="AW580" s="761">
        <f>COUNTIFS(Q580:Q2580,"MANTENIMIENTO PREVENTIVO",Y580:Y2580,BDEGENER[[#This Row],[SERIE]])</f>
        <v>3</v>
      </c>
      <c r="AX58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80" s="683">
        <f>COUNTIFS(BDEGENER[SERIE],BDEGENER[[#This Row],[SERIE]],BDEGENER[TIPO DE SERVICIO],"MANTENIMIENTO PREVENTIVO")</f>
        <v>5</v>
      </c>
      <c r="AZ580" s="683" t="str">
        <f>CONCATENATE("MANTENIMIENTO PREVENTIVO N°",BDEGENER[[#This Row],[GA1]])</f>
        <v>MANTENIMIENTO PREVENTIVO N°5</v>
      </c>
      <c r="BA580" s="683" t="str">
        <f>IF(BDEGENER[[#This Row],[SERVICIO]]=BDEGENER[[#This Row],[GA2]],BDEGENER[[#This Row],[HORAS]],"0")</f>
        <v>0</v>
      </c>
      <c r="BB580" s="683">
        <f>SUMIF(BDEGENER[SERIE],BDEGENER[[#This Row],[SERIE]],BDEGENER[GA3])</f>
        <v>1700.2</v>
      </c>
      <c r="BC580" s="761" t="str">
        <f>CONCATENATE("MANT",COUNTIF($Y$7:Y580,Y580))</f>
        <v>MANT8</v>
      </c>
      <c r="BD580" s="683" t="str">
        <f>CONCATENATE(BDEGENER[[#This Row],[SERIE]],BDEGENER[[#This Row],[GA5]])</f>
        <v>3004290365MANT8</v>
      </c>
      <c r="BE580" s="683" t="str">
        <f>CONCATENATE(BDEGENER[[#This Row],[CODIGO PATRIMONIAL]],BDEGENER[[#This Row],[GA5]])</f>
        <v>MANT8</v>
      </c>
      <c r="BF580" s="683">
        <f>COUNTIF(BDEGENER[SERIE],BDEGENER[[#This Row],[SERIE]])</f>
        <v>15</v>
      </c>
      <c r="BG580" s="761" t="str">
        <f>CONCATENATE("F",COUNTIF($K$7:K580,K580))</f>
        <v>F1</v>
      </c>
      <c r="BH580" s="683" t="str">
        <f>CONCATENATE(BDEGENER[[#This Row],[FECHA DE SERVICIO]],BDEGENER[[#This Row],[N° DE REGISTROS DEL DIA]])</f>
        <v>43900F1</v>
      </c>
      <c r="BI580" s="684">
        <v>22343.200000000001</v>
      </c>
      <c r="BJ580" s="683" t="s">
        <v>1544</v>
      </c>
      <c r="BK580" s="326" t="s">
        <v>749</v>
      </c>
    </row>
    <row r="581" spans="2:63" ht="69" hidden="1" x14ac:dyDescent="0.3">
      <c r="B581" s="2"/>
      <c r="C581" s="2"/>
      <c r="D581" s="2"/>
      <c r="E581" s="2"/>
      <c r="F581" s="2"/>
      <c r="G581" s="2"/>
      <c r="H581" s="2"/>
      <c r="I581" s="2"/>
      <c r="J581" s="685"/>
      <c r="K581" s="682">
        <v>43900</v>
      </c>
      <c r="L581" s="725" t="s">
        <v>181</v>
      </c>
      <c r="M581" s="683" t="s">
        <v>185</v>
      </c>
      <c r="N581" s="683" t="s">
        <v>183</v>
      </c>
      <c r="O581" s="683">
        <v>4500853865</v>
      </c>
      <c r="P581" s="688" t="s">
        <v>1897</v>
      </c>
      <c r="Q581" s="683" t="s">
        <v>37</v>
      </c>
      <c r="R581" s="683" t="s">
        <v>1782</v>
      </c>
      <c r="S581" s="686" t="s">
        <v>1895</v>
      </c>
      <c r="T581" s="683" t="s">
        <v>1896</v>
      </c>
      <c r="U581" s="683" t="s">
        <v>1893</v>
      </c>
      <c r="V581" s="683" t="s">
        <v>146</v>
      </c>
      <c r="W581" s="683" t="s">
        <v>914</v>
      </c>
      <c r="X581" s="691" t="s">
        <v>918</v>
      </c>
      <c r="Y581" s="687">
        <v>3004344014</v>
      </c>
      <c r="Z581" s="692"/>
      <c r="AA581" s="683" t="s">
        <v>33</v>
      </c>
      <c r="AB581" s="683" t="s">
        <v>34</v>
      </c>
      <c r="AC581" s="683" t="s">
        <v>230</v>
      </c>
      <c r="AD581" s="683" t="s">
        <v>1110</v>
      </c>
      <c r="AE581" s="683">
        <v>60</v>
      </c>
      <c r="AF581" s="684">
        <v>878</v>
      </c>
      <c r="AG581" s="683" t="s">
        <v>243</v>
      </c>
      <c r="AH581" s="683" t="s">
        <v>220</v>
      </c>
      <c r="AI581" s="683" t="s">
        <v>33</v>
      </c>
      <c r="AJ581" s="683">
        <v>3004346826</v>
      </c>
      <c r="AK581" s="683" t="s">
        <v>33</v>
      </c>
      <c r="AL581" s="683">
        <v>106308730</v>
      </c>
      <c r="AM581" s="683" t="s">
        <v>1121</v>
      </c>
      <c r="AN581" s="683" t="s">
        <v>1102</v>
      </c>
      <c r="AO581" s="683" t="s">
        <v>247</v>
      </c>
      <c r="AP581" s="683" t="s">
        <v>240</v>
      </c>
      <c r="AQ581" s="688" t="str">
        <f>CONCATENATE("REG-",BDEGENER[[#This Row],[FECHA DE SERVICIO]],"-",BDEGENER[[#This Row],[SERIE]],"-",BDEGENER[[#This Row],[HORAS]])</f>
        <v>REG-43900-3004344014-878</v>
      </c>
      <c r="AR581" s="683" t="str">
        <f>CONCATENATE("MARCA: ",BDEGENER[[#This Row],[MARCA]],"
 MODELO: ",BDEGENER[[#This Row],[MODELO]])</f>
        <v>MARCA: GENERAC
 MODELO: PG090</v>
      </c>
      <c r="AS581" s="683" t="str">
        <f>CONCATENATE("MARCA: ",BDEGENER[[#This Row],[MARCA DE MOTOR]],"
SERIE: ",BDEGENER[[#This Row],[SERIE DE MOTOR]])</f>
        <v>MARCA: GENERAC
SERIE: 3004346826</v>
      </c>
      <c r="AT581" s="683" t="str">
        <f>CONCATENATE("MARCA: ",BDEGENER[[#This Row],[MARCA ALTERNADOR ]],"
SERIE: ",BDEGENER[[#This Row],[SERIE DE ALTERNADOR]])</f>
        <v>MARCA: GENERAC
SERIE: 106308730</v>
      </c>
      <c r="AU581" s="683" t="str">
        <f>CONCATENATE("HORAS: ",BDEGENER[[#This Row],[HORAS]],"
KW-HR: ",BDEGENER[[#This Row],[KW-HORA]],"
VOLT.BATERIA: ",BDEGENER[[#This Row],[VOLTAJE DE BATERIA]],"
TEMPERATURA: ",BDEGENER[[#This Row],[TEMPERATURA DE AGUA]],"
PRES. ACEITE: ",BDEGENER[[#This Row],[PRESION DE ACEITE]])</f>
        <v>HORAS: 878
KW-HR: 18438
VOLT.BATERIA: 13.7 V
TEMPERATURA: 199 °F
PRES. ACEITE: 55 PSI</v>
      </c>
      <c r="AV581" s="683">
        <f>COUNTIFS(Q581:Q2581,"MANTENIMIENTO CORRECTIVO",Y581:Y2581,BDEGENER[[#This Row],[SERIE]])</f>
        <v>1</v>
      </c>
      <c r="AW581" s="683">
        <f>COUNTIFS(Q581:Q2581,"MANTENIMIENTO PREVENTIVO",Y581:Y2581,BDEGENER[[#This Row],[SERIE]])</f>
        <v>4</v>
      </c>
      <c r="AX58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81" s="683">
        <f>COUNTIFS(BDEGENER[SERIE],BDEGENER[[#This Row],[SERIE]],BDEGENER[TIPO DE SERVICIO],"MANTENIMIENTO PREVENTIVO")</f>
        <v>8</v>
      </c>
      <c r="AZ581" s="683" t="str">
        <f>CONCATENATE("MANTENIMIENTO PREVENTIVO N°",BDEGENER[[#This Row],[GA1]])</f>
        <v>MANTENIMIENTO PREVENTIVO N°8</v>
      </c>
      <c r="BA581" s="683" t="str">
        <f>IF(BDEGENER[[#This Row],[SERVICIO]]=BDEGENER[[#This Row],[GA2]],BDEGENER[[#This Row],[HORAS]],"0")</f>
        <v>0</v>
      </c>
      <c r="BB581" s="683">
        <f>SUMIF(BDEGENER[SERIE],BDEGENER[[#This Row],[SERIE]],BDEGENER[GA3])</f>
        <v>2070.3000000000002</v>
      </c>
      <c r="BC581" s="683" t="str">
        <f>CONCATENATE("MANT",COUNTIF($Y$7:Y581,Y581))</f>
        <v>MANT7</v>
      </c>
      <c r="BD581" s="683" t="str">
        <f>CONCATENATE(BDEGENER[[#This Row],[SERIE]],BDEGENER[[#This Row],[GA5]])</f>
        <v>3004344014MANT7</v>
      </c>
      <c r="BE581" s="683" t="str">
        <f>CONCATENATE(BDEGENER[[#This Row],[CODIGO PATRIMONIAL]],BDEGENER[[#This Row],[GA5]])</f>
        <v>MANT7</v>
      </c>
      <c r="BF581" s="683">
        <f>COUNTIF(BDEGENER[SERIE],BDEGENER[[#This Row],[SERIE]])</f>
        <v>12</v>
      </c>
      <c r="BG581" s="683" t="str">
        <f>CONCATENATE("F",COUNTIF($K$7:K581,K581))</f>
        <v>F2</v>
      </c>
      <c r="BH581" s="683" t="str">
        <f>CONCATENATE(BDEGENER[[#This Row],[FECHA DE SERVICIO]],BDEGENER[[#This Row],[N° DE REGISTROS DEL DIA]])</f>
        <v>43900F2</v>
      </c>
      <c r="BI581" s="684">
        <v>18438</v>
      </c>
      <c r="BJ581" s="683" t="s">
        <v>1544</v>
      </c>
      <c r="BK581" s="228" t="s">
        <v>2326</v>
      </c>
    </row>
    <row r="582" spans="2:63" ht="82.8" hidden="1" x14ac:dyDescent="0.3">
      <c r="B582" s="2"/>
      <c r="C582" s="2"/>
      <c r="D582" s="2"/>
      <c r="E582" s="2"/>
      <c r="F582" s="2"/>
      <c r="G582" s="2"/>
      <c r="H582" s="2"/>
      <c r="I582" s="2"/>
      <c r="J582" s="685"/>
      <c r="K582" s="682">
        <v>43900</v>
      </c>
      <c r="L582" s="725" t="s">
        <v>1884</v>
      </c>
      <c r="M582" s="683" t="s">
        <v>1889</v>
      </c>
      <c r="N582" s="683" t="s">
        <v>1885</v>
      </c>
      <c r="O582" s="683"/>
      <c r="P582" s="683"/>
      <c r="Q582" s="683" t="s">
        <v>109</v>
      </c>
      <c r="R582" s="683" t="s">
        <v>1782</v>
      </c>
      <c r="S582" s="686" t="s">
        <v>1886</v>
      </c>
      <c r="T582" s="683" t="s">
        <v>1887</v>
      </c>
      <c r="U582" s="683"/>
      <c r="V582" s="683" t="s">
        <v>149</v>
      </c>
      <c r="W582" s="683" t="s">
        <v>913</v>
      </c>
      <c r="X582" s="691" t="s">
        <v>918</v>
      </c>
      <c r="Y582" s="687">
        <v>3005125863</v>
      </c>
      <c r="Z582" s="692" t="s">
        <v>159</v>
      </c>
      <c r="AA582" s="683" t="s">
        <v>33</v>
      </c>
      <c r="AB582" s="683" t="s">
        <v>1888</v>
      </c>
      <c r="AC582" s="683" t="s">
        <v>237</v>
      </c>
      <c r="AD582" s="683"/>
      <c r="AE582" s="683"/>
      <c r="AF582" s="684">
        <v>0.3</v>
      </c>
      <c r="AG582" s="683" t="s">
        <v>243</v>
      </c>
      <c r="AH582" s="683" t="s">
        <v>159</v>
      </c>
      <c r="AI582" s="683" t="s">
        <v>33</v>
      </c>
      <c r="AJ582" s="683" t="s">
        <v>159</v>
      </c>
      <c r="AK582" s="683" t="s">
        <v>33</v>
      </c>
      <c r="AL582" s="683" t="s">
        <v>159</v>
      </c>
      <c r="AM582" s="683"/>
      <c r="AN582" s="683"/>
      <c r="AO582" s="683"/>
      <c r="AP582" s="683" t="s">
        <v>240</v>
      </c>
      <c r="AQ582" s="688" t="str">
        <f>CONCATENATE("REG-",BDEGENER[[#This Row],[FECHA DE SERVICIO]],"-",BDEGENER[[#This Row],[SERIE]],"-",BDEGENER[[#This Row],[HORAS]])</f>
        <v>REG-43900-3005125863-0,3</v>
      </c>
      <c r="AR582" s="683" t="str">
        <f>CONCATENATE("MARCA: ",BDEGENER[[#This Row],[MARCA]],"
 MODELO: ",BDEGENER[[#This Row],[MODELO]])</f>
        <v>MARCA: GENERAC
 MODELO: RG06024</v>
      </c>
      <c r="AS582" s="683" t="str">
        <f>CONCATENATE("MARCA: ",BDEGENER[[#This Row],[MARCA DE MOTOR]],"
SERIE: ",BDEGENER[[#This Row],[SERIE DE MOTOR]])</f>
        <v xml:space="preserve">MARCA: GENERAC
SERIE: </v>
      </c>
      <c r="AT582" s="683" t="str">
        <f>CONCATENATE("MARCA: ",BDEGENER[[#This Row],[MARCA ALTERNADOR ]],"
SERIE: ",BDEGENER[[#This Row],[SERIE DE ALTERNADOR]])</f>
        <v xml:space="preserve">MARCA: GENERAC
SERIE: </v>
      </c>
      <c r="AU582" s="683" t="str">
        <f>CONCATENATE("HORAS: ",BDEGENER[[#This Row],[HORAS]],"
KW-HR: ",BDEGENER[[#This Row],[KW-HORA]],"
VOLT.BATERIA: ",BDEGENER[[#This Row],[VOLTAJE DE BATERIA]],"
TEMPERATURA: ",BDEGENER[[#This Row],[TEMPERATURA DE AGUA]],"
PRES. ACEITE: ",BDEGENER[[#This Row],[PRESION DE ACEITE]])</f>
        <v xml:space="preserve">HORAS: 0,3
KW-HR: 
VOLT.BATERIA: 
TEMPERATURA: 
PRES. ACEITE: </v>
      </c>
      <c r="AV582" s="683">
        <f>COUNTIFS(Q582:Q2582,"MANTENIMIENTO CORRECTIVO",Y582:Y2582,BDEGENER[[#This Row],[SERIE]])</f>
        <v>0</v>
      </c>
      <c r="AW582" s="683">
        <f>COUNTIFS(Q582:Q2582,"MANTENIMIENTO PREVENTIVO",Y582:Y2582,BDEGENER[[#This Row],[SERIE]])</f>
        <v>0</v>
      </c>
      <c r="AX58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582" s="683">
        <f>COUNTIFS(BDEGENER[SERIE],BDEGENER[[#This Row],[SERIE]],BDEGENER[TIPO DE SERVICIO],"MANTENIMIENTO PREVENTIVO")</f>
        <v>0</v>
      </c>
      <c r="AZ582" s="683" t="str">
        <f>CONCATENATE("MANTENIMIENTO PREVENTIVO N°",BDEGENER[[#This Row],[GA1]])</f>
        <v>MANTENIMIENTO PREVENTIVO N°0</v>
      </c>
      <c r="BA582" s="683" t="str">
        <f>IF(BDEGENER[[#This Row],[SERVICIO]]=BDEGENER[[#This Row],[GA2]],BDEGENER[[#This Row],[HORAS]],"0")</f>
        <v>0</v>
      </c>
      <c r="BB582" s="683">
        <f>SUMIF(BDEGENER[SERIE],BDEGENER[[#This Row],[SERIE]],BDEGENER[GA3])</f>
        <v>0</v>
      </c>
      <c r="BC582" s="683" t="str">
        <f>CONCATENATE("MANT",COUNTIF($Y$7:Y582,Y582))</f>
        <v>MANT1</v>
      </c>
      <c r="BD582" s="683" t="str">
        <f>CONCATENATE(BDEGENER[[#This Row],[SERIE]],BDEGENER[[#This Row],[GA5]])</f>
        <v>3005125863MANT1</v>
      </c>
      <c r="BE582" s="683" t="str">
        <f>CONCATENATE(BDEGENER[[#This Row],[CODIGO PATRIMONIAL]],BDEGENER[[#This Row],[GA5]])</f>
        <v>MANT1</v>
      </c>
      <c r="BF582" s="683">
        <f>COUNTIF(BDEGENER[SERIE],BDEGENER[[#This Row],[SERIE]])</f>
        <v>1</v>
      </c>
      <c r="BG582" s="683" t="str">
        <f>CONCATENATE("F",COUNTIF($K$7:K582,K582))</f>
        <v>F3</v>
      </c>
      <c r="BH582" s="683" t="str">
        <f>CONCATENATE(BDEGENER[[#This Row],[FECHA DE SERVICIO]],BDEGENER[[#This Row],[N° DE REGISTROS DEL DIA]])</f>
        <v>43900F3</v>
      </c>
      <c r="BI582" s="684"/>
      <c r="BJ582" s="683" t="s">
        <v>177</v>
      </c>
      <c r="BK582" s="326"/>
    </row>
    <row r="583" spans="2:63" ht="69" hidden="1" x14ac:dyDescent="0.3">
      <c r="B583" s="2"/>
      <c r="C583" s="2"/>
      <c r="D583" s="2"/>
      <c r="E583" s="2"/>
      <c r="F583" s="2"/>
      <c r="G583" s="2"/>
      <c r="H583" s="2"/>
      <c r="I583" s="2"/>
      <c r="J583" s="685"/>
      <c r="K583" s="682">
        <v>43899</v>
      </c>
      <c r="L583" s="725" t="s">
        <v>181</v>
      </c>
      <c r="M583" s="683" t="s">
        <v>184</v>
      </c>
      <c r="N583" s="683" t="s">
        <v>183</v>
      </c>
      <c r="O583" s="683"/>
      <c r="P583" s="683"/>
      <c r="Q583" s="683" t="s">
        <v>108</v>
      </c>
      <c r="R583" s="683" t="s">
        <v>1961</v>
      </c>
      <c r="S583" s="686" t="s">
        <v>1868</v>
      </c>
      <c r="T583" s="683" t="s">
        <v>1869</v>
      </c>
      <c r="U583" s="683"/>
      <c r="V583" s="683" t="s">
        <v>146</v>
      </c>
      <c r="W583" s="683" t="s">
        <v>914</v>
      </c>
      <c r="X583" s="691" t="s">
        <v>918</v>
      </c>
      <c r="Y583" s="687">
        <v>3004402508</v>
      </c>
      <c r="Z583" s="692"/>
      <c r="AA583" s="683" t="s">
        <v>33</v>
      </c>
      <c r="AB583" s="683" t="s">
        <v>34</v>
      </c>
      <c r="AC583" s="683" t="s">
        <v>230</v>
      </c>
      <c r="AD583" s="683" t="s">
        <v>1110</v>
      </c>
      <c r="AE583" s="683"/>
      <c r="AF583" s="684">
        <v>481</v>
      </c>
      <c r="AG583" s="683" t="s">
        <v>243</v>
      </c>
      <c r="AH583" s="683" t="s">
        <v>220</v>
      </c>
      <c r="AI583" s="683" t="s">
        <v>33</v>
      </c>
      <c r="AJ583" s="722">
        <v>3004425773</v>
      </c>
      <c r="AK583" s="683" t="s">
        <v>33</v>
      </c>
      <c r="AL583" s="683">
        <v>106310050</v>
      </c>
      <c r="AM583" s="683" t="s">
        <v>245</v>
      </c>
      <c r="AN583" s="683"/>
      <c r="AO583" s="683"/>
      <c r="AP583" s="683" t="s">
        <v>240</v>
      </c>
      <c r="AQ583" s="688" t="str">
        <f>CONCATENATE("REG-",BDEGENER[[#This Row],[FECHA DE SERVICIO]],"-",BDEGENER[[#This Row],[SERIE]],"-",BDEGENER[[#This Row],[HORAS]])</f>
        <v>REG-43899-3004402508-481</v>
      </c>
      <c r="AR583" s="683" t="str">
        <f>CONCATENATE("MARCA: ",BDEGENER[[#This Row],[MARCA]],"
 MODELO: ",BDEGENER[[#This Row],[MODELO]])</f>
        <v>MARCA: GENERAC
 MODELO: PG090</v>
      </c>
      <c r="AS583" s="683" t="str">
        <f>CONCATENATE("MARCA: ",BDEGENER[[#This Row],[MARCA DE MOTOR]],"
SERIE: ",BDEGENER[[#This Row],[SERIE DE MOTOR]])</f>
        <v>MARCA: GENERAC
SERIE: 3004425773</v>
      </c>
      <c r="AT583" s="683" t="str">
        <f>CONCATENATE("MARCA: ",BDEGENER[[#This Row],[MARCA ALTERNADOR ]],"
SERIE: ",BDEGENER[[#This Row],[SERIE DE ALTERNADOR]])</f>
        <v>MARCA: GENERAC
SERIE: 106310050</v>
      </c>
      <c r="AU583" s="683" t="str">
        <f>CONCATENATE("HORAS: ",BDEGENER[[#This Row],[HORAS]],"
KW-HR: ",BDEGENER[[#This Row],[KW-HORA]],"
VOLT.BATERIA: ",BDEGENER[[#This Row],[VOLTAJE DE BATERIA]],"
TEMPERATURA: ",BDEGENER[[#This Row],[TEMPERATURA DE AGUA]],"
PRES. ACEITE: ",BDEGENER[[#This Row],[PRESION DE ACEITE]])</f>
        <v xml:space="preserve">HORAS: 481
KW-HR: 
VOLT.BATERIA: 13.6 V
TEMPERATURA: 
PRES. ACEITE: </v>
      </c>
      <c r="AV583" s="761">
        <f>COUNTIFS(Q583:Q2583,"MANTENIMIENTO CORRECTIVO",Y583:Y2583,BDEGENER[[#This Row],[SERIE]])</f>
        <v>2</v>
      </c>
      <c r="AW583" s="761">
        <f>COUNTIFS(Q583:Q2583,"MANTENIMIENTO PREVENTIVO",Y583:Y2583,BDEGENER[[#This Row],[SERIE]])</f>
        <v>1</v>
      </c>
      <c r="AX58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83" s="683">
        <f>COUNTIFS(BDEGENER[SERIE],BDEGENER[[#This Row],[SERIE]],BDEGENER[TIPO DE SERVICIO],"MANTENIMIENTO PREVENTIVO")</f>
        <v>8</v>
      </c>
      <c r="AZ583" s="683" t="str">
        <f>CONCATENATE("MANTENIMIENTO PREVENTIVO N°",BDEGENER[[#This Row],[GA1]])</f>
        <v>MANTENIMIENTO PREVENTIVO N°8</v>
      </c>
      <c r="BA583" s="683" t="str">
        <f>IF(BDEGENER[[#This Row],[SERVICIO]]=BDEGENER[[#This Row],[GA2]],BDEGENER[[#This Row],[HORAS]],"0")</f>
        <v>0</v>
      </c>
      <c r="BB583" s="683">
        <f>SUMIF(BDEGENER[SERIE],BDEGENER[[#This Row],[SERIE]],BDEGENER[GA3])</f>
        <v>2186.3000000000002</v>
      </c>
      <c r="BC583" s="761" t="str">
        <f>CONCATENATE("MANT",COUNTIF($Y$7:Y583,Y583))</f>
        <v>MANT11</v>
      </c>
      <c r="BD583" s="683" t="str">
        <f>CONCATENATE(BDEGENER[[#This Row],[SERIE]],BDEGENER[[#This Row],[GA5]])</f>
        <v>3004402508MANT11</v>
      </c>
      <c r="BE583" s="683" t="str">
        <f>CONCATENATE(BDEGENER[[#This Row],[CODIGO PATRIMONIAL]],BDEGENER[[#This Row],[GA5]])</f>
        <v>MANT11</v>
      </c>
      <c r="BF583" s="683">
        <f>COUNTIF(BDEGENER[SERIE],BDEGENER[[#This Row],[SERIE]])</f>
        <v>15</v>
      </c>
      <c r="BG583" s="761" t="str">
        <f>CONCATENATE("F",COUNTIF($K$7:K583,K583))</f>
        <v>F1</v>
      </c>
      <c r="BH583" s="683" t="str">
        <f>CONCATENATE(BDEGENER[[#This Row],[FECHA DE SERVICIO]],BDEGENER[[#This Row],[N° DE REGISTROS DEL DIA]])</f>
        <v>43899F1</v>
      </c>
      <c r="BI583" s="684"/>
      <c r="BJ583" s="683" t="s">
        <v>1544</v>
      </c>
      <c r="BK583" s="326"/>
    </row>
    <row r="584" spans="2:63" ht="69" hidden="1" x14ac:dyDescent="0.3">
      <c r="B584" s="2"/>
      <c r="C584" s="2"/>
      <c r="D584" s="2"/>
      <c r="E584" s="2"/>
      <c r="F584" s="2"/>
      <c r="G584" s="2"/>
      <c r="H584" s="2"/>
      <c r="I584" s="2"/>
      <c r="J584" s="685"/>
      <c r="K584" s="682">
        <v>43899</v>
      </c>
      <c r="L584" s="725" t="s">
        <v>764</v>
      </c>
      <c r="M584" s="683" t="s">
        <v>1919</v>
      </c>
      <c r="N584" s="683" t="s">
        <v>1920</v>
      </c>
      <c r="O584" s="683"/>
      <c r="P584" s="683"/>
      <c r="Q584" s="683" t="s">
        <v>108</v>
      </c>
      <c r="R584" s="683" t="s">
        <v>1782</v>
      </c>
      <c r="S584" s="686" t="s">
        <v>1924</v>
      </c>
      <c r="T584" s="683" t="s">
        <v>1925</v>
      </c>
      <c r="U584" s="683"/>
      <c r="V584" s="683" t="s">
        <v>149</v>
      </c>
      <c r="W584" s="683" t="s">
        <v>914</v>
      </c>
      <c r="X584" s="691" t="s">
        <v>917</v>
      </c>
      <c r="Y584" s="687" t="s">
        <v>2644</v>
      </c>
      <c r="Z584" s="692" t="s">
        <v>159</v>
      </c>
      <c r="AA584" s="683" t="s">
        <v>840</v>
      </c>
      <c r="AB584" s="683" t="s">
        <v>1921</v>
      </c>
      <c r="AC584" s="683" t="s">
        <v>1922</v>
      </c>
      <c r="AD584" s="683" t="s">
        <v>1111</v>
      </c>
      <c r="AE584" s="683">
        <v>60</v>
      </c>
      <c r="AF584" s="684">
        <v>185.4</v>
      </c>
      <c r="AG584" s="683" t="s">
        <v>1412</v>
      </c>
      <c r="AH584" s="683" t="s">
        <v>159</v>
      </c>
      <c r="AI584" s="683" t="s">
        <v>844</v>
      </c>
      <c r="AJ584" s="683" t="s">
        <v>159</v>
      </c>
      <c r="AK584" s="683" t="s">
        <v>1923</v>
      </c>
      <c r="AL584" s="683" t="s">
        <v>159</v>
      </c>
      <c r="AM584" s="683"/>
      <c r="AN584" s="683"/>
      <c r="AO584" s="683"/>
      <c r="AP584" s="683" t="s">
        <v>240</v>
      </c>
      <c r="AQ584" s="744" t="str">
        <f>CONCATENATE("REG-",BDEGENER[[#This Row],[FECHA DE SERVICIO]],"-",BDEGENER[[#This Row],[SERIE]],"-",BDEGENER[[#This Row],[HORAS]])</f>
        <v>REG-43899-B5524F-001-185,4</v>
      </c>
      <c r="AR584" s="683" t="str">
        <f>CONCATENATE("MARCA: ",BDEGENER[[#This Row],[MARCA]],"
 MODELO: ",BDEGENER[[#This Row],[MODELO]])</f>
        <v>MARCA: FG - WILSON
 MODELO: P110E</v>
      </c>
      <c r="AS584" s="683" t="str">
        <f>CONCATENATE("MARCA: ",BDEGENER[[#This Row],[MARCA DE MOTOR]],"
SERIE: ",BDEGENER[[#This Row],[SERIE DE MOTOR]])</f>
        <v xml:space="preserve">MARCA: PERKINS
SERIE: </v>
      </c>
      <c r="AT584" s="683" t="str">
        <f>CONCATENATE("MARCA: ",BDEGENER[[#This Row],[MARCA ALTERNADOR ]],"
SERIE: ",BDEGENER[[#This Row],[SERIE DE ALTERNADOR]])</f>
        <v xml:space="preserve">MARCA: FG WILSON
SERIE: </v>
      </c>
      <c r="AU584" s="683" t="str">
        <f>CONCATENATE("HORAS: ",BDEGENER[[#This Row],[HORAS]],"
KW-HR: ",BDEGENER[[#This Row],[KW-HORA]],"
VOLT.BATERIA: ",BDEGENER[[#This Row],[VOLTAJE DE BATERIA]],"
TEMPERATURA: ",BDEGENER[[#This Row],[TEMPERATURA DE AGUA]],"
PRES. ACEITE: ",BDEGENER[[#This Row],[PRESION DE ACEITE]])</f>
        <v xml:space="preserve">HORAS: 185,4
KW-HR: 
VOLT.BATERIA: 
TEMPERATURA: 
PRES. ACEITE: </v>
      </c>
      <c r="AV584" s="683">
        <f>COUNTIFS(Q584:Q2584,"MANTENIMIENTO CORRECTIVO",Y584:Y2584,BDEGENER[[#This Row],[SERIE]])</f>
        <v>0</v>
      </c>
      <c r="AW584" s="683">
        <f>COUNTIFS(Q584:Q2584,"MANTENIMIENTO PREVENTIVO",Y584:Y2584,BDEGENER[[#This Row],[SERIE]])</f>
        <v>1</v>
      </c>
      <c r="AX584"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84" s="683">
        <f>COUNTIFS(BDEGENER[SERIE],BDEGENER[[#This Row],[SERIE]],BDEGENER[TIPO DE SERVICIO],"MANTENIMIENTO PREVENTIVO")</f>
        <v>2</v>
      </c>
      <c r="AZ584" s="683" t="str">
        <f>CONCATENATE("MANTENIMIENTO PREVENTIVO N°",BDEGENER[[#This Row],[GA1]])</f>
        <v>MANTENIMIENTO PREVENTIVO N°2</v>
      </c>
      <c r="BA584" s="683" t="str">
        <f>IF(BDEGENER[[#This Row],[SERVICIO]]=BDEGENER[[#This Row],[GA2]],BDEGENER[[#This Row],[HORAS]],"0")</f>
        <v>0</v>
      </c>
      <c r="BB584" s="683">
        <f>SUMIF(BDEGENER[SERIE],BDEGENER[[#This Row],[SERIE]],BDEGENER[GA3])</f>
        <v>185.7</v>
      </c>
      <c r="BC584" s="683" t="str">
        <f>CONCATENATE("MANT",COUNTIF($Y$7:Y584,Y584))</f>
        <v>MANT6</v>
      </c>
      <c r="BD584" s="683" t="str">
        <f>CONCATENATE(BDEGENER[[#This Row],[SERIE]],BDEGENER[[#This Row],[GA5]])</f>
        <v>B5524F-001MANT6</v>
      </c>
      <c r="BE584" s="683" t="str">
        <f>CONCATENATE(BDEGENER[[#This Row],[CODIGO PATRIMONIAL]],BDEGENER[[#This Row],[GA5]])</f>
        <v>MANT6</v>
      </c>
      <c r="BF584" s="683">
        <f>COUNTIF(BDEGENER[SERIE],BDEGENER[[#This Row],[SERIE]])</f>
        <v>7</v>
      </c>
      <c r="BG584" s="683" t="str">
        <f>CONCATENATE("F",COUNTIF($K$7:K584,K584))</f>
        <v>F2</v>
      </c>
      <c r="BH584" s="683" t="str">
        <f>CONCATENATE(BDEGENER[[#This Row],[FECHA DE SERVICIO]],BDEGENER[[#This Row],[N° DE REGISTROS DEL DIA]])</f>
        <v>43899F2</v>
      </c>
      <c r="BI584" s="684"/>
      <c r="BJ584" s="683" t="s">
        <v>177</v>
      </c>
      <c r="BK584" s="680"/>
    </row>
    <row r="585" spans="2:63" ht="69" hidden="1" x14ac:dyDescent="0.3">
      <c r="B585" s="2"/>
      <c r="C585" s="2"/>
      <c r="D585" s="2"/>
      <c r="E585" s="2"/>
      <c r="F585" s="2"/>
      <c r="G585" s="2"/>
      <c r="H585" s="2"/>
      <c r="I585" s="2"/>
      <c r="J585" s="685"/>
      <c r="K585" s="682">
        <v>43899</v>
      </c>
      <c r="L585" s="725" t="s">
        <v>181</v>
      </c>
      <c r="M585" s="683" t="s">
        <v>189</v>
      </c>
      <c r="N585" s="683" t="s">
        <v>946</v>
      </c>
      <c r="O585" s="683"/>
      <c r="P585" s="683"/>
      <c r="Q585" s="683" t="s">
        <v>108</v>
      </c>
      <c r="R585" s="683" t="s">
        <v>1880</v>
      </c>
      <c r="S585" s="686" t="s">
        <v>1881</v>
      </c>
      <c r="T585" s="683" t="s">
        <v>1882</v>
      </c>
      <c r="U585" s="683"/>
      <c r="V585" s="683" t="s">
        <v>148</v>
      </c>
      <c r="W585" s="683" t="s">
        <v>914</v>
      </c>
      <c r="X585" s="691" t="s">
        <v>918</v>
      </c>
      <c r="Y585" s="687">
        <v>3004327723</v>
      </c>
      <c r="Z585" s="692"/>
      <c r="AA585" s="683" t="s">
        <v>33</v>
      </c>
      <c r="AB585" s="683" t="s">
        <v>34</v>
      </c>
      <c r="AC585" s="683" t="s">
        <v>230</v>
      </c>
      <c r="AD585" s="683"/>
      <c r="AE585" s="683">
        <v>59.9</v>
      </c>
      <c r="AF585" s="684">
        <v>1228.8</v>
      </c>
      <c r="AG585" s="683" t="s">
        <v>243</v>
      </c>
      <c r="AH585" s="683" t="s">
        <v>220</v>
      </c>
      <c r="AI585" s="683" t="s">
        <v>33</v>
      </c>
      <c r="AJ585" s="683">
        <v>3004346813</v>
      </c>
      <c r="AK585" s="683" t="s">
        <v>33</v>
      </c>
      <c r="AL585" s="683">
        <v>106302070</v>
      </c>
      <c r="AM585" s="683"/>
      <c r="AN585" s="683" t="s">
        <v>1166</v>
      </c>
      <c r="AO585" s="683" t="s">
        <v>1122</v>
      </c>
      <c r="AP585" s="683" t="s">
        <v>240</v>
      </c>
      <c r="AQ585" s="688" t="str">
        <f>CONCATENATE("REG-",BDEGENER[[#This Row],[FECHA DE SERVICIO]],"-",BDEGENER[[#This Row],[SERIE]],"-",BDEGENER[[#This Row],[HORAS]])</f>
        <v>REG-43899-3004327723-1228,8</v>
      </c>
      <c r="AR585" s="683" t="str">
        <f>CONCATENATE("MARCA: ",BDEGENER[[#This Row],[MARCA]],"
 MODELO: ",BDEGENER[[#This Row],[MODELO]])</f>
        <v>MARCA: GENERAC
 MODELO: PG090</v>
      </c>
      <c r="AS585" s="683" t="str">
        <f>CONCATENATE("MARCA: ",BDEGENER[[#This Row],[MARCA DE MOTOR]],"
SERIE: ",BDEGENER[[#This Row],[SERIE DE MOTOR]])</f>
        <v>MARCA: GENERAC
SERIE: 3004346813</v>
      </c>
      <c r="AT585" s="683" t="str">
        <f>CONCATENATE("MARCA: ",BDEGENER[[#This Row],[MARCA ALTERNADOR ]],"
SERIE: ",BDEGENER[[#This Row],[SERIE DE ALTERNADOR]])</f>
        <v>MARCA: GENERAC
SERIE: 106302070</v>
      </c>
      <c r="AU585" s="683" t="str">
        <f>CONCATENATE("HORAS: ",BDEGENER[[#This Row],[HORAS]],"
KW-HR: ",BDEGENER[[#This Row],[KW-HORA]],"
VOLT.BATERIA: ",BDEGENER[[#This Row],[VOLTAJE DE BATERIA]],"
TEMPERATURA: ",BDEGENER[[#This Row],[TEMPERATURA DE AGUA]],"
PRES. ACEITE: ",BDEGENER[[#This Row],[PRESION DE ACEITE]])</f>
        <v>HORAS: 1228,8
KW-HR: 25830,5
VOLT.BATERIA: 
TEMPERATURA: 57 PSI
PRES. ACEITE: 195 °F</v>
      </c>
      <c r="AV585" s="683">
        <f>COUNTIFS(Q585:Q2585,"MANTENIMIENTO CORRECTIVO",Y585:Y2585,BDEGENER[[#This Row],[SERIE]])</f>
        <v>1</v>
      </c>
      <c r="AW585" s="683">
        <f>COUNTIFS(Q585:Q2585,"MANTENIMIENTO PREVENTIVO",Y585:Y2585,BDEGENER[[#This Row],[SERIE]])</f>
        <v>4</v>
      </c>
      <c r="AX585"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85" s="683">
        <f>COUNTIFS(BDEGENER[SERIE],BDEGENER[[#This Row],[SERIE]],BDEGENER[TIPO DE SERVICIO],"MANTENIMIENTO PREVENTIVO")</f>
        <v>8</v>
      </c>
      <c r="AZ585" s="683" t="str">
        <f>CONCATENATE("MANTENIMIENTO PREVENTIVO N°",BDEGENER[[#This Row],[GA1]])</f>
        <v>MANTENIMIENTO PREVENTIVO N°8</v>
      </c>
      <c r="BA585" s="683" t="str">
        <f>IF(BDEGENER[[#This Row],[SERVICIO]]=BDEGENER[[#This Row],[GA2]],BDEGENER[[#This Row],[HORAS]],"0")</f>
        <v>0</v>
      </c>
      <c r="BB585" s="683">
        <f>SUMIF(BDEGENER[SERIE],BDEGENER[[#This Row],[SERIE]],BDEGENER[GA3])</f>
        <v>6883.3</v>
      </c>
      <c r="BC585" s="683" t="str">
        <f>CONCATENATE("MANT",COUNTIF($Y$7:Y585,Y585))</f>
        <v>MANT5</v>
      </c>
      <c r="BD585" s="683" t="str">
        <f>CONCATENATE(BDEGENER[[#This Row],[SERIE]],BDEGENER[[#This Row],[GA5]])</f>
        <v>3004327723MANT5</v>
      </c>
      <c r="BE585" s="683" t="str">
        <f>CONCATENATE(BDEGENER[[#This Row],[CODIGO PATRIMONIAL]],BDEGENER[[#This Row],[GA5]])</f>
        <v>MANT5</v>
      </c>
      <c r="BF585" s="683">
        <f>COUNTIF(BDEGENER[SERIE],BDEGENER[[#This Row],[SERIE]])</f>
        <v>11</v>
      </c>
      <c r="BG585" s="683" t="str">
        <f>CONCATENATE("F",COUNTIF($K$7:K585,K585))</f>
        <v>F3</v>
      </c>
      <c r="BH585" s="683" t="str">
        <f>CONCATENATE(BDEGENER[[#This Row],[FECHA DE SERVICIO]],BDEGENER[[#This Row],[N° DE REGISTROS DEL DIA]])</f>
        <v>43899F3</v>
      </c>
      <c r="BI585" s="684">
        <v>25830.5</v>
      </c>
      <c r="BJ585" s="683" t="s">
        <v>1544</v>
      </c>
      <c r="BK585" s="326"/>
    </row>
    <row r="586" spans="2:63" ht="69" hidden="1" x14ac:dyDescent="0.3">
      <c r="B586" s="2"/>
      <c r="C586" s="2"/>
      <c r="D586" s="2"/>
      <c r="E586" s="2"/>
      <c r="F586" s="2"/>
      <c r="G586" s="2"/>
      <c r="H586" s="2"/>
      <c r="I586" s="2"/>
      <c r="J586" s="685"/>
      <c r="K586" s="682">
        <v>43899</v>
      </c>
      <c r="L586" s="725" t="s">
        <v>181</v>
      </c>
      <c r="M586" s="683" t="s">
        <v>184</v>
      </c>
      <c r="N586" s="683" t="s">
        <v>183</v>
      </c>
      <c r="O586" s="683"/>
      <c r="P586" s="683"/>
      <c r="Q586" s="683" t="s">
        <v>108</v>
      </c>
      <c r="R586" s="683" t="s">
        <v>1873</v>
      </c>
      <c r="S586" s="686" t="s">
        <v>1874</v>
      </c>
      <c r="T586" s="683" t="s">
        <v>1875</v>
      </c>
      <c r="U586" s="683"/>
      <c r="V586" s="683" t="s">
        <v>146</v>
      </c>
      <c r="W586" s="683" t="s">
        <v>914</v>
      </c>
      <c r="X586" s="691" t="s">
        <v>918</v>
      </c>
      <c r="Y586" s="687">
        <v>3004402507</v>
      </c>
      <c r="Z586" s="692"/>
      <c r="AA586" s="683" t="s">
        <v>33</v>
      </c>
      <c r="AB586" s="683" t="s">
        <v>34</v>
      </c>
      <c r="AC586" s="683" t="s">
        <v>230</v>
      </c>
      <c r="AD586" s="683" t="s">
        <v>1110</v>
      </c>
      <c r="AE586" s="683">
        <v>60</v>
      </c>
      <c r="AF586" s="684">
        <v>1333.1</v>
      </c>
      <c r="AG586" s="683" t="s">
        <v>243</v>
      </c>
      <c r="AH586" s="683" t="s">
        <v>220</v>
      </c>
      <c r="AI586" s="683" t="s">
        <v>33</v>
      </c>
      <c r="AJ586" s="683">
        <v>3004425772</v>
      </c>
      <c r="AK586" s="683" t="s">
        <v>33</v>
      </c>
      <c r="AL586" s="683">
        <v>106310030</v>
      </c>
      <c r="AM586" s="683" t="s">
        <v>1094</v>
      </c>
      <c r="AN586" s="683" t="s">
        <v>1102</v>
      </c>
      <c r="AO586" s="683" t="s">
        <v>1876</v>
      </c>
      <c r="AP586" s="683" t="s">
        <v>240</v>
      </c>
      <c r="AQ586" s="688" t="str">
        <f>CONCATENATE("REG-",BDEGENER[[#This Row],[FECHA DE SERVICIO]],"-",BDEGENER[[#This Row],[SERIE]],"-",BDEGENER[[#This Row],[HORAS]])</f>
        <v>REG-43899-3004402507-1333,1</v>
      </c>
      <c r="AR586" s="683" t="str">
        <f>CONCATENATE("MARCA: ",BDEGENER[[#This Row],[MARCA]],"
 MODELO: ",BDEGENER[[#This Row],[MODELO]])</f>
        <v>MARCA: GENERAC
 MODELO: PG090</v>
      </c>
      <c r="AS586" s="683" t="str">
        <f>CONCATENATE("MARCA: ",BDEGENER[[#This Row],[MARCA DE MOTOR]],"
SERIE: ",BDEGENER[[#This Row],[SERIE DE MOTOR]])</f>
        <v>MARCA: GENERAC
SERIE: 3004425772</v>
      </c>
      <c r="AT586" s="683" t="str">
        <f>CONCATENATE("MARCA: ",BDEGENER[[#This Row],[MARCA ALTERNADOR ]],"
SERIE: ",BDEGENER[[#This Row],[SERIE DE ALTERNADOR]])</f>
        <v>MARCA: GENERAC
SERIE: 106310030</v>
      </c>
      <c r="AU586" s="683" t="str">
        <f>CONCATENATE("HORAS: ",BDEGENER[[#This Row],[HORAS]],"
KW-HR: ",BDEGENER[[#This Row],[KW-HORA]],"
VOLT.BATERIA: ",BDEGENER[[#This Row],[VOLTAJE DE BATERIA]],"
TEMPERATURA: ",BDEGENER[[#This Row],[TEMPERATURA DE AGUA]],"
PRES. ACEITE: ",BDEGENER[[#This Row],[PRESION DE ACEITE]])</f>
        <v>HORAS: 1333,1
KW-HR: 
VOLT.BATERIA: 13.5 V
TEMPERATURA: 199 °F
PRES. ACEITE: 36 PSI</v>
      </c>
      <c r="AV586" s="761">
        <f>COUNTIFS(Q586:Q2586,"MANTENIMIENTO CORRECTIVO",Y586:Y2586,BDEGENER[[#This Row],[SERIE]])</f>
        <v>4</v>
      </c>
      <c r="AW586" s="761">
        <f>COUNTIFS(Q586:Q2586,"MANTENIMIENTO PREVENTIVO",Y586:Y2586,BDEGENER[[#This Row],[SERIE]])</f>
        <v>4</v>
      </c>
      <c r="AX586"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86" s="683">
        <f>COUNTIFS(BDEGENER[SERIE],BDEGENER[[#This Row],[SERIE]],BDEGENER[TIPO DE SERVICIO],"MANTENIMIENTO PREVENTIVO")</f>
        <v>7</v>
      </c>
      <c r="AZ586" s="683" t="str">
        <f>CONCATENATE("MANTENIMIENTO PREVENTIVO N°",BDEGENER[[#This Row],[GA1]])</f>
        <v>MANTENIMIENTO PREVENTIVO N°7</v>
      </c>
      <c r="BA586" s="683" t="str">
        <f>IF(BDEGENER[[#This Row],[SERVICIO]]=BDEGENER[[#This Row],[GA2]],BDEGENER[[#This Row],[HORAS]],"0")</f>
        <v>0</v>
      </c>
      <c r="BB586" s="683">
        <f>SUMIF(BDEGENER[SERIE],BDEGENER[[#This Row],[SERIE]],BDEGENER[GA3])</f>
        <v>2134</v>
      </c>
      <c r="BC586" s="761" t="str">
        <f>CONCATENATE("MANT",COUNTIF($Y$7:Y586,Y586))</f>
        <v>MANT7</v>
      </c>
      <c r="BD586" s="683" t="str">
        <f>CONCATENATE(BDEGENER[[#This Row],[SERIE]],BDEGENER[[#This Row],[GA5]])</f>
        <v>3004402507MANT7</v>
      </c>
      <c r="BE586" s="683" t="str">
        <f>CONCATENATE(BDEGENER[[#This Row],[CODIGO PATRIMONIAL]],BDEGENER[[#This Row],[GA5]])</f>
        <v>MANT7</v>
      </c>
      <c r="BF586" s="683">
        <f>COUNTIF(BDEGENER[SERIE],BDEGENER[[#This Row],[SERIE]])</f>
        <v>16</v>
      </c>
      <c r="BG586" s="761" t="str">
        <f>CONCATENATE("F",COUNTIF($K$7:K586,K586))</f>
        <v>F4</v>
      </c>
      <c r="BH586" s="683" t="str">
        <f>CONCATENATE(BDEGENER[[#This Row],[FECHA DE SERVICIO]],BDEGENER[[#This Row],[N° DE REGISTROS DEL DIA]])</f>
        <v>43899F4</v>
      </c>
      <c r="BI586" s="684"/>
      <c r="BJ586" s="683" t="s">
        <v>1544</v>
      </c>
      <c r="BK586" s="326"/>
    </row>
    <row r="587" spans="2:63" ht="69" hidden="1" x14ac:dyDescent="0.3">
      <c r="B587" s="2"/>
      <c r="C587" s="2"/>
      <c r="D587" s="2"/>
      <c r="E587" s="2"/>
      <c r="F587" s="2"/>
      <c r="G587" s="2"/>
      <c r="H587" s="2"/>
      <c r="I587" s="2"/>
      <c r="J587" s="685"/>
      <c r="K587" s="682">
        <v>43896</v>
      </c>
      <c r="L587" s="725" t="s">
        <v>181</v>
      </c>
      <c r="M587" s="683" t="s">
        <v>184</v>
      </c>
      <c r="N587" s="683" t="s">
        <v>183</v>
      </c>
      <c r="O587" s="683"/>
      <c r="P587" s="683"/>
      <c r="Q587" s="683" t="s">
        <v>107</v>
      </c>
      <c r="R587" s="683" t="s">
        <v>1870</v>
      </c>
      <c r="S587" s="686" t="s">
        <v>1871</v>
      </c>
      <c r="T587" s="683" t="s">
        <v>1782</v>
      </c>
      <c r="U587" s="683" t="s">
        <v>1872</v>
      </c>
      <c r="V587" s="683" t="s">
        <v>146</v>
      </c>
      <c r="W587" s="683" t="s">
        <v>914</v>
      </c>
      <c r="X587" s="691" t="s">
        <v>918</v>
      </c>
      <c r="Y587" s="687">
        <v>3004336197</v>
      </c>
      <c r="Z587" s="692"/>
      <c r="AA587" s="683" t="s">
        <v>33</v>
      </c>
      <c r="AB587" s="683" t="s">
        <v>34</v>
      </c>
      <c r="AC587" s="683" t="s">
        <v>230</v>
      </c>
      <c r="AD587" s="683" t="s">
        <v>1110</v>
      </c>
      <c r="AE587" s="683">
        <v>60</v>
      </c>
      <c r="AF587" s="684">
        <v>833</v>
      </c>
      <c r="AG587" s="683" t="s">
        <v>243</v>
      </c>
      <c r="AH587" s="683" t="s">
        <v>220</v>
      </c>
      <c r="AI587" s="85" t="s">
        <v>33</v>
      </c>
      <c r="AJ587" s="85">
        <v>3004309062</v>
      </c>
      <c r="AK587" s="683" t="s">
        <v>33</v>
      </c>
      <c r="AL587" s="683">
        <v>1065072</v>
      </c>
      <c r="AM587" s="683" t="s">
        <v>1377</v>
      </c>
      <c r="AN587" s="683" t="s">
        <v>246</v>
      </c>
      <c r="AO587" s="683" t="s">
        <v>247</v>
      </c>
      <c r="AP587" s="683" t="s">
        <v>240</v>
      </c>
      <c r="AQ587" s="688" t="str">
        <f>CONCATENATE("REG-",BDEGENER[[#This Row],[FECHA DE SERVICIO]],"-",BDEGENER[[#This Row],[SERIE]],"-",BDEGENER[[#This Row],[HORAS]])</f>
        <v>REG-43896-3004336197-833</v>
      </c>
      <c r="AR587" s="683" t="str">
        <f>CONCATENATE("MARCA: ",BDEGENER[[#This Row],[MARCA]],"
 MODELO: ",BDEGENER[[#This Row],[MODELO]])</f>
        <v>MARCA: GENERAC
 MODELO: PG090</v>
      </c>
      <c r="AS587" s="683" t="str">
        <f>CONCATENATE("MARCA: ",BDEGENER[[#This Row],[MARCA DE MOTOR]],"
SERIE: ",BDEGENER[[#This Row],[SERIE DE MOTOR]])</f>
        <v>MARCA: GENERAC
SERIE: 3004309062</v>
      </c>
      <c r="AT587" s="683" t="str">
        <f>CONCATENATE("MARCA: ",BDEGENER[[#This Row],[MARCA ALTERNADOR ]],"
SERIE: ",BDEGENER[[#This Row],[SERIE DE ALTERNADOR]])</f>
        <v>MARCA: GENERAC
SERIE: 1065072</v>
      </c>
      <c r="AU587" s="683" t="str">
        <f>CONCATENATE("HORAS: ",BDEGENER[[#This Row],[HORAS]],"
KW-HR: ",BDEGENER[[#This Row],[KW-HORA]],"
VOLT.BATERIA: ",BDEGENER[[#This Row],[VOLTAJE DE BATERIA]],"
TEMPERATURA: ",BDEGENER[[#This Row],[TEMPERATURA DE AGUA]],"
PRES. ACEITE: ",BDEGENER[[#This Row],[PRESION DE ACEITE]])</f>
        <v>HORAS: 833
KW-HR: 
VOLT.BATERIA: 13.8 V
TEMPERATURA: 198 °F
PRES. ACEITE: 55 PSI</v>
      </c>
      <c r="AV587" s="683">
        <f>COUNTIFS(Q587:Q2587,"MANTENIMIENTO CORRECTIVO",Y587:Y2587,BDEGENER[[#This Row],[SERIE]])</f>
        <v>2</v>
      </c>
      <c r="AW587" s="683">
        <f>COUNTIFS(Q587:Q2587,"MANTENIMIENTO PREVENTIVO",Y587:Y2587,BDEGENER[[#This Row],[SERIE]])</f>
        <v>3</v>
      </c>
      <c r="AX587"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587" s="683">
        <f>COUNTIFS(BDEGENER[SERIE],BDEGENER[[#This Row],[SERIE]],BDEGENER[TIPO DE SERVICIO],"MANTENIMIENTO PREVENTIVO")</f>
        <v>9</v>
      </c>
      <c r="AZ587" s="683" t="str">
        <f>CONCATENATE("MANTENIMIENTO PREVENTIVO N°",BDEGENER[[#This Row],[GA1]])</f>
        <v>MANTENIMIENTO PREVENTIVO N°9</v>
      </c>
      <c r="BA587" s="683" t="str">
        <f>IF(BDEGENER[[#This Row],[SERVICIO]]=BDEGENER[[#This Row],[GA2]],BDEGENER[[#This Row],[HORAS]],"0")</f>
        <v>0</v>
      </c>
      <c r="BB587" s="683">
        <f>SUMIF(BDEGENER[SERIE],BDEGENER[[#This Row],[SERIE]],BDEGENER[GA3])</f>
        <v>2922.3</v>
      </c>
      <c r="BC587" s="683" t="str">
        <f>CONCATENATE("MANT",COUNTIF($Y$7:Y587,Y587))</f>
        <v>MANT12</v>
      </c>
      <c r="BD587" s="683" t="str">
        <f>CONCATENATE(BDEGENER[[#This Row],[SERIE]],BDEGENER[[#This Row],[GA5]])</f>
        <v>3004336197MANT12</v>
      </c>
      <c r="BE587" s="683" t="str">
        <f>CONCATENATE(BDEGENER[[#This Row],[CODIGO PATRIMONIAL]],BDEGENER[[#This Row],[GA5]])</f>
        <v>MANT12</v>
      </c>
      <c r="BF587" s="683">
        <f>COUNTIF(BDEGENER[SERIE],BDEGENER[[#This Row],[SERIE]])</f>
        <v>17</v>
      </c>
      <c r="BG587" s="683" t="str">
        <f>CONCATENATE("F",COUNTIF($K$7:K587,K587))</f>
        <v>F1</v>
      </c>
      <c r="BH587" s="683" t="str">
        <f>CONCATENATE(BDEGENER[[#This Row],[FECHA DE SERVICIO]],BDEGENER[[#This Row],[N° DE REGISTROS DEL DIA]])</f>
        <v>43896F1</v>
      </c>
      <c r="BI587" s="684"/>
      <c r="BJ587" s="683" t="s">
        <v>1544</v>
      </c>
      <c r="BK587" s="326"/>
    </row>
    <row r="588" spans="2:63" ht="69" hidden="1" x14ac:dyDescent="0.3">
      <c r="B588" s="2"/>
      <c r="C588" s="2"/>
      <c r="D588" s="2"/>
      <c r="E588" s="2"/>
      <c r="F588" s="2"/>
      <c r="G588" s="2"/>
      <c r="H588" s="2"/>
      <c r="I588" s="2"/>
      <c r="J588" s="685"/>
      <c r="K588" s="682">
        <v>43896</v>
      </c>
      <c r="L588" s="725" t="s">
        <v>181</v>
      </c>
      <c r="M588" s="683" t="s">
        <v>184</v>
      </c>
      <c r="N588" s="683" t="s">
        <v>183</v>
      </c>
      <c r="O588" s="683">
        <v>4500873022</v>
      </c>
      <c r="P588" s="688" t="s">
        <v>2325</v>
      </c>
      <c r="Q588" s="683" t="s">
        <v>37</v>
      </c>
      <c r="R588" s="683" t="s">
        <v>1782</v>
      </c>
      <c r="S588" s="686" t="s">
        <v>1855</v>
      </c>
      <c r="T588" s="683" t="s">
        <v>1857</v>
      </c>
      <c r="U588" s="683" t="s">
        <v>1856</v>
      </c>
      <c r="V588" s="683" t="s">
        <v>146</v>
      </c>
      <c r="W588" s="683" t="s">
        <v>914</v>
      </c>
      <c r="X588" s="691" t="s">
        <v>918</v>
      </c>
      <c r="Y588" s="687">
        <v>3004418791</v>
      </c>
      <c r="Z588" s="692"/>
      <c r="AA588" s="683" t="s">
        <v>33</v>
      </c>
      <c r="AB588" s="683" t="s">
        <v>34</v>
      </c>
      <c r="AC588" s="683" t="s">
        <v>230</v>
      </c>
      <c r="AD588" s="683" t="s">
        <v>1110</v>
      </c>
      <c r="AE588" s="683">
        <v>59.9</v>
      </c>
      <c r="AF588" s="684">
        <v>1222.8</v>
      </c>
      <c r="AG588" s="683" t="s">
        <v>243</v>
      </c>
      <c r="AH588" s="683" t="s">
        <v>220</v>
      </c>
      <c r="AI588" s="683" t="s">
        <v>33</v>
      </c>
      <c r="AJ588" s="683">
        <v>3004426135</v>
      </c>
      <c r="AK588" s="683" t="s">
        <v>33</v>
      </c>
      <c r="AL588" s="683">
        <v>107745330</v>
      </c>
      <c r="AM588" s="683" t="s">
        <v>1858</v>
      </c>
      <c r="AN588" s="683" t="s">
        <v>246</v>
      </c>
      <c r="AO588" s="683" t="s">
        <v>247</v>
      </c>
      <c r="AP588" s="683" t="s">
        <v>240</v>
      </c>
      <c r="AQ588" s="688" t="str">
        <f>CONCATENATE("REG-",BDEGENER[[#This Row],[FECHA DE SERVICIO]],"-",BDEGENER[[#This Row],[SERIE]],"-",BDEGENER[[#This Row],[HORAS]])</f>
        <v>REG-43896-3004418791-1222,8</v>
      </c>
      <c r="AR588" s="683" t="str">
        <f>CONCATENATE("MARCA: ",BDEGENER[[#This Row],[MARCA]],"
 MODELO: ",BDEGENER[[#This Row],[MODELO]])</f>
        <v>MARCA: GENERAC
 MODELO: PG090</v>
      </c>
      <c r="AS588" s="683" t="str">
        <f>CONCATENATE("MARCA: ",BDEGENER[[#This Row],[MARCA DE MOTOR]],"
SERIE: ",BDEGENER[[#This Row],[SERIE DE MOTOR]])</f>
        <v>MARCA: GENERAC
SERIE: 3004426135</v>
      </c>
      <c r="AT588" s="683" t="str">
        <f>CONCATENATE("MARCA: ",BDEGENER[[#This Row],[MARCA ALTERNADOR ]],"
SERIE: ",BDEGENER[[#This Row],[SERIE DE ALTERNADOR]])</f>
        <v>MARCA: GENERAC
SERIE: 107745330</v>
      </c>
      <c r="AU588" s="683" t="str">
        <f>CONCATENATE("HORAS: ",BDEGENER[[#This Row],[HORAS]],"
KW-HR: ",BDEGENER[[#This Row],[KW-HORA]],"
VOLT.BATERIA: ",BDEGENER[[#This Row],[VOLTAJE DE BATERIA]],"
TEMPERATURA: ",BDEGENER[[#This Row],[TEMPERATURA DE AGUA]],"
PRES. ACEITE: ",BDEGENER[[#This Row],[PRESION DE ACEITE]])</f>
        <v>HORAS: 1222,8
KW-HR: 12732,8
VOLT.BATERIA: 14.1 V
TEMPERATURA: 198 °F
PRES. ACEITE: 55 PSI</v>
      </c>
      <c r="AV588" s="683">
        <f>COUNTIFS(Q588:Q2588,"MANTENIMIENTO CORRECTIVO",Y588:Y2588,BDEGENER[[#This Row],[SERIE]])</f>
        <v>6</v>
      </c>
      <c r="AW588" s="683">
        <f>COUNTIFS(Q588:Q2588,"MANTENIMIENTO PREVENTIVO",Y588:Y2588,BDEGENER[[#This Row],[SERIE]])</f>
        <v>4</v>
      </c>
      <c r="AX588"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88" s="683">
        <f>COUNTIFS(BDEGENER[SERIE],BDEGENER[[#This Row],[SERIE]],BDEGENER[TIPO DE SERVICIO],"MANTENIMIENTO PREVENTIVO")</f>
        <v>7</v>
      </c>
      <c r="AZ588" s="683" t="str">
        <f>CONCATENATE("MANTENIMIENTO PREVENTIVO N°",BDEGENER[[#This Row],[GA1]])</f>
        <v>MANTENIMIENTO PREVENTIVO N°7</v>
      </c>
      <c r="BA588" s="683" t="str">
        <f>IF(BDEGENER[[#This Row],[SERVICIO]]=BDEGENER[[#This Row],[GA2]],BDEGENER[[#This Row],[HORAS]],"0")</f>
        <v>0</v>
      </c>
      <c r="BB588" s="683">
        <f>SUMIF(BDEGENER[SERIE],BDEGENER[[#This Row],[SERIE]],BDEGENER[GA3])</f>
        <v>2074.3000000000002</v>
      </c>
      <c r="BC588" s="683" t="str">
        <f>CONCATENATE("MANT",COUNTIF($Y$7:Y588,Y588))</f>
        <v>MANT5</v>
      </c>
      <c r="BD588" s="683" t="str">
        <f>CONCATENATE(BDEGENER[[#This Row],[SERIE]],BDEGENER[[#This Row],[GA5]])</f>
        <v>3004418791MANT5</v>
      </c>
      <c r="BE588" s="683" t="str">
        <f>CONCATENATE(BDEGENER[[#This Row],[CODIGO PATRIMONIAL]],BDEGENER[[#This Row],[GA5]])</f>
        <v>MANT5</v>
      </c>
      <c r="BF588" s="683">
        <f>COUNTIF(BDEGENER[SERIE],BDEGENER[[#This Row],[SERIE]])</f>
        <v>16</v>
      </c>
      <c r="BG588" s="683" t="str">
        <f>CONCATENATE("F",COUNTIF($K$7:K588,K588))</f>
        <v>F2</v>
      </c>
      <c r="BH588" s="683" t="str">
        <f>CONCATENATE(BDEGENER[[#This Row],[FECHA DE SERVICIO]],BDEGENER[[#This Row],[N° DE REGISTROS DEL DIA]])</f>
        <v>43896F2</v>
      </c>
      <c r="BI588" s="684">
        <v>12732.8</v>
      </c>
      <c r="BJ588" s="683" t="s">
        <v>1544</v>
      </c>
      <c r="BK588" s="326"/>
    </row>
    <row r="589" spans="2:63" ht="69" hidden="1" x14ac:dyDescent="0.3">
      <c r="B589" s="2"/>
      <c r="C589" s="2"/>
      <c r="D589" s="2"/>
      <c r="E589" s="2"/>
      <c r="F589" s="2"/>
      <c r="G589" s="2"/>
      <c r="H589" s="2"/>
      <c r="I589" s="2"/>
      <c r="J589" s="685"/>
      <c r="K589" s="682">
        <v>43896</v>
      </c>
      <c r="L589" s="725" t="s">
        <v>181</v>
      </c>
      <c r="M589" s="683" t="s">
        <v>184</v>
      </c>
      <c r="N589" s="683" t="s">
        <v>183</v>
      </c>
      <c r="O589" s="683"/>
      <c r="P589" s="683"/>
      <c r="Q589" s="683" t="s">
        <v>107</v>
      </c>
      <c r="R589" s="683" t="s">
        <v>1859</v>
      </c>
      <c r="S589" s="686" t="s">
        <v>1860</v>
      </c>
      <c r="T589" s="683" t="s">
        <v>1861</v>
      </c>
      <c r="U589" s="683" t="s">
        <v>1862</v>
      </c>
      <c r="V589" s="683" t="s">
        <v>146</v>
      </c>
      <c r="W589" s="683" t="s">
        <v>914</v>
      </c>
      <c r="X589" s="691" t="s">
        <v>918</v>
      </c>
      <c r="Y589" s="687">
        <v>3004418791</v>
      </c>
      <c r="Z589" s="692"/>
      <c r="AA589" s="683" t="s">
        <v>33</v>
      </c>
      <c r="AB589" s="683" t="s">
        <v>34</v>
      </c>
      <c r="AC589" s="683" t="s">
        <v>230</v>
      </c>
      <c r="AD589" s="683" t="s">
        <v>1110</v>
      </c>
      <c r="AE589" s="683"/>
      <c r="AF589" s="684">
        <v>1222.5999999999999</v>
      </c>
      <c r="AG589" s="683" t="s">
        <v>243</v>
      </c>
      <c r="AH589" s="683" t="s">
        <v>220</v>
      </c>
      <c r="AI589" s="683" t="s">
        <v>33</v>
      </c>
      <c r="AJ589" s="683">
        <v>3004426135</v>
      </c>
      <c r="AK589" s="683" t="s">
        <v>33</v>
      </c>
      <c r="AL589" s="683">
        <v>107745330</v>
      </c>
      <c r="AM589" s="683" t="s">
        <v>1858</v>
      </c>
      <c r="AN589" s="683"/>
      <c r="AO589" s="683"/>
      <c r="AP589" s="683" t="s">
        <v>240</v>
      </c>
      <c r="AQ589" s="688" t="str">
        <f>CONCATENATE("REG-",BDEGENER[[#This Row],[FECHA DE SERVICIO]],"-",BDEGENER[[#This Row],[SERIE]],"-",BDEGENER[[#This Row],[HORAS]])</f>
        <v>REG-43896-3004418791-1222,6</v>
      </c>
      <c r="AR589" s="683" t="str">
        <f>CONCATENATE("MARCA: ",BDEGENER[[#This Row],[MARCA]],"
 MODELO: ",BDEGENER[[#This Row],[MODELO]])</f>
        <v>MARCA: GENERAC
 MODELO: PG090</v>
      </c>
      <c r="AS589" s="683" t="str">
        <f>CONCATENATE("MARCA: ",BDEGENER[[#This Row],[MARCA DE MOTOR]],"
SERIE: ",BDEGENER[[#This Row],[SERIE DE MOTOR]])</f>
        <v>MARCA: GENERAC
SERIE: 3004426135</v>
      </c>
      <c r="AT589" s="683" t="str">
        <f>CONCATENATE("MARCA: ",BDEGENER[[#This Row],[MARCA ALTERNADOR ]],"
SERIE: ",BDEGENER[[#This Row],[SERIE DE ALTERNADOR]])</f>
        <v>MARCA: GENERAC
SERIE: 107745330</v>
      </c>
      <c r="AU589" s="683" t="str">
        <f>CONCATENATE("HORAS: ",BDEGENER[[#This Row],[HORAS]],"
KW-HR: ",BDEGENER[[#This Row],[KW-HORA]],"
VOLT.BATERIA: ",BDEGENER[[#This Row],[VOLTAJE DE BATERIA]],"
TEMPERATURA: ",BDEGENER[[#This Row],[TEMPERATURA DE AGUA]],"
PRES. ACEITE: ",BDEGENER[[#This Row],[PRESION DE ACEITE]])</f>
        <v xml:space="preserve">HORAS: 1222,6
KW-HR: 
VOLT.BATERIA: 14.1 V
TEMPERATURA: 
PRES. ACEITE: </v>
      </c>
      <c r="AV589" s="761">
        <f>COUNTIFS(Q589:Q2589,"MANTENIMIENTO CORRECTIVO",Y589:Y2589,BDEGENER[[#This Row],[SERIE]])</f>
        <v>6</v>
      </c>
      <c r="AW589" s="761">
        <f>COUNTIFS(Q589:Q2589,"MANTENIMIENTO PREVENTIVO",Y589:Y2589,BDEGENER[[#This Row],[SERIE]])</f>
        <v>3</v>
      </c>
      <c r="AX589"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N°6</v>
      </c>
      <c r="AY589" s="683">
        <f>COUNTIFS(BDEGENER[SERIE],BDEGENER[[#This Row],[SERIE]],BDEGENER[TIPO DE SERVICIO],"MANTENIMIENTO PREVENTIVO")</f>
        <v>7</v>
      </c>
      <c r="AZ589" s="683" t="str">
        <f>CONCATENATE("MANTENIMIENTO PREVENTIVO N°",BDEGENER[[#This Row],[GA1]])</f>
        <v>MANTENIMIENTO PREVENTIVO N°7</v>
      </c>
      <c r="BA589" s="683" t="str">
        <f>IF(BDEGENER[[#This Row],[SERVICIO]]=BDEGENER[[#This Row],[GA2]],BDEGENER[[#This Row],[HORAS]],"0")</f>
        <v>0</v>
      </c>
      <c r="BB589" s="683">
        <f>SUMIF(BDEGENER[SERIE],BDEGENER[[#This Row],[SERIE]],BDEGENER[GA3])</f>
        <v>2074.3000000000002</v>
      </c>
      <c r="BC589" s="761" t="str">
        <f>CONCATENATE("MANT",COUNTIF($Y$7:Y589,Y589))</f>
        <v>MANT6</v>
      </c>
      <c r="BD589" s="683" t="str">
        <f>CONCATENATE(BDEGENER[[#This Row],[SERIE]],BDEGENER[[#This Row],[GA5]])</f>
        <v>3004418791MANT6</v>
      </c>
      <c r="BE589" s="683" t="str">
        <f>CONCATENATE(BDEGENER[[#This Row],[CODIGO PATRIMONIAL]],BDEGENER[[#This Row],[GA5]])</f>
        <v>MANT6</v>
      </c>
      <c r="BF589" s="683">
        <f>COUNTIF(BDEGENER[SERIE],BDEGENER[[#This Row],[SERIE]])</f>
        <v>16</v>
      </c>
      <c r="BG589" s="761" t="str">
        <f>CONCATENATE("F",COUNTIF($K$7:K589,K589))</f>
        <v>F3</v>
      </c>
      <c r="BH589" s="683" t="str">
        <f>CONCATENATE(BDEGENER[[#This Row],[FECHA DE SERVICIO]],BDEGENER[[#This Row],[N° DE REGISTROS DEL DIA]])</f>
        <v>43896F3</v>
      </c>
      <c r="BI589" s="684"/>
      <c r="BJ589" s="683" t="s">
        <v>1544</v>
      </c>
      <c r="BK589" s="326"/>
    </row>
    <row r="590" spans="2:63" ht="69" hidden="1" x14ac:dyDescent="0.3">
      <c r="B590" s="2"/>
      <c r="C590" s="2"/>
      <c r="D590" s="2"/>
      <c r="E590" s="2"/>
      <c r="F590" s="2"/>
      <c r="G590" s="2"/>
      <c r="H590" s="2"/>
      <c r="I590" s="2"/>
      <c r="J590" s="685"/>
      <c r="K590" s="682">
        <v>43895</v>
      </c>
      <c r="L590" s="725" t="s">
        <v>248</v>
      </c>
      <c r="M590" s="683" t="s">
        <v>2022</v>
      </c>
      <c r="N590" s="683" t="s">
        <v>2023</v>
      </c>
      <c r="O590" s="683"/>
      <c r="P590" s="683" t="s">
        <v>2024</v>
      </c>
      <c r="Q590" s="683" t="s">
        <v>2021</v>
      </c>
      <c r="R590" s="683" t="s">
        <v>2025</v>
      </c>
      <c r="S590" s="686" t="s">
        <v>2026</v>
      </c>
      <c r="T590" s="683" t="s">
        <v>2033</v>
      </c>
      <c r="U590" s="683"/>
      <c r="V590" s="683" t="s">
        <v>479</v>
      </c>
      <c r="W590" s="683" t="s">
        <v>914</v>
      </c>
      <c r="X590" s="691" t="s">
        <v>917</v>
      </c>
      <c r="Y590" s="687" t="s">
        <v>1634</v>
      </c>
      <c r="Z590" s="692">
        <v>24994</v>
      </c>
      <c r="AA590" s="683" t="s">
        <v>33</v>
      </c>
      <c r="AB590" s="683" t="s">
        <v>500</v>
      </c>
      <c r="AC590" s="683" t="s">
        <v>853</v>
      </c>
      <c r="AD590" s="683"/>
      <c r="AE590" s="683"/>
      <c r="AF590" s="684">
        <v>0.6</v>
      </c>
      <c r="AG590" s="683" t="s">
        <v>243</v>
      </c>
      <c r="AH590" s="683" t="s">
        <v>1635</v>
      </c>
      <c r="AI590" s="683" t="s">
        <v>1636</v>
      </c>
      <c r="AJ590" s="683" t="s">
        <v>1637</v>
      </c>
      <c r="AK590" s="683" t="s">
        <v>1686</v>
      </c>
      <c r="AL590" s="683">
        <v>2076161</v>
      </c>
      <c r="AM590" s="683"/>
      <c r="AN590" s="683"/>
      <c r="AO590" s="683"/>
      <c r="AP590" s="683" t="s">
        <v>240</v>
      </c>
      <c r="AQ590" s="688" t="str">
        <f>CONCATENATE("REG-",BDEGENER[[#This Row],[FECHA DE SERVICIO]],"-",BDEGENER[[#This Row],[SERIE]],"-",BDEGENER[[#This Row],[HORAS]])</f>
        <v>REG-43895-PEE2626871-0,6</v>
      </c>
      <c r="AR590" s="683" t="str">
        <f>CONCATENATE("MARCA: ",BDEGENER[[#This Row],[MARCA]],"
 MODELO: ",BDEGENER[[#This Row],[MODELO]])</f>
        <v>MARCA: GENERAC
 MODELO: PMY20B</v>
      </c>
      <c r="AS590" s="683" t="str">
        <f>CONCATENATE("MARCA: ",BDEGENER[[#This Row],[MARCA DE MOTOR]],"
SERIE: ",BDEGENER[[#This Row],[SERIE DE MOTOR]])</f>
        <v>MARCA: PERKINS 404D-22G
SERIE: S923132D</v>
      </c>
      <c r="AT590" s="683" t="str">
        <f>CONCATENATE("MARCA: ",BDEGENER[[#This Row],[MARCA ALTERNADOR ]],"
SERIE: ",BDEGENER[[#This Row],[SERIE DE ALTERNADOR]])</f>
        <v>MARCA: MECCALTE ECP28M
SERIE: 2076161</v>
      </c>
      <c r="AU590" s="683"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590" s="683">
        <f>COUNTIFS(Q590:Q2590,"MANTENIMIENTO CORRECTIVO",Y590:Y2590,BDEGENER[[#This Row],[SERIE]])</f>
        <v>0</v>
      </c>
      <c r="AW590" s="683">
        <f>COUNTIFS(Q590:Q2590,"MANTENIMIENTO PREVENTIVO",Y590:Y2590,BDEGENER[[#This Row],[SERIE]])</f>
        <v>0</v>
      </c>
      <c r="AX590"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590" s="683">
        <f>COUNTIFS(BDEGENER[SERIE],BDEGENER[[#This Row],[SERIE]],BDEGENER[TIPO DE SERVICIO],"MANTENIMIENTO PREVENTIVO")</f>
        <v>2</v>
      </c>
      <c r="AZ590" s="683" t="str">
        <f>CONCATENATE("MANTENIMIENTO PREVENTIVO N°",BDEGENER[[#This Row],[GA1]])</f>
        <v>MANTENIMIENTO PREVENTIVO N°2</v>
      </c>
      <c r="BA590" s="683" t="str">
        <f>IF(BDEGENER[[#This Row],[SERVICIO]]=BDEGENER[[#This Row],[GA2]],BDEGENER[[#This Row],[HORAS]],"0")</f>
        <v>0</v>
      </c>
      <c r="BB590" s="683">
        <f>SUMIF(BDEGENER[SERIE],BDEGENER[[#This Row],[SERIE]],BDEGENER[GA3])</f>
        <v>482.3</v>
      </c>
      <c r="BC590" s="683" t="str">
        <f>CONCATENATE("MANT",COUNTIF($Y$7:Y590,Y590))</f>
        <v>MANT3</v>
      </c>
      <c r="BD590" s="683" t="str">
        <f>CONCATENATE(BDEGENER[[#This Row],[SERIE]],BDEGENER[[#This Row],[GA5]])</f>
        <v>PEE2626871MANT3</v>
      </c>
      <c r="BE590" s="683" t="str">
        <f>CONCATENATE(BDEGENER[[#This Row],[CODIGO PATRIMONIAL]],BDEGENER[[#This Row],[GA5]])</f>
        <v>24994MANT3</v>
      </c>
      <c r="BF590" s="683">
        <f>COUNTIF(BDEGENER[SERIE],BDEGENER[[#This Row],[SERIE]])</f>
        <v>4</v>
      </c>
      <c r="BG590" s="683" t="str">
        <f>CONCATENATE("F",COUNTIF($K$7:K590,K590))</f>
        <v>F1</v>
      </c>
      <c r="BH590" s="683" t="str">
        <f>CONCATENATE(BDEGENER[[#This Row],[FECHA DE SERVICIO]],BDEGENER[[#This Row],[N° DE REGISTROS DEL DIA]])</f>
        <v>43895F1</v>
      </c>
      <c r="BI590" s="684"/>
      <c r="BJ590" s="683" t="s">
        <v>1544</v>
      </c>
      <c r="BK590" s="680"/>
    </row>
    <row r="591" spans="2:63" ht="69" hidden="1" x14ac:dyDescent="0.3">
      <c r="B591" s="2"/>
      <c r="C591" s="2"/>
      <c r="D591" s="2"/>
      <c r="E591" s="2"/>
      <c r="F591" s="2"/>
      <c r="G591" s="2"/>
      <c r="H591" s="2"/>
      <c r="I591" s="2"/>
      <c r="J591" s="685"/>
      <c r="K591" s="682">
        <v>43895</v>
      </c>
      <c r="L591" s="725" t="s">
        <v>248</v>
      </c>
      <c r="M591" s="683" t="s">
        <v>2022</v>
      </c>
      <c r="N591" s="683" t="s">
        <v>2023</v>
      </c>
      <c r="O591" s="683"/>
      <c r="P591" s="683" t="s">
        <v>2024</v>
      </c>
      <c r="Q591" s="683" t="s">
        <v>2021</v>
      </c>
      <c r="R591" s="683" t="s">
        <v>2025</v>
      </c>
      <c r="S591" s="686" t="s">
        <v>2026</v>
      </c>
      <c r="T591" s="683" t="s">
        <v>2033</v>
      </c>
      <c r="U591" s="683"/>
      <c r="V591" s="683" t="s">
        <v>479</v>
      </c>
      <c r="W591" s="683" t="s">
        <v>914</v>
      </c>
      <c r="X591" s="691" t="s">
        <v>917</v>
      </c>
      <c r="Y591" s="687" t="s">
        <v>1752</v>
      </c>
      <c r="Z591" s="692" t="s">
        <v>159</v>
      </c>
      <c r="AA591" s="683" t="s">
        <v>33</v>
      </c>
      <c r="AB591" s="683" t="s">
        <v>500</v>
      </c>
      <c r="AC591" s="683" t="s">
        <v>853</v>
      </c>
      <c r="AD591" s="683"/>
      <c r="AE591" s="683"/>
      <c r="AF591" s="684">
        <v>0.5</v>
      </c>
      <c r="AG591" s="683" t="s">
        <v>243</v>
      </c>
      <c r="AH591" s="683" t="s">
        <v>1635</v>
      </c>
      <c r="AI591" s="683" t="s">
        <v>1636</v>
      </c>
      <c r="AJ591" s="683" t="s">
        <v>1753</v>
      </c>
      <c r="AK591" s="683" t="s">
        <v>1686</v>
      </c>
      <c r="AL591" s="85">
        <v>2087044</v>
      </c>
      <c r="AM591" s="683"/>
      <c r="AN591" s="683"/>
      <c r="AO591" s="683"/>
      <c r="AP591" s="683" t="s">
        <v>240</v>
      </c>
      <c r="AQ591" s="688" t="str">
        <f>CONCATENATE("REG-",BDEGENER[[#This Row],[FECHA DE SERVICIO]],"-",BDEGENER[[#This Row],[SERIE]],"-",BDEGENER[[#This Row],[HORAS]])</f>
        <v>REG-43895-PEE2629434-0,5</v>
      </c>
      <c r="AR591" s="683" t="str">
        <f>CONCATENATE("MARCA: ",BDEGENER[[#This Row],[MARCA]],"
 MODELO: ",BDEGENER[[#This Row],[MODELO]])</f>
        <v>MARCA: GENERAC
 MODELO: PMY20B</v>
      </c>
      <c r="AS591" s="683" t="str">
        <f>CONCATENATE("MARCA: ",BDEGENER[[#This Row],[MARCA DE MOTOR]],"
SERIE: ",BDEGENER[[#This Row],[SERIE DE MOTOR]])</f>
        <v>MARCA: PERKINS 404D-22G
SERIE: S92558D</v>
      </c>
      <c r="AT591" s="683" t="str">
        <f>CONCATENATE("MARCA: ",BDEGENER[[#This Row],[MARCA ALTERNADOR ]],"
SERIE: ",BDEGENER[[#This Row],[SERIE DE ALTERNADOR]])</f>
        <v>MARCA: MECCALTE ECP28M
SERIE: 2087044</v>
      </c>
      <c r="AU591" s="683" t="str">
        <f>CONCATENATE("HORAS: ",BDEGENER[[#This Row],[HORAS]],"
KW-HR: ",BDEGENER[[#This Row],[KW-HORA]],"
VOLT.BATERIA: ",BDEGENER[[#This Row],[VOLTAJE DE BATERIA]],"
TEMPERATURA: ",BDEGENER[[#This Row],[TEMPERATURA DE AGUA]],"
PRES. ACEITE: ",BDEGENER[[#This Row],[PRESION DE ACEITE]])</f>
        <v xml:space="preserve">HORAS: 0,5
KW-HR: 
VOLT.BATERIA: 
TEMPERATURA: 
PRES. ACEITE: </v>
      </c>
      <c r="AV591" s="683">
        <f>COUNTIFS(Q591:Q2591,"MANTENIMIENTO CORRECTIVO",Y591:Y2591,BDEGENER[[#This Row],[SERIE]])</f>
        <v>0</v>
      </c>
      <c r="AW591" s="683">
        <f>COUNTIFS(Q591:Q2591,"MANTENIMIENTO PREVENTIVO",Y591:Y2591,BDEGENER[[#This Row],[SERIE]])</f>
        <v>0</v>
      </c>
      <c r="AX591"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591" s="683">
        <f>COUNTIFS(BDEGENER[SERIE],BDEGENER[[#This Row],[SERIE]],BDEGENER[TIPO DE SERVICIO],"MANTENIMIENTO PREVENTIVO")</f>
        <v>1</v>
      </c>
      <c r="AZ591" s="683" t="str">
        <f>CONCATENATE("MANTENIMIENTO PREVENTIVO N°",BDEGENER[[#This Row],[GA1]])</f>
        <v>MANTENIMIENTO PREVENTIVO N°1</v>
      </c>
      <c r="BA591" s="683" t="str">
        <f>IF(BDEGENER[[#This Row],[SERVICIO]]=BDEGENER[[#This Row],[GA2]],BDEGENER[[#This Row],[HORAS]],"0")</f>
        <v>0</v>
      </c>
      <c r="BB591" s="683">
        <f>SUMIF(BDEGENER[SERIE],BDEGENER[[#This Row],[SERIE]],BDEGENER[GA3])</f>
        <v>119.9</v>
      </c>
      <c r="BC591" s="683" t="str">
        <f>CONCATENATE("MANT",COUNTIF($Y$7:Y591,Y591))</f>
        <v>MANT2</v>
      </c>
      <c r="BD591" s="683" t="str">
        <f>CONCATENATE(BDEGENER[[#This Row],[SERIE]],BDEGENER[[#This Row],[GA5]])</f>
        <v>PEE2629434MANT2</v>
      </c>
      <c r="BE591" s="683" t="str">
        <f>CONCATENATE(BDEGENER[[#This Row],[CODIGO PATRIMONIAL]],BDEGENER[[#This Row],[GA5]])</f>
        <v>MANT2</v>
      </c>
      <c r="BF591" s="683">
        <f>COUNTIF(BDEGENER[SERIE],BDEGENER[[#This Row],[SERIE]])</f>
        <v>3</v>
      </c>
      <c r="BG591" s="683" t="str">
        <f>CONCATENATE("F",COUNTIF($K$7:K591,K591))</f>
        <v>F2</v>
      </c>
      <c r="BH591" s="683" t="str">
        <f>CONCATENATE(BDEGENER[[#This Row],[FECHA DE SERVICIO]],BDEGENER[[#This Row],[N° DE REGISTROS DEL DIA]])</f>
        <v>43895F2</v>
      </c>
      <c r="BI591" s="684"/>
      <c r="BJ591" s="683" t="s">
        <v>1544</v>
      </c>
      <c r="BK591" s="680"/>
    </row>
    <row r="592" spans="2:63" ht="69" hidden="1" x14ac:dyDescent="0.3">
      <c r="B592" s="2"/>
      <c r="C592" s="2"/>
      <c r="D592" s="2"/>
      <c r="E592" s="2"/>
      <c r="F592" s="2"/>
      <c r="G592" s="2"/>
      <c r="H592" s="2"/>
      <c r="I592" s="2"/>
      <c r="J592" s="685"/>
      <c r="K592" s="682">
        <v>43895</v>
      </c>
      <c r="L592" s="725" t="s">
        <v>181</v>
      </c>
      <c r="M592" s="683" t="s">
        <v>182</v>
      </c>
      <c r="N592" s="683" t="s">
        <v>183</v>
      </c>
      <c r="O592" s="683"/>
      <c r="P592" s="683"/>
      <c r="Q592" s="683" t="s">
        <v>107</v>
      </c>
      <c r="R592" s="683" t="s">
        <v>1782</v>
      </c>
      <c r="S592" s="686" t="s">
        <v>1865</v>
      </c>
      <c r="T592" s="683" t="s">
        <v>1866</v>
      </c>
      <c r="U592" s="683" t="s">
        <v>1867</v>
      </c>
      <c r="V592" s="683" t="s">
        <v>146</v>
      </c>
      <c r="W592" s="683" t="s">
        <v>914</v>
      </c>
      <c r="X592" s="691" t="s">
        <v>918</v>
      </c>
      <c r="Y592" s="687">
        <v>3004256777</v>
      </c>
      <c r="Z592" s="692"/>
      <c r="AA592" s="683" t="s">
        <v>33</v>
      </c>
      <c r="AB592" s="683" t="s">
        <v>34</v>
      </c>
      <c r="AC592" s="683" t="s">
        <v>230</v>
      </c>
      <c r="AD592" s="683"/>
      <c r="AE592" s="683"/>
      <c r="AF592" s="684">
        <v>535</v>
      </c>
      <c r="AG592" s="683" t="s">
        <v>243</v>
      </c>
      <c r="AH592" s="683" t="s">
        <v>220</v>
      </c>
      <c r="AI592" s="683" t="s">
        <v>33</v>
      </c>
      <c r="AJ592" s="683"/>
      <c r="AK592" s="683" t="s">
        <v>33</v>
      </c>
      <c r="AL592" s="85"/>
      <c r="AM592" s="683"/>
      <c r="AN592" s="683"/>
      <c r="AO592" s="683"/>
      <c r="AP592" s="683" t="s">
        <v>240</v>
      </c>
      <c r="AQ592" s="688" t="str">
        <f>CONCATENATE("REG-",BDEGENER[[#This Row],[FECHA DE SERVICIO]],"-",BDEGENER[[#This Row],[SERIE]],"-",BDEGENER[[#This Row],[HORAS]])</f>
        <v>REG-43895-3004256777-535</v>
      </c>
      <c r="AR592" s="683" t="str">
        <f>CONCATENATE("MARCA: ",BDEGENER[[#This Row],[MARCA]],"
 MODELO: ",BDEGENER[[#This Row],[MODELO]])</f>
        <v>MARCA: GENERAC
 MODELO: PG090</v>
      </c>
      <c r="AS592" s="683" t="str">
        <f>CONCATENATE("MARCA: ",BDEGENER[[#This Row],[MARCA DE MOTOR]],"
SERIE: ",BDEGENER[[#This Row],[SERIE DE MOTOR]])</f>
        <v xml:space="preserve">MARCA: GENERAC
SERIE: </v>
      </c>
      <c r="AT592" s="683" t="str">
        <f>CONCATENATE("MARCA: ",BDEGENER[[#This Row],[MARCA ALTERNADOR ]],"
SERIE: ",BDEGENER[[#This Row],[SERIE DE ALTERNADOR]])</f>
        <v xml:space="preserve">MARCA: GENERAC
SERIE: </v>
      </c>
      <c r="AU592" s="683" t="str">
        <f>CONCATENATE("HORAS: ",BDEGENER[[#This Row],[HORAS]],"
KW-HR: ",BDEGENER[[#This Row],[KW-HORA]],"
VOLT.BATERIA: ",BDEGENER[[#This Row],[VOLTAJE DE BATERIA]],"
TEMPERATURA: ",BDEGENER[[#This Row],[TEMPERATURA DE AGUA]],"
PRES. ACEITE: ",BDEGENER[[#This Row],[PRESION DE ACEITE]])</f>
        <v xml:space="preserve">HORAS: 535
KW-HR: 
VOLT.BATERIA: 
TEMPERATURA: 
PRES. ACEITE: </v>
      </c>
      <c r="AV592" s="761">
        <f>COUNTIFS(Q592:Q2592,"MANTENIMIENTO CORRECTIVO",Y592:Y2592,BDEGENER[[#This Row],[SERIE]])</f>
        <v>3</v>
      </c>
      <c r="AW592" s="761">
        <f>COUNTIFS(Q592:Q2592,"MANTENIMIENTO PREVENTIVO",Y592:Y2592,BDEGENER[[#This Row],[SERIE]])</f>
        <v>2</v>
      </c>
      <c r="AX592"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592" s="683">
        <f>COUNTIFS(BDEGENER[SERIE],BDEGENER[[#This Row],[SERIE]],BDEGENER[TIPO DE SERVICIO],"MANTENIMIENTO PREVENTIVO")</f>
        <v>9</v>
      </c>
      <c r="AZ592" s="683" t="str">
        <f>CONCATENATE("MANTENIMIENTO PREVENTIVO N°",BDEGENER[[#This Row],[GA1]])</f>
        <v>MANTENIMIENTO PREVENTIVO N°9</v>
      </c>
      <c r="BA592" s="683" t="str">
        <f>IF(BDEGENER[[#This Row],[SERVICIO]]=BDEGENER[[#This Row],[GA2]],BDEGENER[[#This Row],[HORAS]],"0")</f>
        <v>0</v>
      </c>
      <c r="BB592" s="683">
        <f>SUMIF(BDEGENER[SERIE],BDEGENER[[#This Row],[SERIE]],BDEGENER[GA3])</f>
        <v>2804.7</v>
      </c>
      <c r="BC592" s="761" t="str">
        <f>CONCATENATE("MANT",COUNTIF($Y$7:Y592,Y592))</f>
        <v>MANT11</v>
      </c>
      <c r="BD592" s="683" t="str">
        <f>CONCATENATE(BDEGENER[[#This Row],[SERIE]],BDEGENER[[#This Row],[GA5]])</f>
        <v>3004256777MANT11</v>
      </c>
      <c r="BE592" s="683" t="str">
        <f>CONCATENATE(BDEGENER[[#This Row],[CODIGO PATRIMONIAL]],BDEGENER[[#This Row],[GA5]])</f>
        <v>MANT11</v>
      </c>
      <c r="BF592" s="683">
        <f>COUNTIF(BDEGENER[SERIE],BDEGENER[[#This Row],[SERIE]])</f>
        <v>16</v>
      </c>
      <c r="BG592" s="761" t="str">
        <f>CONCATENATE("F",COUNTIF($K$7:K592,K592))</f>
        <v>F3</v>
      </c>
      <c r="BH592" s="683" t="str">
        <f>CONCATENATE(BDEGENER[[#This Row],[FECHA DE SERVICIO]],BDEGENER[[#This Row],[N° DE REGISTROS DEL DIA]])</f>
        <v>43895F3</v>
      </c>
      <c r="BI592" s="684"/>
      <c r="BJ592" s="683" t="s">
        <v>1544</v>
      </c>
      <c r="BK592" s="326"/>
    </row>
    <row r="593" spans="2:63" ht="69" hidden="1" x14ac:dyDescent="0.3">
      <c r="B593" s="129"/>
      <c r="C593" s="129"/>
      <c r="D593" s="129"/>
      <c r="E593" s="129"/>
      <c r="F593" s="129"/>
      <c r="G593" s="129"/>
      <c r="H593" s="129"/>
      <c r="I593" s="129"/>
      <c r="J593" s="129"/>
      <c r="K593" s="682">
        <v>43895</v>
      </c>
      <c r="L593" s="725" t="s">
        <v>181</v>
      </c>
      <c r="M593" s="683" t="s">
        <v>189</v>
      </c>
      <c r="N593" s="683" t="s">
        <v>946</v>
      </c>
      <c r="O593" s="683">
        <v>4500850370</v>
      </c>
      <c r="P593" s="683"/>
      <c r="Q593" s="683" t="s">
        <v>37</v>
      </c>
      <c r="R593" s="683" t="s">
        <v>1782</v>
      </c>
      <c r="S593" s="686" t="s">
        <v>1851</v>
      </c>
      <c r="T593" s="683" t="s">
        <v>1852</v>
      </c>
      <c r="U593" s="683" t="s">
        <v>1853</v>
      </c>
      <c r="V593" s="683" t="s">
        <v>922</v>
      </c>
      <c r="W593" s="683" t="s">
        <v>914</v>
      </c>
      <c r="X593" s="683" t="s">
        <v>918</v>
      </c>
      <c r="Y593" s="687">
        <v>3004327723</v>
      </c>
      <c r="Z593" s="683"/>
      <c r="AA593" s="683" t="s">
        <v>33</v>
      </c>
      <c r="AB593" s="683" t="s">
        <v>34</v>
      </c>
      <c r="AC593" s="683" t="s">
        <v>230</v>
      </c>
      <c r="AD593" s="683" t="s">
        <v>1110</v>
      </c>
      <c r="AE593" s="683">
        <v>60</v>
      </c>
      <c r="AF593" s="684">
        <v>1201.5</v>
      </c>
      <c r="AG593" s="683" t="s">
        <v>243</v>
      </c>
      <c r="AH593" s="683" t="s">
        <v>220</v>
      </c>
      <c r="AI593" s="683" t="s">
        <v>33</v>
      </c>
      <c r="AJ593" s="683">
        <v>3004346813</v>
      </c>
      <c r="AK593" s="683" t="s">
        <v>33</v>
      </c>
      <c r="AL593" s="683">
        <v>106302070</v>
      </c>
      <c r="AM593" s="683" t="s">
        <v>1347</v>
      </c>
      <c r="AN593" s="683" t="s">
        <v>1352</v>
      </c>
      <c r="AO593" s="683" t="s">
        <v>1349</v>
      </c>
      <c r="AP593" s="683" t="s">
        <v>240</v>
      </c>
      <c r="AQ593" s="753" t="str">
        <f>CONCATENATE("REG-",BDEGENER[[#This Row],[FECHA DE SERVICIO]],"-",BDEGENER[[#This Row],[SERIE]],"-",BDEGENER[[#This Row],[HORAS]])</f>
        <v>REG-43895-3004327723-1201,5</v>
      </c>
      <c r="AR593" s="683" t="str">
        <f>CONCATENATE("MARCA: ",BDEGENER[[#This Row],[MARCA]],"
 MODELO: ",BDEGENER[[#This Row],[MODELO]])</f>
        <v>MARCA: GENERAC
 MODELO: PG090</v>
      </c>
      <c r="AS593" s="683" t="str">
        <f>CONCATENATE("MARCA: ",BDEGENER[[#This Row],[MARCA DE MOTOR]],"
SERIE: ",BDEGENER[[#This Row],[SERIE DE MOTOR]])</f>
        <v>MARCA: GENERAC
SERIE: 3004346813</v>
      </c>
      <c r="AT593" s="683" t="str">
        <f>CONCATENATE("MARCA: ",BDEGENER[[#This Row],[MARCA ALTERNADOR ]],"
SERIE: ",BDEGENER[[#This Row],[SERIE DE ALTERNADOR]])</f>
        <v>MARCA: GENERAC
SERIE: 106302070</v>
      </c>
      <c r="AU593" s="683" t="str">
        <f>CONCATENATE("HORAS: ",BDEGENER[[#This Row],[HORAS]],"
KW-HR: ",BDEGENER[[#This Row],[KW-HORA]],"
VOLT.BATERIA: ",BDEGENER[[#This Row],[VOLTAJE DE BATERIA]],"
TEMPERATURA: ",BDEGENER[[#This Row],[TEMPERATURA DE AGUA]],"
PRES. ACEITE: ",BDEGENER[[#This Row],[PRESION DE ACEITE]])</f>
        <v>HORAS: 1201,5
KW-HR: 25016,3
VOLT.BATERIA: 13.3 V
TEMPERATURA: 196 °F
PRES. ACEITE: 56 PSI</v>
      </c>
      <c r="AV593" s="683">
        <f>COUNTIFS(Q593:Q2593,"MANTENIMIENTO CORRECTIVO",Y593:Y2593,BDEGENER[[#This Row],[SERIE]])</f>
        <v>1</v>
      </c>
      <c r="AW593" s="683">
        <f>COUNTIFS(Q593:Q2593,"MANTENIMIENTO PREVENTIVO",Y593:Y2593,BDEGENER[[#This Row],[SERIE]])</f>
        <v>4</v>
      </c>
      <c r="AX593" s="68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93" s="683">
        <f>COUNTIFS(BDEGENER[SERIE],BDEGENER[[#This Row],[SERIE]],BDEGENER[TIPO DE SERVICIO],"MANTENIMIENTO PREVENTIVO")</f>
        <v>8</v>
      </c>
      <c r="AZ593" s="683" t="str">
        <f>CONCATENATE("MANTENIMIENTO PREVENTIVO N°",BDEGENER[[#This Row],[GA1]])</f>
        <v>MANTENIMIENTO PREVENTIVO N°8</v>
      </c>
      <c r="BA593" s="683" t="str">
        <f>IF(BDEGENER[[#This Row],[SERVICIO]]=BDEGENER[[#This Row],[GA2]],BDEGENER[[#This Row],[HORAS]],"0")</f>
        <v>0</v>
      </c>
      <c r="BB593" s="683">
        <f>SUMIF(BDEGENER[SERIE],BDEGENER[[#This Row],[SERIE]],BDEGENER[GA3])</f>
        <v>6883.3</v>
      </c>
      <c r="BC593" s="683" t="str">
        <f>CONCATENATE("MANT",COUNTIF($Y$7:Y593,Y593))</f>
        <v>MANT6</v>
      </c>
      <c r="BD593" s="683" t="str">
        <f>CONCATENATE(BDEGENER[[#This Row],[SERIE]],BDEGENER[[#This Row],[GA5]])</f>
        <v>3004327723MANT6</v>
      </c>
      <c r="BE593" s="683" t="str">
        <f>CONCATENATE(BDEGENER[[#This Row],[CODIGO PATRIMONIAL]],BDEGENER[[#This Row],[GA5]])</f>
        <v>MANT6</v>
      </c>
      <c r="BF593" s="683">
        <f>COUNTIF(BDEGENER[SERIE],BDEGENER[[#This Row],[SERIE]])</f>
        <v>11</v>
      </c>
      <c r="BG593" s="683" t="str">
        <f>CONCATENATE("F",COUNTIF($K$7:K593,K593))</f>
        <v>F4</v>
      </c>
      <c r="BH593" s="683" t="str">
        <f>CONCATENATE(BDEGENER[[#This Row],[FECHA DE SERVICIO]],BDEGENER[[#This Row],[N° DE REGISTROS DEL DIA]])</f>
        <v>43895F4</v>
      </c>
      <c r="BI593" s="684">
        <v>25016.3</v>
      </c>
      <c r="BJ593" s="683" t="s">
        <v>1544</v>
      </c>
      <c r="BK593" s="326"/>
    </row>
    <row r="594" spans="2:63" ht="69" hidden="1" x14ac:dyDescent="0.3">
      <c r="B594" s="129"/>
      <c r="C594" s="129"/>
      <c r="D594" s="129"/>
      <c r="E594" s="129"/>
      <c r="F594" s="129"/>
      <c r="G594" s="129"/>
      <c r="H594" s="129"/>
      <c r="I594" s="129"/>
      <c r="J594" s="129"/>
      <c r="K594" s="131">
        <v>43895</v>
      </c>
      <c r="L594" s="130" t="s">
        <v>181</v>
      </c>
      <c r="M594" s="85" t="s">
        <v>186</v>
      </c>
      <c r="N594" s="85" t="s">
        <v>946</v>
      </c>
      <c r="O594" s="85">
        <v>4500850370</v>
      </c>
      <c r="P594" s="85"/>
      <c r="Q594" s="85" t="s">
        <v>37</v>
      </c>
      <c r="R594" s="85" t="s">
        <v>1782</v>
      </c>
      <c r="S594" s="6" t="s">
        <v>1849</v>
      </c>
      <c r="T594" s="85" t="s">
        <v>1848</v>
      </c>
      <c r="U594" s="85" t="s">
        <v>1850</v>
      </c>
      <c r="V594" s="85" t="s">
        <v>922</v>
      </c>
      <c r="W594" s="85" t="s">
        <v>914</v>
      </c>
      <c r="X594" s="85" t="s">
        <v>918</v>
      </c>
      <c r="Y594" s="15">
        <v>3004327721</v>
      </c>
      <c r="Z594" s="85"/>
      <c r="AA594" s="85" t="s">
        <v>33</v>
      </c>
      <c r="AB594" s="85" t="s">
        <v>34</v>
      </c>
      <c r="AC594" s="85" t="s">
        <v>230</v>
      </c>
      <c r="AD594" s="85" t="s">
        <v>1110</v>
      </c>
      <c r="AE594" s="85">
        <v>60</v>
      </c>
      <c r="AF594" s="132">
        <v>1261.5</v>
      </c>
      <c r="AG594" s="85" t="s">
        <v>243</v>
      </c>
      <c r="AH594" s="85" t="s">
        <v>244</v>
      </c>
      <c r="AI594" s="85" t="s">
        <v>33</v>
      </c>
      <c r="AJ594" s="85">
        <v>3004346806</v>
      </c>
      <c r="AK594" s="85" t="s">
        <v>33</v>
      </c>
      <c r="AL594" s="85"/>
      <c r="AM594" s="85" t="s">
        <v>1094</v>
      </c>
      <c r="AN594" s="85" t="s">
        <v>246</v>
      </c>
      <c r="AO594" s="85" t="s">
        <v>1318</v>
      </c>
      <c r="AP594" s="85" t="s">
        <v>240</v>
      </c>
      <c r="AQ594" s="9" t="str">
        <f>CONCATENATE("REG-",BDEGENER[[#This Row],[FECHA DE SERVICIO]],"-",BDEGENER[[#This Row],[SERIE]],"-",BDEGENER[[#This Row],[HORAS]])</f>
        <v>REG-43895-3004327721-1261,5</v>
      </c>
      <c r="AR594" s="85" t="str">
        <f>CONCATENATE("MARCA: ",BDEGENER[[#This Row],[MARCA]],"
 MODELO: ",BDEGENER[[#This Row],[MODELO]])</f>
        <v>MARCA: GENERAC
 MODELO: PG090</v>
      </c>
      <c r="AS594" s="85" t="str">
        <f>CONCATENATE("MARCA: ",BDEGENER[[#This Row],[MARCA DE MOTOR]],"
SERIE: ",BDEGENER[[#This Row],[SERIE DE MOTOR]])</f>
        <v>MARCA: GENERAC
SERIE: 3004346806</v>
      </c>
      <c r="AT594" s="85" t="str">
        <f>CONCATENATE("MARCA: ",BDEGENER[[#This Row],[MARCA ALTERNADOR ]],"
SERIE: ",BDEGENER[[#This Row],[SERIE DE ALTERNADOR]])</f>
        <v xml:space="preserve">MARCA: GENERAC
SERIE: </v>
      </c>
      <c r="AU594" s="85" t="str">
        <f>CONCATENATE("HORAS: ",BDEGENER[[#This Row],[HORAS]],"
KW-HR: ",BDEGENER[[#This Row],[KW-HORA]],"
VOLT.BATERIA: ",BDEGENER[[#This Row],[VOLTAJE DE BATERIA]],"
TEMPERATURA: ",BDEGENER[[#This Row],[TEMPERATURA DE AGUA]],"
PRES. ACEITE: ",BDEGENER[[#This Row],[PRESION DE ACEITE]])</f>
        <v>HORAS: 1261,5
KW-HR: 28798,8
VOLT.BATERIA: 13.5 V
TEMPERATURA: 198 °F
PRES. ACEITE: 58 PSI</v>
      </c>
      <c r="AV594" s="683">
        <f>COUNTIFS(Q594:Q2594,"MANTENIMIENTO CORRECTIVO",Y594:Y2594,BDEGENER[[#This Row],[SERIE]])</f>
        <v>1</v>
      </c>
      <c r="AW594" s="683">
        <f>COUNTIFS(Q594:Q2594,"MANTENIMIENTO PREVENTIVO",Y594:Y2594,BDEGENER[[#This Row],[SERIE]])</f>
        <v>4</v>
      </c>
      <c r="AX59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594" s="85">
        <f>COUNTIFS(BDEGENER[SERIE],BDEGENER[[#This Row],[SERIE]],BDEGENER[TIPO DE SERVICIO],"MANTENIMIENTO PREVENTIVO")</f>
        <v>7</v>
      </c>
      <c r="AZ594" s="85" t="str">
        <f>CONCATENATE("MANTENIMIENTO PREVENTIVO N°",BDEGENER[[#This Row],[GA1]])</f>
        <v>MANTENIMIENTO PREVENTIVO N°7</v>
      </c>
      <c r="BA594" s="85" t="str">
        <f>IF(BDEGENER[[#This Row],[SERVICIO]]=BDEGENER[[#This Row],[GA2]],BDEGENER[[#This Row],[HORAS]],"0")</f>
        <v>0</v>
      </c>
      <c r="BB594" s="85">
        <f>SUMIF(BDEGENER[SERIE],BDEGENER[[#This Row],[SERIE]],BDEGENER[GA3])</f>
        <v>2098.4</v>
      </c>
      <c r="BC594" s="683" t="str">
        <f>CONCATENATE("MANT",COUNTIF($Y$7:Y594,Y594))</f>
        <v>MANT6</v>
      </c>
      <c r="BD594" s="85" t="str">
        <f>CONCATENATE(BDEGENER[[#This Row],[SERIE]],BDEGENER[[#This Row],[GA5]])</f>
        <v>3004327721MANT6</v>
      </c>
      <c r="BE594" s="85" t="str">
        <f>CONCATENATE(BDEGENER[[#This Row],[CODIGO PATRIMONIAL]],BDEGENER[[#This Row],[GA5]])</f>
        <v>MANT6</v>
      </c>
      <c r="BF594" s="85">
        <f>COUNTIF(BDEGENER[SERIE],BDEGENER[[#This Row],[SERIE]])</f>
        <v>11</v>
      </c>
      <c r="BG594" s="683" t="str">
        <f>CONCATENATE("F",COUNTIF($K$7:K594,K594))</f>
        <v>F5</v>
      </c>
      <c r="BH594" s="85" t="str">
        <f>CONCATENATE(BDEGENER[[#This Row],[FECHA DE SERVICIO]],BDEGENER[[#This Row],[N° DE REGISTROS DEL DIA]])</f>
        <v>43895F5</v>
      </c>
      <c r="BI594" s="132">
        <v>28798.799999999999</v>
      </c>
      <c r="BJ594" s="85" t="s">
        <v>1544</v>
      </c>
      <c r="BK594" s="326"/>
    </row>
    <row r="595" spans="2:63" ht="69" hidden="1" x14ac:dyDescent="0.3">
      <c r="B595" s="129"/>
      <c r="C595" s="129"/>
      <c r="D595" s="129"/>
      <c r="E595" s="129"/>
      <c r="F595" s="129"/>
      <c r="G595" s="129"/>
      <c r="H595" s="129"/>
      <c r="I595" s="129"/>
      <c r="J595" s="129"/>
      <c r="K595" s="131">
        <v>43895</v>
      </c>
      <c r="L595" s="130" t="s">
        <v>181</v>
      </c>
      <c r="M595" s="85" t="s">
        <v>182</v>
      </c>
      <c r="N595" s="85" t="s">
        <v>183</v>
      </c>
      <c r="O595" s="85">
        <v>4500848079</v>
      </c>
      <c r="P595" s="9" t="s">
        <v>2324</v>
      </c>
      <c r="Q595" s="85" t="s">
        <v>37</v>
      </c>
      <c r="R595" s="85" t="s">
        <v>1782</v>
      </c>
      <c r="S595" s="6" t="s">
        <v>1841</v>
      </c>
      <c r="T595" s="85" t="s">
        <v>1842</v>
      </c>
      <c r="U595" s="85" t="s">
        <v>124</v>
      </c>
      <c r="V595" s="85" t="s">
        <v>146</v>
      </c>
      <c r="W595" s="85" t="s">
        <v>914</v>
      </c>
      <c r="X595" s="85" t="s">
        <v>918</v>
      </c>
      <c r="Y595" s="15">
        <v>3004256777</v>
      </c>
      <c r="Z595" s="85"/>
      <c r="AA595" s="85" t="s">
        <v>33</v>
      </c>
      <c r="AB595" s="85" t="s">
        <v>34</v>
      </c>
      <c r="AC595" s="85" t="s">
        <v>230</v>
      </c>
      <c r="AD595" s="85" t="s">
        <v>1110</v>
      </c>
      <c r="AE595" s="85">
        <v>60</v>
      </c>
      <c r="AF595" s="132">
        <v>502.9</v>
      </c>
      <c r="AG595" s="85" t="s">
        <v>243</v>
      </c>
      <c r="AH595" s="85" t="s">
        <v>220</v>
      </c>
      <c r="AI595" s="85" t="s">
        <v>33</v>
      </c>
      <c r="AJ595" s="85"/>
      <c r="AK595" s="85" t="s">
        <v>33</v>
      </c>
      <c r="AL595" s="85"/>
      <c r="AM595" s="85" t="s">
        <v>245</v>
      </c>
      <c r="AN595" s="85" t="s">
        <v>1102</v>
      </c>
      <c r="AO595" s="85" t="s">
        <v>1095</v>
      </c>
      <c r="AP595" s="85" t="s">
        <v>240</v>
      </c>
      <c r="AQ595" s="9" t="str">
        <f>CONCATENATE("REG-",BDEGENER[[#This Row],[FECHA DE SERVICIO]],"-",BDEGENER[[#This Row],[SERIE]],"-",BDEGENER[[#This Row],[HORAS]])</f>
        <v>REG-43895-3004256777-502,9</v>
      </c>
      <c r="AR595" s="85" t="str">
        <f>CONCATENATE("MARCA: ",BDEGENER[[#This Row],[MARCA]],"
 MODELO: ",BDEGENER[[#This Row],[MODELO]])</f>
        <v>MARCA: GENERAC
 MODELO: PG090</v>
      </c>
      <c r="AS595" s="85" t="str">
        <f>CONCATENATE("MARCA: ",BDEGENER[[#This Row],[MARCA DE MOTOR]],"
SERIE: ",BDEGENER[[#This Row],[SERIE DE MOTOR]])</f>
        <v xml:space="preserve">MARCA: GENERAC
SERIE: </v>
      </c>
      <c r="AT595" s="85" t="str">
        <f>CONCATENATE("MARCA: ",BDEGENER[[#This Row],[MARCA ALTERNADOR ]],"
SERIE: ",BDEGENER[[#This Row],[SERIE DE ALTERNADOR]])</f>
        <v xml:space="preserve">MARCA: GENERAC
SERIE: </v>
      </c>
      <c r="AU595" s="85" t="str">
        <f>CONCATENATE("HORAS: ",BDEGENER[[#This Row],[HORAS]],"
KW-HR: ",BDEGENER[[#This Row],[KW-HORA]],"
VOLT.BATERIA: ",BDEGENER[[#This Row],[VOLTAJE DE BATERIA]],"
TEMPERATURA: ",BDEGENER[[#This Row],[TEMPERATURA DE AGUA]],"
PRES. ACEITE: ",BDEGENER[[#This Row],[PRESION DE ACEITE]])</f>
        <v>HORAS: 502,9
KW-HR: 13578,9
VOLT.BATERIA: 13.6 V
TEMPERATURA: 199 °F
PRES. ACEITE: 54 PSI</v>
      </c>
      <c r="AV595" s="761">
        <f>COUNTIFS(Q595:Q2595,"MANTENIMIENTO CORRECTIVO",Y595:Y2595,BDEGENER[[#This Row],[SERIE]])</f>
        <v>2</v>
      </c>
      <c r="AW595" s="761">
        <f>COUNTIFS(Q595:Q2595,"MANTENIMIENTO PREVENTIVO",Y595:Y2595,BDEGENER[[#This Row],[SERIE]])</f>
        <v>2</v>
      </c>
      <c r="AX59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595" s="85">
        <f>COUNTIFS(BDEGENER[SERIE],BDEGENER[[#This Row],[SERIE]],BDEGENER[TIPO DE SERVICIO],"MANTENIMIENTO PREVENTIVO")</f>
        <v>9</v>
      </c>
      <c r="AZ595" s="85" t="str">
        <f>CONCATENATE("MANTENIMIENTO PREVENTIVO N°",BDEGENER[[#This Row],[GA1]])</f>
        <v>MANTENIMIENTO PREVENTIVO N°9</v>
      </c>
      <c r="BA595" s="85" t="str">
        <f>IF(BDEGENER[[#This Row],[SERVICIO]]=BDEGENER[[#This Row],[GA2]],BDEGENER[[#This Row],[HORAS]],"0")</f>
        <v>0</v>
      </c>
      <c r="BB595" s="85">
        <f>SUMIF(BDEGENER[SERIE],BDEGENER[[#This Row],[SERIE]],BDEGENER[GA3])</f>
        <v>2804.7</v>
      </c>
      <c r="BC595" s="761" t="str">
        <f>CONCATENATE("MANT",COUNTIF($Y$7:Y595,Y595))</f>
        <v>MANT12</v>
      </c>
      <c r="BD595" s="85" t="str">
        <f>CONCATENATE(BDEGENER[[#This Row],[SERIE]],BDEGENER[[#This Row],[GA5]])</f>
        <v>3004256777MANT12</v>
      </c>
      <c r="BE595" s="85" t="str">
        <f>CONCATENATE(BDEGENER[[#This Row],[CODIGO PATRIMONIAL]],BDEGENER[[#This Row],[GA5]])</f>
        <v>MANT12</v>
      </c>
      <c r="BF595" s="85">
        <f>COUNTIF(BDEGENER[SERIE],BDEGENER[[#This Row],[SERIE]])</f>
        <v>16</v>
      </c>
      <c r="BG595" s="761" t="str">
        <f>CONCATENATE("F",COUNTIF($K$7:K595,K595))</f>
        <v>F6</v>
      </c>
      <c r="BH595" s="85" t="str">
        <f>CONCATENATE(BDEGENER[[#This Row],[FECHA DE SERVICIO]],BDEGENER[[#This Row],[N° DE REGISTROS DEL DIA]])</f>
        <v>43895F6</v>
      </c>
      <c r="BI595" s="132">
        <v>13578.9</v>
      </c>
      <c r="BJ595" s="85" t="s">
        <v>1544</v>
      </c>
      <c r="BK595" s="326"/>
    </row>
    <row r="596" spans="2:63" ht="69" hidden="1" x14ac:dyDescent="0.3">
      <c r="B596" s="129"/>
      <c r="C596" s="129"/>
      <c r="D596" s="129"/>
      <c r="E596" s="129"/>
      <c r="F596" s="129"/>
      <c r="G596" s="129"/>
      <c r="H596" s="129"/>
      <c r="I596" s="129"/>
      <c r="J596" s="129"/>
      <c r="K596" s="131">
        <v>43895</v>
      </c>
      <c r="L596" s="130" t="s">
        <v>181</v>
      </c>
      <c r="M596" s="85" t="s">
        <v>182</v>
      </c>
      <c r="N596" s="85" t="s">
        <v>183</v>
      </c>
      <c r="O596" s="85">
        <v>4500853865</v>
      </c>
      <c r="P596" s="9" t="s">
        <v>2323</v>
      </c>
      <c r="Q596" s="85" t="s">
        <v>37</v>
      </c>
      <c r="R596" s="85" t="s">
        <v>1782</v>
      </c>
      <c r="S596" s="6" t="s">
        <v>1839</v>
      </c>
      <c r="T596" s="85" t="s">
        <v>1842</v>
      </c>
      <c r="U596" s="85" t="s">
        <v>1840</v>
      </c>
      <c r="V596" s="85" t="s">
        <v>146</v>
      </c>
      <c r="W596" s="85" t="s">
        <v>914</v>
      </c>
      <c r="X596" s="85" t="s">
        <v>918</v>
      </c>
      <c r="Y596" s="15">
        <v>3004337427</v>
      </c>
      <c r="Z596" s="85"/>
      <c r="AA596" s="85" t="s">
        <v>33</v>
      </c>
      <c r="AB596" s="85" t="s">
        <v>34</v>
      </c>
      <c r="AC596" s="85" t="s">
        <v>230</v>
      </c>
      <c r="AD596" s="85" t="s">
        <v>1110</v>
      </c>
      <c r="AE596" s="85">
        <v>60</v>
      </c>
      <c r="AF596" s="132">
        <v>891.9</v>
      </c>
      <c r="AG596" s="85" t="s">
        <v>243</v>
      </c>
      <c r="AH596" s="85" t="s">
        <v>220</v>
      </c>
      <c r="AI596" s="85" t="s">
        <v>33</v>
      </c>
      <c r="AJ596" s="85">
        <v>3004346831</v>
      </c>
      <c r="AK596" s="85" t="s">
        <v>33</v>
      </c>
      <c r="AL596" s="85">
        <v>106307250</v>
      </c>
      <c r="AM596" s="85" t="s">
        <v>1121</v>
      </c>
      <c r="AN596" s="85" t="s">
        <v>1352</v>
      </c>
      <c r="AO596" s="85" t="s">
        <v>247</v>
      </c>
      <c r="AP596" s="85" t="s">
        <v>240</v>
      </c>
      <c r="AQ596" s="9" t="str">
        <f>CONCATENATE("REG-",BDEGENER[[#This Row],[FECHA DE SERVICIO]],"-",BDEGENER[[#This Row],[SERIE]],"-",BDEGENER[[#This Row],[HORAS]])</f>
        <v>REG-43895-3004337427-891,9</v>
      </c>
      <c r="AR596" s="85" t="str">
        <f>CONCATENATE("MARCA: ",BDEGENER[[#This Row],[MARCA]],"
 MODELO: ",BDEGENER[[#This Row],[MODELO]])</f>
        <v>MARCA: GENERAC
 MODELO: PG090</v>
      </c>
      <c r="AS596" s="85" t="str">
        <f>CONCATENATE("MARCA: ",BDEGENER[[#This Row],[MARCA DE MOTOR]],"
SERIE: ",BDEGENER[[#This Row],[SERIE DE MOTOR]])</f>
        <v>MARCA: GENERAC
SERIE: 3004346831</v>
      </c>
      <c r="AT596" s="85" t="str">
        <f>CONCATENATE("MARCA: ",BDEGENER[[#This Row],[MARCA ALTERNADOR ]],"
SERIE: ",BDEGENER[[#This Row],[SERIE DE ALTERNADOR]])</f>
        <v>MARCA: GENERAC
SERIE: 106307250</v>
      </c>
      <c r="AU596" s="85" t="str">
        <f>CONCATENATE("HORAS: ",BDEGENER[[#This Row],[HORAS]],"
KW-HR: ",BDEGENER[[#This Row],[KW-HORA]],"
VOLT.BATERIA: ",BDEGENER[[#This Row],[VOLTAJE DE BATERIA]],"
TEMPERATURA: ",BDEGENER[[#This Row],[TEMPERATURA DE AGUA]],"
PRES. ACEITE: ",BDEGENER[[#This Row],[PRESION DE ACEITE]])</f>
        <v>HORAS: 891,9
KW-HR: 18729,9
VOLT.BATERIA: 13.7 V
TEMPERATURA: 196 °F
PRES. ACEITE: 55 PSI</v>
      </c>
      <c r="AV596" s="683">
        <f>COUNTIFS(Q596:Q2596,"MANTENIMIENTO CORRECTIVO",Y596:Y2596,BDEGENER[[#This Row],[SERIE]])</f>
        <v>2</v>
      </c>
      <c r="AW596" s="683">
        <f>COUNTIFS(Q596:Q2596,"MANTENIMIENTO PREVENTIVO",Y596:Y2596,BDEGENER[[#This Row],[SERIE]])</f>
        <v>3</v>
      </c>
      <c r="AX59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96" s="85">
        <f>COUNTIFS(BDEGENER[SERIE],BDEGENER[[#This Row],[SERIE]],BDEGENER[TIPO DE SERVICIO],"MANTENIMIENTO PREVENTIVO")</f>
        <v>6</v>
      </c>
      <c r="AZ596" s="85" t="str">
        <f>CONCATENATE("MANTENIMIENTO PREVENTIVO N°",BDEGENER[[#This Row],[GA1]])</f>
        <v>MANTENIMIENTO PREVENTIVO N°6</v>
      </c>
      <c r="BA596" s="85" t="str">
        <f>IF(BDEGENER[[#This Row],[SERVICIO]]=BDEGENER[[#This Row],[GA2]],BDEGENER[[#This Row],[HORAS]],"0")</f>
        <v>0</v>
      </c>
      <c r="BB596" s="85">
        <f>SUMIF(BDEGENER[SERIE],BDEGENER[[#This Row],[SERIE]],BDEGENER[GA3])</f>
        <v>1835.7</v>
      </c>
      <c r="BC596" s="683" t="str">
        <f>CONCATENATE("MANT",COUNTIF($Y$7:Y596,Y596))</f>
        <v>MANT4</v>
      </c>
      <c r="BD596" s="85" t="str">
        <f>CONCATENATE(BDEGENER[[#This Row],[SERIE]],BDEGENER[[#This Row],[GA5]])</f>
        <v>3004337427MANT4</v>
      </c>
      <c r="BE596" s="85" t="str">
        <f>CONCATENATE(BDEGENER[[#This Row],[CODIGO PATRIMONIAL]],BDEGENER[[#This Row],[GA5]])</f>
        <v>MANT4</v>
      </c>
      <c r="BF596" s="85">
        <f>COUNTIF(BDEGENER[SERIE],BDEGENER[[#This Row],[SERIE]])</f>
        <v>9</v>
      </c>
      <c r="BG596" s="683" t="str">
        <f>CONCATENATE("F",COUNTIF($K$7:K596,K596))</f>
        <v>F7</v>
      </c>
      <c r="BH596" s="85" t="str">
        <f>CONCATENATE(BDEGENER[[#This Row],[FECHA DE SERVICIO]],BDEGENER[[#This Row],[N° DE REGISTROS DEL DIA]])</f>
        <v>43895F7</v>
      </c>
      <c r="BI596" s="132">
        <v>18729.900000000001</v>
      </c>
      <c r="BJ596" s="85" t="s">
        <v>1544</v>
      </c>
      <c r="BK596" s="326"/>
    </row>
    <row r="597" spans="2:63" ht="69" hidden="1" x14ac:dyDescent="0.3">
      <c r="B597" s="129"/>
      <c r="C597" s="129"/>
      <c r="D597" s="129"/>
      <c r="E597" s="129"/>
      <c r="F597" s="129"/>
      <c r="G597" s="129"/>
      <c r="H597" s="129"/>
      <c r="I597" s="129"/>
      <c r="J597" s="129"/>
      <c r="K597" s="131">
        <v>43894</v>
      </c>
      <c r="L597" s="130" t="s">
        <v>181</v>
      </c>
      <c r="M597" s="85" t="s">
        <v>188</v>
      </c>
      <c r="N597" s="85" t="s">
        <v>183</v>
      </c>
      <c r="O597" s="85">
        <v>4500853865</v>
      </c>
      <c r="P597" s="9" t="s">
        <v>2349</v>
      </c>
      <c r="Q597" s="85" t="s">
        <v>37</v>
      </c>
      <c r="R597" s="85" t="s">
        <v>1782</v>
      </c>
      <c r="S597" s="6" t="s">
        <v>1845</v>
      </c>
      <c r="T597" s="85" t="s">
        <v>1846</v>
      </c>
      <c r="U597" s="85" t="s">
        <v>1847</v>
      </c>
      <c r="V597" s="85" t="s">
        <v>146</v>
      </c>
      <c r="W597" s="85" t="s">
        <v>914</v>
      </c>
      <c r="X597" s="85" t="s">
        <v>918</v>
      </c>
      <c r="Y597" s="15">
        <v>3004416582</v>
      </c>
      <c r="Z597" s="85"/>
      <c r="AA597" s="85" t="s">
        <v>33</v>
      </c>
      <c r="AB597" s="85" t="s">
        <v>34</v>
      </c>
      <c r="AC597" s="85" t="s">
        <v>230</v>
      </c>
      <c r="AD597" s="85" t="s">
        <v>1110</v>
      </c>
      <c r="AE597" s="85">
        <v>60</v>
      </c>
      <c r="AF597" s="132">
        <v>1008.6</v>
      </c>
      <c r="AG597" s="85" t="s">
        <v>243</v>
      </c>
      <c r="AH597" s="85" t="s">
        <v>220</v>
      </c>
      <c r="AI597" s="85" t="s">
        <v>33</v>
      </c>
      <c r="AJ597" s="85">
        <v>3004309061</v>
      </c>
      <c r="AK597" s="85" t="s">
        <v>33</v>
      </c>
      <c r="AL597" s="85">
        <v>107748830</v>
      </c>
      <c r="AM597" s="85" t="s">
        <v>1121</v>
      </c>
      <c r="AN597" s="85" t="s">
        <v>1352</v>
      </c>
      <c r="AO597" s="85" t="s">
        <v>1349</v>
      </c>
      <c r="AP597" s="85" t="s">
        <v>240</v>
      </c>
      <c r="AQ597" s="9" t="str">
        <f>CONCATENATE("REG-",BDEGENER[[#This Row],[FECHA DE SERVICIO]],"-",BDEGENER[[#This Row],[SERIE]],"-",BDEGENER[[#This Row],[HORAS]])</f>
        <v>REG-43894-3004416582-1008,6</v>
      </c>
      <c r="AR597" s="85" t="str">
        <f>CONCATENATE("MARCA: ",BDEGENER[[#This Row],[MARCA]],"
 MODELO: ",BDEGENER[[#This Row],[MODELO]])</f>
        <v>MARCA: GENERAC
 MODELO: PG090</v>
      </c>
      <c r="AS597" s="85" t="str">
        <f>CONCATENATE("MARCA: ",BDEGENER[[#This Row],[MARCA DE MOTOR]],"
SERIE: ",BDEGENER[[#This Row],[SERIE DE MOTOR]])</f>
        <v>MARCA: GENERAC
SERIE: 3004309061</v>
      </c>
      <c r="AT597" s="85" t="str">
        <f>CONCATENATE("MARCA: ",BDEGENER[[#This Row],[MARCA ALTERNADOR ]],"
SERIE: ",BDEGENER[[#This Row],[SERIE DE ALTERNADOR]])</f>
        <v>MARCA: GENERAC
SERIE: 107748830</v>
      </c>
      <c r="AU597" s="85" t="str">
        <f>CONCATENATE("HORAS: ",BDEGENER[[#This Row],[HORAS]],"
KW-HR: ",BDEGENER[[#This Row],[KW-HORA]],"
VOLT.BATERIA: ",BDEGENER[[#This Row],[VOLTAJE DE BATERIA]],"
TEMPERATURA: ",BDEGENER[[#This Row],[TEMPERATURA DE AGUA]],"
PRES. ACEITE: ",BDEGENER[[#This Row],[PRESION DE ACEITE]])</f>
        <v>HORAS: 1008,6
KW-HR: 17146,2
VOLT.BATERIA: 13.7 V
TEMPERATURA: 196 °F
PRES. ACEITE: 56 PSI</v>
      </c>
      <c r="AV597" s="683">
        <f>COUNTIFS(Q597:Q2597,"MANTENIMIENTO CORRECTIVO",Y597:Y2597,BDEGENER[[#This Row],[SERIE]])</f>
        <v>1</v>
      </c>
      <c r="AW597" s="683">
        <f>COUNTIFS(Q597:Q2597,"MANTENIMIENTO PREVENTIVO",Y597:Y2597,BDEGENER[[#This Row],[SERIE]])</f>
        <v>3</v>
      </c>
      <c r="AX597"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597" s="85">
        <f>COUNTIFS(BDEGENER[SERIE],BDEGENER[[#This Row],[SERIE]],BDEGENER[TIPO DE SERVICIO],"MANTENIMIENTO PREVENTIVO")</f>
        <v>7</v>
      </c>
      <c r="AZ597" s="85" t="str">
        <f>CONCATENATE("MANTENIMIENTO PREVENTIVO N°",BDEGENER[[#This Row],[GA1]])</f>
        <v>MANTENIMIENTO PREVENTIVO N°7</v>
      </c>
      <c r="BA597" s="85" t="str">
        <f>IF(BDEGENER[[#This Row],[SERVICIO]]=BDEGENER[[#This Row],[GA2]],BDEGENER[[#This Row],[HORAS]],"0")</f>
        <v>0</v>
      </c>
      <c r="BB597" s="85">
        <f>SUMIF(BDEGENER[SERIE],BDEGENER[[#This Row],[SERIE]],BDEGENER[GA3])</f>
        <v>2342.3000000000002</v>
      </c>
      <c r="BC597" s="683" t="str">
        <f>CONCATENATE("MANT",COUNTIF($Y$7:Y597,Y597))</f>
        <v>MANT7</v>
      </c>
      <c r="BD597" s="85" t="str">
        <f>CONCATENATE(BDEGENER[[#This Row],[SERIE]],BDEGENER[[#This Row],[GA5]])</f>
        <v>3004416582MANT7</v>
      </c>
      <c r="BE597" s="85" t="str">
        <f>CONCATENATE(BDEGENER[[#This Row],[CODIGO PATRIMONIAL]],BDEGENER[[#This Row],[GA5]])</f>
        <v>MANT7</v>
      </c>
      <c r="BF597" s="85">
        <f>COUNTIF(BDEGENER[SERIE],BDEGENER[[#This Row],[SERIE]])</f>
        <v>11</v>
      </c>
      <c r="BG597" s="683" t="str">
        <f>CONCATENATE("F",COUNTIF($K$7:K597,K597))</f>
        <v>F1</v>
      </c>
      <c r="BH597" s="85" t="str">
        <f>CONCATENATE(BDEGENER[[#This Row],[FECHA DE SERVICIO]],BDEGENER[[#This Row],[N° DE REGISTROS DEL DIA]])</f>
        <v>43894F1</v>
      </c>
      <c r="BI597" s="132">
        <v>17146.2</v>
      </c>
      <c r="BJ597" s="85" t="s">
        <v>1544</v>
      </c>
      <c r="BK597" s="326"/>
    </row>
    <row r="598" spans="2:63" ht="69" hidden="1" x14ac:dyDescent="0.3">
      <c r="B598" s="129"/>
      <c r="C598" s="129"/>
      <c r="D598" s="129"/>
      <c r="E598" s="129"/>
      <c r="F598" s="129"/>
      <c r="G598" s="129"/>
      <c r="H598" s="129"/>
      <c r="I598" s="129"/>
      <c r="J598" s="129"/>
      <c r="K598" s="131">
        <v>43894</v>
      </c>
      <c r="L598" s="130" t="s">
        <v>181</v>
      </c>
      <c r="M598" s="85" t="s">
        <v>188</v>
      </c>
      <c r="N598" s="85" t="s">
        <v>183</v>
      </c>
      <c r="O598" s="683">
        <v>4500848079</v>
      </c>
      <c r="P598" s="9" t="s">
        <v>2250</v>
      </c>
      <c r="Q598" s="85" t="s">
        <v>37</v>
      </c>
      <c r="R598" s="85" t="s">
        <v>1782</v>
      </c>
      <c r="S598" s="6" t="s">
        <v>1843</v>
      </c>
      <c r="T598" s="85" t="s">
        <v>1844</v>
      </c>
      <c r="U598" s="85" t="s">
        <v>124</v>
      </c>
      <c r="V598" s="85" t="s">
        <v>146</v>
      </c>
      <c r="W598" s="85" t="s">
        <v>914</v>
      </c>
      <c r="X598" s="85" t="s">
        <v>918</v>
      </c>
      <c r="Y598" s="15">
        <v>3004381437</v>
      </c>
      <c r="Z598" s="85"/>
      <c r="AA598" s="85" t="s">
        <v>33</v>
      </c>
      <c r="AB598" s="85" t="s">
        <v>34</v>
      </c>
      <c r="AC598" s="85" t="s">
        <v>230</v>
      </c>
      <c r="AD598" s="85" t="s">
        <v>1110</v>
      </c>
      <c r="AE598" s="85">
        <v>60</v>
      </c>
      <c r="AF598" s="132">
        <v>456</v>
      </c>
      <c r="AG598" s="85" t="s">
        <v>243</v>
      </c>
      <c r="AH598" s="85" t="s">
        <v>220</v>
      </c>
      <c r="AI598" s="85" t="s">
        <v>33</v>
      </c>
      <c r="AJ598" s="85">
        <v>3004346804</v>
      </c>
      <c r="AK598" s="85" t="s">
        <v>33</v>
      </c>
      <c r="AL598" s="85">
        <v>106309630</v>
      </c>
      <c r="AM598" s="85" t="s">
        <v>1121</v>
      </c>
      <c r="AN598" s="85" t="s">
        <v>246</v>
      </c>
      <c r="AO598" s="85" t="s">
        <v>247</v>
      </c>
      <c r="AP598" s="85" t="s">
        <v>240</v>
      </c>
      <c r="AQ598" s="9" t="str">
        <f>CONCATENATE("REG-",BDEGENER[[#This Row],[FECHA DE SERVICIO]],"-",BDEGENER[[#This Row],[SERIE]],"-",BDEGENER[[#This Row],[HORAS]])</f>
        <v>REG-43894-3004381437-456</v>
      </c>
      <c r="AR598" s="85" t="str">
        <f>CONCATENATE("MARCA: ",BDEGENER[[#This Row],[MARCA]],"
 MODELO: ",BDEGENER[[#This Row],[MODELO]])</f>
        <v>MARCA: GENERAC
 MODELO: PG090</v>
      </c>
      <c r="AS598" s="85" t="str">
        <f>CONCATENATE("MARCA: ",BDEGENER[[#This Row],[MARCA DE MOTOR]],"
SERIE: ",BDEGENER[[#This Row],[SERIE DE MOTOR]])</f>
        <v>MARCA: GENERAC
SERIE: 3004346804</v>
      </c>
      <c r="AT598" s="85" t="str">
        <f>CONCATENATE("MARCA: ",BDEGENER[[#This Row],[MARCA ALTERNADOR ]],"
SERIE: ",BDEGENER[[#This Row],[SERIE DE ALTERNADOR]])</f>
        <v>MARCA: GENERAC
SERIE: 106309630</v>
      </c>
      <c r="AU598" s="85" t="str">
        <f>CONCATENATE("HORAS: ",BDEGENER[[#This Row],[HORAS]],"
KW-HR: ",BDEGENER[[#This Row],[KW-HORA]],"
VOLT.BATERIA: ",BDEGENER[[#This Row],[VOLTAJE DE BATERIA]],"
TEMPERATURA: ",BDEGENER[[#This Row],[TEMPERATURA DE AGUA]],"
PRES. ACEITE: ",BDEGENER[[#This Row],[PRESION DE ACEITE]])</f>
        <v>HORAS: 456
KW-HR: 10374
VOLT.BATERIA: 13.7 V
TEMPERATURA: 198 °F
PRES. ACEITE: 55 PSI</v>
      </c>
      <c r="AV598" s="761">
        <f>COUNTIFS(Q598:Q2598,"MANTENIMIENTO CORRECTIVO",Y598:Y2598,BDEGENER[[#This Row],[SERIE]])</f>
        <v>2</v>
      </c>
      <c r="AW598" s="761">
        <f>COUNTIFS(Q598:Q2598,"MANTENIMIENTO PREVENTIVO",Y598:Y2598,BDEGENER[[#This Row],[SERIE]])</f>
        <v>2</v>
      </c>
      <c r="AX598"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598" s="85">
        <f>COUNTIFS(BDEGENER[SERIE],BDEGENER[[#This Row],[SERIE]],BDEGENER[TIPO DE SERVICIO],"MANTENIMIENTO PREVENTIVO")</f>
        <v>8</v>
      </c>
      <c r="AZ598" s="85" t="str">
        <f>CONCATENATE("MANTENIMIENTO PREVENTIVO N°",BDEGENER[[#This Row],[GA1]])</f>
        <v>MANTENIMIENTO PREVENTIVO N°8</v>
      </c>
      <c r="BA598" s="85" t="str">
        <f>IF(BDEGENER[[#This Row],[SERVICIO]]=BDEGENER[[#This Row],[GA2]],BDEGENER[[#This Row],[HORAS]],"0")</f>
        <v>0</v>
      </c>
      <c r="BB598" s="85">
        <f>SUMIF(BDEGENER[SERIE],BDEGENER[[#This Row],[SERIE]],BDEGENER[GA3])</f>
        <v>2359.6</v>
      </c>
      <c r="BC598" s="761" t="str">
        <f>CONCATENATE("MANT",COUNTIF($Y$7:Y598,Y598))</f>
        <v>MANT8</v>
      </c>
      <c r="BD598" s="85" t="str">
        <f>CONCATENATE(BDEGENER[[#This Row],[SERIE]],BDEGENER[[#This Row],[GA5]])</f>
        <v>3004381437MANT8</v>
      </c>
      <c r="BE598" s="85" t="str">
        <f>CONCATENATE(BDEGENER[[#This Row],[CODIGO PATRIMONIAL]],BDEGENER[[#This Row],[GA5]])</f>
        <v>MANT8</v>
      </c>
      <c r="BF598" s="85">
        <f>COUNTIF(BDEGENER[SERIE],BDEGENER[[#This Row],[SERIE]])</f>
        <v>12</v>
      </c>
      <c r="BG598" s="761" t="str">
        <f>CONCATENATE("F",COUNTIF($K$7:K598,K598))</f>
        <v>F2</v>
      </c>
      <c r="BH598" s="85" t="str">
        <f>CONCATENATE(BDEGENER[[#This Row],[FECHA DE SERVICIO]],BDEGENER[[#This Row],[N° DE REGISTROS DEL DIA]])</f>
        <v>43894F2</v>
      </c>
      <c r="BI598" s="132">
        <v>10374</v>
      </c>
      <c r="BJ598" s="85" t="s">
        <v>1544</v>
      </c>
      <c r="BK598" s="326"/>
    </row>
    <row r="599" spans="2:63" ht="69" hidden="1" x14ac:dyDescent="0.3">
      <c r="B599" s="129"/>
      <c r="C599" s="129"/>
      <c r="D599" s="129"/>
      <c r="E599" s="129"/>
      <c r="F599" s="129"/>
      <c r="G599" s="129"/>
      <c r="H599" s="129"/>
      <c r="I599" s="129"/>
      <c r="J599" s="129"/>
      <c r="K599" s="131">
        <v>43893</v>
      </c>
      <c r="L599" s="130" t="s">
        <v>1546</v>
      </c>
      <c r="M599" s="85" t="s">
        <v>1395</v>
      </c>
      <c r="N599" s="85" t="s">
        <v>1547</v>
      </c>
      <c r="O599" s="85"/>
      <c r="P599" s="85"/>
      <c r="Q599" s="85" t="s">
        <v>108</v>
      </c>
      <c r="R599" s="85" t="s">
        <v>1750</v>
      </c>
      <c r="S599" s="6" t="s">
        <v>1751</v>
      </c>
      <c r="T599" s="85" t="s">
        <v>1782</v>
      </c>
      <c r="U599" s="85"/>
      <c r="V599" s="85" t="s">
        <v>148</v>
      </c>
      <c r="W599" s="85" t="s">
        <v>914</v>
      </c>
      <c r="X599" s="85" t="s">
        <v>917</v>
      </c>
      <c r="Y599" s="15" t="s">
        <v>1752</v>
      </c>
      <c r="Z599" s="85" t="s">
        <v>159</v>
      </c>
      <c r="AA599" s="85" t="s">
        <v>33</v>
      </c>
      <c r="AB599" s="85" t="s">
        <v>500</v>
      </c>
      <c r="AC599" s="85" t="s">
        <v>853</v>
      </c>
      <c r="AD599" s="85" t="s">
        <v>1087</v>
      </c>
      <c r="AE599" s="85">
        <v>60</v>
      </c>
      <c r="AF599" s="132">
        <v>0.4</v>
      </c>
      <c r="AG599" s="85" t="s">
        <v>243</v>
      </c>
      <c r="AH599" s="85" t="s">
        <v>1635</v>
      </c>
      <c r="AI599" s="85" t="s">
        <v>1636</v>
      </c>
      <c r="AJ599" s="85" t="s">
        <v>1753</v>
      </c>
      <c r="AK599" s="85" t="s">
        <v>1686</v>
      </c>
      <c r="AL599" s="85">
        <v>2087044</v>
      </c>
      <c r="AM599" s="85" t="s">
        <v>1377</v>
      </c>
      <c r="AN599" s="85"/>
      <c r="AO599" s="85"/>
      <c r="AP599" s="85" t="s">
        <v>240</v>
      </c>
      <c r="AQ599" s="9" t="str">
        <f>CONCATENATE("REG-",BDEGENER[[#This Row],[FECHA DE SERVICIO]],"-",BDEGENER[[#This Row],[SERIE]],"-",BDEGENER[[#This Row],[HORAS]])</f>
        <v>REG-43893-PEE2629434-0,4</v>
      </c>
      <c r="AR599" s="85" t="str">
        <f>CONCATENATE("MARCA: ",BDEGENER[[#This Row],[MARCA]],"
 MODELO: ",BDEGENER[[#This Row],[MODELO]])</f>
        <v>MARCA: GENERAC
 MODELO: PMY20B</v>
      </c>
      <c r="AS599" s="85" t="str">
        <f>CONCATENATE("MARCA: ",BDEGENER[[#This Row],[MARCA DE MOTOR]],"
SERIE: ",BDEGENER[[#This Row],[SERIE DE MOTOR]])</f>
        <v>MARCA: PERKINS 404D-22G
SERIE: S92558D</v>
      </c>
      <c r="AT599" s="85" t="str">
        <f>CONCATENATE("MARCA: ",BDEGENER[[#This Row],[MARCA ALTERNADOR ]],"
SERIE: ",BDEGENER[[#This Row],[SERIE DE ALTERNADOR]])</f>
        <v>MARCA: MECCALTE ECP28M
SERIE: 2087044</v>
      </c>
      <c r="AU599" s="85" t="str">
        <f>CONCATENATE("HORAS: ",BDEGENER[[#This Row],[HORAS]],"
KW-HR: ",BDEGENER[[#This Row],[KW-HORA]],"
VOLT.BATERIA: ",BDEGENER[[#This Row],[VOLTAJE DE BATERIA]],"
TEMPERATURA: ",BDEGENER[[#This Row],[TEMPERATURA DE AGUA]],"
PRES. ACEITE: ",BDEGENER[[#This Row],[PRESION DE ACEITE]])</f>
        <v xml:space="preserve">HORAS: 0,4
KW-HR: 
VOLT.BATERIA: 13.8 V
TEMPERATURA: 
PRES. ACEITE: </v>
      </c>
      <c r="AV599" s="683">
        <f>COUNTIFS(Q599:Q2599,"MANTENIMIENTO CORRECTIVO",Y599:Y2599,BDEGENER[[#This Row],[SERIE]])</f>
        <v>0</v>
      </c>
      <c r="AW599" s="683">
        <f>COUNTIFS(Q599:Q2599,"MANTENIMIENTO PREVENTIVO",Y599:Y2599,BDEGENER[[#This Row],[SERIE]])</f>
        <v>0</v>
      </c>
      <c r="AX59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599" s="85">
        <f>COUNTIFS(BDEGENER[SERIE],BDEGENER[[#This Row],[SERIE]],BDEGENER[TIPO DE SERVICIO],"MANTENIMIENTO PREVENTIVO")</f>
        <v>1</v>
      </c>
      <c r="AZ599" s="85" t="str">
        <f>CONCATENATE("MANTENIMIENTO PREVENTIVO N°",BDEGENER[[#This Row],[GA1]])</f>
        <v>MANTENIMIENTO PREVENTIVO N°1</v>
      </c>
      <c r="BA599" s="85" t="str">
        <f>IF(BDEGENER[[#This Row],[SERVICIO]]=BDEGENER[[#This Row],[GA2]],BDEGENER[[#This Row],[HORAS]],"0")</f>
        <v>0</v>
      </c>
      <c r="BB599" s="85">
        <f>SUMIF(BDEGENER[SERIE],BDEGENER[[#This Row],[SERIE]],BDEGENER[GA3])</f>
        <v>119.9</v>
      </c>
      <c r="BC599" s="683" t="str">
        <f>CONCATENATE("MANT",COUNTIF($Y$7:Y599,Y599))</f>
        <v>MANT3</v>
      </c>
      <c r="BD599" s="85" t="str">
        <f>CONCATENATE(BDEGENER[[#This Row],[SERIE]],BDEGENER[[#This Row],[GA5]])</f>
        <v>PEE2629434MANT3</v>
      </c>
      <c r="BE599" s="85" t="str">
        <f>CONCATENATE(BDEGENER[[#This Row],[CODIGO PATRIMONIAL]],BDEGENER[[#This Row],[GA5]])</f>
        <v>MANT3</v>
      </c>
      <c r="BF599" s="85">
        <f>COUNTIF(BDEGENER[SERIE],BDEGENER[[#This Row],[SERIE]])</f>
        <v>3</v>
      </c>
      <c r="BG599" s="683" t="str">
        <f>CONCATENATE("F",COUNTIF($K$7:K599,K599))</f>
        <v>F1</v>
      </c>
      <c r="BH599" s="85" t="str">
        <f>CONCATENATE(BDEGENER[[#This Row],[FECHA DE SERVICIO]],BDEGENER[[#This Row],[N° DE REGISTROS DEL DIA]])</f>
        <v>43893F1</v>
      </c>
      <c r="BI599" s="132"/>
      <c r="BJ599" s="85" t="s">
        <v>177</v>
      </c>
      <c r="BK599" s="326"/>
    </row>
    <row r="600" spans="2:63" ht="69" hidden="1" x14ac:dyDescent="0.3">
      <c r="B600" s="129"/>
      <c r="C600" s="129"/>
      <c r="D600" s="129"/>
      <c r="E600" s="129"/>
      <c r="F600" s="129"/>
      <c r="G600" s="129"/>
      <c r="H600" s="129"/>
      <c r="I600" s="129"/>
      <c r="J600" s="129"/>
      <c r="K600" s="131">
        <v>43893</v>
      </c>
      <c r="L600" s="130" t="s">
        <v>181</v>
      </c>
      <c r="M600" s="85" t="s">
        <v>184</v>
      </c>
      <c r="N600" s="85" t="s">
        <v>183</v>
      </c>
      <c r="O600" s="85"/>
      <c r="P600" s="85"/>
      <c r="Q600" s="85" t="s">
        <v>107</v>
      </c>
      <c r="R600" s="85" t="s">
        <v>1782</v>
      </c>
      <c r="S600" s="6" t="s">
        <v>1877</v>
      </c>
      <c r="T600" s="85" t="s">
        <v>1878</v>
      </c>
      <c r="U600" s="85" t="s">
        <v>1879</v>
      </c>
      <c r="V600" s="85" t="s">
        <v>146</v>
      </c>
      <c r="W600" s="85" t="s">
        <v>914</v>
      </c>
      <c r="X600" s="85" t="s">
        <v>918</v>
      </c>
      <c r="Y600" s="15">
        <v>3004416580</v>
      </c>
      <c r="Z600" s="85"/>
      <c r="AA600" s="85" t="s">
        <v>33</v>
      </c>
      <c r="AB600" s="85" t="s">
        <v>34</v>
      </c>
      <c r="AC600" s="85" t="s">
        <v>230</v>
      </c>
      <c r="AD600" s="85"/>
      <c r="AE600" s="85"/>
      <c r="AF600" s="132">
        <v>1282</v>
      </c>
      <c r="AG600" s="85" t="s">
        <v>243</v>
      </c>
      <c r="AH600" s="85" t="s">
        <v>220</v>
      </c>
      <c r="AI600" s="85" t="s">
        <v>33</v>
      </c>
      <c r="AJ600" s="85">
        <v>3004426061</v>
      </c>
      <c r="AK600" s="85" t="s">
        <v>33</v>
      </c>
      <c r="AL600" s="85">
        <v>107746810</v>
      </c>
      <c r="AM600" s="85"/>
      <c r="AN600" s="85"/>
      <c r="AO600" s="85"/>
      <c r="AP600" s="85" t="s">
        <v>240</v>
      </c>
      <c r="AQ600" s="9" t="str">
        <f>CONCATENATE("REG-",BDEGENER[[#This Row],[FECHA DE SERVICIO]],"-",BDEGENER[[#This Row],[SERIE]],"-",BDEGENER[[#This Row],[HORAS]])</f>
        <v>REG-43893-3004416580-1282</v>
      </c>
      <c r="AR600" s="85" t="str">
        <f>CONCATENATE("MARCA: ",BDEGENER[[#This Row],[MARCA]],"
 MODELO: ",BDEGENER[[#This Row],[MODELO]])</f>
        <v>MARCA: GENERAC
 MODELO: PG090</v>
      </c>
      <c r="AS600" s="85" t="str">
        <f>CONCATENATE("MARCA: ",BDEGENER[[#This Row],[MARCA DE MOTOR]],"
SERIE: ",BDEGENER[[#This Row],[SERIE DE MOTOR]])</f>
        <v>MARCA: GENERAC
SERIE: 3004426061</v>
      </c>
      <c r="AT600" s="85" t="str">
        <f>CONCATENATE("MARCA: ",BDEGENER[[#This Row],[MARCA ALTERNADOR ]],"
SERIE: ",BDEGENER[[#This Row],[SERIE DE ALTERNADOR]])</f>
        <v>MARCA: GENERAC
SERIE: 107746810</v>
      </c>
      <c r="AU600" s="85" t="str">
        <f>CONCATENATE("HORAS: ",BDEGENER[[#This Row],[HORAS]],"
KW-HR: ",BDEGENER[[#This Row],[KW-HORA]],"
VOLT.BATERIA: ",BDEGENER[[#This Row],[VOLTAJE DE BATERIA]],"
TEMPERATURA: ",BDEGENER[[#This Row],[TEMPERATURA DE AGUA]],"
PRES. ACEITE: ",BDEGENER[[#This Row],[PRESION DE ACEITE]])</f>
        <v xml:space="preserve">HORAS: 1282
KW-HR: 
VOLT.BATERIA: 
TEMPERATURA: 
PRES. ACEITE: </v>
      </c>
      <c r="AV600" s="683">
        <f>COUNTIFS(Q600:Q2600,"MANTENIMIENTO CORRECTIVO",Y600:Y2600,BDEGENER[[#This Row],[SERIE]])</f>
        <v>2</v>
      </c>
      <c r="AW600" s="683">
        <f>COUNTIFS(Q600:Q2600,"MANTENIMIENTO PREVENTIVO",Y600:Y2600,BDEGENER[[#This Row],[SERIE]])</f>
        <v>3</v>
      </c>
      <c r="AX60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00" s="85">
        <f>COUNTIFS(BDEGENER[SERIE],BDEGENER[[#This Row],[SERIE]],BDEGENER[TIPO DE SERVICIO],"MANTENIMIENTO PREVENTIVO")</f>
        <v>8</v>
      </c>
      <c r="AZ600" s="85" t="str">
        <f>CONCATENATE("MANTENIMIENTO PREVENTIVO N°",BDEGENER[[#This Row],[GA1]])</f>
        <v>MANTENIMIENTO PREVENTIVO N°8</v>
      </c>
      <c r="BA600" s="85" t="str">
        <f>IF(BDEGENER[[#This Row],[SERVICIO]]=BDEGENER[[#This Row],[GA2]],BDEGENER[[#This Row],[HORAS]],"0")</f>
        <v>0</v>
      </c>
      <c r="BB600" s="85">
        <f>SUMIF(BDEGENER[SERIE],BDEGENER[[#This Row],[SERIE]],BDEGENER[GA3])</f>
        <v>3113.9</v>
      </c>
      <c r="BC600" s="683" t="str">
        <f>CONCATENATE("MANT",COUNTIF($Y$7:Y600,Y600))</f>
        <v>MANT9</v>
      </c>
      <c r="BD600" s="85" t="str">
        <f>CONCATENATE(BDEGENER[[#This Row],[SERIE]],BDEGENER[[#This Row],[GA5]])</f>
        <v>3004416580MANT9</v>
      </c>
      <c r="BE600" s="85" t="str">
        <f>CONCATENATE(BDEGENER[[#This Row],[CODIGO PATRIMONIAL]],BDEGENER[[#This Row],[GA5]])</f>
        <v>MANT9</v>
      </c>
      <c r="BF600" s="85">
        <f>COUNTIF(BDEGENER[SERIE],BDEGENER[[#This Row],[SERIE]])</f>
        <v>14</v>
      </c>
      <c r="BG600" s="683" t="str">
        <f>CONCATENATE("F",COUNTIF($K$7:K600,K600))</f>
        <v>F2</v>
      </c>
      <c r="BH600" s="85" t="str">
        <f>CONCATENATE(BDEGENER[[#This Row],[FECHA DE SERVICIO]],BDEGENER[[#This Row],[N° DE REGISTROS DEL DIA]])</f>
        <v>43893F2</v>
      </c>
      <c r="BI600" s="132"/>
      <c r="BJ600" s="85" t="s">
        <v>1544</v>
      </c>
      <c r="BK600" s="326"/>
    </row>
    <row r="601" spans="2:63" ht="124.2" hidden="1" x14ac:dyDescent="0.3">
      <c r="B601" s="129"/>
      <c r="C601" s="129"/>
      <c r="D601" s="129"/>
      <c r="E601" s="129"/>
      <c r="F601" s="129"/>
      <c r="G601" s="129"/>
      <c r="H601" s="129"/>
      <c r="I601" s="129"/>
      <c r="J601" s="129"/>
      <c r="K601" s="131">
        <v>43892</v>
      </c>
      <c r="L601" s="130" t="s">
        <v>1546</v>
      </c>
      <c r="M601" s="85" t="s">
        <v>1395</v>
      </c>
      <c r="N601" s="85" t="s">
        <v>1547</v>
      </c>
      <c r="O601" s="85"/>
      <c r="P601" s="85"/>
      <c r="Q601" s="85" t="s">
        <v>108</v>
      </c>
      <c r="R601" s="85" t="s">
        <v>1684</v>
      </c>
      <c r="S601" s="6" t="s">
        <v>1749</v>
      </c>
      <c r="T601" s="85" t="s">
        <v>1747</v>
      </c>
      <c r="U601" s="85"/>
      <c r="V601" s="85" t="s">
        <v>922</v>
      </c>
      <c r="W601" s="85" t="s">
        <v>914</v>
      </c>
      <c r="X601" s="85" t="s">
        <v>917</v>
      </c>
      <c r="Y601" s="15" t="s">
        <v>1685</v>
      </c>
      <c r="Z601" s="85" t="s">
        <v>159</v>
      </c>
      <c r="AA601" s="85" t="s">
        <v>33</v>
      </c>
      <c r="AB601" s="85" t="s">
        <v>500</v>
      </c>
      <c r="AC601" s="85" t="s">
        <v>853</v>
      </c>
      <c r="AD601" s="85"/>
      <c r="AE601" s="85"/>
      <c r="AF601" s="132">
        <v>0</v>
      </c>
      <c r="AG601" s="85" t="s">
        <v>243</v>
      </c>
      <c r="AH601" s="85" t="s">
        <v>1635</v>
      </c>
      <c r="AI601" s="85" t="s">
        <v>1636</v>
      </c>
      <c r="AJ601" s="85" t="s">
        <v>1687</v>
      </c>
      <c r="AK601" s="85" t="s">
        <v>1686</v>
      </c>
      <c r="AL601" s="85">
        <v>2076170</v>
      </c>
      <c r="AM601" s="85"/>
      <c r="AN601" s="85"/>
      <c r="AO601" s="85"/>
      <c r="AP601" s="85" t="s">
        <v>557</v>
      </c>
      <c r="AQ601" s="9" t="str">
        <f>CONCATENATE("REG-",BDEGENER[[#This Row],[FECHA DE SERVICIO]],"-",BDEGENER[[#This Row],[SERIE]],"-",BDEGENER[[#This Row],[HORAS]])</f>
        <v>REG-43892-PEE2626882-0</v>
      </c>
      <c r="AR601" s="85" t="str">
        <f>CONCATENATE("MARCA: ",BDEGENER[[#This Row],[MARCA]],"
 MODELO: ",BDEGENER[[#This Row],[MODELO]])</f>
        <v>MARCA: GENERAC
 MODELO: PMY20B</v>
      </c>
      <c r="AS601" s="85" t="str">
        <f>CONCATENATE("MARCA: ",BDEGENER[[#This Row],[MARCA DE MOTOR]],"
SERIE: ",BDEGENER[[#This Row],[SERIE DE MOTOR]])</f>
        <v>MARCA: PERKINS 404D-22G
SERIE: S923129D</v>
      </c>
      <c r="AT601" s="85" t="str">
        <f>CONCATENATE("MARCA: ",BDEGENER[[#This Row],[MARCA ALTERNADOR ]],"
SERIE: ",BDEGENER[[#This Row],[SERIE DE ALTERNADOR]])</f>
        <v>MARCA: MECCALTE ECP28M
SERIE: 2076170</v>
      </c>
      <c r="AU601" s="85" t="str">
        <f>CONCATENATE("HORAS: ",BDEGENER[[#This Row],[HORAS]],"
KW-HR: ",BDEGENER[[#This Row],[KW-HORA]],"
VOLT.BATERIA: ",BDEGENER[[#This Row],[VOLTAJE DE BATERIA]],"
TEMPERATURA: ",BDEGENER[[#This Row],[TEMPERATURA DE AGUA]],"
PRES. ACEITE: ",BDEGENER[[#This Row],[PRESION DE ACEITE]])</f>
        <v xml:space="preserve">HORAS: 0
KW-HR: 
VOLT.BATERIA: 
TEMPERATURA: 
PRES. ACEITE: </v>
      </c>
      <c r="AV601" s="761">
        <f>COUNTIFS(Q601:Q2601,"MANTENIMIENTO CORRECTIVO",Y601:Y2601,BDEGENER[[#This Row],[SERIE]])</f>
        <v>0</v>
      </c>
      <c r="AW601" s="761">
        <f>COUNTIFS(Q601:Q2601,"MANTENIMIENTO PREVENTIVO",Y601:Y2601,BDEGENER[[#This Row],[SERIE]])</f>
        <v>0</v>
      </c>
      <c r="AX60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01" s="85">
        <f>COUNTIFS(BDEGENER[SERIE],BDEGENER[[#This Row],[SERIE]],BDEGENER[TIPO DE SERVICIO],"MANTENIMIENTO PREVENTIVO")</f>
        <v>0</v>
      </c>
      <c r="AZ601" s="85" t="str">
        <f>CONCATENATE("MANTENIMIENTO PREVENTIVO N°",BDEGENER[[#This Row],[GA1]])</f>
        <v>MANTENIMIENTO PREVENTIVO N°0</v>
      </c>
      <c r="BA601" s="85" t="str">
        <f>IF(BDEGENER[[#This Row],[SERVICIO]]=BDEGENER[[#This Row],[GA2]],BDEGENER[[#This Row],[HORAS]],"0")</f>
        <v>0</v>
      </c>
      <c r="BB601" s="85">
        <f>SUMIF(BDEGENER[SERIE],BDEGENER[[#This Row],[SERIE]],BDEGENER[GA3])</f>
        <v>0</v>
      </c>
      <c r="BC601" s="761" t="str">
        <f>CONCATENATE("MANT",COUNTIF($Y$7:Y601,Y601))</f>
        <v>MANT1</v>
      </c>
      <c r="BD601" s="85" t="str">
        <f>CONCATENATE(BDEGENER[[#This Row],[SERIE]],BDEGENER[[#This Row],[GA5]])</f>
        <v>PEE2626882MANT1</v>
      </c>
      <c r="BE601" s="85" t="str">
        <f>CONCATENATE(BDEGENER[[#This Row],[CODIGO PATRIMONIAL]],BDEGENER[[#This Row],[GA5]])</f>
        <v>MANT1</v>
      </c>
      <c r="BF601" s="85">
        <f>COUNTIF(BDEGENER[SERIE],BDEGENER[[#This Row],[SERIE]])</f>
        <v>1</v>
      </c>
      <c r="BG601" s="761" t="str">
        <f>CONCATENATE("F",COUNTIF($K$7:K601,K601))</f>
        <v>F1</v>
      </c>
      <c r="BH601" s="85" t="str">
        <f>CONCATENATE(BDEGENER[[#This Row],[FECHA DE SERVICIO]],BDEGENER[[#This Row],[N° DE REGISTROS DEL DIA]])</f>
        <v>43892F1</v>
      </c>
      <c r="BI601" s="132"/>
      <c r="BJ601" s="85" t="s">
        <v>1545</v>
      </c>
      <c r="BK601" s="326"/>
    </row>
    <row r="602" spans="2:63" ht="69" hidden="1" x14ac:dyDescent="0.3">
      <c r="B602" s="129"/>
      <c r="C602" s="129"/>
      <c r="D602" s="129"/>
      <c r="E602" s="129"/>
      <c r="F602" s="129"/>
      <c r="G602" s="129"/>
      <c r="H602" s="129"/>
      <c r="I602" s="129"/>
      <c r="J602" s="129"/>
      <c r="K602" s="131">
        <v>43892</v>
      </c>
      <c r="L602" s="130" t="s">
        <v>181</v>
      </c>
      <c r="M602" s="85" t="s">
        <v>184</v>
      </c>
      <c r="N602" s="85" t="s">
        <v>183</v>
      </c>
      <c r="O602" s="85"/>
      <c r="P602" s="85"/>
      <c r="Q602" s="85" t="s">
        <v>108</v>
      </c>
      <c r="R602" s="6" t="s">
        <v>1754</v>
      </c>
      <c r="S602" s="6" t="s">
        <v>1755</v>
      </c>
      <c r="T602" s="6" t="s">
        <v>1838</v>
      </c>
      <c r="U602" s="85"/>
      <c r="V602" s="85" t="s">
        <v>146</v>
      </c>
      <c r="W602" s="85" t="s">
        <v>914</v>
      </c>
      <c r="X602" s="85" t="s">
        <v>918</v>
      </c>
      <c r="Y602" s="15">
        <v>3004418791</v>
      </c>
      <c r="Z602" s="85"/>
      <c r="AA602" s="85" t="s">
        <v>33</v>
      </c>
      <c r="AB602" s="85" t="s">
        <v>34</v>
      </c>
      <c r="AC602" s="85" t="s">
        <v>230</v>
      </c>
      <c r="AD602" s="85" t="s">
        <v>1110</v>
      </c>
      <c r="AE602" s="85">
        <v>60</v>
      </c>
      <c r="AF602" s="132">
        <v>1221.2</v>
      </c>
      <c r="AG602" s="85" t="s">
        <v>243</v>
      </c>
      <c r="AH602" s="85" t="s">
        <v>220</v>
      </c>
      <c r="AI602" s="85" t="s">
        <v>33</v>
      </c>
      <c r="AJ602" s="85">
        <v>3004426135</v>
      </c>
      <c r="AK602" s="85" t="s">
        <v>33</v>
      </c>
      <c r="AL602" s="85">
        <v>107745330</v>
      </c>
      <c r="AM602" s="85"/>
      <c r="AN602" s="85"/>
      <c r="AO602" s="85"/>
      <c r="AP602" s="85" t="s">
        <v>557</v>
      </c>
      <c r="AQ602" s="85" t="str">
        <f>CONCATENATE("REG-",BDEGENER[[#This Row],[FECHA DE SERVICIO]],"-",BDEGENER[[#This Row],[SERIE]],"-",BDEGENER[[#This Row],[HORAS]])</f>
        <v>REG-43892-3004418791-1221,2</v>
      </c>
      <c r="AR602" s="85" t="str">
        <f>CONCATENATE("MARCA: ",BDEGENER[[#This Row],[MARCA]],"
 MODELO: ",BDEGENER[[#This Row],[MODELO]])</f>
        <v>MARCA: GENERAC
 MODELO: PG090</v>
      </c>
      <c r="AS602" s="85" t="str">
        <f>CONCATENATE("MARCA: ",BDEGENER[[#This Row],[MARCA DE MOTOR]],"
SERIE: ",BDEGENER[[#This Row],[SERIE DE MOTOR]])</f>
        <v>MARCA: GENERAC
SERIE: 3004426135</v>
      </c>
      <c r="AT602" s="85" t="str">
        <f>CONCATENATE("MARCA: ",BDEGENER[[#This Row],[MARCA ALTERNADOR ]],"
SERIE: ",BDEGENER[[#This Row],[SERIE DE ALTERNADOR]])</f>
        <v>MARCA: GENERAC
SERIE: 107745330</v>
      </c>
      <c r="AU602" s="85" t="str">
        <f>CONCATENATE("HORAS: ",BDEGENER[[#This Row],[HORAS]],"
KW-HR: ",BDEGENER[[#This Row],[KW-HORA]],"
VOLT.BATERIA: ",BDEGENER[[#This Row],[VOLTAJE DE BATERIA]],"
TEMPERATURA: ",BDEGENER[[#This Row],[TEMPERATURA DE AGUA]],"
PRES. ACEITE: ",BDEGENER[[#This Row],[PRESION DE ACEITE]])</f>
        <v xml:space="preserve">HORAS: 1221,2
KW-HR: 12731,9
VOLT.BATERIA: 
TEMPERATURA: 
PRES. ACEITE: </v>
      </c>
      <c r="AV602" s="683">
        <f>COUNTIFS(Q602:Q2602,"MANTENIMIENTO CORRECTIVO",Y602:Y2602,BDEGENER[[#This Row],[SERIE]])</f>
        <v>5</v>
      </c>
      <c r="AW602" s="683">
        <f>COUNTIFS(Q602:Q2602,"MANTENIMIENTO PREVENTIVO",Y602:Y2602,BDEGENER[[#This Row],[SERIE]])</f>
        <v>3</v>
      </c>
      <c r="AX602"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02" s="85">
        <f>COUNTIFS(BDEGENER[SERIE],BDEGENER[[#This Row],[SERIE]],BDEGENER[TIPO DE SERVICIO],"MANTENIMIENTO PREVENTIVO")</f>
        <v>7</v>
      </c>
      <c r="AZ602" s="85" t="str">
        <f>CONCATENATE("MANTENIMIENTO PREVENTIVO N°",BDEGENER[[#This Row],[GA1]])</f>
        <v>MANTENIMIENTO PREVENTIVO N°7</v>
      </c>
      <c r="BA602" s="85" t="str">
        <f>IF(BDEGENER[[#This Row],[SERVICIO]]=BDEGENER[[#This Row],[GA2]],BDEGENER[[#This Row],[HORAS]],"0")</f>
        <v>0</v>
      </c>
      <c r="BB602" s="85">
        <f>SUMIF(BDEGENER[SERIE],BDEGENER[[#This Row],[SERIE]],BDEGENER[GA3])</f>
        <v>2074.3000000000002</v>
      </c>
      <c r="BC602" s="683" t="str">
        <f>CONCATENATE("MANT",COUNTIF($Y$7:Y602,Y602))</f>
        <v>MANT7</v>
      </c>
      <c r="BD602" s="85" t="str">
        <f>CONCATENATE(BDEGENER[[#This Row],[SERIE]],BDEGENER[[#This Row],[GA5]])</f>
        <v>3004418791MANT7</v>
      </c>
      <c r="BE602" s="85" t="str">
        <f>CONCATENATE(BDEGENER[[#This Row],[CODIGO PATRIMONIAL]],BDEGENER[[#This Row],[GA5]])</f>
        <v>MANT7</v>
      </c>
      <c r="BF602" s="85">
        <f>COUNTIF(BDEGENER[SERIE],BDEGENER[[#This Row],[SERIE]])</f>
        <v>16</v>
      </c>
      <c r="BG602" s="683" t="str">
        <f>CONCATENATE("F",COUNTIF($K$7:K602,K602))</f>
        <v>F2</v>
      </c>
      <c r="BH602" s="85" t="str">
        <f>CONCATENATE(BDEGENER[[#This Row],[FECHA DE SERVICIO]],BDEGENER[[#This Row],[N° DE REGISTROS DEL DIA]])</f>
        <v>43892F2</v>
      </c>
      <c r="BI602" s="132">
        <v>12731.9</v>
      </c>
      <c r="BJ602" s="85" t="s">
        <v>1544</v>
      </c>
      <c r="BK602" s="326"/>
    </row>
    <row r="603" spans="2:63" ht="82.8" hidden="1" x14ac:dyDescent="0.3">
      <c r="B603" s="129"/>
      <c r="C603" s="129"/>
      <c r="D603" s="129"/>
      <c r="E603" s="129"/>
      <c r="F603" s="129"/>
      <c r="G603" s="129"/>
      <c r="H603" s="129"/>
      <c r="I603" s="129"/>
      <c r="J603" s="129"/>
      <c r="K603" s="131">
        <v>43892</v>
      </c>
      <c r="L603" s="130" t="s">
        <v>181</v>
      </c>
      <c r="M603" s="85" t="s">
        <v>187</v>
      </c>
      <c r="N603" s="85" t="s">
        <v>183</v>
      </c>
      <c r="O603" s="85"/>
      <c r="P603" s="85"/>
      <c r="Q603" s="85" t="s">
        <v>108</v>
      </c>
      <c r="R603" s="85" t="s">
        <v>1757</v>
      </c>
      <c r="S603" s="6" t="s">
        <v>1758</v>
      </c>
      <c r="T603" s="85" t="s">
        <v>1759</v>
      </c>
      <c r="U603" s="85"/>
      <c r="V603" s="85" t="s">
        <v>146</v>
      </c>
      <c r="W603" s="85" t="s">
        <v>914</v>
      </c>
      <c r="X603" s="85" t="s">
        <v>918</v>
      </c>
      <c r="Y603" s="15">
        <v>3004337430</v>
      </c>
      <c r="Z603" s="85" t="s">
        <v>192</v>
      </c>
      <c r="AA603" s="85" t="s">
        <v>33</v>
      </c>
      <c r="AB603" s="85" t="s">
        <v>34</v>
      </c>
      <c r="AC603" s="85" t="s">
        <v>230</v>
      </c>
      <c r="AD603" s="85"/>
      <c r="AE603" s="85"/>
      <c r="AF603" s="132">
        <v>572.1</v>
      </c>
      <c r="AG603" s="85" t="s">
        <v>243</v>
      </c>
      <c r="AH603" s="85" t="s">
        <v>220</v>
      </c>
      <c r="AI603" s="85" t="s">
        <v>33</v>
      </c>
      <c r="AJ603" s="85">
        <v>3004346827</v>
      </c>
      <c r="AK603" s="85" t="s">
        <v>33</v>
      </c>
      <c r="AL603" s="85"/>
      <c r="AM603" s="85"/>
      <c r="AN603" s="85"/>
      <c r="AO603" s="85"/>
      <c r="AP603" s="85" t="s">
        <v>557</v>
      </c>
      <c r="AQ603" s="9" t="str">
        <f>CONCATENATE("REG-",BDEGENER[[#This Row],[FECHA DE SERVICIO]],"-",BDEGENER[[#This Row],[SERIE]],"-",BDEGENER[[#This Row],[HORAS]])</f>
        <v>REG-43892-3004337430-572,1</v>
      </c>
      <c r="AR603" s="85" t="str">
        <f>CONCATENATE("MARCA: ",BDEGENER[[#This Row],[MARCA]],"
 MODELO: ",BDEGENER[[#This Row],[MODELO]])</f>
        <v>MARCA: GENERAC
 MODELO: PG090</v>
      </c>
      <c r="AS603" s="85" t="str">
        <f>CONCATENATE("MARCA: ",BDEGENER[[#This Row],[MARCA DE MOTOR]],"
SERIE: ",BDEGENER[[#This Row],[SERIE DE MOTOR]])</f>
        <v>MARCA: GENERAC
SERIE: 3004346827</v>
      </c>
      <c r="AT603" s="85" t="str">
        <f>CONCATENATE("MARCA: ",BDEGENER[[#This Row],[MARCA ALTERNADOR ]],"
SERIE: ",BDEGENER[[#This Row],[SERIE DE ALTERNADOR]])</f>
        <v xml:space="preserve">MARCA: GENERAC
SERIE: </v>
      </c>
      <c r="AU603" s="85" t="str">
        <f>CONCATENATE("HORAS: ",BDEGENER[[#This Row],[HORAS]],"
KW-HR: ",BDEGENER[[#This Row],[KW-HORA]],"
VOLT.BATERIA: ",BDEGENER[[#This Row],[VOLTAJE DE BATERIA]],"
TEMPERATURA: ",BDEGENER[[#This Row],[TEMPERATURA DE AGUA]],"
PRES. ACEITE: ",BDEGENER[[#This Row],[PRESION DE ACEITE]])</f>
        <v xml:space="preserve">HORAS: 572,1
KW-HR: 
VOLT.BATERIA: 
TEMPERATURA: 
PRES. ACEITE: </v>
      </c>
      <c r="AV603" s="683">
        <f>COUNTIFS(Q603:Q2603,"MANTENIMIENTO CORRECTIVO",Y603:Y2603,BDEGENER[[#This Row],[SERIE]])</f>
        <v>1</v>
      </c>
      <c r="AW603" s="683">
        <f>COUNTIFS(Q603:Q2603,"MANTENIMIENTO PREVENTIVO",Y603:Y2603,BDEGENER[[#This Row],[SERIE]])</f>
        <v>2</v>
      </c>
      <c r="AX603"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03" s="85">
        <f>COUNTIFS(BDEGENER[SERIE],BDEGENER[[#This Row],[SERIE]],BDEGENER[TIPO DE SERVICIO],"MANTENIMIENTO PREVENTIVO")</f>
        <v>3</v>
      </c>
      <c r="AZ603" s="85" t="str">
        <f>CONCATENATE("MANTENIMIENTO PREVENTIVO N°",BDEGENER[[#This Row],[GA1]])</f>
        <v>MANTENIMIENTO PREVENTIVO N°3</v>
      </c>
      <c r="BA603" s="85" t="str">
        <f>IF(BDEGENER[[#This Row],[SERVICIO]]=BDEGENER[[#This Row],[GA2]],BDEGENER[[#This Row],[HORAS]],"0")</f>
        <v>0</v>
      </c>
      <c r="BB603" s="85">
        <f>SUMIF(BDEGENER[SERIE],BDEGENER[[#This Row],[SERIE]],BDEGENER[GA3])</f>
        <v>596.6</v>
      </c>
      <c r="BC603" s="683" t="str">
        <f>CONCATENATE("MANT",COUNTIF($Y$7:Y603,Y603))</f>
        <v>MANT6</v>
      </c>
      <c r="BD603" s="85" t="str">
        <f>CONCATENATE(BDEGENER[[#This Row],[SERIE]],BDEGENER[[#This Row],[GA5]])</f>
        <v>3004337430MANT6</v>
      </c>
      <c r="BE603" s="85" t="str">
        <f>CONCATENATE(BDEGENER[[#This Row],[CODIGO PATRIMONIAL]],BDEGENER[[#This Row],[GA5]])</f>
        <v xml:space="preserve"> MANT6</v>
      </c>
      <c r="BF603" s="85">
        <f>COUNTIF(BDEGENER[SERIE],BDEGENER[[#This Row],[SERIE]])</f>
        <v>11</v>
      </c>
      <c r="BG603" s="683" t="str">
        <f>CONCATENATE("F",COUNTIF($K$7:K603,K603))</f>
        <v>F3</v>
      </c>
      <c r="BH603" s="85" t="str">
        <f>CONCATENATE(BDEGENER[[#This Row],[FECHA DE SERVICIO]],BDEGENER[[#This Row],[N° DE REGISTROS DEL DIA]])</f>
        <v>43892F3</v>
      </c>
      <c r="BI603" s="132"/>
      <c r="BJ603" s="85" t="s">
        <v>1544</v>
      </c>
      <c r="BK603" s="326"/>
    </row>
    <row r="604" spans="2:63" ht="69" hidden="1" x14ac:dyDescent="0.3">
      <c r="B604" s="129"/>
      <c r="C604" s="129"/>
      <c r="D604" s="129"/>
      <c r="E604" s="129"/>
      <c r="F604" s="129"/>
      <c r="G604" s="129"/>
      <c r="H604" s="129"/>
      <c r="I604" s="129"/>
      <c r="J604" s="129"/>
      <c r="K604" s="131">
        <v>43892</v>
      </c>
      <c r="L604" s="130" t="s">
        <v>181</v>
      </c>
      <c r="M604" s="85" t="s">
        <v>188</v>
      </c>
      <c r="N604" s="85" t="s">
        <v>183</v>
      </c>
      <c r="O604" s="85"/>
      <c r="P604" s="85"/>
      <c r="Q604" s="85" t="s">
        <v>108</v>
      </c>
      <c r="R604" s="85" t="s">
        <v>1756</v>
      </c>
      <c r="S604" s="6" t="s">
        <v>2320</v>
      </c>
      <c r="T604" s="85" t="s">
        <v>2321</v>
      </c>
      <c r="U604" s="85"/>
      <c r="V604" s="85" t="s">
        <v>146</v>
      </c>
      <c r="W604" s="85" t="s">
        <v>914</v>
      </c>
      <c r="X604" s="85" t="s">
        <v>918</v>
      </c>
      <c r="Y604" s="15">
        <v>3004331707</v>
      </c>
      <c r="Z604" s="85" t="s">
        <v>192</v>
      </c>
      <c r="AA604" s="85" t="s">
        <v>33</v>
      </c>
      <c r="AB604" s="85" t="s">
        <v>34</v>
      </c>
      <c r="AC604" s="85" t="s">
        <v>230</v>
      </c>
      <c r="AD604" s="85"/>
      <c r="AE604" s="85"/>
      <c r="AF604" s="132">
        <v>557.9</v>
      </c>
      <c r="AG604" s="85" t="s">
        <v>243</v>
      </c>
      <c r="AH604" s="85" t="s">
        <v>220</v>
      </c>
      <c r="AI604" s="85" t="s">
        <v>33</v>
      </c>
      <c r="AJ604" s="85">
        <v>3004308222</v>
      </c>
      <c r="AK604" s="85" t="s">
        <v>33</v>
      </c>
      <c r="AL604" s="85">
        <v>106304910</v>
      </c>
      <c r="AM604" s="85"/>
      <c r="AN604" s="85"/>
      <c r="AO604" s="85"/>
      <c r="AP604" s="85" t="s">
        <v>240</v>
      </c>
      <c r="AQ604" s="9" t="str">
        <f>CONCATENATE("REG-",BDEGENER[[#This Row],[FECHA DE SERVICIO]],"-",BDEGENER[[#This Row],[SERIE]],"-",BDEGENER[[#This Row],[HORAS]])</f>
        <v>REG-43892-3004331707-557,9</v>
      </c>
      <c r="AR604" s="85" t="str">
        <f>CONCATENATE("MARCA: ",BDEGENER[[#This Row],[MARCA]],"
 MODELO: ",BDEGENER[[#This Row],[MODELO]])</f>
        <v>MARCA: GENERAC
 MODELO: PG090</v>
      </c>
      <c r="AS604" s="85" t="str">
        <f>CONCATENATE("MARCA: ",BDEGENER[[#This Row],[MARCA DE MOTOR]],"
SERIE: ",BDEGENER[[#This Row],[SERIE DE MOTOR]])</f>
        <v>MARCA: GENERAC
SERIE: 3004308222</v>
      </c>
      <c r="AT604" s="85" t="str">
        <f>CONCATENATE("MARCA: ",BDEGENER[[#This Row],[MARCA ALTERNADOR ]],"
SERIE: ",BDEGENER[[#This Row],[SERIE DE ALTERNADOR]])</f>
        <v>MARCA: GENERAC
SERIE: 106304910</v>
      </c>
      <c r="AU604" s="85" t="str">
        <f>CONCATENATE("HORAS: ",BDEGENER[[#This Row],[HORAS]],"
KW-HR: ",BDEGENER[[#This Row],[KW-HORA]],"
VOLT.BATERIA: ",BDEGENER[[#This Row],[VOLTAJE DE BATERIA]],"
TEMPERATURA: ",BDEGENER[[#This Row],[TEMPERATURA DE AGUA]],"
PRES. ACEITE: ",BDEGENER[[#This Row],[PRESION DE ACEITE]])</f>
        <v xml:space="preserve">HORAS: 557,9
KW-HR: 12683,3
VOLT.BATERIA: 
TEMPERATURA: 
PRES. ACEITE: </v>
      </c>
      <c r="AV604" s="761">
        <f>COUNTIFS(Q604:Q2604,"MANTENIMIENTO CORRECTIVO",Y604:Y2604,BDEGENER[[#This Row],[SERIE]])</f>
        <v>1</v>
      </c>
      <c r="AW604" s="761">
        <f>COUNTIFS(Q604:Q2604,"MANTENIMIENTO PREVENTIVO",Y604:Y2604,BDEGENER[[#This Row],[SERIE]])</f>
        <v>2</v>
      </c>
      <c r="AX60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04" s="85">
        <f>COUNTIFS(BDEGENER[SERIE],BDEGENER[[#This Row],[SERIE]],BDEGENER[TIPO DE SERVICIO],"MANTENIMIENTO PREVENTIVO")</f>
        <v>3</v>
      </c>
      <c r="AZ604" s="85" t="str">
        <f>CONCATENATE("MANTENIMIENTO PREVENTIVO N°",BDEGENER[[#This Row],[GA1]])</f>
        <v>MANTENIMIENTO PREVENTIVO N°3</v>
      </c>
      <c r="BA604" s="85" t="str">
        <f>IF(BDEGENER[[#This Row],[SERVICIO]]=BDEGENER[[#This Row],[GA2]],BDEGENER[[#This Row],[HORAS]],"0")</f>
        <v>0</v>
      </c>
      <c r="BB604" s="85">
        <f>SUMIF(BDEGENER[SERIE],BDEGENER[[#This Row],[SERIE]],BDEGENER[GA3])</f>
        <v>938</v>
      </c>
      <c r="BC604" s="761" t="str">
        <f>CONCATENATE("MANT",COUNTIF($Y$7:Y604,Y604))</f>
        <v>MANT4</v>
      </c>
      <c r="BD604" s="85" t="str">
        <f>CONCATENATE(BDEGENER[[#This Row],[SERIE]],BDEGENER[[#This Row],[GA5]])</f>
        <v>3004331707MANT4</v>
      </c>
      <c r="BE604" s="85" t="str">
        <f>CONCATENATE(BDEGENER[[#This Row],[CODIGO PATRIMONIAL]],BDEGENER[[#This Row],[GA5]])</f>
        <v xml:space="preserve"> MANT4</v>
      </c>
      <c r="BF604" s="85">
        <f>COUNTIF(BDEGENER[SERIE],BDEGENER[[#This Row],[SERIE]])</f>
        <v>8</v>
      </c>
      <c r="BG604" s="761" t="str">
        <f>CONCATENATE("F",COUNTIF($K$7:K604,K604))</f>
        <v>F4</v>
      </c>
      <c r="BH604" s="85" t="str">
        <f>CONCATENATE(BDEGENER[[#This Row],[FECHA DE SERVICIO]],BDEGENER[[#This Row],[N° DE REGISTROS DEL DIA]])</f>
        <v>43892F4</v>
      </c>
      <c r="BI604" s="132">
        <v>12683.3</v>
      </c>
      <c r="BJ604" s="85" t="s">
        <v>1544</v>
      </c>
      <c r="BK604" s="326"/>
    </row>
    <row r="605" spans="2:63" ht="69" hidden="1" x14ac:dyDescent="0.3">
      <c r="B605" s="129"/>
      <c r="C605" s="129"/>
      <c r="D605" s="129"/>
      <c r="E605" s="129"/>
      <c r="F605" s="129"/>
      <c r="G605" s="129"/>
      <c r="H605" s="129"/>
      <c r="I605" s="129"/>
      <c r="J605" s="129"/>
      <c r="K605" s="131">
        <v>43890</v>
      </c>
      <c r="L605" s="130" t="s">
        <v>1546</v>
      </c>
      <c r="M605" s="85" t="s">
        <v>1395</v>
      </c>
      <c r="N605" s="85" t="s">
        <v>1547</v>
      </c>
      <c r="O605" s="85"/>
      <c r="P605" s="85"/>
      <c r="Q605" s="85" t="s">
        <v>108</v>
      </c>
      <c r="R605" s="85" t="s">
        <v>1633</v>
      </c>
      <c r="S605" s="6" t="s">
        <v>1746</v>
      </c>
      <c r="T605" s="85" t="s">
        <v>1748</v>
      </c>
      <c r="U605" s="85"/>
      <c r="V605" s="85" t="s">
        <v>922</v>
      </c>
      <c r="W605" s="85" t="s">
        <v>914</v>
      </c>
      <c r="X605" s="85" t="s">
        <v>917</v>
      </c>
      <c r="Y605" s="15" t="s">
        <v>1634</v>
      </c>
      <c r="Z605" s="85" t="s">
        <v>159</v>
      </c>
      <c r="AA605" s="85" t="s">
        <v>33</v>
      </c>
      <c r="AB605" s="85" t="s">
        <v>500</v>
      </c>
      <c r="AC605" s="85" t="s">
        <v>853</v>
      </c>
      <c r="AD605" s="85"/>
      <c r="AE605" s="85"/>
      <c r="AF605" s="132">
        <v>0</v>
      </c>
      <c r="AG605" s="85" t="s">
        <v>243</v>
      </c>
      <c r="AH605" s="85" t="s">
        <v>1635</v>
      </c>
      <c r="AI605" s="85" t="s">
        <v>1636</v>
      </c>
      <c r="AJ605" s="85" t="s">
        <v>1637</v>
      </c>
      <c r="AK605" s="85" t="s">
        <v>1686</v>
      </c>
      <c r="AL605" s="85">
        <v>2076161</v>
      </c>
      <c r="AM605" s="85"/>
      <c r="AN605" s="85"/>
      <c r="AO605" s="85"/>
      <c r="AP605" s="85" t="s">
        <v>240</v>
      </c>
      <c r="AQ605" s="9" t="str">
        <f>CONCATENATE("REG-",BDEGENER[[#This Row],[FECHA DE SERVICIO]],"-",BDEGENER[[#This Row],[SERIE]],"-",BDEGENER[[#This Row],[HORAS]])</f>
        <v>REG-43890-PEE2626871-0</v>
      </c>
      <c r="AR605" s="85" t="str">
        <f>CONCATENATE("MARCA: ",BDEGENER[[#This Row],[MARCA]],"
 MODELO: ",BDEGENER[[#This Row],[MODELO]])</f>
        <v>MARCA: GENERAC
 MODELO: PMY20B</v>
      </c>
      <c r="AS605" s="85" t="str">
        <f>CONCATENATE("MARCA: ",BDEGENER[[#This Row],[MARCA DE MOTOR]],"
SERIE: ",BDEGENER[[#This Row],[SERIE DE MOTOR]])</f>
        <v>MARCA: PERKINS 404D-22G
SERIE: S923132D</v>
      </c>
      <c r="AT605" s="85" t="str">
        <f>CONCATENATE("MARCA: ",BDEGENER[[#This Row],[MARCA ALTERNADOR ]],"
SERIE: ",BDEGENER[[#This Row],[SERIE DE ALTERNADOR]])</f>
        <v>MARCA: MECCALTE ECP28M
SERIE: 2076161</v>
      </c>
      <c r="AU605" s="85" t="str">
        <f>CONCATENATE("HORAS: ",BDEGENER[[#This Row],[HORAS]],"
KW-HR: ",BDEGENER[[#This Row],[KW-HORA]],"
VOLT.BATERIA: ",BDEGENER[[#This Row],[VOLTAJE DE BATERIA]],"
TEMPERATURA: ",BDEGENER[[#This Row],[TEMPERATURA DE AGUA]],"
PRES. ACEITE: ",BDEGENER[[#This Row],[PRESION DE ACEITE]])</f>
        <v xml:space="preserve">HORAS: 0
KW-HR: 
VOLT.BATERIA: 
TEMPERATURA: 
PRES. ACEITE: </v>
      </c>
      <c r="AV605" s="683">
        <f>COUNTIFS(Q605:Q2605,"MANTENIMIENTO CORRECTIVO",Y605:Y2605,BDEGENER[[#This Row],[SERIE]])</f>
        <v>0</v>
      </c>
      <c r="AW605" s="683">
        <f>COUNTIFS(Q605:Q2605,"MANTENIMIENTO PREVENTIVO",Y605:Y2605,BDEGENER[[#This Row],[SERIE]])</f>
        <v>0</v>
      </c>
      <c r="AX60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05" s="85">
        <f>COUNTIFS(BDEGENER[SERIE],BDEGENER[[#This Row],[SERIE]],BDEGENER[TIPO DE SERVICIO],"MANTENIMIENTO PREVENTIVO")</f>
        <v>2</v>
      </c>
      <c r="AZ605" s="85" t="str">
        <f>CONCATENATE("MANTENIMIENTO PREVENTIVO N°",BDEGENER[[#This Row],[GA1]])</f>
        <v>MANTENIMIENTO PREVENTIVO N°2</v>
      </c>
      <c r="BA605" s="85" t="str">
        <f>IF(BDEGENER[[#This Row],[SERVICIO]]=BDEGENER[[#This Row],[GA2]],BDEGENER[[#This Row],[HORAS]],"0")</f>
        <v>0</v>
      </c>
      <c r="BB605" s="85">
        <f>SUMIF(BDEGENER[SERIE],BDEGENER[[#This Row],[SERIE]],BDEGENER[GA3])</f>
        <v>482.3</v>
      </c>
      <c r="BC605" s="683" t="str">
        <f>CONCATENATE("MANT",COUNTIF($Y$7:Y605,Y605))</f>
        <v>MANT4</v>
      </c>
      <c r="BD605" s="85" t="str">
        <f>CONCATENATE(BDEGENER[[#This Row],[SERIE]],BDEGENER[[#This Row],[GA5]])</f>
        <v>PEE2626871MANT4</v>
      </c>
      <c r="BE605" s="85" t="str">
        <f>CONCATENATE(BDEGENER[[#This Row],[CODIGO PATRIMONIAL]],BDEGENER[[#This Row],[GA5]])</f>
        <v>MANT4</v>
      </c>
      <c r="BF605" s="85">
        <f>COUNTIF(BDEGENER[SERIE],BDEGENER[[#This Row],[SERIE]])</f>
        <v>4</v>
      </c>
      <c r="BG605" s="683" t="str">
        <f>CONCATENATE("F",COUNTIF($K$7:K605,K605))</f>
        <v>F1</v>
      </c>
      <c r="BH605" s="85" t="str">
        <f>CONCATENATE(BDEGENER[[#This Row],[FECHA DE SERVICIO]],BDEGENER[[#This Row],[N° DE REGISTROS DEL DIA]])</f>
        <v>43890F1</v>
      </c>
      <c r="BI605" s="132"/>
      <c r="BJ605" s="85" t="s">
        <v>1545</v>
      </c>
      <c r="BK605" s="326"/>
    </row>
    <row r="606" spans="2:63" ht="69" hidden="1" x14ac:dyDescent="0.3">
      <c r="B606" s="129"/>
      <c r="C606" s="129"/>
      <c r="D606" s="129"/>
      <c r="E606" s="129"/>
      <c r="F606" s="129"/>
      <c r="G606" s="129"/>
      <c r="H606" s="129"/>
      <c r="I606" s="129"/>
      <c r="J606" s="129"/>
      <c r="K606" s="131">
        <v>43890</v>
      </c>
      <c r="L606" s="130" t="s">
        <v>181</v>
      </c>
      <c r="M606" s="85" t="s">
        <v>186</v>
      </c>
      <c r="N606" s="85" t="s">
        <v>946</v>
      </c>
      <c r="O606" s="85"/>
      <c r="P606" s="85"/>
      <c r="Q606" s="85" t="s">
        <v>107</v>
      </c>
      <c r="R606" s="85" t="s">
        <v>1675</v>
      </c>
      <c r="S606" s="6" t="s">
        <v>1676</v>
      </c>
      <c r="T606" s="85" t="s">
        <v>1782</v>
      </c>
      <c r="U606" s="85" t="s">
        <v>1674</v>
      </c>
      <c r="V606" s="85" t="s">
        <v>149</v>
      </c>
      <c r="W606" s="85" t="s">
        <v>914</v>
      </c>
      <c r="X606" s="85" t="s">
        <v>918</v>
      </c>
      <c r="Y606" s="15">
        <v>3004327724</v>
      </c>
      <c r="Z606" s="85"/>
      <c r="AA606" s="85" t="s">
        <v>33</v>
      </c>
      <c r="AB606" s="85" t="s">
        <v>34</v>
      </c>
      <c r="AC606" s="85" t="s">
        <v>230</v>
      </c>
      <c r="AD606" s="85" t="s">
        <v>1110</v>
      </c>
      <c r="AE606" s="85">
        <v>60</v>
      </c>
      <c r="AF606" s="132">
        <v>1102</v>
      </c>
      <c r="AG606" s="85" t="s">
        <v>243</v>
      </c>
      <c r="AH606" s="85" t="s">
        <v>220</v>
      </c>
      <c r="AI606" s="85" t="s">
        <v>33</v>
      </c>
      <c r="AJ606" s="85">
        <v>3004333872</v>
      </c>
      <c r="AK606" s="85" t="s">
        <v>33</v>
      </c>
      <c r="AL606" s="85"/>
      <c r="AM606" s="85"/>
      <c r="AN606" s="85" t="s">
        <v>1424</v>
      </c>
      <c r="AO606" s="85"/>
      <c r="AP606" s="85" t="s">
        <v>240</v>
      </c>
      <c r="AQ606" s="9" t="str">
        <f>CONCATENATE("REG-",BDEGENER[[#This Row],[FECHA DE SERVICIO]],"-",BDEGENER[[#This Row],[SERIE]],"-",BDEGENER[[#This Row],[HORAS]])</f>
        <v>REG-43890-3004327724-1102</v>
      </c>
      <c r="AR606" s="85" t="str">
        <f>CONCATENATE("MARCA: ",BDEGENER[[#This Row],[MARCA]],"
 MODELO: ",BDEGENER[[#This Row],[MODELO]])</f>
        <v>MARCA: GENERAC
 MODELO: PG090</v>
      </c>
      <c r="AS606" s="85" t="str">
        <f>CONCATENATE("MARCA: ",BDEGENER[[#This Row],[MARCA DE MOTOR]],"
SERIE: ",BDEGENER[[#This Row],[SERIE DE MOTOR]])</f>
        <v>MARCA: GENERAC
SERIE: 3004333872</v>
      </c>
      <c r="AT606" s="85" t="str">
        <f>CONCATENATE("MARCA: ",BDEGENER[[#This Row],[MARCA ALTERNADOR ]],"
SERIE: ",BDEGENER[[#This Row],[SERIE DE ALTERNADOR]])</f>
        <v xml:space="preserve">MARCA: GENERAC
SERIE: </v>
      </c>
      <c r="AU606" s="85" t="str">
        <f>CONCATENATE("HORAS: ",BDEGENER[[#This Row],[HORAS]],"
KW-HR: ",BDEGENER[[#This Row],[KW-HORA]],"
VOLT.BATERIA: ",BDEGENER[[#This Row],[VOLTAJE DE BATERIA]],"
TEMPERATURA: ",BDEGENER[[#This Row],[TEMPERATURA DE AGUA]],"
PRES. ACEITE: ",BDEGENER[[#This Row],[PRESION DE ACEITE]])</f>
        <v xml:space="preserve">HORAS: 1102
KW-HR: 
VOLT.BATERIA: 
TEMPERATURA: 185 °F
PRES. ACEITE: </v>
      </c>
      <c r="AV606" s="683">
        <f>COUNTIFS(Q606:Q2606,"MANTENIMIENTO CORRECTIVO",Y606:Y2606,BDEGENER[[#This Row],[SERIE]])</f>
        <v>5</v>
      </c>
      <c r="AW606" s="683">
        <f>COUNTIFS(Q606:Q2606,"MANTENIMIENTO PREVENTIVO",Y606:Y2606,BDEGENER[[#This Row],[SERIE]])</f>
        <v>3</v>
      </c>
      <c r="AX60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N°5</v>
      </c>
      <c r="AY606" s="85">
        <f>COUNTIFS(BDEGENER[SERIE],BDEGENER[[#This Row],[SERIE]],BDEGENER[TIPO DE SERVICIO],"MANTENIMIENTO PREVENTIVO")</f>
        <v>8</v>
      </c>
      <c r="AZ606" s="85" t="str">
        <f>CONCATENATE("MANTENIMIENTO PREVENTIVO N°",BDEGENER[[#This Row],[GA1]])</f>
        <v>MANTENIMIENTO PREVENTIVO N°8</v>
      </c>
      <c r="BA606" s="85" t="str">
        <f>IF(BDEGENER[[#This Row],[SERVICIO]]=BDEGENER[[#This Row],[GA2]],BDEGENER[[#This Row],[HORAS]],"0")</f>
        <v>0</v>
      </c>
      <c r="BB606" s="85">
        <f>SUMIF(BDEGENER[SERIE],BDEGENER[[#This Row],[SERIE]],BDEGENER[GA3])</f>
        <v>2271.8000000000002</v>
      </c>
      <c r="BC606" s="683" t="str">
        <f>CONCATENATE("MANT",COUNTIF($Y$7:Y606,Y606))</f>
        <v>MANT9</v>
      </c>
      <c r="BD606" s="85" t="str">
        <f>CONCATENATE(BDEGENER[[#This Row],[SERIE]],BDEGENER[[#This Row],[GA5]])</f>
        <v>3004327724MANT9</v>
      </c>
      <c r="BE606" s="85" t="str">
        <f>CONCATENATE(BDEGENER[[#This Row],[CODIGO PATRIMONIAL]],BDEGENER[[#This Row],[GA5]])</f>
        <v>MANT9</v>
      </c>
      <c r="BF606" s="85">
        <f>COUNTIF(BDEGENER[SERIE],BDEGENER[[#This Row],[SERIE]])</f>
        <v>17</v>
      </c>
      <c r="BG606" s="683" t="str">
        <f>CONCATENATE("F",COUNTIF($K$7:K606,K606))</f>
        <v>F2</v>
      </c>
      <c r="BH606" s="85" t="str">
        <f>CONCATENATE(BDEGENER[[#This Row],[FECHA DE SERVICIO]],BDEGENER[[#This Row],[N° DE REGISTROS DEL DIA]])</f>
        <v>43890F2</v>
      </c>
      <c r="BI606" s="132"/>
      <c r="BJ606" s="85" t="s">
        <v>1544</v>
      </c>
      <c r="BK606" s="326"/>
    </row>
    <row r="607" spans="2:63" ht="69" hidden="1" x14ac:dyDescent="0.3">
      <c r="B607" s="129"/>
      <c r="C607" s="129"/>
      <c r="D607" s="129"/>
      <c r="E607" s="129"/>
      <c r="F607" s="129"/>
      <c r="G607" s="129"/>
      <c r="H607" s="129"/>
      <c r="I607" s="129"/>
      <c r="J607" s="129"/>
      <c r="K607" s="131">
        <v>43890</v>
      </c>
      <c r="L607" s="130" t="s">
        <v>248</v>
      </c>
      <c r="M607" s="85" t="s">
        <v>2078</v>
      </c>
      <c r="N607" s="85" t="s">
        <v>1319</v>
      </c>
      <c r="O607" s="85"/>
      <c r="P607" s="9" t="s">
        <v>1657</v>
      </c>
      <c r="Q607" s="85" t="s">
        <v>37</v>
      </c>
      <c r="R607" s="85" t="s">
        <v>1782</v>
      </c>
      <c r="S607" s="6" t="s">
        <v>1786</v>
      </c>
      <c r="T607" s="85" t="s">
        <v>1782</v>
      </c>
      <c r="U607" s="85" t="s">
        <v>1658</v>
      </c>
      <c r="V607" s="85" t="s">
        <v>149</v>
      </c>
      <c r="W607" s="85" t="s">
        <v>914</v>
      </c>
      <c r="X607" s="85" t="s">
        <v>918</v>
      </c>
      <c r="Y607" s="15">
        <v>3005005007</v>
      </c>
      <c r="Z607" s="85">
        <v>24546</v>
      </c>
      <c r="AA607" s="85" t="s">
        <v>33</v>
      </c>
      <c r="AB607" s="85" t="s">
        <v>34</v>
      </c>
      <c r="AC607" s="85" t="s">
        <v>230</v>
      </c>
      <c r="AD607" s="85" t="s">
        <v>1123</v>
      </c>
      <c r="AE607" s="85">
        <v>60</v>
      </c>
      <c r="AF607" s="132">
        <v>741</v>
      </c>
      <c r="AG607" s="85" t="s">
        <v>243</v>
      </c>
      <c r="AH607" s="85" t="s">
        <v>220</v>
      </c>
      <c r="AI607" s="85" t="s">
        <v>33</v>
      </c>
      <c r="AJ607" s="85">
        <v>3005065920</v>
      </c>
      <c r="AK607" s="85" t="s">
        <v>33</v>
      </c>
      <c r="AL607" s="85"/>
      <c r="AM607" s="85" t="s">
        <v>1139</v>
      </c>
      <c r="AN607" s="85" t="s">
        <v>1430</v>
      </c>
      <c r="AO607" s="85" t="s">
        <v>247</v>
      </c>
      <c r="AP607" s="85" t="s">
        <v>240</v>
      </c>
      <c r="AQ607" s="9" t="str">
        <f>CONCATENATE("REG-",BDEGENER[[#This Row],[FECHA DE SERVICIO]],"-",BDEGENER[[#This Row],[SERIE]],"-",BDEGENER[[#This Row],[HORAS]])</f>
        <v>REG-43890-3005005007-741</v>
      </c>
      <c r="AR607" s="85" t="str">
        <f>CONCATENATE("MARCA: ",BDEGENER[[#This Row],[MARCA]],"
 MODELO: ",BDEGENER[[#This Row],[MODELO]])</f>
        <v>MARCA: GENERAC
 MODELO: PG090</v>
      </c>
      <c r="AS607" s="85" t="str">
        <f>CONCATENATE("MARCA: ",BDEGENER[[#This Row],[MARCA DE MOTOR]],"
SERIE: ",BDEGENER[[#This Row],[SERIE DE MOTOR]])</f>
        <v>MARCA: GENERAC
SERIE: 3005065920</v>
      </c>
      <c r="AT607" s="85" t="str">
        <f>CONCATENATE("MARCA: ",BDEGENER[[#This Row],[MARCA ALTERNADOR ]],"
SERIE: ",BDEGENER[[#This Row],[SERIE DE ALTERNADOR]])</f>
        <v xml:space="preserve">MARCA: GENERAC
SERIE: </v>
      </c>
      <c r="AU607" s="85" t="str">
        <f>CONCATENATE("HORAS: ",BDEGENER[[#This Row],[HORAS]],"
KW-HR: ",BDEGENER[[#This Row],[KW-HORA]],"
VOLT.BATERIA: ",BDEGENER[[#This Row],[VOLTAJE DE BATERIA]],"
TEMPERATURA: ",BDEGENER[[#This Row],[TEMPERATURA DE AGUA]],"
PRES. ACEITE: ",BDEGENER[[#This Row],[PRESION DE ACEITE]])</f>
        <v>HORAS: 741
KW-HR: 
VOLT.BATERIA: 12.8 V
TEMPERATURA: 182 °F
PRES. ACEITE: 55 PSI</v>
      </c>
      <c r="AV607" s="761">
        <f>COUNTIFS(Q607:Q2607,"MANTENIMIENTO CORRECTIVO",Y607:Y2607,BDEGENER[[#This Row],[SERIE]])</f>
        <v>0</v>
      </c>
      <c r="AW607" s="761">
        <f>COUNTIFS(Q607:Q2607,"MANTENIMIENTO PREVENTIVO",Y607:Y2607,BDEGENER[[#This Row],[SERIE]])</f>
        <v>3</v>
      </c>
      <c r="AX607"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07" s="85">
        <f>COUNTIFS(BDEGENER[SERIE],BDEGENER[[#This Row],[SERIE]],BDEGENER[TIPO DE SERVICIO],"MANTENIMIENTO PREVENTIVO")</f>
        <v>7</v>
      </c>
      <c r="AZ607" s="85" t="str">
        <f>CONCATENATE("MANTENIMIENTO PREVENTIVO N°",BDEGENER[[#This Row],[GA1]])</f>
        <v>MANTENIMIENTO PREVENTIVO N°7</v>
      </c>
      <c r="BA607" s="85" t="str">
        <f>IF(BDEGENER[[#This Row],[SERVICIO]]=BDEGENER[[#This Row],[GA2]],BDEGENER[[#This Row],[HORAS]],"0")</f>
        <v>0</v>
      </c>
      <c r="BB607" s="85">
        <f>SUMIF(BDEGENER[SERIE],BDEGENER[[#This Row],[SERIE]],BDEGENER[GA3])</f>
        <v>2333.3000000000002</v>
      </c>
      <c r="BC607" s="761" t="str">
        <f>CONCATENATE("MANT",COUNTIF($Y$7:Y607,Y607))</f>
        <v>MANT7</v>
      </c>
      <c r="BD607" s="85" t="str">
        <f>CONCATENATE(BDEGENER[[#This Row],[SERIE]],BDEGENER[[#This Row],[GA5]])</f>
        <v>3005005007MANT7</v>
      </c>
      <c r="BE607" s="85" t="str">
        <f>CONCATENATE(BDEGENER[[#This Row],[CODIGO PATRIMONIAL]],BDEGENER[[#This Row],[GA5]])</f>
        <v>24546MANT7</v>
      </c>
      <c r="BF607" s="85">
        <f>COUNTIF(BDEGENER[SERIE],BDEGENER[[#This Row],[SERIE]])</f>
        <v>11</v>
      </c>
      <c r="BG607" s="761" t="str">
        <f>CONCATENATE("F",COUNTIF($K$7:K607,K607))</f>
        <v>F3</v>
      </c>
      <c r="BH607" s="85" t="str">
        <f>CONCATENATE(BDEGENER[[#This Row],[FECHA DE SERVICIO]],BDEGENER[[#This Row],[N° DE REGISTROS DEL DIA]])</f>
        <v>43890F3</v>
      </c>
      <c r="BI607" s="132"/>
      <c r="BJ607" s="85" t="s">
        <v>1544</v>
      </c>
      <c r="BK607" s="326"/>
    </row>
    <row r="608" spans="2:63" ht="69" hidden="1" x14ac:dyDescent="0.3">
      <c r="B608" s="129"/>
      <c r="C608" s="129"/>
      <c r="D608" s="129"/>
      <c r="E608" s="129"/>
      <c r="F608" s="129"/>
      <c r="G608" s="129"/>
      <c r="H608" s="129"/>
      <c r="I608" s="129"/>
      <c r="J608" s="129"/>
      <c r="K608" s="131">
        <v>43886</v>
      </c>
      <c r="L608" s="130" t="s">
        <v>2027</v>
      </c>
      <c r="M608" s="85" t="s">
        <v>1395</v>
      </c>
      <c r="N608" s="85" t="s">
        <v>1547</v>
      </c>
      <c r="O608" s="85"/>
      <c r="P608" s="85" t="s">
        <v>2028</v>
      </c>
      <c r="Q608" s="85" t="s">
        <v>2021</v>
      </c>
      <c r="R608" s="85" t="s">
        <v>2029</v>
      </c>
      <c r="S608" s="6" t="s">
        <v>2030</v>
      </c>
      <c r="T608" s="85" t="s">
        <v>2031</v>
      </c>
      <c r="U608" s="85"/>
      <c r="V608" s="85" t="s">
        <v>479</v>
      </c>
      <c r="W608" s="85" t="s">
        <v>914</v>
      </c>
      <c r="X608" s="85" t="s">
        <v>917</v>
      </c>
      <c r="Y608" s="15">
        <v>3003953458</v>
      </c>
      <c r="Z608" s="85" t="s">
        <v>159</v>
      </c>
      <c r="AA608" s="85" t="s">
        <v>33</v>
      </c>
      <c r="AB608" s="85" t="s">
        <v>1555</v>
      </c>
      <c r="AC608" s="85" t="s">
        <v>235</v>
      </c>
      <c r="AD608" s="85"/>
      <c r="AE608" s="85"/>
      <c r="AF608" s="132">
        <v>927</v>
      </c>
      <c r="AG608" s="85" t="s">
        <v>1412</v>
      </c>
      <c r="AH608" s="85" t="s">
        <v>1557</v>
      </c>
      <c r="AI608" s="85" t="s">
        <v>844</v>
      </c>
      <c r="AJ608" s="85" t="s">
        <v>1558</v>
      </c>
      <c r="AK608" s="85" t="s">
        <v>1448</v>
      </c>
      <c r="AL608" s="85" t="s">
        <v>1556</v>
      </c>
      <c r="AM608" s="85"/>
      <c r="AN608" s="85"/>
      <c r="AO608" s="85"/>
      <c r="AP608" s="85" t="s">
        <v>240</v>
      </c>
      <c r="AQ608" s="9" t="str">
        <f>CONCATENATE("REG-",BDEGENER[[#This Row],[FECHA DE SERVICIO]],"-",BDEGENER[[#This Row],[SERIE]],"-",BDEGENER[[#This Row],[HORAS]])</f>
        <v>REG-43886-3003953458-927</v>
      </c>
      <c r="AR608" s="85" t="str">
        <f>CONCATENATE("MARCA: ",BDEGENER[[#This Row],[MARCA]],"
 MODELO: ",BDEGENER[[#This Row],[MODELO]])</f>
        <v>MARCA: GENERAC
 MODELO: PLY100</v>
      </c>
      <c r="AS608" s="85" t="str">
        <f>CONCATENATE("MARCA: ",BDEGENER[[#This Row],[MARCA DE MOTOR]],"
SERIE: ",BDEGENER[[#This Row],[SERIE DE MOTOR]])</f>
        <v>MARCA: PERKINS
SERIE: V665786D</v>
      </c>
      <c r="AT608" s="85" t="str">
        <f>CONCATENATE("MARCA: ",BDEGENER[[#This Row],[MARCA ALTERNADOR ]],"
SERIE: ",BDEGENER[[#This Row],[SERIE DE ALTERNADOR]])</f>
        <v>MARCA: LEROY SOMER
SERIE: 352597/26</v>
      </c>
      <c r="AU608" s="85" t="str">
        <f>CONCATENATE("HORAS: ",BDEGENER[[#This Row],[HORAS]],"
KW-HR: ",BDEGENER[[#This Row],[KW-HORA]],"
VOLT.BATERIA: ",BDEGENER[[#This Row],[VOLTAJE DE BATERIA]],"
TEMPERATURA: ",BDEGENER[[#This Row],[TEMPERATURA DE AGUA]],"
PRES. ACEITE: ",BDEGENER[[#This Row],[PRESION DE ACEITE]])</f>
        <v xml:space="preserve">HORAS: 927
KW-HR: 
VOLT.BATERIA: 
TEMPERATURA: 
PRES. ACEITE: </v>
      </c>
      <c r="AV608" s="683">
        <f>COUNTIFS(Q608:Q2608,"MANTENIMIENTO CORRECTIVO",Y608:Y2608,BDEGENER[[#This Row],[SERIE]])</f>
        <v>0</v>
      </c>
      <c r="AW608" s="683">
        <f>COUNTIFS(Q608:Q2608,"MANTENIMIENTO PREVENTIVO",Y608:Y2608,BDEGENER[[#This Row],[SERIE]])</f>
        <v>1</v>
      </c>
      <c r="AX608"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608" s="85">
        <f>COUNTIFS(BDEGENER[SERIE],BDEGENER[[#This Row],[SERIE]],BDEGENER[TIPO DE SERVICIO],"MANTENIMIENTO PREVENTIVO")</f>
        <v>1</v>
      </c>
      <c r="AZ608" s="85" t="str">
        <f>CONCATENATE("MANTENIMIENTO PREVENTIVO N°",BDEGENER[[#This Row],[GA1]])</f>
        <v>MANTENIMIENTO PREVENTIVO N°1</v>
      </c>
      <c r="BA608" s="85" t="str">
        <f>IF(BDEGENER[[#This Row],[SERVICIO]]=BDEGENER[[#This Row],[GA2]],BDEGENER[[#This Row],[HORAS]],"0")</f>
        <v>0</v>
      </c>
      <c r="BB608" s="85">
        <f>SUMIF(BDEGENER[SERIE],BDEGENER[[#This Row],[SERIE]],BDEGENER[GA3])</f>
        <v>918.3</v>
      </c>
      <c r="BC608" s="683" t="str">
        <f>CONCATENATE("MANT",COUNTIF($Y$7:Y608,Y608))</f>
        <v>MANT1</v>
      </c>
      <c r="BD608" s="85" t="str">
        <f>CONCATENATE(BDEGENER[[#This Row],[SERIE]],BDEGENER[[#This Row],[GA5]])</f>
        <v>3003953458MANT1</v>
      </c>
      <c r="BE608" s="85" t="str">
        <f>CONCATENATE(BDEGENER[[#This Row],[CODIGO PATRIMONIAL]],BDEGENER[[#This Row],[GA5]])</f>
        <v>MANT1</v>
      </c>
      <c r="BF608" s="85">
        <f>COUNTIF(BDEGENER[SERIE],BDEGENER[[#This Row],[SERIE]])</f>
        <v>3</v>
      </c>
      <c r="BG608" s="683" t="str">
        <f>CONCATENATE("F",COUNTIF($K$7:K608,K608))</f>
        <v>F1</v>
      </c>
      <c r="BH608" s="85" t="str">
        <f>CONCATENATE(BDEGENER[[#This Row],[FECHA DE SERVICIO]],BDEGENER[[#This Row],[N° DE REGISTROS DEL DIA]])</f>
        <v>43886F1</v>
      </c>
      <c r="BI608" s="132"/>
      <c r="BJ608" s="85" t="s">
        <v>1545</v>
      </c>
      <c r="BK608" s="680"/>
    </row>
    <row r="609" spans="2:63" ht="82.8" hidden="1" x14ac:dyDescent="0.3">
      <c r="B609" s="129"/>
      <c r="C609" s="129"/>
      <c r="D609" s="129"/>
      <c r="E609" s="129"/>
      <c r="F609" s="129"/>
      <c r="G609" s="129"/>
      <c r="H609" s="129"/>
      <c r="I609" s="129"/>
      <c r="J609" s="129"/>
      <c r="K609" s="131">
        <v>43886</v>
      </c>
      <c r="L609" s="130" t="s">
        <v>181</v>
      </c>
      <c r="M609" s="85" t="s">
        <v>189</v>
      </c>
      <c r="N609" s="85" t="s">
        <v>946</v>
      </c>
      <c r="O609" s="85"/>
      <c r="P609" s="85"/>
      <c r="Q609" s="85" t="s">
        <v>108</v>
      </c>
      <c r="R609" s="6" t="s">
        <v>1682</v>
      </c>
      <c r="S609" s="6" t="s">
        <v>1683</v>
      </c>
      <c r="T609" s="6" t="s">
        <v>1760</v>
      </c>
      <c r="U609" s="85"/>
      <c r="V609" s="85" t="s">
        <v>149</v>
      </c>
      <c r="W609" s="85" t="s">
        <v>914</v>
      </c>
      <c r="X609" s="85" t="s">
        <v>918</v>
      </c>
      <c r="Y609" s="15">
        <v>3004331709</v>
      </c>
      <c r="Z609" s="85"/>
      <c r="AA609" s="85" t="s">
        <v>33</v>
      </c>
      <c r="AB609" s="85" t="s">
        <v>34</v>
      </c>
      <c r="AC609" s="85" t="s">
        <v>230</v>
      </c>
      <c r="AD609" s="85"/>
      <c r="AE609" s="85"/>
      <c r="AF609" s="132">
        <v>1206.9000000000001</v>
      </c>
      <c r="AG609" s="85" t="s">
        <v>243</v>
      </c>
      <c r="AH609" s="85" t="s">
        <v>220</v>
      </c>
      <c r="AI609" s="85" t="s">
        <v>33</v>
      </c>
      <c r="AJ609" s="85"/>
      <c r="AK609" s="85" t="s">
        <v>33</v>
      </c>
      <c r="AL609" s="85">
        <v>106302870</v>
      </c>
      <c r="AM609" s="85"/>
      <c r="AN609" s="85"/>
      <c r="AO609" s="85"/>
      <c r="AP609" s="85" t="s">
        <v>557</v>
      </c>
      <c r="AQ609" s="9" t="str">
        <f>CONCATENATE("REG-",BDEGENER[[#This Row],[FECHA DE SERVICIO]],"-",BDEGENER[[#This Row],[SERIE]],"-",BDEGENER[[#This Row],[HORAS]])</f>
        <v>REG-43886-3004331709-1206,9</v>
      </c>
      <c r="AR609" s="85" t="str">
        <f>CONCATENATE("MARCA: ",BDEGENER[[#This Row],[MARCA]],"
 MODELO: ",BDEGENER[[#This Row],[MODELO]])</f>
        <v>MARCA: GENERAC
 MODELO: PG090</v>
      </c>
      <c r="AS609" s="85" t="str">
        <f>CONCATENATE("MARCA: ",BDEGENER[[#This Row],[MARCA DE MOTOR]],"
SERIE: ",BDEGENER[[#This Row],[SERIE DE MOTOR]])</f>
        <v xml:space="preserve">MARCA: GENERAC
SERIE: </v>
      </c>
      <c r="AT609" s="85" t="str">
        <f>CONCATENATE("MARCA: ",BDEGENER[[#This Row],[MARCA ALTERNADOR ]],"
SERIE: ",BDEGENER[[#This Row],[SERIE DE ALTERNADOR]])</f>
        <v>MARCA: GENERAC
SERIE: 106302870</v>
      </c>
      <c r="AU609" s="85" t="str">
        <f>CONCATENATE("HORAS: ",BDEGENER[[#This Row],[HORAS]],"
KW-HR: ",BDEGENER[[#This Row],[KW-HORA]],"
VOLT.BATERIA: ",BDEGENER[[#This Row],[VOLTAJE DE BATERIA]],"
TEMPERATURA: ",BDEGENER[[#This Row],[TEMPERATURA DE AGUA]],"
PRES. ACEITE: ",BDEGENER[[#This Row],[PRESION DE ACEITE]])</f>
        <v xml:space="preserve">HORAS: 1206,9
KW-HR: 24784,6
VOLT.BATERIA: 
TEMPERATURA: 
PRES. ACEITE: </v>
      </c>
      <c r="AV609" s="683">
        <f>COUNTIFS(Q609:Q2609,"MANTENIMIENTO CORRECTIVO",Y609:Y2609,BDEGENER[[#This Row],[SERIE]])</f>
        <v>1</v>
      </c>
      <c r="AW609" s="683">
        <f>COUNTIFS(Q609:Q2609,"MANTENIMIENTO PREVENTIVO",Y609:Y2609,BDEGENER[[#This Row],[SERIE]])</f>
        <v>3</v>
      </c>
      <c r="AX60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09" s="85">
        <f>COUNTIFS(BDEGENER[SERIE],BDEGENER[[#This Row],[SERIE]],BDEGENER[TIPO DE SERVICIO],"MANTENIMIENTO PREVENTIVO")</f>
        <v>7</v>
      </c>
      <c r="AZ609" s="85" t="str">
        <f>CONCATENATE("MANTENIMIENTO PREVENTIVO N°",BDEGENER[[#This Row],[GA1]])</f>
        <v>MANTENIMIENTO PREVENTIVO N°7</v>
      </c>
      <c r="BA609" s="85" t="str">
        <f>IF(BDEGENER[[#This Row],[SERVICIO]]=BDEGENER[[#This Row],[GA2]],BDEGENER[[#This Row],[HORAS]],"0")</f>
        <v>0</v>
      </c>
      <c r="BB609" s="85">
        <f>SUMIF(BDEGENER[SERIE],BDEGENER[[#This Row],[SERIE]],BDEGENER[GA3])</f>
        <v>2248.5</v>
      </c>
      <c r="BC609" s="683" t="str">
        <f>CONCATENATE("MANT",COUNTIF($Y$7:Y609,Y609))</f>
        <v>MANT6</v>
      </c>
      <c r="BD609" s="85" t="str">
        <f>CONCATENATE(BDEGENER[[#This Row],[SERIE]],BDEGENER[[#This Row],[GA5]])</f>
        <v>3004331709MANT6</v>
      </c>
      <c r="BE609" s="85" t="str">
        <f>CONCATENATE(BDEGENER[[#This Row],[CODIGO PATRIMONIAL]],BDEGENER[[#This Row],[GA5]])</f>
        <v>MANT6</v>
      </c>
      <c r="BF609" s="85">
        <f>COUNTIF(BDEGENER[SERIE],BDEGENER[[#This Row],[SERIE]])</f>
        <v>11</v>
      </c>
      <c r="BG609" s="683" t="str">
        <f>CONCATENATE("F",COUNTIF($K$7:K609,K609))</f>
        <v>F2</v>
      </c>
      <c r="BH609" s="85" t="str">
        <f>CONCATENATE(BDEGENER[[#This Row],[FECHA DE SERVICIO]],BDEGENER[[#This Row],[N° DE REGISTROS DEL DIA]])</f>
        <v>43886F2</v>
      </c>
      <c r="BI609" s="132">
        <v>24784.6</v>
      </c>
      <c r="BJ609" s="85" t="s">
        <v>1544</v>
      </c>
      <c r="BK609" s="326"/>
    </row>
    <row r="610" spans="2:63" ht="69" hidden="1" x14ac:dyDescent="0.3">
      <c r="B610" s="129"/>
      <c r="C610" s="129"/>
      <c r="D610" s="129"/>
      <c r="E610" s="129"/>
      <c r="F610" s="129"/>
      <c r="G610" s="129"/>
      <c r="H610" s="129"/>
      <c r="I610" s="129"/>
      <c r="J610" s="129"/>
      <c r="K610" s="131">
        <v>43886</v>
      </c>
      <c r="L610" s="130" t="s">
        <v>181</v>
      </c>
      <c r="M610" s="85" t="s">
        <v>189</v>
      </c>
      <c r="N610" s="85" t="s">
        <v>946</v>
      </c>
      <c r="O610" s="85"/>
      <c r="P610" s="9" t="s">
        <v>1602</v>
      </c>
      <c r="Q610" s="85" t="s">
        <v>37</v>
      </c>
      <c r="R610" s="85" t="s">
        <v>1782</v>
      </c>
      <c r="S610" s="6" t="s">
        <v>1787</v>
      </c>
      <c r="T610" s="85" t="s">
        <v>1782</v>
      </c>
      <c r="U610" s="85" t="s">
        <v>1601</v>
      </c>
      <c r="V610" s="85" t="s">
        <v>922</v>
      </c>
      <c r="W610" s="85" t="s">
        <v>914</v>
      </c>
      <c r="X610" s="85" t="s">
        <v>918</v>
      </c>
      <c r="Y610" s="15">
        <v>3004331705</v>
      </c>
      <c r="Z610" s="85"/>
      <c r="AA610" s="85" t="s">
        <v>33</v>
      </c>
      <c r="AB610" s="85" t="s">
        <v>34</v>
      </c>
      <c r="AC610" s="85" t="s">
        <v>230</v>
      </c>
      <c r="AD610" s="85" t="s">
        <v>1110</v>
      </c>
      <c r="AE610" s="85">
        <v>60</v>
      </c>
      <c r="AF610" s="132">
        <v>1342</v>
      </c>
      <c r="AG610" s="85" t="s">
        <v>243</v>
      </c>
      <c r="AH610" s="85" t="s">
        <v>220</v>
      </c>
      <c r="AI610" s="85" t="s">
        <v>33</v>
      </c>
      <c r="AJ610" s="85">
        <v>3004333867</v>
      </c>
      <c r="AK610" s="85" t="s">
        <v>33</v>
      </c>
      <c r="AL610" s="85"/>
      <c r="AM610" s="85" t="s">
        <v>1145</v>
      </c>
      <c r="AN610" s="85" t="s">
        <v>1423</v>
      </c>
      <c r="AO610" s="85" t="s">
        <v>1318</v>
      </c>
      <c r="AP610" s="85" t="s">
        <v>240</v>
      </c>
      <c r="AQ610" s="9" t="str">
        <f>CONCATENATE("REG-",BDEGENER[[#This Row],[FECHA DE SERVICIO]],"-",BDEGENER[[#This Row],[SERIE]],"-",BDEGENER[[#This Row],[HORAS]])</f>
        <v>REG-43886-3004331705-1342</v>
      </c>
      <c r="AR610" s="85" t="str">
        <f>CONCATENATE("MARCA: ",BDEGENER[[#This Row],[MARCA]],"
 MODELO: ",BDEGENER[[#This Row],[MODELO]])</f>
        <v>MARCA: GENERAC
 MODELO: PG090</v>
      </c>
      <c r="AS610" s="85" t="str">
        <f>CONCATENATE("MARCA: ",BDEGENER[[#This Row],[MARCA DE MOTOR]],"
SERIE: ",BDEGENER[[#This Row],[SERIE DE MOTOR]])</f>
        <v>MARCA: GENERAC
SERIE: 3004333867</v>
      </c>
      <c r="AT610" s="85" t="str">
        <f>CONCATENATE("MARCA: ",BDEGENER[[#This Row],[MARCA ALTERNADOR ]],"
SERIE: ",BDEGENER[[#This Row],[SERIE DE ALTERNADOR]])</f>
        <v xml:space="preserve">MARCA: GENERAC
SERIE: </v>
      </c>
      <c r="AU610" s="85" t="str">
        <f>CONCATENATE("HORAS: ",BDEGENER[[#This Row],[HORAS]],"
KW-HR: ",BDEGENER[[#This Row],[KW-HORA]],"
VOLT.BATERIA: ",BDEGENER[[#This Row],[VOLTAJE DE BATERIA]],"
TEMPERATURA: ",BDEGENER[[#This Row],[TEMPERATURA DE AGUA]],"
PRES. ACEITE: ",BDEGENER[[#This Row],[PRESION DE ACEITE]])</f>
        <v>HORAS: 1342
KW-HR: 
VOLT.BATERIA: 13.4 V
TEMPERATURA: 190 °F
PRES. ACEITE: 58 PSI</v>
      </c>
      <c r="AV610" s="761">
        <f>COUNTIFS(Q610:Q2610,"MANTENIMIENTO CORRECTIVO",Y610:Y2610,BDEGENER[[#This Row],[SERIE]])</f>
        <v>1</v>
      </c>
      <c r="AW610" s="761">
        <f>COUNTIFS(Q610:Q2610,"MANTENIMIENTO PREVENTIVO",Y610:Y2610,BDEGENER[[#This Row],[SERIE]])</f>
        <v>4</v>
      </c>
      <c r="AX61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610" s="85">
        <f>COUNTIFS(BDEGENER[SERIE],BDEGENER[[#This Row],[SERIE]],BDEGENER[TIPO DE SERVICIO],"MANTENIMIENTO PREVENTIVO")</f>
        <v>8</v>
      </c>
      <c r="AZ610" s="85" t="str">
        <f>CONCATENATE("MANTENIMIENTO PREVENTIVO N°",BDEGENER[[#This Row],[GA1]])</f>
        <v>MANTENIMIENTO PREVENTIVO N°8</v>
      </c>
      <c r="BA610" s="85" t="str">
        <f>IF(BDEGENER[[#This Row],[SERVICIO]]=BDEGENER[[#This Row],[GA2]],BDEGENER[[#This Row],[HORAS]],"0")</f>
        <v>0</v>
      </c>
      <c r="BB610" s="85">
        <f>SUMIF(BDEGENER[SERIE],BDEGENER[[#This Row],[SERIE]],BDEGENER[GA3])</f>
        <v>2381.3000000000002</v>
      </c>
      <c r="BC610" s="761" t="str">
        <f>CONCATENATE("MANT",COUNTIF($Y$7:Y610,Y610))</f>
        <v>MANT5</v>
      </c>
      <c r="BD610" s="85" t="str">
        <f>CONCATENATE(BDEGENER[[#This Row],[SERIE]],BDEGENER[[#This Row],[GA5]])</f>
        <v>3004331705MANT5</v>
      </c>
      <c r="BE610" s="85" t="str">
        <f>CONCATENATE(BDEGENER[[#This Row],[CODIGO PATRIMONIAL]],BDEGENER[[#This Row],[GA5]])</f>
        <v>MANT5</v>
      </c>
      <c r="BF610" s="85">
        <f>COUNTIF(BDEGENER[SERIE],BDEGENER[[#This Row],[SERIE]])</f>
        <v>10</v>
      </c>
      <c r="BG610" s="761" t="str">
        <f>CONCATENATE("F",COUNTIF($K$7:K610,K610))</f>
        <v>F3</v>
      </c>
      <c r="BH610" s="85" t="str">
        <f>CONCATENATE(BDEGENER[[#This Row],[FECHA DE SERVICIO]],BDEGENER[[#This Row],[N° DE REGISTROS DEL DIA]])</f>
        <v>43886F3</v>
      </c>
      <c r="BI610" s="132"/>
      <c r="BJ610" s="85" t="s">
        <v>1544</v>
      </c>
      <c r="BK610" s="326"/>
    </row>
    <row r="611" spans="2:63" ht="69" hidden="1" x14ac:dyDescent="0.3">
      <c r="B611" s="129"/>
      <c r="C611" s="129"/>
      <c r="D611" s="129"/>
      <c r="E611" s="129"/>
      <c r="F611" s="129"/>
      <c r="G611" s="129"/>
      <c r="H611" s="129"/>
      <c r="I611" s="129"/>
      <c r="J611" s="129"/>
      <c r="K611" s="131">
        <v>43885</v>
      </c>
      <c r="L611" s="130" t="s">
        <v>181</v>
      </c>
      <c r="M611" s="85" t="s">
        <v>184</v>
      </c>
      <c r="N611" s="85" t="s">
        <v>183</v>
      </c>
      <c r="O611" s="85"/>
      <c r="P611" s="85"/>
      <c r="Q611" s="85" t="s">
        <v>108</v>
      </c>
      <c r="R611" s="85" t="s">
        <v>1835</v>
      </c>
      <c r="S611" s="6" t="s">
        <v>1836</v>
      </c>
      <c r="T611" s="85" t="s">
        <v>1837</v>
      </c>
      <c r="U611" s="85"/>
      <c r="V611" s="85" t="s">
        <v>146</v>
      </c>
      <c r="W611" s="85" t="s">
        <v>914</v>
      </c>
      <c r="X611" s="85" t="s">
        <v>918</v>
      </c>
      <c r="Y611" s="15">
        <v>3004227749</v>
      </c>
      <c r="Z611" s="85"/>
      <c r="AA611" s="85" t="s">
        <v>33</v>
      </c>
      <c r="AB611" s="85" t="s">
        <v>34</v>
      </c>
      <c r="AC611" s="85" t="s">
        <v>230</v>
      </c>
      <c r="AD611" s="85"/>
      <c r="AE611" s="85"/>
      <c r="AF611" s="132">
        <v>641.1</v>
      </c>
      <c r="AG611" s="85" t="s">
        <v>243</v>
      </c>
      <c r="AH611" s="85" t="s">
        <v>220</v>
      </c>
      <c r="AI611" s="85" t="s">
        <v>33</v>
      </c>
      <c r="AJ611" s="85"/>
      <c r="AK611" s="85" t="s">
        <v>33</v>
      </c>
      <c r="AL611" s="85"/>
      <c r="AM611" s="85"/>
      <c r="AN611" s="85"/>
      <c r="AO611" s="85"/>
      <c r="AP611" s="85" t="s">
        <v>240</v>
      </c>
      <c r="AQ611" s="9" t="str">
        <f>CONCATENATE("REG-",BDEGENER[[#This Row],[FECHA DE SERVICIO]],"-",BDEGENER[[#This Row],[SERIE]],"-",BDEGENER[[#This Row],[HORAS]])</f>
        <v>REG-43885-3004227749-641,1</v>
      </c>
      <c r="AR611" s="85" t="str">
        <f>CONCATENATE("MARCA: ",BDEGENER[[#This Row],[MARCA]],"
 MODELO: ",BDEGENER[[#This Row],[MODELO]])</f>
        <v>MARCA: GENERAC
 MODELO: PG090</v>
      </c>
      <c r="AS611" s="85" t="str">
        <f>CONCATENATE("MARCA: ",BDEGENER[[#This Row],[MARCA DE MOTOR]],"
SERIE: ",BDEGENER[[#This Row],[SERIE DE MOTOR]])</f>
        <v xml:space="preserve">MARCA: GENERAC
SERIE: </v>
      </c>
      <c r="AT611" s="85" t="str">
        <f>CONCATENATE("MARCA: ",BDEGENER[[#This Row],[MARCA ALTERNADOR ]],"
SERIE: ",BDEGENER[[#This Row],[SERIE DE ALTERNADOR]])</f>
        <v xml:space="preserve">MARCA: GENERAC
SERIE: </v>
      </c>
      <c r="AU611" s="85" t="str">
        <f>CONCATENATE("HORAS: ",BDEGENER[[#This Row],[HORAS]],"
KW-HR: ",BDEGENER[[#This Row],[KW-HORA]],"
VOLT.BATERIA: ",BDEGENER[[#This Row],[VOLTAJE DE BATERIA]],"
TEMPERATURA: ",BDEGENER[[#This Row],[TEMPERATURA DE AGUA]],"
PRES. ACEITE: ",BDEGENER[[#This Row],[PRESION DE ACEITE]])</f>
        <v xml:space="preserve">HORAS: 641,1
KW-HR: 
VOLT.BATERIA: 
TEMPERATURA: 
PRES. ACEITE: </v>
      </c>
      <c r="AV611" s="683">
        <f>COUNTIFS(Q611:Q2611,"MANTENIMIENTO CORRECTIVO",Y611:Y2611,BDEGENER[[#This Row],[SERIE]])</f>
        <v>1</v>
      </c>
      <c r="AW611" s="683">
        <f>COUNTIFS(Q611:Q2611,"MANTENIMIENTO PREVENTIVO",Y611:Y2611,BDEGENER[[#This Row],[SERIE]])</f>
        <v>2</v>
      </c>
      <c r="AX61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11" s="85">
        <f>COUNTIFS(BDEGENER[SERIE],BDEGENER[[#This Row],[SERIE]],BDEGENER[TIPO DE SERVICIO],"MANTENIMIENTO PREVENTIVO")</f>
        <v>8</v>
      </c>
      <c r="AZ611" s="85" t="str">
        <f>CONCATENATE("MANTENIMIENTO PREVENTIVO N°",BDEGENER[[#This Row],[GA1]])</f>
        <v>MANTENIMIENTO PREVENTIVO N°8</v>
      </c>
      <c r="BA611" s="85" t="str">
        <f>IF(BDEGENER[[#This Row],[SERVICIO]]=BDEGENER[[#This Row],[GA2]],BDEGENER[[#This Row],[HORAS]],"0")</f>
        <v>0</v>
      </c>
      <c r="BB611" s="85">
        <f>SUMIF(BDEGENER[SERIE],BDEGENER[[#This Row],[SERIE]],BDEGENER[GA3])</f>
        <v>2404.1999999999998</v>
      </c>
      <c r="BC611" s="683" t="str">
        <f>CONCATENATE("MANT",COUNTIF($Y$7:Y611,Y611))</f>
        <v>MANT12</v>
      </c>
      <c r="BD611" s="85" t="str">
        <f>CONCATENATE(BDEGENER[[#This Row],[SERIE]],BDEGENER[[#This Row],[GA5]])</f>
        <v>3004227749MANT12</v>
      </c>
      <c r="BE611" s="85" t="str">
        <f>CONCATENATE(BDEGENER[[#This Row],[CODIGO PATRIMONIAL]],BDEGENER[[#This Row],[GA5]])</f>
        <v>MANT12</v>
      </c>
      <c r="BF611" s="85">
        <f>COUNTIF(BDEGENER[SERIE],BDEGENER[[#This Row],[SERIE]])</f>
        <v>16</v>
      </c>
      <c r="BG611" s="683" t="str">
        <f>CONCATENATE("F",COUNTIF($K$7:K611,K611))</f>
        <v>F1</v>
      </c>
      <c r="BH611" s="85" t="str">
        <f>CONCATENATE(BDEGENER[[#This Row],[FECHA DE SERVICIO]],BDEGENER[[#This Row],[N° DE REGISTROS DEL DIA]])</f>
        <v>43885F1</v>
      </c>
      <c r="BI611" s="132"/>
      <c r="BJ611" s="85" t="s">
        <v>1544</v>
      </c>
      <c r="BK611" s="326"/>
    </row>
    <row r="612" spans="2:63" ht="69" hidden="1" x14ac:dyDescent="0.3">
      <c r="B612" s="129"/>
      <c r="C612" s="129"/>
      <c r="D612" s="129"/>
      <c r="E612" s="129"/>
      <c r="F612" s="129"/>
      <c r="G612" s="129"/>
      <c r="H612" s="129"/>
      <c r="I612" s="129"/>
      <c r="J612" s="129"/>
      <c r="K612" s="131">
        <v>43883</v>
      </c>
      <c r="L612" s="130" t="s">
        <v>1546</v>
      </c>
      <c r="M612" s="85" t="s">
        <v>1395</v>
      </c>
      <c r="N612" s="85" t="s">
        <v>1547</v>
      </c>
      <c r="O612" s="85"/>
      <c r="P612" s="85"/>
      <c r="Q612" s="85" t="s">
        <v>108</v>
      </c>
      <c r="R612" s="85" t="s">
        <v>1559</v>
      </c>
      <c r="S612" s="6" t="s">
        <v>1560</v>
      </c>
      <c r="T612" s="85" t="s">
        <v>1561</v>
      </c>
      <c r="U612" s="85"/>
      <c r="V612" s="85" t="s">
        <v>677</v>
      </c>
      <c r="W612" s="85" t="s">
        <v>914</v>
      </c>
      <c r="X612" s="85" t="s">
        <v>917</v>
      </c>
      <c r="Y612" s="15">
        <v>3003953458</v>
      </c>
      <c r="Z612" s="85" t="s">
        <v>159</v>
      </c>
      <c r="AA612" s="85" t="s">
        <v>33</v>
      </c>
      <c r="AB612" s="85" t="s">
        <v>1555</v>
      </c>
      <c r="AC612" s="85" t="s">
        <v>235</v>
      </c>
      <c r="AD612" s="85" t="s">
        <v>1230</v>
      </c>
      <c r="AE612" s="85">
        <v>60</v>
      </c>
      <c r="AF612" s="132">
        <v>927</v>
      </c>
      <c r="AG612" s="85" t="s">
        <v>1412</v>
      </c>
      <c r="AH612" s="85" t="s">
        <v>1557</v>
      </c>
      <c r="AI612" s="85" t="s">
        <v>844</v>
      </c>
      <c r="AJ612" s="85" t="s">
        <v>1558</v>
      </c>
      <c r="AK612" s="85" t="s">
        <v>1448</v>
      </c>
      <c r="AL612" s="85" t="s">
        <v>1556</v>
      </c>
      <c r="AM612" s="85" t="s">
        <v>1094</v>
      </c>
      <c r="AN612" s="85" t="s">
        <v>1562</v>
      </c>
      <c r="AO612" s="85" t="s">
        <v>1563</v>
      </c>
      <c r="AP612" s="85" t="s">
        <v>240</v>
      </c>
      <c r="AQ612" s="9" t="str">
        <f>CONCATENATE("REG-",BDEGENER[[#This Row],[FECHA DE SERVICIO]],"-",BDEGENER[[#This Row],[SERIE]],"-",BDEGENER[[#This Row],[HORAS]])</f>
        <v>REG-43883-3003953458-927</v>
      </c>
      <c r="AR612" s="85" t="str">
        <f>CONCATENATE("MARCA: ",BDEGENER[[#This Row],[MARCA]],"
 MODELO: ",BDEGENER[[#This Row],[MODELO]])</f>
        <v>MARCA: GENERAC
 MODELO: PLY100</v>
      </c>
      <c r="AS612" s="85" t="str">
        <f>CONCATENATE("MARCA: ",BDEGENER[[#This Row],[MARCA DE MOTOR]],"
SERIE: ",BDEGENER[[#This Row],[SERIE DE MOTOR]])</f>
        <v>MARCA: PERKINS
SERIE: V665786D</v>
      </c>
      <c r="AT612" s="85" t="str">
        <f>CONCATENATE("MARCA: ",BDEGENER[[#This Row],[MARCA ALTERNADOR ]],"
SERIE: ",BDEGENER[[#This Row],[SERIE DE ALTERNADOR]])</f>
        <v>MARCA: LEROY SOMER
SERIE: 352597/26</v>
      </c>
      <c r="AU612" s="85" t="str">
        <f>CONCATENATE("HORAS: ",BDEGENER[[#This Row],[HORAS]],"
KW-HR: ",BDEGENER[[#This Row],[KW-HORA]],"
VOLT.BATERIA: ",BDEGENER[[#This Row],[VOLTAJE DE BATERIA]],"
TEMPERATURA: ",BDEGENER[[#This Row],[TEMPERATURA DE AGUA]],"
PRES. ACEITE: ",BDEGENER[[#This Row],[PRESION DE ACEITE]])</f>
        <v>HORAS: 927
KW-HR: 
VOLT.BATERIA: 13.5 V
TEMPERATURA: 131 °F
PRES. ACEITE: 81 PSI</v>
      </c>
      <c r="AV612" s="683">
        <f>COUNTIFS(Q612:Q2612,"MANTENIMIENTO CORRECTIVO",Y612:Y2612,BDEGENER[[#This Row],[SERIE]])</f>
        <v>0</v>
      </c>
      <c r="AW612" s="683">
        <f>COUNTIFS(Q612:Q2612,"MANTENIMIENTO PREVENTIVO",Y612:Y2612,BDEGENER[[#This Row],[SERIE]])</f>
        <v>1</v>
      </c>
      <c r="AX612"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12" s="85">
        <f>COUNTIFS(BDEGENER[SERIE],BDEGENER[[#This Row],[SERIE]],BDEGENER[TIPO DE SERVICIO],"MANTENIMIENTO PREVENTIVO")</f>
        <v>1</v>
      </c>
      <c r="AZ612" s="85" t="str">
        <f>CONCATENATE("MANTENIMIENTO PREVENTIVO N°",BDEGENER[[#This Row],[GA1]])</f>
        <v>MANTENIMIENTO PREVENTIVO N°1</v>
      </c>
      <c r="BA612" s="85" t="str">
        <f>IF(BDEGENER[[#This Row],[SERVICIO]]=BDEGENER[[#This Row],[GA2]],BDEGENER[[#This Row],[HORAS]],"0")</f>
        <v>0</v>
      </c>
      <c r="BB612" s="85">
        <f>SUMIF(BDEGENER[SERIE],BDEGENER[[#This Row],[SERIE]],BDEGENER[GA3])</f>
        <v>918.3</v>
      </c>
      <c r="BC612" s="683" t="str">
        <f>CONCATENATE("MANT",COUNTIF($Y$7:Y612,Y612))</f>
        <v>MANT2</v>
      </c>
      <c r="BD612" s="85" t="str">
        <f>CONCATENATE(BDEGENER[[#This Row],[SERIE]],BDEGENER[[#This Row],[GA5]])</f>
        <v>3003953458MANT2</v>
      </c>
      <c r="BE612" s="85" t="str">
        <f>CONCATENATE(BDEGENER[[#This Row],[CODIGO PATRIMONIAL]],BDEGENER[[#This Row],[GA5]])</f>
        <v>MANT2</v>
      </c>
      <c r="BF612" s="85">
        <f>COUNTIF(BDEGENER[SERIE],BDEGENER[[#This Row],[SERIE]])</f>
        <v>3</v>
      </c>
      <c r="BG612" s="683" t="str">
        <f>CONCATENATE("F",COUNTIF($K$7:K612,K612))</f>
        <v>F1</v>
      </c>
      <c r="BH612" s="85" t="str">
        <f>CONCATENATE(BDEGENER[[#This Row],[FECHA DE SERVICIO]],BDEGENER[[#This Row],[N° DE REGISTROS DEL DIA]])</f>
        <v>43883F1</v>
      </c>
      <c r="BI612" s="132"/>
      <c r="BJ612" s="85" t="s">
        <v>1545</v>
      </c>
      <c r="BK612" s="326"/>
    </row>
    <row r="613" spans="2:63" ht="82.8" hidden="1" x14ac:dyDescent="0.3">
      <c r="B613" s="129"/>
      <c r="C613" s="129"/>
      <c r="D613" s="129"/>
      <c r="E613" s="129"/>
      <c r="F613" s="129"/>
      <c r="G613" s="129"/>
      <c r="H613" s="129"/>
      <c r="I613" s="129"/>
      <c r="J613" s="129"/>
      <c r="K613" s="131">
        <v>43883</v>
      </c>
      <c r="L613" s="130" t="s">
        <v>764</v>
      </c>
      <c r="M613" s="85" t="s">
        <v>2074</v>
      </c>
      <c r="N613" s="85" t="s">
        <v>1384</v>
      </c>
      <c r="O613" s="85"/>
      <c r="P613" s="85"/>
      <c r="Q613" s="85" t="s">
        <v>108</v>
      </c>
      <c r="R613" s="85" t="s">
        <v>1782</v>
      </c>
      <c r="S613" s="6" t="s">
        <v>1599</v>
      </c>
      <c r="T613" s="85" t="s">
        <v>1782</v>
      </c>
      <c r="U613" s="85"/>
      <c r="V613" s="85" t="s">
        <v>922</v>
      </c>
      <c r="W613" s="85" t="s">
        <v>914</v>
      </c>
      <c r="X613" s="85" t="s">
        <v>917</v>
      </c>
      <c r="Y613" s="15">
        <v>8754673</v>
      </c>
      <c r="Z613" s="85"/>
      <c r="AA613" s="85" t="s">
        <v>1387</v>
      </c>
      <c r="AB613" s="85" t="s">
        <v>1393</v>
      </c>
      <c r="AC613" s="85" t="s">
        <v>787</v>
      </c>
      <c r="AD613" s="85"/>
      <c r="AE613" s="85"/>
      <c r="AF613" s="132">
        <v>137.30000000000001</v>
      </c>
      <c r="AG613" s="85" t="s">
        <v>243</v>
      </c>
      <c r="AH613" s="85" t="s">
        <v>2342</v>
      </c>
      <c r="AI613" s="85" t="s">
        <v>844</v>
      </c>
      <c r="AJ613" s="85" t="s">
        <v>1386</v>
      </c>
      <c r="AK613" s="85"/>
      <c r="AL613" s="85"/>
      <c r="AM613" s="85" t="s">
        <v>1600</v>
      </c>
      <c r="AN613" s="85"/>
      <c r="AO613" s="85"/>
      <c r="AP613" s="85" t="s">
        <v>240</v>
      </c>
      <c r="AQ613" s="724" t="str">
        <f>CONCATENATE("REG-",BDEGENER[[#This Row],[FECHA DE SERVICIO]],"-",BDEGENER[[#This Row],[SERIE]],"-",BDEGENER[[#This Row],[HORAS]])</f>
        <v>REG-43883-8754673-137,3</v>
      </c>
      <c r="AR613" s="85" t="str">
        <f>CONCATENATE("MARCA: ",BDEGENER[[#This Row],[MARCA]],"
 MODELO: ",BDEGENER[[#This Row],[MODELO]])</f>
        <v>MARCA: GAMMA
 MODELO: GPLS-400I</v>
      </c>
      <c r="AS613" s="85" t="str">
        <f>CONCATENATE("MARCA: ",BDEGENER[[#This Row],[MARCA DE MOTOR]],"
SERIE: ",BDEGENER[[#This Row],[SERIE DE MOTOR]])</f>
        <v>MARCA: PERKINS
SERIE: TGHF5219</v>
      </c>
      <c r="AT613" s="85" t="str">
        <f>CONCATENATE("MARCA: ",BDEGENER[[#This Row],[MARCA ALTERNADOR ]],"
SERIE: ",BDEGENER[[#This Row],[SERIE DE ALTERNADOR]])</f>
        <v xml:space="preserve">MARCA: 
SERIE: </v>
      </c>
      <c r="AU613" s="85" t="str">
        <f>CONCATENATE("HORAS: ",BDEGENER[[#This Row],[HORAS]],"
KW-HR: ",BDEGENER[[#This Row],[KW-HORA]],"
VOLT.BATERIA: ",BDEGENER[[#This Row],[VOLTAJE DE BATERIA]],"
TEMPERATURA: ",BDEGENER[[#This Row],[TEMPERATURA DE AGUA]],"
PRES. ACEITE: ",BDEGENER[[#This Row],[PRESION DE ACEITE]])</f>
        <v xml:space="preserve">HORAS: 137,3
KW-HR: 4305
VOLT.BATERIA: 26.4 V
TEMPERATURA: 
PRES. ACEITE: </v>
      </c>
      <c r="AV613" s="761">
        <f>COUNTIFS(Q613:Q2613,"MANTENIMIENTO CORRECTIVO",Y613:Y2613,BDEGENER[[#This Row],[SERIE]])</f>
        <v>0</v>
      </c>
      <c r="AW613" s="761">
        <f>COUNTIFS(Q613:Q2613,"MANTENIMIENTO PREVENTIVO",Y613:Y2613,BDEGENER[[#This Row],[SERIE]])</f>
        <v>1</v>
      </c>
      <c r="AX613"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13" s="85">
        <f>COUNTIFS(BDEGENER[SERIE],BDEGENER[[#This Row],[SERIE]],BDEGENER[TIPO DE SERVICIO],"MANTENIMIENTO PREVENTIVO")</f>
        <v>2</v>
      </c>
      <c r="AZ613" s="85" t="str">
        <f>CONCATENATE("MANTENIMIENTO PREVENTIVO N°",BDEGENER[[#This Row],[GA1]])</f>
        <v>MANTENIMIENTO PREVENTIVO N°2</v>
      </c>
      <c r="BA613" s="85" t="str">
        <f>IF(BDEGENER[[#This Row],[SERVICIO]]=BDEGENER[[#This Row],[GA2]],BDEGENER[[#This Row],[HORAS]],"0")</f>
        <v>0</v>
      </c>
      <c r="BB613" s="85">
        <f>SUMIF(BDEGENER[SERIE],BDEGENER[[#This Row],[SERIE]],BDEGENER[GA3])</f>
        <v>152.9</v>
      </c>
      <c r="BC613" s="761" t="str">
        <f>CONCATENATE("MANT",COUNTIF($Y$7:Y613,Y613))</f>
        <v>MANT4</v>
      </c>
      <c r="BD613" s="85" t="str">
        <f>CONCATENATE(BDEGENER[[#This Row],[SERIE]],BDEGENER[[#This Row],[GA5]])</f>
        <v>8754673MANT4</v>
      </c>
      <c r="BE613" s="85" t="str">
        <f>CONCATENATE(BDEGENER[[#This Row],[CODIGO PATRIMONIAL]],BDEGENER[[#This Row],[GA5]])</f>
        <v>MANT4</v>
      </c>
      <c r="BF613" s="85">
        <f>COUNTIF(BDEGENER[SERIE],BDEGENER[[#This Row],[SERIE]])</f>
        <v>6</v>
      </c>
      <c r="BG613" s="761" t="str">
        <f>CONCATENATE("F",COUNTIF($K$7:K613,K613))</f>
        <v>F2</v>
      </c>
      <c r="BH613" s="85" t="str">
        <f>CONCATENATE(BDEGENER[[#This Row],[FECHA DE SERVICIO]],BDEGENER[[#This Row],[N° DE REGISTROS DEL DIA]])</f>
        <v>43883F2</v>
      </c>
      <c r="BI613" s="132">
        <v>4305</v>
      </c>
      <c r="BJ613" s="85" t="s">
        <v>1544</v>
      </c>
      <c r="BK613" s="326"/>
    </row>
    <row r="614" spans="2:63" ht="69" hidden="1" x14ac:dyDescent="0.3">
      <c r="B614" s="129"/>
      <c r="C614" s="129"/>
      <c r="D614" s="129"/>
      <c r="E614" s="129"/>
      <c r="F614" s="129"/>
      <c r="G614" s="129"/>
      <c r="H614" s="129"/>
      <c r="I614" s="129"/>
      <c r="J614" s="129"/>
      <c r="K614" s="131">
        <v>43882</v>
      </c>
      <c r="L614" s="130" t="s">
        <v>181</v>
      </c>
      <c r="M614" s="85" t="s">
        <v>1388</v>
      </c>
      <c r="N614" s="85" t="s">
        <v>1538</v>
      </c>
      <c r="O614" s="85"/>
      <c r="P614" s="9" t="s">
        <v>1539</v>
      </c>
      <c r="Q614" s="85" t="s">
        <v>37</v>
      </c>
      <c r="R614" s="85" t="s">
        <v>1782</v>
      </c>
      <c r="S614" s="6" t="s">
        <v>1788</v>
      </c>
      <c r="T614" s="85" t="s">
        <v>1782</v>
      </c>
      <c r="U614" s="85" t="s">
        <v>1504</v>
      </c>
      <c r="V614" s="85" t="s">
        <v>149</v>
      </c>
      <c r="W614" s="85" t="s">
        <v>914</v>
      </c>
      <c r="X614" s="85" t="s">
        <v>918</v>
      </c>
      <c r="Y614" s="130">
        <v>3004428523</v>
      </c>
      <c r="Z614" s="85"/>
      <c r="AA614" s="85" t="s">
        <v>33</v>
      </c>
      <c r="AB614" s="85" t="s">
        <v>34</v>
      </c>
      <c r="AC614" s="85" t="s">
        <v>230</v>
      </c>
      <c r="AD614" s="85" t="s">
        <v>1123</v>
      </c>
      <c r="AE614" s="85">
        <v>60</v>
      </c>
      <c r="AF614" s="132">
        <v>649.9</v>
      </c>
      <c r="AG614" s="85" t="s">
        <v>243</v>
      </c>
      <c r="AH614" s="85" t="s">
        <v>220</v>
      </c>
      <c r="AI614" s="85" t="s">
        <v>33</v>
      </c>
      <c r="AJ614" s="85">
        <v>3004426215</v>
      </c>
      <c r="AK614" s="85" t="s">
        <v>33</v>
      </c>
      <c r="AL614" s="85">
        <v>106301030</v>
      </c>
      <c r="AM614" s="85" t="s">
        <v>245</v>
      </c>
      <c r="AN614" s="85" t="s">
        <v>1423</v>
      </c>
      <c r="AO614" s="85" t="s">
        <v>1367</v>
      </c>
      <c r="AP614" s="85" t="s">
        <v>240</v>
      </c>
      <c r="AQ614" s="9" t="str">
        <f>CONCATENATE("REG-",BDEGENER[[#This Row],[FECHA DE SERVICIO]],"-",BDEGENER[[#This Row],[SERIE]],"-",BDEGENER[[#This Row],[HORAS]])</f>
        <v>REG-43882-3004428523-649,9</v>
      </c>
      <c r="AR614" s="85" t="str">
        <f>CONCATENATE("MARCA: ",BDEGENER[[#This Row],[MARCA]],"
 MODELO: ",BDEGENER[[#This Row],[MODELO]])</f>
        <v>MARCA: GENERAC
 MODELO: PG090</v>
      </c>
      <c r="AS614" s="85" t="str">
        <f>CONCATENATE("MARCA: ",BDEGENER[[#This Row],[MARCA DE MOTOR]],"
SERIE: ",BDEGENER[[#This Row],[SERIE DE MOTOR]])</f>
        <v>MARCA: GENERAC
SERIE: 3004426215</v>
      </c>
      <c r="AT614" s="85" t="str">
        <f>CONCATENATE("MARCA: ",BDEGENER[[#This Row],[MARCA ALTERNADOR ]],"
SERIE: ",BDEGENER[[#This Row],[SERIE DE ALTERNADOR]])</f>
        <v>MARCA: GENERAC
SERIE: 106301030</v>
      </c>
      <c r="AU614" s="85" t="str">
        <f>CONCATENATE("HORAS: ",BDEGENER[[#This Row],[HORAS]],"
KW-HR: ",BDEGENER[[#This Row],[KW-HORA]],"
VOLT.BATERIA: ",BDEGENER[[#This Row],[VOLTAJE DE BATERIA]],"
TEMPERATURA: ",BDEGENER[[#This Row],[TEMPERATURA DE AGUA]],"
PRES. ACEITE: ",BDEGENER[[#This Row],[PRESION DE ACEITE]])</f>
        <v>HORAS: 649,9
KW-HR: 19513,5
VOLT.BATERIA: 13.6 V
TEMPERATURA: 190 °F
PRES. ACEITE: 72 PSI</v>
      </c>
      <c r="AV614" s="683">
        <f>COUNTIFS(Q614:Q2614,"MANTENIMIENTO CORRECTIVO",Y614:Y2614,BDEGENER[[#This Row],[SERIE]])</f>
        <v>1</v>
      </c>
      <c r="AW614" s="683">
        <f>COUNTIFS(Q614:Q2614,"MANTENIMIENTO PREVENTIVO",Y614:Y2614,BDEGENER[[#This Row],[SERIE]])</f>
        <v>3</v>
      </c>
      <c r="AX61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14" s="85">
        <f>COUNTIFS(BDEGENER[SERIE],BDEGENER[[#This Row],[SERIE]],BDEGENER[TIPO DE SERVICIO],"MANTENIMIENTO PREVENTIVO")</f>
        <v>9</v>
      </c>
      <c r="AZ614" s="85" t="str">
        <f>CONCATENATE("MANTENIMIENTO PREVENTIVO N°",BDEGENER[[#This Row],[GA1]])</f>
        <v>MANTENIMIENTO PREVENTIVO N°9</v>
      </c>
      <c r="BA614" s="85" t="str">
        <f>IF(BDEGENER[[#This Row],[SERVICIO]]=BDEGENER[[#This Row],[GA2]],BDEGENER[[#This Row],[HORAS]],"0")</f>
        <v>0</v>
      </c>
      <c r="BB614" s="85">
        <f>SUMIF(BDEGENER[SERIE],BDEGENER[[#This Row],[SERIE]],BDEGENER[GA3])</f>
        <v>2439.9</v>
      </c>
      <c r="BC614" s="683" t="str">
        <f>CONCATENATE("MANT",COUNTIF($Y$7:Y614,Y614))</f>
        <v>MANT9</v>
      </c>
      <c r="BD614" s="85" t="str">
        <f>CONCATENATE(BDEGENER[[#This Row],[SERIE]],BDEGENER[[#This Row],[GA5]])</f>
        <v>3004428523MANT9</v>
      </c>
      <c r="BE614" s="85" t="str">
        <f>CONCATENATE(BDEGENER[[#This Row],[CODIGO PATRIMONIAL]],BDEGENER[[#This Row],[GA5]])</f>
        <v>MANT9</v>
      </c>
      <c r="BF614" s="129">
        <f>COUNTIF(BDEGENER[SERIE],BDEGENER[[#This Row],[SERIE]])</f>
        <v>14</v>
      </c>
      <c r="BG614" s="683" t="str">
        <f>CONCATENATE("F",COUNTIF($K$7:K614,K614))</f>
        <v>F1</v>
      </c>
      <c r="BH614" s="129" t="str">
        <f>CONCATENATE(BDEGENER[[#This Row],[FECHA DE SERVICIO]],BDEGENER[[#This Row],[N° DE REGISTROS DEL DIA]])</f>
        <v>43882F1</v>
      </c>
      <c r="BI614" s="324">
        <v>19513.5</v>
      </c>
      <c r="BJ614" s="325" t="s">
        <v>1544</v>
      </c>
      <c r="BK614" s="326"/>
    </row>
    <row r="615" spans="2:63" ht="69" hidden="1" x14ac:dyDescent="0.3">
      <c r="B615" s="129"/>
      <c r="C615" s="129"/>
      <c r="D615" s="129"/>
      <c r="E615" s="129"/>
      <c r="F615" s="129"/>
      <c r="G615" s="129"/>
      <c r="H615" s="129"/>
      <c r="I615" s="129"/>
      <c r="J615" s="129"/>
      <c r="K615" s="131">
        <v>43881</v>
      </c>
      <c r="L615" s="130" t="s">
        <v>1546</v>
      </c>
      <c r="M615" s="85" t="s">
        <v>1395</v>
      </c>
      <c r="N615" s="85" t="s">
        <v>1547</v>
      </c>
      <c r="O615" s="85"/>
      <c r="P615" s="85"/>
      <c r="Q615" s="85" t="s">
        <v>107</v>
      </c>
      <c r="R615" s="85" t="s">
        <v>1551</v>
      </c>
      <c r="S615" s="6" t="s">
        <v>1552</v>
      </c>
      <c r="T615" s="85" t="s">
        <v>1553</v>
      </c>
      <c r="U615" s="85" t="s">
        <v>1554</v>
      </c>
      <c r="V615" s="85" t="s">
        <v>677</v>
      </c>
      <c r="W615" s="85" t="s">
        <v>915</v>
      </c>
      <c r="X615" s="85" t="s">
        <v>917</v>
      </c>
      <c r="Y615" s="15">
        <v>1603596</v>
      </c>
      <c r="Z615" s="85" t="s">
        <v>159</v>
      </c>
      <c r="AA615" s="85" t="s">
        <v>33</v>
      </c>
      <c r="AB615" s="85" t="s">
        <v>1120</v>
      </c>
      <c r="AC615" s="85" t="s">
        <v>231</v>
      </c>
      <c r="AD615" s="85"/>
      <c r="AE615" s="85"/>
      <c r="AF615" s="132">
        <v>1575</v>
      </c>
      <c r="AG615" s="85" t="s">
        <v>243</v>
      </c>
      <c r="AH615" s="85" t="s">
        <v>1578</v>
      </c>
      <c r="AI615" s="85" t="s">
        <v>868</v>
      </c>
      <c r="AJ615" s="85" t="s">
        <v>1579</v>
      </c>
      <c r="AK615" s="85" t="s">
        <v>33</v>
      </c>
      <c r="AL615" s="85" t="s">
        <v>159</v>
      </c>
      <c r="AM615" s="85"/>
      <c r="AN615" s="85"/>
      <c r="AO615" s="85"/>
      <c r="AP615" s="85" t="s">
        <v>240</v>
      </c>
      <c r="AQ615" s="9" t="str">
        <f>CONCATENATE("REG-",BDEGENER[[#This Row],[FECHA DE SERVICIO]],"-",BDEGENER[[#This Row],[SERIE]],"-",BDEGENER[[#This Row],[HORAS]])</f>
        <v>REG-43881-1603596-1575</v>
      </c>
      <c r="AR615" s="85" t="str">
        <f>CONCATENATE("MARCA: ",BDEGENER[[#This Row],[MARCA]],"
 MODELO: ",BDEGENER[[#This Row],[MODELO]])</f>
        <v>MARCA: GENERAC
 MODELO: VT8 K3</v>
      </c>
      <c r="AS615" s="85" t="str">
        <f>CONCATENATE("MARCA: ",BDEGENER[[#This Row],[MARCA DE MOTOR]],"
SERIE: ",BDEGENER[[#This Row],[SERIE DE MOTOR]])</f>
        <v>MARCA: KUBOTA
SERIE: 1GL1486</v>
      </c>
      <c r="AT615" s="85" t="str">
        <f>CONCATENATE("MARCA: ",BDEGENER[[#This Row],[MARCA ALTERNADOR ]],"
SERIE: ",BDEGENER[[#This Row],[SERIE DE ALTERNADOR]])</f>
        <v xml:space="preserve">MARCA: GENERAC
SERIE: </v>
      </c>
      <c r="AU615" s="85" t="str">
        <f>CONCATENATE("HORAS: ",BDEGENER[[#This Row],[HORAS]],"
KW-HR: ",BDEGENER[[#This Row],[KW-HORA]],"
VOLT.BATERIA: ",BDEGENER[[#This Row],[VOLTAJE DE BATERIA]],"
TEMPERATURA: ",BDEGENER[[#This Row],[TEMPERATURA DE AGUA]],"
PRES. ACEITE: ",BDEGENER[[#This Row],[PRESION DE ACEITE]])</f>
        <v xml:space="preserve">HORAS: 1575
KW-HR: 
VOLT.BATERIA: 
TEMPERATURA: 
PRES. ACEITE: </v>
      </c>
      <c r="AV615" s="683">
        <f>COUNTIFS(Q615:Q2615,"MANTENIMIENTO CORRECTIVO",Y615:Y2615,BDEGENER[[#This Row],[SERIE]])</f>
        <v>1</v>
      </c>
      <c r="AW615" s="683">
        <f>COUNTIFS(Q615:Q2615,"MANTENIMIENTO PREVENTIVO",Y615:Y2615,BDEGENER[[#This Row],[SERIE]])</f>
        <v>3</v>
      </c>
      <c r="AX61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615" s="85">
        <f>COUNTIFS(BDEGENER[SERIE],BDEGENER[[#This Row],[SERIE]],BDEGENER[TIPO DE SERVICIO],"MANTENIMIENTO PREVENTIVO")</f>
        <v>4</v>
      </c>
      <c r="AZ615" s="85" t="str">
        <f>CONCATENATE("MANTENIMIENTO PREVENTIVO N°",BDEGENER[[#This Row],[GA1]])</f>
        <v>MANTENIMIENTO PREVENTIVO N°4</v>
      </c>
      <c r="BA615" s="85" t="str">
        <f>IF(BDEGENER[[#This Row],[SERVICIO]]=BDEGENER[[#This Row],[GA2]],BDEGENER[[#This Row],[HORAS]],"0")</f>
        <v>0</v>
      </c>
      <c r="BB615" s="85">
        <f>SUMIF(BDEGENER[SERIE],BDEGENER[[#This Row],[SERIE]],BDEGENER[GA3])</f>
        <v>1817.8</v>
      </c>
      <c r="BC615" s="683" t="str">
        <f>CONCATENATE("MANT",COUNTIF($Y$7:Y615,Y615))</f>
        <v>MANT3</v>
      </c>
      <c r="BD615" s="85" t="str">
        <f>CONCATENATE(BDEGENER[[#This Row],[SERIE]],BDEGENER[[#This Row],[GA5]])</f>
        <v>1603596MANT3</v>
      </c>
      <c r="BE615" s="85" t="str">
        <f>CONCATENATE(BDEGENER[[#This Row],[CODIGO PATRIMONIAL]],BDEGENER[[#This Row],[GA5]])</f>
        <v>MANT3</v>
      </c>
      <c r="BF615" s="85">
        <f>COUNTIF(BDEGENER[SERIE],BDEGENER[[#This Row],[SERIE]])</f>
        <v>6</v>
      </c>
      <c r="BG615" s="683" t="str">
        <f>CONCATENATE("F",COUNTIF($K$7:K615,K615))</f>
        <v>F1</v>
      </c>
      <c r="BH615" s="85" t="str">
        <f>CONCATENATE(BDEGENER[[#This Row],[FECHA DE SERVICIO]],BDEGENER[[#This Row],[N° DE REGISTROS DEL DIA]])</f>
        <v>43881F1</v>
      </c>
      <c r="BI615" s="132"/>
      <c r="BJ615" s="85" t="s">
        <v>1545</v>
      </c>
      <c r="BK615" s="326"/>
    </row>
    <row r="616" spans="2:63" ht="69" hidden="1" x14ac:dyDescent="0.3">
      <c r="B616" s="129"/>
      <c r="C616" s="129"/>
      <c r="D616" s="129"/>
      <c r="E616" s="129"/>
      <c r="F616" s="129"/>
      <c r="G616" s="129"/>
      <c r="H616" s="129"/>
      <c r="I616" s="129"/>
      <c r="J616" s="129"/>
      <c r="K616" s="131">
        <v>43881</v>
      </c>
      <c r="L616" s="130" t="s">
        <v>1546</v>
      </c>
      <c r="M616" s="85" t="s">
        <v>1395</v>
      </c>
      <c r="N616" s="85" t="s">
        <v>1547</v>
      </c>
      <c r="O616" s="85"/>
      <c r="P616" s="85"/>
      <c r="Q616" s="85" t="s">
        <v>107</v>
      </c>
      <c r="R616" s="85" t="s">
        <v>1548</v>
      </c>
      <c r="S616" s="6" t="s">
        <v>1549</v>
      </c>
      <c r="T616" s="85" t="s">
        <v>1550</v>
      </c>
      <c r="U616" s="85" t="s">
        <v>688</v>
      </c>
      <c r="V616" s="85" t="s">
        <v>677</v>
      </c>
      <c r="W616" s="85" t="s">
        <v>915</v>
      </c>
      <c r="X616" s="85" t="s">
        <v>917</v>
      </c>
      <c r="Y616" s="15">
        <v>1603587</v>
      </c>
      <c r="Z616" s="85"/>
      <c r="AA616" s="85" t="s">
        <v>33</v>
      </c>
      <c r="AB616" s="85" t="s">
        <v>1120</v>
      </c>
      <c r="AC616" s="85" t="s">
        <v>231</v>
      </c>
      <c r="AD616" s="85"/>
      <c r="AE616" s="85"/>
      <c r="AF616" s="132">
        <v>1589</v>
      </c>
      <c r="AG616" s="85" t="s">
        <v>243</v>
      </c>
      <c r="AH616" s="85" t="s">
        <v>1088</v>
      </c>
      <c r="AI616" s="85" t="s">
        <v>868</v>
      </c>
      <c r="AJ616" s="85" t="s">
        <v>1591</v>
      </c>
      <c r="AK616" s="85" t="s">
        <v>1572</v>
      </c>
      <c r="AL616" s="85"/>
      <c r="AM616" s="85"/>
      <c r="AN616" s="85"/>
      <c r="AO616" s="85"/>
      <c r="AP616" s="85" t="s">
        <v>240</v>
      </c>
      <c r="AQ616" s="9" t="str">
        <f>CONCATENATE("REG-",BDEGENER[[#This Row],[FECHA DE SERVICIO]],"-",BDEGENER[[#This Row],[SERIE]],"-",BDEGENER[[#This Row],[HORAS]])</f>
        <v>REG-43881-1603587-1589</v>
      </c>
      <c r="AR616" s="85" t="str">
        <f>CONCATENATE("MARCA: ",BDEGENER[[#This Row],[MARCA]],"
 MODELO: ",BDEGENER[[#This Row],[MODELO]])</f>
        <v>MARCA: GENERAC
 MODELO: VT8 K3</v>
      </c>
      <c r="AS616" s="85" t="str">
        <f>CONCATENATE("MARCA: ",BDEGENER[[#This Row],[MARCA DE MOTOR]],"
SERIE: ",BDEGENER[[#This Row],[SERIE DE MOTOR]])</f>
        <v>MARCA: KUBOTA
SERIE: 1GL1188</v>
      </c>
      <c r="AT616" s="85" t="str">
        <f>CONCATENATE("MARCA: ",BDEGENER[[#This Row],[MARCA ALTERNADOR ]],"
SERIE: ",BDEGENER[[#This Row],[SERIE DE ALTERNADOR]])</f>
        <v xml:space="preserve">MARCA: LINZ
SERIE: </v>
      </c>
      <c r="AU616" s="85" t="str">
        <f>CONCATENATE("HORAS: ",BDEGENER[[#This Row],[HORAS]],"
KW-HR: ",BDEGENER[[#This Row],[KW-HORA]],"
VOLT.BATERIA: ",BDEGENER[[#This Row],[VOLTAJE DE BATERIA]],"
TEMPERATURA: ",BDEGENER[[#This Row],[TEMPERATURA DE AGUA]],"
PRES. ACEITE: ",BDEGENER[[#This Row],[PRESION DE ACEITE]])</f>
        <v xml:space="preserve">HORAS: 1589
KW-HR: 
VOLT.BATERIA: 
TEMPERATURA: 
PRES. ACEITE: </v>
      </c>
      <c r="AV616" s="761">
        <f>COUNTIFS(Q616:Q2616,"MANTENIMIENTO CORRECTIVO",Y616:Y2616,BDEGENER[[#This Row],[SERIE]])</f>
        <v>1</v>
      </c>
      <c r="AW616" s="761">
        <f>COUNTIFS(Q616:Q2616,"MANTENIMIENTO PREVENTIVO",Y616:Y2616,BDEGENER[[#This Row],[SERIE]])</f>
        <v>4</v>
      </c>
      <c r="AX61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616" s="85">
        <f>COUNTIFS(BDEGENER[SERIE],BDEGENER[[#This Row],[SERIE]],BDEGENER[TIPO DE SERVICIO],"MANTENIMIENTO PREVENTIVO")</f>
        <v>5</v>
      </c>
      <c r="AZ616" s="85" t="str">
        <f>CONCATENATE("MANTENIMIENTO PREVENTIVO N°",BDEGENER[[#This Row],[GA1]])</f>
        <v>MANTENIMIENTO PREVENTIVO N°5</v>
      </c>
      <c r="BA616" s="85" t="str">
        <f>IF(BDEGENER[[#This Row],[SERVICIO]]=BDEGENER[[#This Row],[GA2]],BDEGENER[[#This Row],[HORAS]],"0")</f>
        <v>0</v>
      </c>
      <c r="BB616" s="85">
        <f>SUMIF(BDEGENER[SERIE],BDEGENER[[#This Row],[SERIE]],BDEGENER[GA3])</f>
        <v>1781.5</v>
      </c>
      <c r="BC616" s="761" t="str">
        <f>CONCATENATE("MANT",COUNTIF($Y$7:Y616,Y616))</f>
        <v>MANT2</v>
      </c>
      <c r="BD616" s="85" t="str">
        <f>CONCATENATE(BDEGENER[[#This Row],[SERIE]],BDEGENER[[#This Row],[GA5]])</f>
        <v>1603587MANT2</v>
      </c>
      <c r="BE616" s="85" t="str">
        <f>CONCATENATE(BDEGENER[[#This Row],[CODIGO PATRIMONIAL]],BDEGENER[[#This Row],[GA5]])</f>
        <v>MANT2</v>
      </c>
      <c r="BF616" s="85">
        <f>COUNTIF(BDEGENER[SERIE],BDEGENER[[#This Row],[SERIE]])</f>
        <v>6</v>
      </c>
      <c r="BG616" s="761" t="str">
        <f>CONCATENATE("F",COUNTIF($K$7:K616,K616))</f>
        <v>F2</v>
      </c>
      <c r="BH616" s="85" t="str">
        <f>CONCATENATE(BDEGENER[[#This Row],[FECHA DE SERVICIO]],BDEGENER[[#This Row],[N° DE REGISTROS DEL DIA]])</f>
        <v>43881F2</v>
      </c>
      <c r="BI616" s="132"/>
      <c r="BJ616" s="85" t="s">
        <v>1545</v>
      </c>
      <c r="BK616" s="326"/>
    </row>
    <row r="617" spans="2:63" ht="69" hidden="1" x14ac:dyDescent="0.3">
      <c r="B617" s="129"/>
      <c r="C617" s="129"/>
      <c r="D617" s="129"/>
      <c r="E617" s="129"/>
      <c r="F617" s="129"/>
      <c r="G617" s="129"/>
      <c r="H617" s="129"/>
      <c r="I617" s="129"/>
      <c r="J617" s="129"/>
      <c r="K617" s="131">
        <v>43880</v>
      </c>
      <c r="L617" s="130" t="s">
        <v>181</v>
      </c>
      <c r="M617" s="85" t="s">
        <v>188</v>
      </c>
      <c r="N617" s="85" t="s">
        <v>183</v>
      </c>
      <c r="O617" s="85"/>
      <c r="P617" s="9" t="s">
        <v>1531</v>
      </c>
      <c r="Q617" s="85" t="s">
        <v>37</v>
      </c>
      <c r="R617" s="85" t="s">
        <v>1782</v>
      </c>
      <c r="S617" s="6" t="s">
        <v>1789</v>
      </c>
      <c r="T617" s="85" t="s">
        <v>1507</v>
      </c>
      <c r="U617" s="85" t="s">
        <v>1506</v>
      </c>
      <c r="V617" s="85" t="s">
        <v>146</v>
      </c>
      <c r="W617" s="85" t="s">
        <v>914</v>
      </c>
      <c r="X617" s="85" t="s">
        <v>918</v>
      </c>
      <c r="Y617" s="130">
        <v>3004290364</v>
      </c>
      <c r="Z617" s="85" t="s">
        <v>192</v>
      </c>
      <c r="AA617" s="85" t="s">
        <v>33</v>
      </c>
      <c r="AB617" s="85" t="s">
        <v>34</v>
      </c>
      <c r="AC617" s="85" t="s">
        <v>230</v>
      </c>
      <c r="AD617" s="85" t="s">
        <v>1110</v>
      </c>
      <c r="AE617" s="85">
        <v>60</v>
      </c>
      <c r="AF617" s="132">
        <v>520.9</v>
      </c>
      <c r="AG617" s="85" t="s">
        <v>243</v>
      </c>
      <c r="AH617" s="85" t="s">
        <v>220</v>
      </c>
      <c r="AI617" s="85" t="s">
        <v>33</v>
      </c>
      <c r="AJ617" s="85">
        <v>3004301038</v>
      </c>
      <c r="AK617" s="85" t="s">
        <v>33</v>
      </c>
      <c r="AL617" s="85">
        <v>1063018</v>
      </c>
      <c r="AM617" s="85" t="s">
        <v>1121</v>
      </c>
      <c r="AN617" s="85" t="s">
        <v>1143</v>
      </c>
      <c r="AO617" s="85" t="s">
        <v>1349</v>
      </c>
      <c r="AP617" s="85" t="s">
        <v>240</v>
      </c>
      <c r="AQ617" s="9" t="str">
        <f>CONCATENATE("REG-",BDEGENER[[#This Row],[FECHA DE SERVICIO]],"-",BDEGENER[[#This Row],[SERIE]],"-",BDEGENER[[#This Row],[HORAS]])</f>
        <v>REG-43880-3004290364-520,9</v>
      </c>
      <c r="AR617" s="85" t="str">
        <f>CONCATENATE("MARCA: ",BDEGENER[[#This Row],[MARCA]],"
 MODELO: ",BDEGENER[[#This Row],[MODELO]])</f>
        <v>MARCA: GENERAC
 MODELO: PG090</v>
      </c>
      <c r="AS617" s="85" t="str">
        <f>CONCATENATE("MARCA: ",BDEGENER[[#This Row],[MARCA DE MOTOR]],"
SERIE: ",BDEGENER[[#This Row],[SERIE DE MOTOR]])</f>
        <v>MARCA: GENERAC
SERIE: 3004301038</v>
      </c>
      <c r="AT617" s="85" t="str">
        <f>CONCATENATE("MARCA: ",BDEGENER[[#This Row],[MARCA ALTERNADOR ]],"
SERIE: ",BDEGENER[[#This Row],[SERIE DE ALTERNADOR]])</f>
        <v>MARCA: GENERAC
SERIE: 1063018</v>
      </c>
      <c r="AU617" s="85" t="str">
        <f>CONCATENATE("HORAS: ",BDEGENER[[#This Row],[HORAS]],"
KW-HR: ",BDEGENER[[#This Row],[KW-HORA]],"
VOLT.BATERIA: ",BDEGENER[[#This Row],[VOLTAJE DE BATERIA]],"
TEMPERATURA: ",BDEGENER[[#This Row],[TEMPERATURA DE AGUA]],"
PRES. ACEITE: ",BDEGENER[[#This Row],[PRESION DE ACEITE]])</f>
        <v>HORAS: 520,9
KW-HR: 
VOLT.BATERIA: 13.7 V
TEMPERATURA: 197 °F
PRES. ACEITE: 56 PSI</v>
      </c>
      <c r="AV617" s="683">
        <f>COUNTIFS(Q617:Q2617,"MANTENIMIENTO CORRECTIVO",Y617:Y2617,BDEGENER[[#This Row],[SERIE]])</f>
        <v>1</v>
      </c>
      <c r="AW617" s="683">
        <f>COUNTIFS(Q617:Q2617,"MANTENIMIENTO PREVENTIVO",Y617:Y2617,BDEGENER[[#This Row],[SERIE]])</f>
        <v>2</v>
      </c>
      <c r="AX617"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17" s="85">
        <f>COUNTIFS(BDEGENER[SERIE],BDEGENER[[#This Row],[SERIE]],BDEGENER[TIPO DE SERVICIO],"MANTENIMIENTO PREVENTIVO")</f>
        <v>3</v>
      </c>
      <c r="AZ617" s="85" t="str">
        <f>CONCATENATE("MANTENIMIENTO PREVENTIVO N°",BDEGENER[[#This Row],[GA1]])</f>
        <v>MANTENIMIENTO PREVENTIVO N°3</v>
      </c>
      <c r="BA617" s="85" t="str">
        <f>IF(BDEGENER[[#This Row],[SERVICIO]]=BDEGENER[[#This Row],[GA2]],BDEGENER[[#This Row],[HORAS]],"0")</f>
        <v>0</v>
      </c>
      <c r="BB617" s="85">
        <f>SUMIF(BDEGENER[SERIE],BDEGENER[[#This Row],[SERIE]],BDEGENER[GA3])</f>
        <v>941.5</v>
      </c>
      <c r="BC617" s="683" t="str">
        <f>CONCATENATE("MANT",COUNTIF($Y$7:Y617,Y617))</f>
        <v>MANT6</v>
      </c>
      <c r="BD617" s="85" t="str">
        <f>CONCATENATE(BDEGENER[[#This Row],[SERIE]],BDEGENER[[#This Row],[GA5]])</f>
        <v>3004290364MANT6</v>
      </c>
      <c r="BE617" s="85" t="str">
        <f>CONCATENATE(BDEGENER[[#This Row],[CODIGO PATRIMONIAL]],BDEGENER[[#This Row],[GA5]])</f>
        <v xml:space="preserve"> MANT6</v>
      </c>
      <c r="BF617" s="129">
        <f>COUNTIF(BDEGENER[SERIE],BDEGENER[[#This Row],[SERIE]])</f>
        <v>9</v>
      </c>
      <c r="BG617" s="683" t="str">
        <f>CONCATENATE("F",COUNTIF($K$7:K617,K617))</f>
        <v>F1</v>
      </c>
      <c r="BH617" s="129" t="str">
        <f>CONCATENATE(BDEGENER[[#This Row],[FECHA DE SERVICIO]],BDEGENER[[#This Row],[N° DE REGISTROS DEL DIA]])</f>
        <v>43880F1</v>
      </c>
      <c r="BI617" s="324"/>
      <c r="BJ617" s="85" t="s">
        <v>1544</v>
      </c>
      <c r="BK617" s="326"/>
    </row>
    <row r="618" spans="2:63" ht="69" hidden="1" x14ac:dyDescent="0.3">
      <c r="B618" s="129"/>
      <c r="C618" s="129"/>
      <c r="D618" s="129"/>
      <c r="E618" s="129"/>
      <c r="F618" s="129"/>
      <c r="G618" s="129"/>
      <c r="H618" s="129"/>
      <c r="I618" s="129"/>
      <c r="J618" s="129"/>
      <c r="K618" s="131">
        <v>43880</v>
      </c>
      <c r="L618" s="130" t="s">
        <v>181</v>
      </c>
      <c r="M618" s="85" t="s">
        <v>190</v>
      </c>
      <c r="N618" s="85" t="s">
        <v>191</v>
      </c>
      <c r="O618" s="85"/>
      <c r="P618" s="9" t="s">
        <v>1530</v>
      </c>
      <c r="Q618" s="85" t="s">
        <v>37</v>
      </c>
      <c r="R618" s="85" t="s">
        <v>1782</v>
      </c>
      <c r="S618" s="6" t="s">
        <v>1789</v>
      </c>
      <c r="T618" s="85" t="s">
        <v>1507</v>
      </c>
      <c r="U618" s="85" t="s">
        <v>1506</v>
      </c>
      <c r="V618" s="85" t="s">
        <v>146</v>
      </c>
      <c r="W618" s="85" t="s">
        <v>914</v>
      </c>
      <c r="X618" s="85" t="s">
        <v>918</v>
      </c>
      <c r="Y618" s="130">
        <v>3004381438</v>
      </c>
      <c r="Z618" s="85"/>
      <c r="AA618" s="85" t="s">
        <v>33</v>
      </c>
      <c r="AB618" s="85" t="s">
        <v>34</v>
      </c>
      <c r="AC618" s="85" t="s">
        <v>230</v>
      </c>
      <c r="AD618" s="85" t="s">
        <v>1110</v>
      </c>
      <c r="AE618" s="85">
        <v>60</v>
      </c>
      <c r="AF618" s="132">
        <v>846.7</v>
      </c>
      <c r="AG618" s="85" t="s">
        <v>243</v>
      </c>
      <c r="AH618" s="85" t="s">
        <v>220</v>
      </c>
      <c r="AI618" s="85" t="s">
        <v>33</v>
      </c>
      <c r="AJ618" s="85">
        <v>3004333873</v>
      </c>
      <c r="AK618" s="85" t="s">
        <v>33</v>
      </c>
      <c r="AL618" s="85">
        <v>106309650</v>
      </c>
      <c r="AM618" s="85" t="s">
        <v>245</v>
      </c>
      <c r="AN618" s="85" t="s">
        <v>1505</v>
      </c>
      <c r="AO618" s="85" t="s">
        <v>1349</v>
      </c>
      <c r="AP618" s="85" t="s">
        <v>240</v>
      </c>
      <c r="AQ618" s="9" t="str">
        <f>CONCATENATE("REG-",BDEGENER[[#This Row],[FECHA DE SERVICIO]],"-",BDEGENER[[#This Row],[SERIE]],"-",BDEGENER[[#This Row],[HORAS]])</f>
        <v>REG-43880-3004381438-846,7</v>
      </c>
      <c r="AR618" s="85" t="str">
        <f>CONCATENATE("MARCA: ",BDEGENER[[#This Row],[MARCA]],"
 MODELO: ",BDEGENER[[#This Row],[MODELO]])</f>
        <v>MARCA: GENERAC
 MODELO: PG090</v>
      </c>
      <c r="AS618" s="85" t="str">
        <f>CONCATENATE("MARCA: ",BDEGENER[[#This Row],[MARCA DE MOTOR]],"
SERIE: ",BDEGENER[[#This Row],[SERIE DE MOTOR]])</f>
        <v>MARCA: GENERAC
SERIE: 3004333873</v>
      </c>
      <c r="AT618" s="85" t="str">
        <f>CONCATENATE("MARCA: ",BDEGENER[[#This Row],[MARCA ALTERNADOR ]],"
SERIE: ",BDEGENER[[#This Row],[SERIE DE ALTERNADOR]])</f>
        <v>MARCA: GENERAC
SERIE: 106309650</v>
      </c>
      <c r="AU618" s="85" t="str">
        <f>CONCATENATE("HORAS: ",BDEGENER[[#This Row],[HORAS]],"
KW-HR: ",BDEGENER[[#This Row],[KW-HORA]],"
VOLT.BATERIA: ",BDEGENER[[#This Row],[VOLTAJE DE BATERIA]],"
TEMPERATURA: ",BDEGENER[[#This Row],[TEMPERATURA DE AGUA]],"
PRES. ACEITE: ",BDEGENER[[#This Row],[PRESION DE ACEITE]])</f>
        <v>HORAS: 846,7
KW-HR: 
VOLT.BATERIA: 13.6 V
TEMPERATURA: 194 °F
PRES. ACEITE: 56 PSI</v>
      </c>
      <c r="AV618" s="683">
        <f>COUNTIFS(Q618:Q2618,"MANTENIMIENTO CORRECTIVO",Y618:Y2618,BDEGENER[[#This Row],[SERIE]])</f>
        <v>1</v>
      </c>
      <c r="AW618" s="683">
        <f>COUNTIFS(Q618:Q2618,"MANTENIMIENTO PREVENTIVO",Y618:Y2618,BDEGENER[[#This Row],[SERIE]])</f>
        <v>3</v>
      </c>
      <c r="AX618"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18" s="85">
        <f>COUNTIFS(BDEGENER[SERIE],BDEGENER[[#This Row],[SERIE]],BDEGENER[TIPO DE SERVICIO],"MANTENIMIENTO PREVENTIVO")</f>
        <v>10</v>
      </c>
      <c r="AZ618" s="85" t="str">
        <f>CONCATENATE("MANTENIMIENTO PREVENTIVO N°",BDEGENER[[#This Row],[GA1]])</f>
        <v>MANTENIMIENTO PREVENTIVO N°10</v>
      </c>
      <c r="BA618" s="85" t="str">
        <f>IF(BDEGENER[[#This Row],[SERVICIO]]=BDEGENER[[#This Row],[GA2]],BDEGENER[[#This Row],[HORAS]],"0")</f>
        <v>0</v>
      </c>
      <c r="BB618" s="85">
        <f>SUMIF(BDEGENER[SERIE],BDEGENER[[#This Row],[SERIE]],BDEGENER[GA3])</f>
        <v>3227.9</v>
      </c>
      <c r="BC618" s="683" t="str">
        <f>CONCATENATE("MANT",COUNTIF($Y$7:Y618,Y618))</f>
        <v>MANT9</v>
      </c>
      <c r="BD618" s="85" t="str">
        <f>CONCATENATE(BDEGENER[[#This Row],[SERIE]],BDEGENER[[#This Row],[GA5]])</f>
        <v>3004381438MANT9</v>
      </c>
      <c r="BE618" s="85" t="str">
        <f>CONCATENATE(BDEGENER[[#This Row],[CODIGO PATRIMONIAL]],BDEGENER[[#This Row],[GA5]])</f>
        <v>MANT9</v>
      </c>
      <c r="BF618" s="129">
        <f>COUNTIF(BDEGENER[SERIE],BDEGENER[[#This Row],[SERIE]])</f>
        <v>13</v>
      </c>
      <c r="BG618" s="683" t="str">
        <f>CONCATENATE("F",COUNTIF($K$7:K618,K618))</f>
        <v>F2</v>
      </c>
      <c r="BH618" s="129" t="str">
        <f>CONCATENATE(BDEGENER[[#This Row],[FECHA DE SERVICIO]],BDEGENER[[#This Row],[N° DE REGISTROS DEL DIA]])</f>
        <v>43880F2</v>
      </c>
      <c r="BI618" s="324"/>
      <c r="BJ618" s="85" t="s">
        <v>1544</v>
      </c>
      <c r="BK618" s="326"/>
    </row>
    <row r="619" spans="2:63" ht="69" hidden="1" x14ac:dyDescent="0.3">
      <c r="B619" s="129"/>
      <c r="C619" s="129"/>
      <c r="D619" s="129"/>
      <c r="E619" s="129"/>
      <c r="F619" s="129"/>
      <c r="G619" s="129"/>
      <c r="H619" s="129"/>
      <c r="I619" s="129"/>
      <c r="J619" s="129"/>
      <c r="K619" s="131">
        <v>43880</v>
      </c>
      <c r="L619" s="130" t="s">
        <v>181</v>
      </c>
      <c r="M619" s="85" t="s">
        <v>190</v>
      </c>
      <c r="N619" s="85" t="s">
        <v>183</v>
      </c>
      <c r="O619" s="85"/>
      <c r="P619" s="9" t="s">
        <v>1530</v>
      </c>
      <c r="Q619" s="85" t="s">
        <v>37</v>
      </c>
      <c r="R619" s="85" t="s">
        <v>1782</v>
      </c>
      <c r="S619" s="6" t="s">
        <v>1789</v>
      </c>
      <c r="T619" s="85" t="s">
        <v>1507</v>
      </c>
      <c r="U619" s="85" t="s">
        <v>1506</v>
      </c>
      <c r="V619" s="85" t="s">
        <v>146</v>
      </c>
      <c r="W619" s="85" t="s">
        <v>914</v>
      </c>
      <c r="X619" s="85" t="s">
        <v>918</v>
      </c>
      <c r="Y619" s="130">
        <v>3004336196</v>
      </c>
      <c r="Z619" s="85"/>
      <c r="AA619" s="85" t="s">
        <v>33</v>
      </c>
      <c r="AB619" s="85" t="s">
        <v>34</v>
      </c>
      <c r="AC619" s="85" t="s">
        <v>230</v>
      </c>
      <c r="AD619" s="85" t="s">
        <v>1110</v>
      </c>
      <c r="AE619" s="85">
        <v>60</v>
      </c>
      <c r="AF619" s="132">
        <v>660.4</v>
      </c>
      <c r="AG619" s="85" t="s">
        <v>243</v>
      </c>
      <c r="AH619" s="85" t="s">
        <v>220</v>
      </c>
      <c r="AI619" s="85" t="s">
        <v>33</v>
      </c>
      <c r="AJ619" s="85">
        <v>3004346824</v>
      </c>
      <c r="AK619" s="85" t="s">
        <v>33</v>
      </c>
      <c r="AL619" s="85">
        <v>1063072</v>
      </c>
      <c r="AM619" s="85" t="s">
        <v>245</v>
      </c>
      <c r="AN619" s="85" t="s">
        <v>1505</v>
      </c>
      <c r="AO619" s="85" t="s">
        <v>1095</v>
      </c>
      <c r="AP619" s="85" t="s">
        <v>240</v>
      </c>
      <c r="AQ619" s="9" t="str">
        <f>CONCATENATE("REG-",BDEGENER[[#This Row],[FECHA DE SERVICIO]],"-",BDEGENER[[#This Row],[SERIE]],"-",BDEGENER[[#This Row],[HORAS]])</f>
        <v>REG-43880-3004336196-660,4</v>
      </c>
      <c r="AR619" s="85" t="str">
        <f>CONCATENATE("MARCA: ",BDEGENER[[#This Row],[MARCA]],"
 MODELO: ",BDEGENER[[#This Row],[MODELO]])</f>
        <v>MARCA: GENERAC
 MODELO: PG090</v>
      </c>
      <c r="AS619" s="85" t="str">
        <f>CONCATENATE("MARCA: ",BDEGENER[[#This Row],[MARCA DE MOTOR]],"
SERIE: ",BDEGENER[[#This Row],[SERIE DE MOTOR]])</f>
        <v>MARCA: GENERAC
SERIE: 3004346824</v>
      </c>
      <c r="AT619" s="85" t="str">
        <f>CONCATENATE("MARCA: ",BDEGENER[[#This Row],[MARCA ALTERNADOR ]],"
SERIE: ",BDEGENER[[#This Row],[SERIE DE ALTERNADOR]])</f>
        <v>MARCA: GENERAC
SERIE: 1063072</v>
      </c>
      <c r="AU619" s="85" t="str">
        <f>CONCATENATE("HORAS: ",BDEGENER[[#This Row],[HORAS]],"
KW-HR: ",BDEGENER[[#This Row],[KW-HORA]],"
VOLT.BATERIA: ",BDEGENER[[#This Row],[VOLTAJE DE BATERIA]],"
TEMPERATURA: ",BDEGENER[[#This Row],[TEMPERATURA DE AGUA]],"
PRES. ACEITE: ",BDEGENER[[#This Row],[PRESION DE ACEITE]])</f>
        <v>HORAS: 660,4
KW-HR: 
VOLT.BATERIA: 13.6 V
TEMPERATURA: 194 °F
PRES. ACEITE: 54 PSI</v>
      </c>
      <c r="AV619" s="761">
        <f>COUNTIFS(Q619:Q2619,"MANTENIMIENTO CORRECTIVO",Y619:Y2619,BDEGENER[[#This Row],[SERIE]])</f>
        <v>1</v>
      </c>
      <c r="AW619" s="761">
        <f>COUNTIFS(Q619:Q2619,"MANTENIMIENTO PREVENTIVO",Y619:Y2619,BDEGENER[[#This Row],[SERIE]])</f>
        <v>2</v>
      </c>
      <c r="AX61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19" s="85">
        <f>COUNTIFS(BDEGENER[SERIE],BDEGENER[[#This Row],[SERIE]],BDEGENER[TIPO DE SERVICIO],"MANTENIMIENTO PREVENTIVO")</f>
        <v>9</v>
      </c>
      <c r="AZ619" s="85" t="str">
        <f>CONCATENATE("MANTENIMIENTO PREVENTIVO N°",BDEGENER[[#This Row],[GA1]])</f>
        <v>MANTENIMIENTO PREVENTIVO N°9</v>
      </c>
      <c r="BA619" s="85" t="str">
        <f>IF(BDEGENER[[#This Row],[SERVICIO]]=BDEGENER[[#This Row],[GA2]],BDEGENER[[#This Row],[HORAS]],"0")</f>
        <v>0</v>
      </c>
      <c r="BB619" s="85">
        <f>SUMIF(BDEGENER[SERIE],BDEGENER[[#This Row],[SERIE]],BDEGENER[GA3])</f>
        <v>3148.2</v>
      </c>
      <c r="BC619" s="761" t="str">
        <f>CONCATENATE("MANT",COUNTIF($Y$7:Y619,Y619))</f>
        <v>MANT10</v>
      </c>
      <c r="BD619" s="85" t="str">
        <f>CONCATENATE(BDEGENER[[#This Row],[SERIE]],BDEGENER[[#This Row],[GA5]])</f>
        <v>3004336196MANT10</v>
      </c>
      <c r="BE619" s="85" t="str">
        <f>CONCATENATE(BDEGENER[[#This Row],[CODIGO PATRIMONIAL]],BDEGENER[[#This Row],[GA5]])</f>
        <v>MANT10</v>
      </c>
      <c r="BF619" s="129">
        <f>COUNTIF(BDEGENER[SERIE],BDEGENER[[#This Row],[SERIE]])</f>
        <v>13</v>
      </c>
      <c r="BG619" s="761" t="str">
        <f>CONCATENATE("F",COUNTIF($K$7:K619,K619))</f>
        <v>F3</v>
      </c>
      <c r="BH619" s="129" t="str">
        <f>CONCATENATE(BDEGENER[[#This Row],[FECHA DE SERVICIO]],BDEGENER[[#This Row],[N° DE REGISTROS DEL DIA]])</f>
        <v>43880F3</v>
      </c>
      <c r="BI619" s="324"/>
      <c r="BJ619" s="85" t="s">
        <v>1544</v>
      </c>
      <c r="BK619" s="326"/>
    </row>
    <row r="620" spans="2:63" ht="69" hidden="1" x14ac:dyDescent="0.3">
      <c r="B620" s="129"/>
      <c r="C620" s="129"/>
      <c r="D620" s="129"/>
      <c r="E620" s="129"/>
      <c r="F620" s="129"/>
      <c r="G620" s="129"/>
      <c r="H620" s="129"/>
      <c r="I620" s="129"/>
      <c r="J620" s="129"/>
      <c r="K620" s="131">
        <v>43879</v>
      </c>
      <c r="L620" s="130" t="s">
        <v>181</v>
      </c>
      <c r="M620" s="85" t="s">
        <v>187</v>
      </c>
      <c r="N620" s="85" t="s">
        <v>183</v>
      </c>
      <c r="O620" s="85"/>
      <c r="P620" s="9" t="s">
        <v>1535</v>
      </c>
      <c r="Q620" s="85" t="s">
        <v>37</v>
      </c>
      <c r="R620" s="85" t="s">
        <v>1782</v>
      </c>
      <c r="S620" s="6" t="s">
        <v>1789</v>
      </c>
      <c r="T620" s="85" t="s">
        <v>1507</v>
      </c>
      <c r="U620" s="85" t="s">
        <v>1506</v>
      </c>
      <c r="V620" s="85" t="s">
        <v>146</v>
      </c>
      <c r="W620" s="85" t="s">
        <v>914</v>
      </c>
      <c r="X620" s="85" t="s">
        <v>918</v>
      </c>
      <c r="Y620" s="130">
        <v>3004214491</v>
      </c>
      <c r="Z620" s="85"/>
      <c r="AA620" s="85" t="s">
        <v>33</v>
      </c>
      <c r="AB620" s="85" t="s">
        <v>34</v>
      </c>
      <c r="AC620" s="85" t="s">
        <v>230</v>
      </c>
      <c r="AD620" s="85" t="s">
        <v>1110</v>
      </c>
      <c r="AE620" s="85">
        <v>60</v>
      </c>
      <c r="AF620" s="132">
        <v>515.79999999999995</v>
      </c>
      <c r="AG620" s="85" t="s">
        <v>243</v>
      </c>
      <c r="AH620" s="85" t="s">
        <v>244</v>
      </c>
      <c r="AI620" s="85" t="s">
        <v>33</v>
      </c>
      <c r="AJ620" s="85">
        <v>3004133600</v>
      </c>
      <c r="AK620" s="85" t="s">
        <v>33</v>
      </c>
      <c r="AL620" s="85">
        <v>1063014</v>
      </c>
      <c r="AM620" s="85" t="s">
        <v>1121</v>
      </c>
      <c r="AN620" s="85" t="s">
        <v>1352</v>
      </c>
      <c r="AO620" s="85" t="s">
        <v>247</v>
      </c>
      <c r="AP620" s="85" t="s">
        <v>240</v>
      </c>
      <c r="AQ620" s="9" t="str">
        <f>CONCATENATE("REG-",BDEGENER[[#This Row],[FECHA DE SERVICIO]],"-",BDEGENER[[#This Row],[SERIE]],"-",BDEGENER[[#This Row],[HORAS]])</f>
        <v>REG-43879-3004214491-515,8</v>
      </c>
      <c r="AR620" s="85" t="str">
        <f>CONCATENATE("MARCA: ",BDEGENER[[#This Row],[MARCA]],"
 MODELO: ",BDEGENER[[#This Row],[MODELO]])</f>
        <v>MARCA: GENERAC
 MODELO: PG090</v>
      </c>
      <c r="AS620" s="85" t="str">
        <f>CONCATENATE("MARCA: ",BDEGENER[[#This Row],[MARCA DE MOTOR]],"
SERIE: ",BDEGENER[[#This Row],[SERIE DE MOTOR]])</f>
        <v>MARCA: GENERAC
SERIE: 3004133600</v>
      </c>
      <c r="AT620" s="85" t="str">
        <f>CONCATENATE("MARCA: ",BDEGENER[[#This Row],[MARCA ALTERNADOR ]],"
SERIE: ",BDEGENER[[#This Row],[SERIE DE ALTERNADOR]])</f>
        <v>MARCA: GENERAC
SERIE: 1063014</v>
      </c>
      <c r="AU620" s="85" t="str">
        <f>CONCATENATE("HORAS: ",BDEGENER[[#This Row],[HORAS]],"
KW-HR: ",BDEGENER[[#This Row],[KW-HORA]],"
VOLT.BATERIA: ",BDEGENER[[#This Row],[VOLTAJE DE BATERIA]],"
TEMPERATURA: ",BDEGENER[[#This Row],[TEMPERATURA DE AGUA]],"
PRES. ACEITE: ",BDEGENER[[#This Row],[PRESION DE ACEITE]])</f>
        <v>HORAS: 515,8
KW-HR: 
VOLT.BATERIA: 13.7 V
TEMPERATURA: 196 °F
PRES. ACEITE: 55 PSI</v>
      </c>
      <c r="AV620" s="683">
        <f>COUNTIFS(Q620:Q2620,"MANTENIMIENTO CORRECTIVO",Y620:Y2620,BDEGENER[[#This Row],[SERIE]])</f>
        <v>4</v>
      </c>
      <c r="AW620" s="683">
        <f>COUNTIFS(Q620:Q2620,"MANTENIMIENTO PREVENTIVO",Y620:Y2620,BDEGENER[[#This Row],[SERIE]])</f>
        <v>2</v>
      </c>
      <c r="AX62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20" s="85">
        <f>COUNTIFS(BDEGENER[SERIE],BDEGENER[[#This Row],[SERIE]],BDEGENER[TIPO DE SERVICIO],"MANTENIMIENTO PREVENTIVO")</f>
        <v>9</v>
      </c>
      <c r="AZ620" s="85" t="str">
        <f>CONCATENATE("MANTENIMIENTO PREVENTIVO N°",BDEGENER[[#This Row],[GA1]])</f>
        <v>MANTENIMIENTO PREVENTIVO N°9</v>
      </c>
      <c r="BA620" s="85" t="str">
        <f>IF(BDEGENER[[#This Row],[SERVICIO]]=BDEGENER[[#This Row],[GA2]],BDEGENER[[#This Row],[HORAS]],"0")</f>
        <v>0</v>
      </c>
      <c r="BB620" s="85">
        <f>SUMIF(BDEGENER[SERIE],BDEGENER[[#This Row],[SERIE]],BDEGENER[GA3])</f>
        <v>2751</v>
      </c>
      <c r="BC620" s="683" t="str">
        <f>CONCATENATE("MANT",COUNTIF($Y$7:Y620,Y620))</f>
        <v>MANT12</v>
      </c>
      <c r="BD620" s="85" t="str">
        <f>CONCATENATE(BDEGENER[[#This Row],[SERIE]],BDEGENER[[#This Row],[GA5]])</f>
        <v>3004214491MANT12</v>
      </c>
      <c r="BE620" s="85" t="str">
        <f>CONCATENATE(BDEGENER[[#This Row],[CODIGO PATRIMONIAL]],BDEGENER[[#This Row],[GA5]])</f>
        <v>MANT12</v>
      </c>
      <c r="BF620" s="129">
        <f>COUNTIF(BDEGENER[SERIE],BDEGENER[[#This Row],[SERIE]])</f>
        <v>18</v>
      </c>
      <c r="BG620" s="683" t="str">
        <f>CONCATENATE("F",COUNTIF($K$7:K620,K620))</f>
        <v>F1</v>
      </c>
      <c r="BH620" s="129" t="str">
        <f>CONCATENATE(BDEGENER[[#This Row],[FECHA DE SERVICIO]],BDEGENER[[#This Row],[N° DE REGISTROS DEL DIA]])</f>
        <v>43879F1</v>
      </c>
      <c r="BI620" s="324"/>
      <c r="BJ620" s="85" t="s">
        <v>1544</v>
      </c>
      <c r="BK620" s="326"/>
    </row>
    <row r="621" spans="2:63" ht="69" hidden="1" x14ac:dyDescent="0.3">
      <c r="B621" s="129"/>
      <c r="C621" s="129"/>
      <c r="D621" s="129"/>
      <c r="E621" s="129"/>
      <c r="F621" s="129"/>
      <c r="G621" s="129"/>
      <c r="H621" s="129"/>
      <c r="I621" s="129"/>
      <c r="J621" s="129"/>
      <c r="K621" s="131">
        <v>43879</v>
      </c>
      <c r="L621" s="130" t="s">
        <v>181</v>
      </c>
      <c r="M621" s="85" t="s">
        <v>184</v>
      </c>
      <c r="N621" s="85" t="s">
        <v>183</v>
      </c>
      <c r="O621" s="85"/>
      <c r="P621" s="9" t="s">
        <v>1537</v>
      </c>
      <c r="Q621" s="85" t="s">
        <v>37</v>
      </c>
      <c r="R621" s="85" t="s">
        <v>1782</v>
      </c>
      <c r="S621" s="6" t="s">
        <v>1789</v>
      </c>
      <c r="T621" s="85" t="s">
        <v>1507</v>
      </c>
      <c r="U621" s="85" t="s">
        <v>1506</v>
      </c>
      <c r="V621" s="85" t="s">
        <v>146</v>
      </c>
      <c r="W621" s="85" t="s">
        <v>914</v>
      </c>
      <c r="X621" s="85" t="s">
        <v>918</v>
      </c>
      <c r="Y621" s="130">
        <v>3004336197</v>
      </c>
      <c r="Z621" s="85"/>
      <c r="AA621" s="85" t="s">
        <v>33</v>
      </c>
      <c r="AB621" s="85" t="s">
        <v>34</v>
      </c>
      <c r="AC621" s="85" t="s">
        <v>230</v>
      </c>
      <c r="AD621" s="85" t="s">
        <v>1110</v>
      </c>
      <c r="AE621" s="85">
        <v>60</v>
      </c>
      <c r="AF621" s="132">
        <v>710.9</v>
      </c>
      <c r="AG621" s="85" t="s">
        <v>243</v>
      </c>
      <c r="AH621" s="85" t="s">
        <v>220</v>
      </c>
      <c r="AI621" s="85" t="s">
        <v>33</v>
      </c>
      <c r="AJ621" s="85">
        <v>3004309062</v>
      </c>
      <c r="AK621" s="85" t="s">
        <v>33</v>
      </c>
      <c r="AL621" s="85">
        <v>1065072</v>
      </c>
      <c r="AM621" s="85" t="s">
        <v>1121</v>
      </c>
      <c r="AN621" s="85" t="s">
        <v>1143</v>
      </c>
      <c r="AO621" s="85" t="s">
        <v>1158</v>
      </c>
      <c r="AP621" s="85" t="s">
        <v>240</v>
      </c>
      <c r="AQ621" s="9" t="str">
        <f>CONCATENATE("REG-",BDEGENER[[#This Row],[FECHA DE SERVICIO]],"-",BDEGENER[[#This Row],[SERIE]],"-",BDEGENER[[#This Row],[HORAS]])</f>
        <v>REG-43879-3004336197-710,9</v>
      </c>
      <c r="AR621" s="85" t="str">
        <f>CONCATENATE("MARCA: ",BDEGENER[[#This Row],[MARCA]],"
 MODELO: ",BDEGENER[[#This Row],[MODELO]])</f>
        <v>MARCA: GENERAC
 MODELO: PG090</v>
      </c>
      <c r="AS621" s="85" t="str">
        <f>CONCATENATE("MARCA: ",BDEGENER[[#This Row],[MARCA DE MOTOR]],"
SERIE: ",BDEGENER[[#This Row],[SERIE DE MOTOR]])</f>
        <v>MARCA: GENERAC
SERIE: 3004309062</v>
      </c>
      <c r="AT621" s="85" t="str">
        <f>CONCATENATE("MARCA: ",BDEGENER[[#This Row],[MARCA ALTERNADOR ]],"
SERIE: ",BDEGENER[[#This Row],[SERIE DE ALTERNADOR]])</f>
        <v>MARCA: GENERAC
SERIE: 1065072</v>
      </c>
      <c r="AU621" s="85" t="str">
        <f>CONCATENATE("HORAS: ",BDEGENER[[#This Row],[HORAS]],"
KW-HR: ",BDEGENER[[#This Row],[KW-HORA]],"
VOLT.BATERIA: ",BDEGENER[[#This Row],[VOLTAJE DE BATERIA]],"
TEMPERATURA: ",BDEGENER[[#This Row],[TEMPERATURA DE AGUA]],"
PRES. ACEITE: ",BDEGENER[[#This Row],[PRESION DE ACEITE]])</f>
        <v>HORAS: 710,9
KW-HR: 
VOLT.BATERIA: 13.7 V
TEMPERATURA: 197 °F
PRES. ACEITE: 53 PSI</v>
      </c>
      <c r="AV621" s="683">
        <f>COUNTIFS(Q621:Q2621,"MANTENIMIENTO CORRECTIVO",Y621:Y2621,BDEGENER[[#This Row],[SERIE]])</f>
        <v>1</v>
      </c>
      <c r="AW621" s="683">
        <f>COUNTIFS(Q621:Q2621,"MANTENIMIENTO PREVENTIVO",Y621:Y2621,BDEGENER[[#This Row],[SERIE]])</f>
        <v>3</v>
      </c>
      <c r="AX62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21" s="85">
        <f>COUNTIFS(BDEGENER[SERIE],BDEGENER[[#This Row],[SERIE]],BDEGENER[TIPO DE SERVICIO],"MANTENIMIENTO PREVENTIVO")</f>
        <v>9</v>
      </c>
      <c r="AZ621" s="85" t="str">
        <f>CONCATENATE("MANTENIMIENTO PREVENTIVO N°",BDEGENER[[#This Row],[GA1]])</f>
        <v>MANTENIMIENTO PREVENTIVO N°9</v>
      </c>
      <c r="BA621" s="85" t="str">
        <f>IF(BDEGENER[[#This Row],[SERVICIO]]=BDEGENER[[#This Row],[GA2]],BDEGENER[[#This Row],[HORAS]],"0")</f>
        <v>0</v>
      </c>
      <c r="BB621" s="85">
        <f>SUMIF(BDEGENER[SERIE],BDEGENER[[#This Row],[SERIE]],BDEGENER[GA3])</f>
        <v>2922.3</v>
      </c>
      <c r="BC621" s="683" t="str">
        <f>CONCATENATE("MANT",COUNTIF($Y$7:Y621,Y621))</f>
        <v>MANT13</v>
      </c>
      <c r="BD621" s="85" t="str">
        <f>CONCATENATE(BDEGENER[[#This Row],[SERIE]],BDEGENER[[#This Row],[GA5]])</f>
        <v>3004336197MANT13</v>
      </c>
      <c r="BE621" s="85" t="str">
        <f>CONCATENATE(BDEGENER[[#This Row],[CODIGO PATRIMONIAL]],BDEGENER[[#This Row],[GA5]])</f>
        <v>MANT13</v>
      </c>
      <c r="BF621" s="129">
        <f>COUNTIF(BDEGENER[SERIE],BDEGENER[[#This Row],[SERIE]])</f>
        <v>17</v>
      </c>
      <c r="BG621" s="683" t="str">
        <f>CONCATENATE("F",COUNTIF($K$7:K621,K621))</f>
        <v>F2</v>
      </c>
      <c r="BH621" s="129" t="str">
        <f>CONCATENATE(BDEGENER[[#This Row],[FECHA DE SERVICIO]],BDEGENER[[#This Row],[N° DE REGISTROS DEL DIA]])</f>
        <v>43879F2</v>
      </c>
      <c r="BI621" s="324"/>
      <c r="BJ621" s="85" t="s">
        <v>1544</v>
      </c>
      <c r="BK621" s="326"/>
    </row>
    <row r="622" spans="2:63" ht="69" hidden="1" x14ac:dyDescent="0.3">
      <c r="B622" s="129"/>
      <c r="C622" s="129"/>
      <c r="D622" s="129"/>
      <c r="E622" s="129"/>
      <c r="F622" s="129"/>
      <c r="G622" s="129"/>
      <c r="H622" s="129"/>
      <c r="I622" s="129"/>
      <c r="J622" s="129"/>
      <c r="K622" s="131">
        <v>43879</v>
      </c>
      <c r="L622" s="130" t="s">
        <v>181</v>
      </c>
      <c r="M622" s="85" t="s">
        <v>187</v>
      </c>
      <c r="N622" s="85" t="s">
        <v>183</v>
      </c>
      <c r="O622" s="85"/>
      <c r="P622" s="9" t="s">
        <v>1536</v>
      </c>
      <c r="Q622" s="85" t="s">
        <v>37</v>
      </c>
      <c r="R622" s="85" t="s">
        <v>1782</v>
      </c>
      <c r="S622" s="6" t="s">
        <v>1785</v>
      </c>
      <c r="T622" s="85" t="s">
        <v>1507</v>
      </c>
      <c r="U622" s="85" t="s">
        <v>1506</v>
      </c>
      <c r="V622" s="85" t="s">
        <v>146</v>
      </c>
      <c r="W622" s="85" t="s">
        <v>914</v>
      </c>
      <c r="X622" s="85" t="s">
        <v>918</v>
      </c>
      <c r="Y622" s="725">
        <v>3004337429</v>
      </c>
      <c r="Z622" s="85"/>
      <c r="AA622" s="85" t="s">
        <v>33</v>
      </c>
      <c r="AB622" s="85" t="s">
        <v>34</v>
      </c>
      <c r="AC622" s="85" t="s">
        <v>230</v>
      </c>
      <c r="AD622" s="85" t="s">
        <v>1110</v>
      </c>
      <c r="AE622" s="85">
        <v>60</v>
      </c>
      <c r="AF622" s="132">
        <v>760.9</v>
      </c>
      <c r="AG622" s="85" t="s">
        <v>243</v>
      </c>
      <c r="AH622" s="683" t="s">
        <v>220</v>
      </c>
      <c r="AI622" s="85" t="s">
        <v>33</v>
      </c>
      <c r="AJ622" s="85">
        <v>3004346833</v>
      </c>
      <c r="AK622" s="85" t="s">
        <v>33</v>
      </c>
      <c r="AL622" s="85">
        <v>106303570</v>
      </c>
      <c r="AM622" s="85" t="s">
        <v>1377</v>
      </c>
      <c r="AN622" s="85" t="s">
        <v>1143</v>
      </c>
      <c r="AO622" s="85" t="s">
        <v>247</v>
      </c>
      <c r="AP622" s="85" t="s">
        <v>240</v>
      </c>
      <c r="AQ622" s="9" t="str">
        <f>CONCATENATE("REG-",BDEGENER[[#This Row],[FECHA DE SERVICIO]],"-",BDEGENER[[#This Row],[SERIE]],"-",BDEGENER[[#This Row],[HORAS]])</f>
        <v>REG-43879-3004337429-760,9</v>
      </c>
      <c r="AR622" s="85" t="str">
        <f>CONCATENATE("MARCA: ",BDEGENER[[#This Row],[MARCA]],"
 MODELO: ",BDEGENER[[#This Row],[MODELO]])</f>
        <v>MARCA: GENERAC
 MODELO: PG090</v>
      </c>
      <c r="AS622" s="85" t="str">
        <f>CONCATENATE("MARCA: ",BDEGENER[[#This Row],[MARCA DE MOTOR]],"
SERIE: ",BDEGENER[[#This Row],[SERIE DE MOTOR]])</f>
        <v>MARCA: GENERAC
SERIE: 3004346833</v>
      </c>
      <c r="AT622" s="85" t="str">
        <f>CONCATENATE("MARCA: ",BDEGENER[[#This Row],[MARCA ALTERNADOR ]],"
SERIE: ",BDEGENER[[#This Row],[SERIE DE ALTERNADOR]])</f>
        <v>MARCA: GENERAC
SERIE: 106303570</v>
      </c>
      <c r="AU622" s="85" t="str">
        <f>CONCATENATE("HORAS: ",BDEGENER[[#This Row],[HORAS]],"
KW-HR: ",BDEGENER[[#This Row],[KW-HORA]],"
VOLT.BATERIA: ",BDEGENER[[#This Row],[VOLTAJE DE BATERIA]],"
TEMPERATURA: ",BDEGENER[[#This Row],[TEMPERATURA DE AGUA]],"
PRES. ACEITE: ",BDEGENER[[#This Row],[PRESION DE ACEITE]])</f>
        <v>HORAS: 760,9
KW-HR: 
VOLT.BATERIA: 13.8 V
TEMPERATURA: 197 °F
PRES. ACEITE: 55 PSI</v>
      </c>
      <c r="AV622" s="761">
        <f>COUNTIFS(Q622:Q2622,"MANTENIMIENTO CORRECTIVO",Y622:Y2622,BDEGENER[[#This Row],[SERIE]])</f>
        <v>1</v>
      </c>
      <c r="AW622" s="761">
        <f>COUNTIFS(Q622:Q2622,"MANTENIMIENTO PREVENTIVO",Y622:Y2622,BDEGENER[[#This Row],[SERIE]])</f>
        <v>3</v>
      </c>
      <c r="AX622"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22" s="85">
        <f>COUNTIFS(BDEGENER[SERIE],BDEGENER[[#This Row],[SERIE]],BDEGENER[TIPO DE SERVICIO],"MANTENIMIENTO PREVENTIVO")</f>
        <v>7</v>
      </c>
      <c r="AZ622" s="85" t="str">
        <f>CONCATENATE("MANTENIMIENTO PREVENTIVO N°",BDEGENER[[#This Row],[GA1]])</f>
        <v>MANTENIMIENTO PREVENTIVO N°7</v>
      </c>
      <c r="BA622" s="85" t="str">
        <f>IF(BDEGENER[[#This Row],[SERVICIO]]=BDEGENER[[#This Row],[GA2]],BDEGENER[[#This Row],[HORAS]],"0")</f>
        <v>0</v>
      </c>
      <c r="BB622" s="85">
        <f>SUMIF(BDEGENER[SERIE],BDEGENER[[#This Row],[SERIE]],BDEGENER[GA3])</f>
        <v>2207.6999999999998</v>
      </c>
      <c r="BC622" s="761" t="str">
        <f>CONCATENATE("MANT",COUNTIF($Y$7:Y622,Y622))</f>
        <v>MANT5</v>
      </c>
      <c r="BD622" s="85" t="str">
        <f>CONCATENATE(BDEGENER[[#This Row],[SERIE]],BDEGENER[[#This Row],[GA5]])</f>
        <v>3004337429MANT5</v>
      </c>
      <c r="BE622" s="85" t="str">
        <f>CONCATENATE(BDEGENER[[#This Row],[CODIGO PATRIMONIAL]],BDEGENER[[#This Row],[GA5]])</f>
        <v>MANT5</v>
      </c>
      <c r="BF622" s="129">
        <f>COUNTIF(BDEGENER[SERIE],BDEGENER[[#This Row],[SERIE]])</f>
        <v>9</v>
      </c>
      <c r="BG622" s="761" t="str">
        <f>CONCATENATE("F",COUNTIF($K$7:K622,K622))</f>
        <v>F3</v>
      </c>
      <c r="BH622" s="129" t="str">
        <f>CONCATENATE(BDEGENER[[#This Row],[FECHA DE SERVICIO]],BDEGENER[[#This Row],[N° DE REGISTROS DEL DIA]])</f>
        <v>43879F3</v>
      </c>
      <c r="BI622" s="324"/>
      <c r="BJ622" s="85" t="s">
        <v>1544</v>
      </c>
      <c r="BK622" s="326"/>
    </row>
    <row r="623" spans="2:63" ht="69" hidden="1" x14ac:dyDescent="0.3">
      <c r="B623" s="129"/>
      <c r="C623" s="129"/>
      <c r="D623" s="129"/>
      <c r="E623" s="129"/>
      <c r="F623" s="129"/>
      <c r="G623" s="129"/>
      <c r="H623" s="129"/>
      <c r="I623" s="129"/>
      <c r="J623" s="129"/>
      <c r="K623" s="131">
        <v>43879</v>
      </c>
      <c r="L623" s="130" t="s">
        <v>181</v>
      </c>
      <c r="M623" s="85" t="s">
        <v>187</v>
      </c>
      <c r="N623" s="85" t="s">
        <v>183</v>
      </c>
      <c r="O623" s="85"/>
      <c r="P623" s="9" t="s">
        <v>1534</v>
      </c>
      <c r="Q623" s="85" t="s">
        <v>37</v>
      </c>
      <c r="R623" s="85" t="s">
        <v>1782</v>
      </c>
      <c r="S623" s="6" t="s">
        <v>1785</v>
      </c>
      <c r="T623" s="85" t="s">
        <v>1507</v>
      </c>
      <c r="U623" s="85" t="s">
        <v>1506</v>
      </c>
      <c r="V623" s="85" t="s">
        <v>146</v>
      </c>
      <c r="W623" s="85" t="s">
        <v>914</v>
      </c>
      <c r="X623" s="85" t="s">
        <v>918</v>
      </c>
      <c r="Y623" s="130">
        <v>3004218547</v>
      </c>
      <c r="Z623" s="85" t="s">
        <v>192</v>
      </c>
      <c r="AA623" s="85" t="s">
        <v>33</v>
      </c>
      <c r="AB623" s="85" t="s">
        <v>34</v>
      </c>
      <c r="AC623" s="85" t="s">
        <v>230</v>
      </c>
      <c r="AD623" s="85" t="s">
        <v>1110</v>
      </c>
      <c r="AE623" s="85">
        <v>60</v>
      </c>
      <c r="AF623" s="132">
        <v>506.1</v>
      </c>
      <c r="AG623" s="85" t="s">
        <v>243</v>
      </c>
      <c r="AH623" s="85" t="s">
        <v>220</v>
      </c>
      <c r="AI623" s="85" t="s">
        <v>33</v>
      </c>
      <c r="AJ623" s="85">
        <v>3003966252</v>
      </c>
      <c r="AK623" s="85" t="s">
        <v>33</v>
      </c>
      <c r="AL623" s="683">
        <v>1063014</v>
      </c>
      <c r="AM623" s="85" t="s">
        <v>1121</v>
      </c>
      <c r="AN623" s="85" t="s">
        <v>1143</v>
      </c>
      <c r="AO623" s="85" t="s">
        <v>247</v>
      </c>
      <c r="AP623" s="85" t="s">
        <v>240</v>
      </c>
      <c r="AQ623" s="688" t="str">
        <f>CONCATENATE("REG-",BDEGENER[[#This Row],[FECHA DE SERVICIO]],"-",BDEGENER[[#This Row],[SERIE]],"-",BDEGENER[[#This Row],[HORAS]])</f>
        <v>REG-43879-3004218547-506,1</v>
      </c>
      <c r="AR623" s="85" t="str">
        <f>CONCATENATE("MARCA: ",BDEGENER[[#This Row],[MARCA]],"
 MODELO: ",BDEGENER[[#This Row],[MODELO]])</f>
        <v>MARCA: GENERAC
 MODELO: PG090</v>
      </c>
      <c r="AS623" s="85" t="str">
        <f>CONCATENATE("MARCA: ",BDEGENER[[#This Row],[MARCA DE MOTOR]],"
SERIE: ",BDEGENER[[#This Row],[SERIE DE MOTOR]])</f>
        <v>MARCA: GENERAC
SERIE: 3003966252</v>
      </c>
      <c r="AT623" s="85" t="str">
        <f>CONCATENATE("MARCA: ",BDEGENER[[#This Row],[MARCA ALTERNADOR ]],"
SERIE: ",BDEGENER[[#This Row],[SERIE DE ALTERNADOR]])</f>
        <v>MARCA: GENERAC
SERIE: 1063014</v>
      </c>
      <c r="AU623" s="85" t="str">
        <f>CONCATENATE("HORAS: ",BDEGENER[[#This Row],[HORAS]],"
KW-HR: ",BDEGENER[[#This Row],[KW-HORA]],"
VOLT.BATERIA: ",BDEGENER[[#This Row],[VOLTAJE DE BATERIA]],"
TEMPERATURA: ",BDEGENER[[#This Row],[TEMPERATURA DE AGUA]],"
PRES. ACEITE: ",BDEGENER[[#This Row],[PRESION DE ACEITE]])</f>
        <v>HORAS: 506,1
KW-HR: 
VOLT.BATERIA: 13.7 V
TEMPERATURA: 197 °F
PRES. ACEITE: 55 PSI</v>
      </c>
      <c r="AV623" s="683">
        <f>COUNTIFS(Q623:Q2623,"MANTENIMIENTO CORRECTIVO",Y623:Y2623,BDEGENER[[#This Row],[SERIE]])</f>
        <v>1</v>
      </c>
      <c r="AW623" s="683">
        <f>COUNTIFS(Q623:Q2623,"MANTENIMIENTO PREVENTIVO",Y623:Y2623,BDEGENER[[#This Row],[SERIE]])</f>
        <v>2</v>
      </c>
      <c r="AX623"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23" s="85">
        <f>COUNTIFS(BDEGENER[SERIE],BDEGENER[[#This Row],[SERIE]],BDEGENER[TIPO DE SERVICIO],"MANTENIMIENTO PREVENTIVO")</f>
        <v>7</v>
      </c>
      <c r="AZ623" s="85" t="str">
        <f>CONCATENATE("MANTENIMIENTO PREVENTIVO N°",BDEGENER[[#This Row],[GA1]])</f>
        <v>MANTENIMIENTO PREVENTIVO N°7</v>
      </c>
      <c r="BA623" s="85" t="str">
        <f>IF(BDEGENER[[#This Row],[SERVICIO]]=BDEGENER[[#This Row],[GA2]],BDEGENER[[#This Row],[HORAS]],"0")</f>
        <v>0</v>
      </c>
      <c r="BB623" s="85">
        <f>SUMIF(BDEGENER[SERIE],BDEGENER[[#This Row],[SERIE]],BDEGENER[GA3])</f>
        <v>2015.6</v>
      </c>
      <c r="BC623" s="683" t="str">
        <f>CONCATENATE("MANT",COUNTIF($Y$7:Y623,Y623))</f>
        <v>MANT9</v>
      </c>
      <c r="BD623" s="85" t="str">
        <f>CONCATENATE(BDEGENER[[#This Row],[SERIE]],BDEGENER[[#This Row],[GA5]])</f>
        <v>3004218547MANT9</v>
      </c>
      <c r="BE623" s="85" t="str">
        <f>CONCATENATE(BDEGENER[[#This Row],[CODIGO PATRIMONIAL]],BDEGENER[[#This Row],[GA5]])</f>
        <v xml:space="preserve"> MANT9</v>
      </c>
      <c r="BF623" s="129">
        <f>COUNTIF(BDEGENER[SERIE],BDEGENER[[#This Row],[SERIE]])</f>
        <v>12</v>
      </c>
      <c r="BG623" s="683" t="str">
        <f>CONCATENATE("F",COUNTIF($K$7:K623,K623))</f>
        <v>F4</v>
      </c>
      <c r="BH623" s="129" t="str">
        <f>CONCATENATE(BDEGENER[[#This Row],[FECHA DE SERVICIO]],BDEGENER[[#This Row],[N° DE REGISTROS DEL DIA]])</f>
        <v>43879F4</v>
      </c>
      <c r="BI623" s="324"/>
      <c r="BJ623" s="85" t="s">
        <v>1544</v>
      </c>
      <c r="BK623" s="326"/>
    </row>
    <row r="624" spans="2:63" ht="69" hidden="1" x14ac:dyDescent="0.3">
      <c r="B624" s="129"/>
      <c r="C624" s="129"/>
      <c r="D624" s="129"/>
      <c r="E624" s="129"/>
      <c r="F624" s="129"/>
      <c r="G624" s="129"/>
      <c r="H624" s="129"/>
      <c r="I624" s="129"/>
      <c r="J624" s="129"/>
      <c r="K624" s="131">
        <v>43879</v>
      </c>
      <c r="L624" s="130" t="s">
        <v>181</v>
      </c>
      <c r="M624" s="85" t="s">
        <v>187</v>
      </c>
      <c r="N624" s="85" t="s">
        <v>183</v>
      </c>
      <c r="O624" s="85"/>
      <c r="P624" s="9" t="s">
        <v>1533</v>
      </c>
      <c r="Q624" s="85" t="s">
        <v>37</v>
      </c>
      <c r="R624" s="85" t="s">
        <v>1782</v>
      </c>
      <c r="S624" s="6" t="s">
        <v>1785</v>
      </c>
      <c r="T624" s="85" t="s">
        <v>1507</v>
      </c>
      <c r="U624" s="85" t="s">
        <v>1506</v>
      </c>
      <c r="V624" s="85" t="s">
        <v>146</v>
      </c>
      <c r="W624" s="85" t="s">
        <v>914</v>
      </c>
      <c r="X624" s="85" t="s">
        <v>918</v>
      </c>
      <c r="Y624" s="130">
        <v>3004327725</v>
      </c>
      <c r="Z624" s="85" t="s">
        <v>192</v>
      </c>
      <c r="AA624" s="85" t="s">
        <v>33</v>
      </c>
      <c r="AB624" s="85" t="s">
        <v>34</v>
      </c>
      <c r="AC624" s="85" t="s">
        <v>230</v>
      </c>
      <c r="AD624" s="85" t="s">
        <v>1110</v>
      </c>
      <c r="AE624" s="85">
        <v>60</v>
      </c>
      <c r="AF624" s="132">
        <v>419.4</v>
      </c>
      <c r="AG624" s="85" t="s">
        <v>243</v>
      </c>
      <c r="AH624" s="85" t="s">
        <v>220</v>
      </c>
      <c r="AI624" s="85" t="s">
        <v>33</v>
      </c>
      <c r="AJ624" s="683">
        <v>3004333865</v>
      </c>
      <c r="AK624" s="85" t="s">
        <v>33</v>
      </c>
      <c r="AL624" s="85">
        <v>1065020</v>
      </c>
      <c r="AM624" s="85" t="s">
        <v>1121</v>
      </c>
      <c r="AN624" s="85" t="s">
        <v>246</v>
      </c>
      <c r="AO624" s="85" t="s">
        <v>247</v>
      </c>
      <c r="AP624" s="85" t="s">
        <v>240</v>
      </c>
      <c r="AQ624" s="9" t="str">
        <f>CONCATENATE("REG-",BDEGENER[[#This Row],[FECHA DE SERVICIO]],"-",BDEGENER[[#This Row],[SERIE]],"-",BDEGENER[[#This Row],[HORAS]])</f>
        <v>REG-43879-3004327725-419,4</v>
      </c>
      <c r="AR624" s="85" t="str">
        <f>CONCATENATE("MARCA: ",BDEGENER[[#This Row],[MARCA]],"
 MODELO: ",BDEGENER[[#This Row],[MODELO]])</f>
        <v>MARCA: GENERAC
 MODELO: PG090</v>
      </c>
      <c r="AS624" s="85" t="str">
        <f>CONCATENATE("MARCA: ",BDEGENER[[#This Row],[MARCA DE MOTOR]],"
SERIE: ",BDEGENER[[#This Row],[SERIE DE MOTOR]])</f>
        <v>MARCA: GENERAC
SERIE: 3004333865</v>
      </c>
      <c r="AT624" s="85" t="str">
        <f>CONCATENATE("MARCA: ",BDEGENER[[#This Row],[MARCA ALTERNADOR ]],"
SERIE: ",BDEGENER[[#This Row],[SERIE DE ALTERNADOR]])</f>
        <v>MARCA: GENERAC
SERIE: 1065020</v>
      </c>
      <c r="AU624" s="85" t="str">
        <f>CONCATENATE("HORAS: ",BDEGENER[[#This Row],[HORAS]],"
KW-HR: ",BDEGENER[[#This Row],[KW-HORA]],"
VOLT.BATERIA: ",BDEGENER[[#This Row],[VOLTAJE DE BATERIA]],"
TEMPERATURA: ",BDEGENER[[#This Row],[TEMPERATURA DE AGUA]],"
PRES. ACEITE: ",BDEGENER[[#This Row],[PRESION DE ACEITE]])</f>
        <v>HORAS: 419,4
KW-HR: 
VOLT.BATERIA: 13.7 V
TEMPERATURA: 198 °F
PRES. ACEITE: 55 PSI</v>
      </c>
      <c r="AV624" s="683">
        <f>COUNTIFS(Q624:Q2624,"MANTENIMIENTO CORRECTIVO",Y624:Y2624,BDEGENER[[#This Row],[SERIE]])</f>
        <v>1</v>
      </c>
      <c r="AW624" s="683">
        <f>COUNTIFS(Q624:Q2624,"MANTENIMIENTO PREVENTIVO",Y624:Y2624,BDEGENER[[#This Row],[SERIE]])</f>
        <v>2</v>
      </c>
      <c r="AX62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24" s="85">
        <f>COUNTIFS(BDEGENER[SERIE],BDEGENER[[#This Row],[SERIE]],BDEGENER[TIPO DE SERVICIO],"MANTENIMIENTO PREVENTIVO")</f>
        <v>6</v>
      </c>
      <c r="AZ624" s="85" t="str">
        <f>CONCATENATE("MANTENIMIENTO PREVENTIVO N°",BDEGENER[[#This Row],[GA1]])</f>
        <v>MANTENIMIENTO PREVENTIVO N°6</v>
      </c>
      <c r="BA624" s="85" t="str">
        <f>IF(BDEGENER[[#This Row],[SERVICIO]]=BDEGENER[[#This Row],[GA2]],BDEGENER[[#This Row],[HORAS]],"0")</f>
        <v>0</v>
      </c>
      <c r="BB624" s="85">
        <f>SUMIF(BDEGENER[SERIE],BDEGENER[[#This Row],[SERIE]],BDEGENER[GA3])</f>
        <v>1599.8</v>
      </c>
      <c r="BC624" s="683" t="str">
        <f>CONCATENATE("MANT",COUNTIF($Y$7:Y624,Y624))</f>
        <v>MANT10</v>
      </c>
      <c r="BD624" s="85" t="str">
        <f>CONCATENATE(BDEGENER[[#This Row],[SERIE]],BDEGENER[[#This Row],[GA5]])</f>
        <v>3004327725MANT10</v>
      </c>
      <c r="BE624" s="85" t="str">
        <f>CONCATENATE(BDEGENER[[#This Row],[CODIGO PATRIMONIAL]],BDEGENER[[#This Row],[GA5]])</f>
        <v xml:space="preserve"> MANT10</v>
      </c>
      <c r="BF624" s="129">
        <f>COUNTIF(BDEGENER[SERIE],BDEGENER[[#This Row],[SERIE]])</f>
        <v>13</v>
      </c>
      <c r="BG624" s="683" t="str">
        <f>CONCATENATE("F",COUNTIF($K$7:K624,K624))</f>
        <v>F5</v>
      </c>
      <c r="BH624" s="129" t="str">
        <f>CONCATENATE(BDEGENER[[#This Row],[FECHA DE SERVICIO]],BDEGENER[[#This Row],[N° DE REGISTROS DEL DIA]])</f>
        <v>43879F5</v>
      </c>
      <c r="BI624" s="324"/>
      <c r="BJ624" s="85" t="s">
        <v>1544</v>
      </c>
      <c r="BK624" s="326"/>
    </row>
    <row r="625" spans="2:63" ht="69" hidden="1" x14ac:dyDescent="0.3">
      <c r="B625" s="129"/>
      <c r="C625" s="129"/>
      <c r="D625" s="129"/>
      <c r="E625" s="129"/>
      <c r="F625" s="129"/>
      <c r="G625" s="129"/>
      <c r="H625" s="129"/>
      <c r="I625" s="129"/>
      <c r="J625" s="129"/>
      <c r="K625" s="131">
        <v>43879</v>
      </c>
      <c r="L625" s="130" t="s">
        <v>181</v>
      </c>
      <c r="M625" s="85" t="s">
        <v>185</v>
      </c>
      <c r="N625" s="85" t="s">
        <v>183</v>
      </c>
      <c r="O625" s="85"/>
      <c r="P625" s="9" t="s">
        <v>1532</v>
      </c>
      <c r="Q625" s="85" t="s">
        <v>37</v>
      </c>
      <c r="R625" s="85" t="s">
        <v>1782</v>
      </c>
      <c r="S625" s="6" t="s">
        <v>1791</v>
      </c>
      <c r="T625" s="85" t="s">
        <v>1507</v>
      </c>
      <c r="U625" s="85" t="s">
        <v>1504</v>
      </c>
      <c r="V625" s="85" t="s">
        <v>146</v>
      </c>
      <c r="W625" s="85" t="s">
        <v>914</v>
      </c>
      <c r="X625" s="85" t="s">
        <v>918</v>
      </c>
      <c r="Y625" s="130">
        <v>3004290366</v>
      </c>
      <c r="Z625" s="85"/>
      <c r="AA625" s="85" t="s">
        <v>33</v>
      </c>
      <c r="AB625" s="85" t="s">
        <v>34</v>
      </c>
      <c r="AC625" s="85" t="s">
        <v>230</v>
      </c>
      <c r="AD625" s="85" t="s">
        <v>1110</v>
      </c>
      <c r="AE625" s="85">
        <v>60</v>
      </c>
      <c r="AF625" s="132">
        <v>1308.0999999999999</v>
      </c>
      <c r="AG625" s="85" t="s">
        <v>243</v>
      </c>
      <c r="AH625" s="85" t="s">
        <v>220</v>
      </c>
      <c r="AI625" s="85" t="s">
        <v>33</v>
      </c>
      <c r="AJ625" s="85">
        <v>3004295604</v>
      </c>
      <c r="AK625" s="85" t="s">
        <v>33</v>
      </c>
      <c r="AL625" s="85">
        <v>1063129</v>
      </c>
      <c r="AM625" s="85" t="s">
        <v>1377</v>
      </c>
      <c r="AN625" s="85" t="s">
        <v>246</v>
      </c>
      <c r="AO625" s="85" t="s">
        <v>247</v>
      </c>
      <c r="AP625" s="85" t="s">
        <v>240</v>
      </c>
      <c r="AQ625" s="9" t="str">
        <f>CONCATENATE("REG-",BDEGENER[[#This Row],[FECHA DE SERVICIO]],"-",BDEGENER[[#This Row],[SERIE]],"-",BDEGENER[[#This Row],[HORAS]])</f>
        <v>REG-43879-3004290366-1308,1</v>
      </c>
      <c r="AR625" s="85" t="str">
        <f>CONCATENATE("MARCA: ",BDEGENER[[#This Row],[MARCA]],"
 MODELO: ",BDEGENER[[#This Row],[MODELO]])</f>
        <v>MARCA: GENERAC
 MODELO: PG090</v>
      </c>
      <c r="AS625" s="85" t="str">
        <f>CONCATENATE("MARCA: ",BDEGENER[[#This Row],[MARCA DE MOTOR]],"
SERIE: ",BDEGENER[[#This Row],[SERIE DE MOTOR]])</f>
        <v>MARCA: GENERAC
SERIE: 3004295604</v>
      </c>
      <c r="AT625" s="85" t="str">
        <f>CONCATENATE("MARCA: ",BDEGENER[[#This Row],[MARCA ALTERNADOR ]],"
SERIE: ",BDEGENER[[#This Row],[SERIE DE ALTERNADOR]])</f>
        <v>MARCA: GENERAC
SERIE: 1063129</v>
      </c>
      <c r="AU625" s="85" t="str">
        <f>CONCATENATE("HORAS: ",BDEGENER[[#This Row],[HORAS]],"
KW-HR: ",BDEGENER[[#This Row],[KW-HORA]],"
VOLT.BATERIA: ",BDEGENER[[#This Row],[VOLTAJE DE BATERIA]],"
TEMPERATURA: ",BDEGENER[[#This Row],[TEMPERATURA DE AGUA]],"
PRES. ACEITE: ",BDEGENER[[#This Row],[PRESION DE ACEITE]])</f>
        <v>HORAS: 1308,1
KW-HR: 
VOLT.BATERIA: 13.8 V
TEMPERATURA: 198 °F
PRES. ACEITE: 55 PSI</v>
      </c>
      <c r="AV625" s="761">
        <f>COUNTIFS(Q625:Q2625,"MANTENIMIENTO CORRECTIVO",Y625:Y2625,BDEGENER[[#This Row],[SERIE]])</f>
        <v>1</v>
      </c>
      <c r="AW625" s="761">
        <f>COUNTIFS(Q625:Q2625,"MANTENIMIENTO PREVENTIVO",Y625:Y2625,BDEGENER[[#This Row],[SERIE]])</f>
        <v>3</v>
      </c>
      <c r="AX62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25" s="85">
        <f>COUNTIFS(BDEGENER[SERIE],BDEGENER[[#This Row],[SERIE]],BDEGENER[TIPO DE SERVICIO],"MANTENIMIENTO PREVENTIVO")</f>
        <v>7</v>
      </c>
      <c r="AZ625" s="85" t="str">
        <f>CONCATENATE("MANTENIMIENTO PREVENTIVO N°",BDEGENER[[#This Row],[GA1]])</f>
        <v>MANTENIMIENTO PREVENTIVO N°7</v>
      </c>
      <c r="BA625" s="85" t="str">
        <f>IF(BDEGENER[[#This Row],[SERVICIO]]=BDEGENER[[#This Row],[GA2]],BDEGENER[[#This Row],[HORAS]],"0")</f>
        <v>0</v>
      </c>
      <c r="BB625" s="85">
        <f>SUMIF(BDEGENER[SERIE],BDEGENER[[#This Row],[SERIE]],BDEGENER[GA3])</f>
        <v>2629.6</v>
      </c>
      <c r="BC625" s="761" t="str">
        <f>CONCATENATE("MANT",COUNTIF($Y$7:Y625,Y625))</f>
        <v>MANT10</v>
      </c>
      <c r="BD625" s="85" t="str">
        <f>CONCATENATE(BDEGENER[[#This Row],[SERIE]],BDEGENER[[#This Row],[GA5]])</f>
        <v>3004290366MANT10</v>
      </c>
      <c r="BE625" s="85" t="str">
        <f>CONCATENATE(BDEGENER[[#This Row],[CODIGO PATRIMONIAL]],BDEGENER[[#This Row],[GA5]])</f>
        <v>MANT10</v>
      </c>
      <c r="BF625" s="129">
        <f>COUNTIF(BDEGENER[SERIE],BDEGENER[[#This Row],[SERIE]])</f>
        <v>14</v>
      </c>
      <c r="BG625" s="761" t="str">
        <f>CONCATENATE("F",COUNTIF($K$7:K625,K625))</f>
        <v>F6</v>
      </c>
      <c r="BH625" s="129" t="str">
        <f>CONCATENATE(BDEGENER[[#This Row],[FECHA DE SERVICIO]],BDEGENER[[#This Row],[N° DE REGISTROS DEL DIA]])</f>
        <v>43879F6</v>
      </c>
      <c r="BI625" s="324"/>
      <c r="BJ625" s="85" t="s">
        <v>1544</v>
      </c>
      <c r="BK625" s="326"/>
    </row>
    <row r="626" spans="2:63" ht="69" hidden="1" x14ac:dyDescent="0.3">
      <c r="B626" s="129"/>
      <c r="C626" s="129"/>
      <c r="D626" s="129"/>
      <c r="E626" s="129"/>
      <c r="F626" s="129"/>
      <c r="G626" s="129"/>
      <c r="H626" s="129"/>
      <c r="I626" s="129"/>
      <c r="J626" s="129"/>
      <c r="K626" s="131">
        <v>43879</v>
      </c>
      <c r="L626" s="130" t="s">
        <v>181</v>
      </c>
      <c r="M626" s="85" t="s">
        <v>185</v>
      </c>
      <c r="N626" s="85" t="s">
        <v>183</v>
      </c>
      <c r="O626" s="85">
        <v>4500853865</v>
      </c>
      <c r="P626" s="9" t="s">
        <v>1532</v>
      </c>
      <c r="Q626" s="85" t="s">
        <v>37</v>
      </c>
      <c r="R626" s="85" t="s">
        <v>1782</v>
      </c>
      <c r="S626" s="6" t="s">
        <v>1792</v>
      </c>
      <c r="T626" s="85" t="s">
        <v>1507</v>
      </c>
      <c r="U626" s="85" t="s">
        <v>1504</v>
      </c>
      <c r="V626" s="85" t="s">
        <v>146</v>
      </c>
      <c r="W626" s="85" t="s">
        <v>914</v>
      </c>
      <c r="X626" s="85" t="s">
        <v>918</v>
      </c>
      <c r="Y626" s="130">
        <v>3004402506</v>
      </c>
      <c r="Z626" s="85"/>
      <c r="AA626" s="85" t="s">
        <v>33</v>
      </c>
      <c r="AB626" s="85" t="s">
        <v>34</v>
      </c>
      <c r="AC626" s="85" t="s">
        <v>230</v>
      </c>
      <c r="AD626" s="85" t="s">
        <v>1110</v>
      </c>
      <c r="AE626" s="85">
        <v>60</v>
      </c>
      <c r="AF626" s="132">
        <v>1368.2</v>
      </c>
      <c r="AG626" s="85" t="s">
        <v>243</v>
      </c>
      <c r="AH626" s="85" t="s">
        <v>220</v>
      </c>
      <c r="AI626" s="85" t="s">
        <v>33</v>
      </c>
      <c r="AJ626" s="85">
        <v>3004333866</v>
      </c>
      <c r="AK626" s="85" t="s">
        <v>33</v>
      </c>
      <c r="AL626" s="85">
        <v>1063100</v>
      </c>
      <c r="AM626" s="85" t="s">
        <v>245</v>
      </c>
      <c r="AN626" s="85" t="s">
        <v>1505</v>
      </c>
      <c r="AO626" s="85" t="s">
        <v>1095</v>
      </c>
      <c r="AP626" s="85" t="s">
        <v>240</v>
      </c>
      <c r="AQ626" s="9" t="str">
        <f>CONCATENATE("REG-",BDEGENER[[#This Row],[FECHA DE SERVICIO]],"-",BDEGENER[[#This Row],[SERIE]],"-",BDEGENER[[#This Row],[HORAS]])</f>
        <v>REG-43879-3004402506-1368,2</v>
      </c>
      <c r="AR626" s="85" t="str">
        <f>CONCATENATE("MARCA: ",BDEGENER[[#This Row],[MARCA]],"
 MODELO: ",BDEGENER[[#This Row],[MODELO]])</f>
        <v>MARCA: GENERAC
 MODELO: PG090</v>
      </c>
      <c r="AS626" s="85" t="str">
        <f>CONCATENATE("MARCA: ",BDEGENER[[#This Row],[MARCA DE MOTOR]],"
SERIE: ",BDEGENER[[#This Row],[SERIE DE MOTOR]])</f>
        <v>MARCA: GENERAC
SERIE: 3004333866</v>
      </c>
      <c r="AT626" s="85" t="str">
        <f>CONCATENATE("MARCA: ",BDEGENER[[#This Row],[MARCA ALTERNADOR ]],"
SERIE: ",BDEGENER[[#This Row],[SERIE DE ALTERNADOR]])</f>
        <v>MARCA: GENERAC
SERIE: 1063100</v>
      </c>
      <c r="AU626" s="85" t="str">
        <f>CONCATENATE("HORAS: ",BDEGENER[[#This Row],[HORAS]],"
KW-HR: ",BDEGENER[[#This Row],[KW-HORA]],"
VOLT.BATERIA: ",BDEGENER[[#This Row],[VOLTAJE DE BATERIA]],"
TEMPERATURA: ",BDEGENER[[#This Row],[TEMPERATURA DE AGUA]],"
PRES. ACEITE: ",BDEGENER[[#This Row],[PRESION DE ACEITE]])</f>
        <v>HORAS: 1368,2
KW-HR: 
VOLT.BATERIA: 13.6 V
TEMPERATURA: 194 °F
PRES. ACEITE: 54 PSI</v>
      </c>
      <c r="AV626" s="683">
        <f>COUNTIFS(Q626:Q2626,"MANTENIMIENTO CORRECTIVO",Y626:Y2626,BDEGENER[[#This Row],[SERIE]])</f>
        <v>1</v>
      </c>
      <c r="AW626" s="683">
        <f>COUNTIFS(Q626:Q2626,"MANTENIMIENTO PREVENTIVO",Y626:Y2626,BDEGENER[[#This Row],[SERIE]])</f>
        <v>3</v>
      </c>
      <c r="AX62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26" s="85">
        <f>COUNTIFS(BDEGENER[SERIE],BDEGENER[[#This Row],[SERIE]],BDEGENER[TIPO DE SERVICIO],"MANTENIMIENTO PREVENTIVO")</f>
        <v>8</v>
      </c>
      <c r="AZ626" s="85" t="str">
        <f>CONCATENATE("MANTENIMIENTO PREVENTIVO N°",BDEGENER[[#This Row],[GA1]])</f>
        <v>MANTENIMIENTO PREVENTIVO N°8</v>
      </c>
      <c r="BA626" s="85" t="str">
        <f>IF(BDEGENER[[#This Row],[SERVICIO]]=BDEGENER[[#This Row],[GA2]],BDEGENER[[#This Row],[HORAS]],"0")</f>
        <v>0</v>
      </c>
      <c r="BB626" s="85">
        <f>SUMIF(BDEGENER[SERIE],BDEGENER[[#This Row],[SERIE]],BDEGENER[GA3])</f>
        <v>2907.9</v>
      </c>
      <c r="BC626" s="683" t="str">
        <f>CONCATENATE("MANT",COUNTIF($Y$7:Y626,Y626))</f>
        <v>MANT10</v>
      </c>
      <c r="BD626" s="85" t="str">
        <f>CONCATENATE(BDEGENER[[#This Row],[SERIE]],BDEGENER[[#This Row],[GA5]])</f>
        <v>3004402506MANT10</v>
      </c>
      <c r="BE626" s="85" t="str">
        <f>CONCATENATE(BDEGENER[[#This Row],[CODIGO PATRIMONIAL]],BDEGENER[[#This Row],[GA5]])</f>
        <v>MANT10</v>
      </c>
      <c r="BF626" s="129">
        <f>COUNTIF(BDEGENER[SERIE],BDEGENER[[#This Row],[SERIE]])</f>
        <v>14</v>
      </c>
      <c r="BG626" s="683" t="str">
        <f>CONCATENATE("F",COUNTIF($K$7:K626,K626))</f>
        <v>F7</v>
      </c>
      <c r="BH626" s="129" t="str">
        <f>CONCATENATE(BDEGENER[[#This Row],[FECHA DE SERVICIO]],BDEGENER[[#This Row],[N° DE REGISTROS DEL DIA]])</f>
        <v>43879F7</v>
      </c>
      <c r="BI626" s="324"/>
      <c r="BJ626" s="85" t="s">
        <v>1544</v>
      </c>
      <c r="BK626" s="326"/>
    </row>
    <row r="627" spans="2:63" ht="69" hidden="1" x14ac:dyDescent="0.3">
      <c r="B627" s="129"/>
      <c r="C627" s="129"/>
      <c r="D627" s="129"/>
      <c r="E627" s="129"/>
      <c r="F627" s="129"/>
      <c r="G627" s="129"/>
      <c r="H627" s="129"/>
      <c r="I627" s="129"/>
      <c r="J627" s="129"/>
      <c r="K627" s="131">
        <v>43879</v>
      </c>
      <c r="L627" s="130" t="s">
        <v>181</v>
      </c>
      <c r="M627" s="85" t="s">
        <v>185</v>
      </c>
      <c r="N627" s="85" t="s">
        <v>183</v>
      </c>
      <c r="O627" s="85"/>
      <c r="P627" s="9" t="s">
        <v>1532</v>
      </c>
      <c r="Q627" s="85" t="s">
        <v>37</v>
      </c>
      <c r="R627" s="85" t="s">
        <v>1782</v>
      </c>
      <c r="S627" s="6" t="s">
        <v>1791</v>
      </c>
      <c r="T627" s="85" t="s">
        <v>1507</v>
      </c>
      <c r="U627" s="85" t="s">
        <v>1504</v>
      </c>
      <c r="V627" s="85" t="s">
        <v>146</v>
      </c>
      <c r="W627" s="85" t="s">
        <v>914</v>
      </c>
      <c r="X627" s="85" t="s">
        <v>918</v>
      </c>
      <c r="Y627" s="130">
        <v>3004344017</v>
      </c>
      <c r="Z627" s="85"/>
      <c r="AA627" s="85" t="s">
        <v>33</v>
      </c>
      <c r="AB627" s="85" t="s">
        <v>34</v>
      </c>
      <c r="AC627" s="85" t="s">
        <v>230</v>
      </c>
      <c r="AD627" s="85" t="s">
        <v>1110</v>
      </c>
      <c r="AE627" s="85">
        <v>60</v>
      </c>
      <c r="AF627" s="132">
        <v>954.6</v>
      </c>
      <c r="AG627" s="85" t="s">
        <v>243</v>
      </c>
      <c r="AH627" s="85" t="s">
        <v>220</v>
      </c>
      <c r="AI627" s="85" t="s">
        <v>33</v>
      </c>
      <c r="AJ627" s="85">
        <v>3004346832</v>
      </c>
      <c r="AK627" s="85" t="s">
        <v>33</v>
      </c>
      <c r="AL627" s="85">
        <v>106308750</v>
      </c>
      <c r="AM627" s="85" t="s">
        <v>245</v>
      </c>
      <c r="AN627" s="85" t="s">
        <v>1352</v>
      </c>
      <c r="AO627" s="85" t="s">
        <v>1349</v>
      </c>
      <c r="AP627" s="85" t="s">
        <v>240</v>
      </c>
      <c r="AQ627" s="9" t="str">
        <f>CONCATENATE("REG-",BDEGENER[[#This Row],[FECHA DE SERVICIO]],"-",BDEGENER[[#This Row],[SERIE]],"-",BDEGENER[[#This Row],[HORAS]])</f>
        <v>REG-43879-3004344017-954,6</v>
      </c>
      <c r="AR627" s="85" t="str">
        <f>CONCATENATE("MARCA: ",BDEGENER[[#This Row],[MARCA]],"
 MODELO: ",BDEGENER[[#This Row],[MODELO]])</f>
        <v>MARCA: GENERAC
 MODELO: PG090</v>
      </c>
      <c r="AS627" s="85" t="str">
        <f>CONCATENATE("MARCA: ",BDEGENER[[#This Row],[MARCA DE MOTOR]],"
SERIE: ",BDEGENER[[#This Row],[SERIE DE MOTOR]])</f>
        <v>MARCA: GENERAC
SERIE: 3004346832</v>
      </c>
      <c r="AT627" s="85" t="str">
        <f>CONCATENATE("MARCA: ",BDEGENER[[#This Row],[MARCA ALTERNADOR ]],"
SERIE: ",BDEGENER[[#This Row],[SERIE DE ALTERNADOR]])</f>
        <v>MARCA: GENERAC
SERIE: 106308750</v>
      </c>
      <c r="AU627" s="85" t="str">
        <f>CONCATENATE("HORAS: ",BDEGENER[[#This Row],[HORAS]],"
KW-HR: ",BDEGENER[[#This Row],[KW-HORA]],"
VOLT.BATERIA: ",BDEGENER[[#This Row],[VOLTAJE DE BATERIA]],"
TEMPERATURA: ",BDEGENER[[#This Row],[TEMPERATURA DE AGUA]],"
PRES. ACEITE: ",BDEGENER[[#This Row],[PRESION DE ACEITE]])</f>
        <v>HORAS: 954,6
KW-HR: 
VOLT.BATERIA: 13.6 V
TEMPERATURA: 196 °F
PRES. ACEITE: 56 PSI</v>
      </c>
      <c r="AV627" s="683">
        <f>COUNTIFS(Q627:Q2627,"MANTENIMIENTO CORRECTIVO",Y627:Y2627,BDEGENER[[#This Row],[SERIE]])</f>
        <v>2</v>
      </c>
      <c r="AW627" s="683">
        <f>COUNTIFS(Q627:Q2627,"MANTENIMIENTO PREVENTIVO",Y627:Y2627,BDEGENER[[#This Row],[SERIE]])</f>
        <v>2</v>
      </c>
      <c r="AX627"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27" s="85">
        <f>COUNTIFS(BDEGENER[SERIE],BDEGENER[[#This Row],[SERIE]],BDEGENER[TIPO DE SERVICIO],"MANTENIMIENTO PREVENTIVO")</f>
        <v>6</v>
      </c>
      <c r="AZ627" s="85" t="str">
        <f>CONCATENATE("MANTENIMIENTO PREVENTIVO N°",BDEGENER[[#This Row],[GA1]])</f>
        <v>MANTENIMIENTO PREVENTIVO N°6</v>
      </c>
      <c r="BA627" s="85" t="str">
        <f>IF(BDEGENER[[#This Row],[SERVICIO]]=BDEGENER[[#This Row],[GA2]],BDEGENER[[#This Row],[HORAS]],"0")</f>
        <v>0</v>
      </c>
      <c r="BB627" s="85">
        <f>SUMIF(BDEGENER[SERIE],BDEGENER[[#This Row],[SERIE]],BDEGENER[GA3])</f>
        <v>2140.9</v>
      </c>
      <c r="BC627" s="683" t="str">
        <f>CONCATENATE("MANT",COUNTIF($Y$7:Y627,Y627))</f>
        <v>MANT8</v>
      </c>
      <c r="BD627" s="85" t="str">
        <f>CONCATENATE(BDEGENER[[#This Row],[SERIE]],BDEGENER[[#This Row],[GA5]])</f>
        <v>3004344017MANT8</v>
      </c>
      <c r="BE627" s="85" t="str">
        <f>CONCATENATE(BDEGENER[[#This Row],[CODIGO PATRIMONIAL]],BDEGENER[[#This Row],[GA5]])</f>
        <v>MANT8</v>
      </c>
      <c r="BF627" s="129">
        <f>COUNTIF(BDEGENER[SERIE],BDEGENER[[#This Row],[SERIE]])</f>
        <v>12</v>
      </c>
      <c r="BG627" s="683" t="str">
        <f>CONCATENATE("F",COUNTIF($K$7:K627,K627))</f>
        <v>F8</v>
      </c>
      <c r="BH627" s="129" t="str">
        <f>CONCATENATE(BDEGENER[[#This Row],[FECHA DE SERVICIO]],BDEGENER[[#This Row],[N° DE REGISTROS DEL DIA]])</f>
        <v>43879F8</v>
      </c>
      <c r="BI627" s="324"/>
      <c r="BJ627" s="85" t="s">
        <v>1544</v>
      </c>
      <c r="BK627" s="326"/>
    </row>
    <row r="628" spans="2:63" ht="69" hidden="1" x14ac:dyDescent="0.3">
      <c r="B628" s="129"/>
      <c r="C628" s="129"/>
      <c r="D628" s="129"/>
      <c r="E628" s="129"/>
      <c r="F628" s="129"/>
      <c r="G628" s="129"/>
      <c r="H628" s="129"/>
      <c r="I628" s="129"/>
      <c r="J628" s="129"/>
      <c r="K628" s="131">
        <v>43879</v>
      </c>
      <c r="L628" s="130" t="s">
        <v>248</v>
      </c>
      <c r="M628" s="85" t="s">
        <v>1237</v>
      </c>
      <c r="N628" s="85" t="s">
        <v>1231</v>
      </c>
      <c r="O628" s="85"/>
      <c r="P628" s="9" t="s">
        <v>1498</v>
      </c>
      <c r="Q628" s="85" t="s">
        <v>37</v>
      </c>
      <c r="R628" s="85" t="s">
        <v>1782</v>
      </c>
      <c r="S628" s="6" t="s">
        <v>1793</v>
      </c>
      <c r="T628" s="85" t="s">
        <v>1782</v>
      </c>
      <c r="U628" s="85" t="s">
        <v>1497</v>
      </c>
      <c r="V628" s="85" t="s">
        <v>147</v>
      </c>
      <c r="W628" s="85" t="s">
        <v>913</v>
      </c>
      <c r="X628" s="85" t="s">
        <v>917</v>
      </c>
      <c r="Y628" s="130" t="s">
        <v>1499</v>
      </c>
      <c r="Z628" s="85">
        <v>24838</v>
      </c>
      <c r="AA628" s="85" t="s">
        <v>33</v>
      </c>
      <c r="AB628" s="85" t="s">
        <v>500</v>
      </c>
      <c r="AC628" s="85" t="s">
        <v>533</v>
      </c>
      <c r="AD628" s="85" t="s">
        <v>1500</v>
      </c>
      <c r="AE628" s="85">
        <v>62</v>
      </c>
      <c r="AF628" s="132">
        <v>117.6</v>
      </c>
      <c r="AG628" s="85" t="s">
        <v>1412</v>
      </c>
      <c r="AH628" s="85" t="s">
        <v>1501</v>
      </c>
      <c r="AI628" s="85" t="s">
        <v>844</v>
      </c>
      <c r="AJ628" s="85">
        <v>59231180</v>
      </c>
      <c r="AK628" s="85" t="s">
        <v>1470</v>
      </c>
      <c r="AL628" s="85">
        <v>2072509</v>
      </c>
      <c r="AM628" s="85" t="s">
        <v>1502</v>
      </c>
      <c r="AN628" s="85" t="s">
        <v>1503</v>
      </c>
      <c r="AO628" s="85" t="s">
        <v>1140</v>
      </c>
      <c r="AP628" s="85" t="s">
        <v>240</v>
      </c>
      <c r="AQ628" s="9" t="str">
        <f>CONCATENATE("REG-",BDEGENER[[#This Row],[FECHA DE SERVICIO]],"-",BDEGENER[[#This Row],[SERIE]],"-",BDEGENER[[#This Row],[HORAS]])</f>
        <v>REG-43879-PEE2626885-117,6</v>
      </c>
      <c r="AR628" s="85" t="str">
        <f>CONCATENATE("MARCA: ",BDEGENER[[#This Row],[MARCA]],"
 MODELO: ",BDEGENER[[#This Row],[MODELO]])</f>
        <v>MARCA: GENERAC
 MODELO: PMY20B</v>
      </c>
      <c r="AS628" s="85" t="str">
        <f>CONCATENATE("MARCA: ",BDEGENER[[#This Row],[MARCA DE MOTOR]],"
SERIE: ",BDEGENER[[#This Row],[SERIE DE MOTOR]])</f>
        <v>MARCA: PERKINS
SERIE: 59231180</v>
      </c>
      <c r="AT628" s="85" t="str">
        <f>CONCATENATE("MARCA: ",BDEGENER[[#This Row],[MARCA ALTERNADOR ]],"
SERIE: ",BDEGENER[[#This Row],[SERIE DE ALTERNADOR]])</f>
        <v>MARCA: MECCALTE
SERIE: 2072509</v>
      </c>
      <c r="AU628" s="85" t="str">
        <f>CONCATENATE("HORAS: ",BDEGENER[[#This Row],[HORAS]],"
KW-HR: ",BDEGENER[[#This Row],[KW-HORA]],"
VOLT.BATERIA: ",BDEGENER[[#This Row],[VOLTAJE DE BATERIA]],"
TEMPERATURA: ",BDEGENER[[#This Row],[TEMPERATURA DE AGUA]],"
PRES. ACEITE: ",BDEGENER[[#This Row],[PRESION DE ACEITE]])</f>
        <v>HORAS: 117,6
KW-HR: 
VOLT.BATERIA: 14 V
TEMPERATURA: 82 °C
PRES. ACEITE: 50 PSI</v>
      </c>
      <c r="AV628" s="761">
        <f>COUNTIFS(Q628:Q2628,"MANTENIMIENTO CORRECTIVO",Y628:Y2628,BDEGENER[[#This Row],[SERIE]])</f>
        <v>0</v>
      </c>
      <c r="AW628" s="761">
        <f>COUNTIFS(Q628:Q2628,"MANTENIMIENTO PREVENTIVO",Y628:Y2628,BDEGENER[[#This Row],[SERIE]])</f>
        <v>1</v>
      </c>
      <c r="AX628"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28" s="85">
        <f>COUNTIFS(BDEGENER[SERIE],BDEGENER[[#This Row],[SERIE]],BDEGENER[TIPO DE SERVICIO],"MANTENIMIENTO PREVENTIVO")</f>
        <v>1</v>
      </c>
      <c r="AZ628" s="85" t="str">
        <f>CONCATENATE("MANTENIMIENTO PREVENTIVO N°",BDEGENER[[#This Row],[GA1]])</f>
        <v>MANTENIMIENTO PREVENTIVO N°1</v>
      </c>
      <c r="BA628" s="85">
        <f>IF(BDEGENER[[#This Row],[SERVICIO]]=BDEGENER[[#This Row],[GA2]],BDEGENER[[#This Row],[HORAS]],"0")</f>
        <v>117.6</v>
      </c>
      <c r="BB628" s="85">
        <f>SUMIF(BDEGENER[SERIE],BDEGENER[[#This Row],[SERIE]],BDEGENER[GA3])</f>
        <v>117.6</v>
      </c>
      <c r="BC628" s="761" t="str">
        <f>CONCATENATE("MANT",COUNTIF($Y$7:Y628,Y628))</f>
        <v>MANT1</v>
      </c>
      <c r="BD628" s="85" t="str">
        <f>CONCATENATE(BDEGENER[[#This Row],[SERIE]],BDEGENER[[#This Row],[GA5]])</f>
        <v>PEE2626885MANT1</v>
      </c>
      <c r="BE628" s="85" t="str">
        <f>CONCATENATE(BDEGENER[[#This Row],[CODIGO PATRIMONIAL]],BDEGENER[[#This Row],[GA5]])</f>
        <v>24838MANT1</v>
      </c>
      <c r="BF628" s="129">
        <f>COUNTIF(BDEGENER[SERIE],BDEGENER[[#This Row],[SERIE]])</f>
        <v>1</v>
      </c>
      <c r="BG628" s="761" t="str">
        <f>CONCATENATE("F",COUNTIF($K$7:K628,K628))</f>
        <v>F9</v>
      </c>
      <c r="BH628" s="129" t="str">
        <f>CONCATENATE(BDEGENER[[#This Row],[FECHA DE SERVICIO]],BDEGENER[[#This Row],[N° DE REGISTROS DEL DIA]])</f>
        <v>43879F9</v>
      </c>
      <c r="BI628" s="324"/>
      <c r="BJ628" s="325"/>
      <c r="BK628" s="326"/>
    </row>
    <row r="629" spans="2:63" ht="69" hidden="1" x14ac:dyDescent="0.3">
      <c r="B629" s="129"/>
      <c r="C629" s="129"/>
      <c r="D629" s="129"/>
      <c r="E629" s="129"/>
      <c r="F629" s="129"/>
      <c r="G629" s="129"/>
      <c r="H629" s="129"/>
      <c r="I629" s="129"/>
      <c r="J629" s="129"/>
      <c r="K629" s="131">
        <v>43879</v>
      </c>
      <c r="L629" s="130" t="s">
        <v>248</v>
      </c>
      <c r="M629" s="683" t="s">
        <v>1224</v>
      </c>
      <c r="N629" s="683" t="s">
        <v>251</v>
      </c>
      <c r="O629" s="85"/>
      <c r="P629" s="9" t="s">
        <v>1493</v>
      </c>
      <c r="Q629" s="85" t="s">
        <v>37</v>
      </c>
      <c r="R629" s="85" t="s">
        <v>1782</v>
      </c>
      <c r="S629" s="6" t="s">
        <v>1794</v>
      </c>
      <c r="T629" s="85" t="s">
        <v>1225</v>
      </c>
      <c r="U629" s="85" t="s">
        <v>1494</v>
      </c>
      <c r="V629" s="85" t="s">
        <v>149</v>
      </c>
      <c r="W629" s="85" t="s">
        <v>914</v>
      </c>
      <c r="X629" s="85" t="s">
        <v>918</v>
      </c>
      <c r="Y629" s="130">
        <v>3004999911</v>
      </c>
      <c r="Z629" s="85">
        <v>24543</v>
      </c>
      <c r="AA629" s="85" t="s">
        <v>33</v>
      </c>
      <c r="AB629" s="85" t="s">
        <v>1728</v>
      </c>
      <c r="AC629" s="85" t="s">
        <v>528</v>
      </c>
      <c r="AD629" s="85" t="s">
        <v>1087</v>
      </c>
      <c r="AE629" s="85">
        <v>60.2</v>
      </c>
      <c r="AF629" s="132">
        <v>833.3</v>
      </c>
      <c r="AG629" s="85" t="s">
        <v>243</v>
      </c>
      <c r="AH629" s="85" t="s">
        <v>220</v>
      </c>
      <c r="AI629" s="85" t="s">
        <v>1495</v>
      </c>
      <c r="AJ629" s="85" t="s">
        <v>1496</v>
      </c>
      <c r="AK629" s="85" t="s">
        <v>33</v>
      </c>
      <c r="AL629" s="85">
        <v>1395462</v>
      </c>
      <c r="AM629" s="85" t="s">
        <v>245</v>
      </c>
      <c r="AN629" s="85" t="s">
        <v>1122</v>
      </c>
      <c r="AO629" s="85" t="s">
        <v>1158</v>
      </c>
      <c r="AP629" s="85" t="s">
        <v>240</v>
      </c>
      <c r="AQ629" s="9" t="str">
        <f>CONCATENATE("REG-",BDEGENER[[#This Row],[FECHA DE SERVICIO]],"-",BDEGENER[[#This Row],[SERIE]],"-",BDEGENER[[#This Row],[HORAS]])</f>
        <v>REG-43879-3004999911-833,3</v>
      </c>
      <c r="AR629" s="85" t="str">
        <f>CONCATENATE("MARCA: ",BDEGENER[[#This Row],[MARCA]],"
 MODELO: ",BDEGENER[[#This Row],[MODELO]])</f>
        <v>MARCA: GENERAC
 MODELO: PG054</v>
      </c>
      <c r="AS629" s="85" t="str">
        <f>CONCATENATE("MARCA: ",BDEGENER[[#This Row],[MARCA DE MOTOR]],"
SERIE: ",BDEGENER[[#This Row],[SERIE DE MOTOR]])</f>
        <v>MARCA: FORD
SERIE: GP680AA</v>
      </c>
      <c r="AT629" s="85" t="str">
        <f>CONCATENATE("MARCA: ",BDEGENER[[#This Row],[MARCA ALTERNADOR ]],"
SERIE: ",BDEGENER[[#This Row],[SERIE DE ALTERNADOR]])</f>
        <v>MARCA: GENERAC
SERIE: 1395462</v>
      </c>
      <c r="AU629" s="85" t="str">
        <f>CONCATENATE("HORAS: ",BDEGENER[[#This Row],[HORAS]],"
KW-HR: ",BDEGENER[[#This Row],[KW-HORA]],"
VOLT.BATERIA: ",BDEGENER[[#This Row],[VOLTAJE DE BATERIA]],"
TEMPERATURA: ",BDEGENER[[#This Row],[TEMPERATURA DE AGUA]],"
PRES. ACEITE: ",BDEGENER[[#This Row],[PRESION DE ACEITE]])</f>
        <v>HORAS: 833,3
KW-HR: 
VOLT.BATERIA: 13.6 V
TEMPERATURA: 195 °F
PRES. ACEITE: 53 PSI</v>
      </c>
      <c r="AV629" s="683">
        <f>COUNTIFS(Q629:Q2629,"MANTENIMIENTO CORRECTIVO",Y629:Y2629,BDEGENER[[#This Row],[SERIE]])</f>
        <v>0</v>
      </c>
      <c r="AW629" s="683">
        <f>COUNTIFS(Q629:Q2629,"MANTENIMIENTO PREVENTIVO",Y629:Y2629,BDEGENER[[#This Row],[SERIE]])</f>
        <v>3</v>
      </c>
      <c r="AX62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29" s="85">
        <f>COUNTIFS(BDEGENER[SERIE],BDEGENER[[#This Row],[SERIE]],BDEGENER[TIPO DE SERVICIO],"MANTENIMIENTO PREVENTIVO")</f>
        <v>12</v>
      </c>
      <c r="AZ629" s="85" t="str">
        <f>CONCATENATE("MANTENIMIENTO PREVENTIVO N°",BDEGENER[[#This Row],[GA1]])</f>
        <v>MANTENIMIENTO PREVENTIVO N°12</v>
      </c>
      <c r="BA629" s="85" t="str">
        <f>IF(BDEGENER[[#This Row],[SERVICIO]]=BDEGENER[[#This Row],[GA2]],BDEGENER[[#This Row],[HORAS]],"0")</f>
        <v>0</v>
      </c>
      <c r="BB629" s="85">
        <f>SUMIF(BDEGENER[SERIE],BDEGENER[[#This Row],[SERIE]],BDEGENER[GA3])</f>
        <v>3510.8</v>
      </c>
      <c r="BC629" s="683" t="str">
        <f>CONCATENATE("MANT",COUNTIF($Y$7:Y629,Y629))</f>
        <v>MANT10</v>
      </c>
      <c r="BD629" s="85" t="str">
        <f>CONCATENATE(BDEGENER[[#This Row],[SERIE]],BDEGENER[[#This Row],[GA5]])</f>
        <v>3004999911MANT10</v>
      </c>
      <c r="BE629" s="85" t="str">
        <f>CONCATENATE(BDEGENER[[#This Row],[CODIGO PATRIMONIAL]],BDEGENER[[#This Row],[GA5]])</f>
        <v>24543MANT10</v>
      </c>
      <c r="BF629" s="129">
        <f>COUNTIF(BDEGENER[SERIE],BDEGENER[[#This Row],[SERIE]])</f>
        <v>14</v>
      </c>
      <c r="BG629" s="683" t="str">
        <f>CONCATENATE("F",COUNTIF($K$7:K629,K629))</f>
        <v>F10</v>
      </c>
      <c r="BH629" s="129" t="str">
        <f>CONCATENATE(BDEGENER[[#This Row],[FECHA DE SERVICIO]],BDEGENER[[#This Row],[N° DE REGISTROS DEL DIA]])</f>
        <v>43879F10</v>
      </c>
      <c r="BI629" s="326"/>
      <c r="BJ629" s="325" t="s">
        <v>1544</v>
      </c>
      <c r="BK629" s="326"/>
    </row>
    <row r="630" spans="2:63" ht="82.8" hidden="1" x14ac:dyDescent="0.3">
      <c r="B630" s="129"/>
      <c r="C630" s="129"/>
      <c r="D630" s="129"/>
      <c r="E630" s="129"/>
      <c r="F630" s="129"/>
      <c r="G630" s="129"/>
      <c r="H630" s="129"/>
      <c r="I630" s="129"/>
      <c r="J630" s="129"/>
      <c r="K630" s="131">
        <v>43875</v>
      </c>
      <c r="L630" s="85" t="s">
        <v>1545</v>
      </c>
      <c r="M630" s="85" t="s">
        <v>2748</v>
      </c>
      <c r="N630" s="85" t="s">
        <v>2749</v>
      </c>
      <c r="O630" s="85"/>
      <c r="P630" s="85"/>
      <c r="Q630" s="85" t="s">
        <v>107</v>
      </c>
      <c r="R630" s="85" t="s">
        <v>1782</v>
      </c>
      <c r="S630" s="6" t="s">
        <v>2753</v>
      </c>
      <c r="T630" s="85"/>
      <c r="U630" s="85" t="s">
        <v>2754</v>
      </c>
      <c r="V630" s="85" t="s">
        <v>146</v>
      </c>
      <c r="W630" s="85" t="s">
        <v>2743</v>
      </c>
      <c r="X630" s="85" t="s">
        <v>2741</v>
      </c>
      <c r="Y630" s="15" t="s">
        <v>2742</v>
      </c>
      <c r="Z630" s="85" t="s">
        <v>159</v>
      </c>
      <c r="AA630" s="85" t="s">
        <v>1495</v>
      </c>
      <c r="AB630" s="85" t="s">
        <v>2744</v>
      </c>
      <c r="AC630" s="85" t="s">
        <v>2745</v>
      </c>
      <c r="AD630" s="85"/>
      <c r="AE630" s="85"/>
      <c r="AF630" s="132">
        <v>131995</v>
      </c>
      <c r="AG630" s="85" t="s">
        <v>243</v>
      </c>
      <c r="AH630" s="85" t="s">
        <v>159</v>
      </c>
      <c r="AI630" s="85" t="s">
        <v>1495</v>
      </c>
      <c r="AJ630" s="85" t="s">
        <v>159</v>
      </c>
      <c r="AK630" s="85" t="s">
        <v>2746</v>
      </c>
      <c r="AL630" s="85" t="s">
        <v>2747</v>
      </c>
      <c r="AM630" s="85"/>
      <c r="AN630" s="85"/>
      <c r="AO630" s="85"/>
      <c r="AP630" s="85" t="s">
        <v>240</v>
      </c>
      <c r="AQ630" s="85" t="str">
        <f>CONCATENATE("REG-",BDEGENER[[#This Row],[FECHA DE SERVICIO]],"-",BDEGENER[[#This Row],[SERIE]],"-",BDEGENER[[#This Row],[HORAS]])</f>
        <v>REG-43875-D4Y-534-131995</v>
      </c>
      <c r="AR630" s="85" t="str">
        <f>CONCATENATE("MARCA: ",BDEGENER[[#This Row],[MARCA]],"
 MODELO: ",BDEGENER[[#This Row],[MODELO]])</f>
        <v>MARCA: FORD
 MODELO: ECOSPORT</v>
      </c>
      <c r="AS630" s="85" t="str">
        <f>CONCATENATE("MARCA: ",BDEGENER[[#This Row],[MARCA DE MOTOR]],"
SERIE: ",BDEGENER[[#This Row],[SERIE DE MOTOR]])</f>
        <v xml:space="preserve">MARCA: FORD
SERIE: </v>
      </c>
      <c r="AT630" s="85" t="str">
        <f>CONCATENATE("MARCA: ",BDEGENER[[#This Row],[MARCA ALTERNADOR ]],"
SERIE: ",BDEGENER[[#This Row],[SERIE DE ALTERNADOR]])</f>
        <v>MARCA: CHASIS FORD
SERIE: 9BFZE1GF358634864</v>
      </c>
      <c r="AU630" s="85" t="str">
        <f>CONCATENATE("HORAS: ",BDEGENER[[#This Row],[HORAS]],"
KW-HR: ",BDEGENER[[#This Row],[KW-HORA]],"
VOLT.BATERIA: ",BDEGENER[[#This Row],[VOLTAJE DE BATERIA]],"
TEMPERATURA: ",BDEGENER[[#This Row],[TEMPERATURA DE AGUA]],"
PRES. ACEITE: ",BDEGENER[[#This Row],[PRESION DE ACEITE]])</f>
        <v xml:space="preserve">HORAS: 131995
KW-HR: 
VOLT.BATERIA: 
TEMPERATURA: 
PRES. ACEITE: </v>
      </c>
      <c r="AV630" s="683">
        <f>COUNTIFS(Q630:Q2630,"MANTENIMIENTO CORRECTIVO",Y630:Y2630,BDEGENER[[#This Row],[SERIE]])</f>
        <v>1</v>
      </c>
      <c r="AW630" s="683">
        <f>COUNTIFS(Q630:Q2630,"MANTENIMIENTO PREVENTIVO",Y630:Y2630,BDEGENER[[#This Row],[SERIE]])</f>
        <v>1</v>
      </c>
      <c r="AX63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630" s="85">
        <f>COUNTIFS(BDEGENER[SERIE],BDEGENER[[#This Row],[SERIE]],BDEGENER[TIPO DE SERVICIO],"MANTENIMIENTO PREVENTIVO")</f>
        <v>3</v>
      </c>
      <c r="AZ630" s="85" t="str">
        <f>CONCATENATE("MANTENIMIENTO PREVENTIVO N°",BDEGENER[[#This Row],[GA1]])</f>
        <v>MANTENIMIENTO PREVENTIVO N°3</v>
      </c>
      <c r="BA630" s="85" t="str">
        <f>IF(BDEGENER[[#This Row],[SERVICIO]]=BDEGENER[[#This Row],[GA2]],BDEGENER[[#This Row],[HORAS]],"0")</f>
        <v>0</v>
      </c>
      <c r="BB630" s="85">
        <f>SUMIF(BDEGENER[SERIE],BDEGENER[[#This Row],[SERIE]],BDEGENER[GA3])</f>
        <v>141510</v>
      </c>
      <c r="BC630" s="683" t="str">
        <f>CONCATENATE("MANT",COUNTIF($Y$7:Y630,Y630))</f>
        <v>MANT5</v>
      </c>
      <c r="BD630" s="85" t="str">
        <f>CONCATENATE(BDEGENER[[#This Row],[SERIE]],BDEGENER[[#This Row],[GA5]])</f>
        <v>D4Y-534MANT5</v>
      </c>
      <c r="BE630" s="85" t="str">
        <f>CONCATENATE(BDEGENER[[#This Row],[CODIGO PATRIMONIAL]],BDEGENER[[#This Row],[GA5]])</f>
        <v>MANT5</v>
      </c>
      <c r="BF630" s="85">
        <f>COUNTIF(BDEGENER[SERIE],BDEGENER[[#This Row],[SERIE]])</f>
        <v>6</v>
      </c>
      <c r="BG630" s="683" t="str">
        <f>CONCATENATE("F",COUNTIF($K$7:K630,K630))</f>
        <v>F1</v>
      </c>
      <c r="BH630" s="85" t="str">
        <f>CONCATENATE(BDEGENER[[#This Row],[FECHA DE SERVICIO]],BDEGENER[[#This Row],[N° DE REGISTROS DEL DIA]])</f>
        <v>43875F1</v>
      </c>
      <c r="BI630" s="132"/>
      <c r="BJ630" s="85" t="s">
        <v>1545</v>
      </c>
      <c r="BK630" s="680"/>
    </row>
    <row r="631" spans="2:63" ht="69" hidden="1" x14ac:dyDescent="0.3">
      <c r="B631" s="129"/>
      <c r="C631" s="129"/>
      <c r="D631" s="129"/>
      <c r="E631" s="129"/>
      <c r="F631" s="129"/>
      <c r="G631" s="129"/>
      <c r="H631" s="129"/>
      <c r="I631" s="129"/>
      <c r="J631" s="129"/>
      <c r="K631" s="131">
        <v>43873</v>
      </c>
      <c r="L631" s="130" t="s">
        <v>181</v>
      </c>
      <c r="M631" s="85" t="s">
        <v>182</v>
      </c>
      <c r="N631" s="85" t="s">
        <v>183</v>
      </c>
      <c r="O631" s="85"/>
      <c r="P631" s="85"/>
      <c r="Q631" s="85" t="s">
        <v>107</v>
      </c>
      <c r="R631" s="85" t="s">
        <v>1473</v>
      </c>
      <c r="S631" s="6" t="s">
        <v>1474</v>
      </c>
      <c r="T631" s="85" t="s">
        <v>1782</v>
      </c>
      <c r="U631" s="85"/>
      <c r="V631" s="85" t="s">
        <v>146</v>
      </c>
      <c r="W631" s="85" t="s">
        <v>914</v>
      </c>
      <c r="X631" s="85" t="s">
        <v>918</v>
      </c>
      <c r="Y631" s="130">
        <v>3004381435</v>
      </c>
      <c r="Z631" s="85"/>
      <c r="AA631" s="85" t="s">
        <v>33</v>
      </c>
      <c r="AB631" s="85" t="s">
        <v>34</v>
      </c>
      <c r="AC631" s="85" t="s">
        <v>230</v>
      </c>
      <c r="AD631" s="85" t="s">
        <v>1110</v>
      </c>
      <c r="AE631" s="85"/>
      <c r="AF631" s="132">
        <v>254</v>
      </c>
      <c r="AG631" s="85" t="s">
        <v>243</v>
      </c>
      <c r="AH631" s="85" t="s">
        <v>220</v>
      </c>
      <c r="AI631" s="85" t="s">
        <v>33</v>
      </c>
      <c r="AJ631" s="85"/>
      <c r="AK631" s="85" t="s">
        <v>33</v>
      </c>
      <c r="AL631" s="85"/>
      <c r="AM631" s="85"/>
      <c r="AN631" s="85"/>
      <c r="AO631" s="85"/>
      <c r="AP631" s="85" t="s">
        <v>240</v>
      </c>
      <c r="AQ631" s="9" t="str">
        <f>CONCATENATE("REG-",BDEGENER[[#This Row],[FECHA DE SERVICIO]],"-",BDEGENER[[#This Row],[SERIE]],"-",BDEGENER[[#This Row],[HORAS]])</f>
        <v>REG-43873-3004381435-254</v>
      </c>
      <c r="AR631" s="85" t="str">
        <f>CONCATENATE("MARCA: ",BDEGENER[[#This Row],[MARCA]],"
 MODELO: ",BDEGENER[[#This Row],[MODELO]])</f>
        <v>MARCA: GENERAC
 MODELO: PG090</v>
      </c>
      <c r="AS631" s="85" t="str">
        <f>CONCATENATE("MARCA: ",BDEGENER[[#This Row],[MARCA DE MOTOR]],"
SERIE: ",BDEGENER[[#This Row],[SERIE DE MOTOR]])</f>
        <v xml:space="preserve">MARCA: GENERAC
SERIE: </v>
      </c>
      <c r="AT631" s="85" t="str">
        <f>CONCATENATE("MARCA: ",BDEGENER[[#This Row],[MARCA ALTERNADOR ]],"
SERIE: ",BDEGENER[[#This Row],[SERIE DE ALTERNADOR]])</f>
        <v xml:space="preserve">MARCA: GENERAC
SERIE: </v>
      </c>
      <c r="AU631" s="85" t="str">
        <f>CONCATENATE("HORAS: ",BDEGENER[[#This Row],[HORAS]],"
KW-HR: ",BDEGENER[[#This Row],[KW-HORA]],"
VOLT.BATERIA: ",BDEGENER[[#This Row],[VOLTAJE DE BATERIA]],"
TEMPERATURA: ",BDEGENER[[#This Row],[TEMPERATURA DE AGUA]],"
PRES. ACEITE: ",BDEGENER[[#This Row],[PRESION DE ACEITE]])</f>
        <v xml:space="preserve">HORAS: 254
KW-HR: 
VOLT.BATERIA: 
TEMPERATURA: 
PRES. ACEITE: </v>
      </c>
      <c r="AV631" s="761">
        <f>COUNTIFS(Q631:Q2631,"MANTENIMIENTO CORRECTIVO",Y631:Y2631,BDEGENER[[#This Row],[SERIE]])</f>
        <v>2</v>
      </c>
      <c r="AW631" s="761">
        <f>COUNTIFS(Q631:Q2631,"MANTENIMIENTO PREVENTIVO",Y631:Y2631,BDEGENER[[#This Row],[SERIE]])</f>
        <v>1</v>
      </c>
      <c r="AX63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31" s="85">
        <f>COUNTIFS(BDEGENER[SERIE],BDEGENER[[#This Row],[SERIE]],BDEGENER[TIPO DE SERVICIO],"MANTENIMIENTO PREVENTIVO")</f>
        <v>8</v>
      </c>
      <c r="AZ631" s="85" t="str">
        <f>CONCATENATE("MANTENIMIENTO PREVENTIVO N°",BDEGENER[[#This Row],[GA1]])</f>
        <v>MANTENIMIENTO PREVENTIVO N°8</v>
      </c>
      <c r="BA631" s="85" t="str">
        <f>IF(BDEGENER[[#This Row],[SERVICIO]]=BDEGENER[[#This Row],[GA2]],BDEGENER[[#This Row],[HORAS]],"0")</f>
        <v>0</v>
      </c>
      <c r="BB631" s="85">
        <f>SUMIF(BDEGENER[SERIE],BDEGENER[[#This Row],[SERIE]],BDEGENER[GA3])</f>
        <v>2141.3000000000002</v>
      </c>
      <c r="BC631" s="761" t="str">
        <f>CONCATENATE("MANT",COUNTIF($Y$7:Y631,Y631))</f>
        <v>MANT10</v>
      </c>
      <c r="BD631" s="85" t="str">
        <f>CONCATENATE(BDEGENER[[#This Row],[SERIE]],BDEGENER[[#This Row],[GA5]])</f>
        <v>3004381435MANT10</v>
      </c>
      <c r="BE631" s="85" t="str">
        <f>CONCATENATE(BDEGENER[[#This Row],[CODIGO PATRIMONIAL]],BDEGENER[[#This Row],[GA5]])</f>
        <v>MANT10</v>
      </c>
      <c r="BF631" s="129">
        <f>COUNTIF(BDEGENER[SERIE],BDEGENER[[#This Row],[SERIE]])</f>
        <v>13</v>
      </c>
      <c r="BG631" s="761" t="str">
        <f>CONCATENATE("F",COUNTIF($K$7:K631,K631))</f>
        <v>F1</v>
      </c>
      <c r="BH631" s="129" t="str">
        <f>CONCATENATE(BDEGENER[[#This Row],[FECHA DE SERVICIO]],BDEGENER[[#This Row],[N° DE REGISTROS DEL DIA]])</f>
        <v>43873F1</v>
      </c>
      <c r="BI631" s="324"/>
      <c r="BJ631" s="85" t="s">
        <v>1544</v>
      </c>
      <c r="BK631" s="326"/>
    </row>
    <row r="632" spans="2:63" ht="82.8" hidden="1" x14ac:dyDescent="0.3">
      <c r="B632" s="222"/>
      <c r="C632" s="223"/>
      <c r="D632" s="223"/>
      <c r="E632" s="223"/>
      <c r="F632" s="223"/>
      <c r="G632" s="223"/>
      <c r="H632" s="223"/>
      <c r="I632" s="223"/>
      <c r="J632" s="223"/>
      <c r="K632" s="226">
        <v>43871</v>
      </c>
      <c r="L632" s="227" t="s">
        <v>1461</v>
      </c>
      <c r="M632" s="6" t="s">
        <v>1462</v>
      </c>
      <c r="N632" s="6" t="s">
        <v>1463</v>
      </c>
      <c r="O632" s="6"/>
      <c r="P632" s="6"/>
      <c r="Q632" s="6" t="s">
        <v>108</v>
      </c>
      <c r="R632" s="85" t="s">
        <v>1782</v>
      </c>
      <c r="S632" s="6" t="s">
        <v>1464</v>
      </c>
      <c r="T632" s="6" t="s">
        <v>1465</v>
      </c>
      <c r="U632" s="6"/>
      <c r="V632" s="6" t="s">
        <v>149</v>
      </c>
      <c r="W632" s="6" t="s">
        <v>913</v>
      </c>
      <c r="X632" s="6" t="s">
        <v>917</v>
      </c>
      <c r="Y632" s="227" t="s">
        <v>1466</v>
      </c>
      <c r="Z632" s="6" t="s">
        <v>159</v>
      </c>
      <c r="AA632" s="6" t="s">
        <v>33</v>
      </c>
      <c r="AB632" s="6" t="s">
        <v>1467</v>
      </c>
      <c r="AC632" s="6" t="s">
        <v>1468</v>
      </c>
      <c r="AD632" s="6"/>
      <c r="AE632" s="6"/>
      <c r="AF632" s="228">
        <v>34.4</v>
      </c>
      <c r="AG632" s="6" t="s">
        <v>159</v>
      </c>
      <c r="AH632" s="6" t="s">
        <v>159</v>
      </c>
      <c r="AI632" s="6" t="s">
        <v>844</v>
      </c>
      <c r="AJ632" s="6" t="s">
        <v>1469</v>
      </c>
      <c r="AK632" s="6" t="s">
        <v>1470</v>
      </c>
      <c r="AL632" s="6">
        <v>1951502</v>
      </c>
      <c r="AM632" s="6"/>
      <c r="AN632" s="6"/>
      <c r="AO632" s="6"/>
      <c r="AP632" s="6" t="s">
        <v>240</v>
      </c>
      <c r="AQ632" s="9" t="str">
        <f>CONCATENATE("REG-",BDEGENER[[#This Row],[FECHA DE SERVICIO]],"-",BDEGENER[[#This Row],[SERIE]],"-",BDEGENER[[#This Row],[HORAS]])</f>
        <v>REG-43871-PEE2598803-34,4</v>
      </c>
      <c r="AR632" s="225" t="str">
        <f>CONCATENATE("MARCA: ",BDEGENER[[#This Row],[MARCA]],"
 MODELO: ",BDEGENER[[#This Row],[MODELO]])</f>
        <v>MARCA: GENERAC
 MODELO: GMH-65P</v>
      </c>
      <c r="AS632" s="225" t="str">
        <f>CONCATENATE("MARCA: ",BDEGENER[[#This Row],[MARCA DE MOTOR]],"
SERIE: ",BDEGENER[[#This Row],[SERIE DE MOTOR]])</f>
        <v>MARCA: PERKINS
SERIE: DF32000</v>
      </c>
      <c r="AT632" s="225" t="str">
        <f>CONCATENATE("MARCA: ",BDEGENER[[#This Row],[MARCA ALTERNADOR ]],"
SERIE: ",BDEGENER[[#This Row],[SERIE DE ALTERNADOR]])</f>
        <v>MARCA: MECCALTE
SERIE: 1951502</v>
      </c>
      <c r="AU632" s="225" t="str">
        <f>CONCATENATE("HORAS: ",BDEGENER[[#This Row],[HORAS]],"
KW-HR: ",BDEGENER[[#This Row],[KW-HORA]],"
VOLT.BATERIA: ",BDEGENER[[#This Row],[VOLTAJE DE BATERIA]],"
TEMPERATURA: ",BDEGENER[[#This Row],[TEMPERATURA DE AGUA]],"
PRES. ACEITE: ",BDEGENER[[#This Row],[PRESION DE ACEITE]])</f>
        <v xml:space="preserve">HORAS: 34,4
KW-HR: 
VOLT.BATERIA: 
TEMPERATURA: 
PRES. ACEITE: </v>
      </c>
      <c r="AV632" s="683">
        <f>COUNTIFS(Q632:Q2632,"MANTENIMIENTO CORRECTIVO",Y632:Y2632,BDEGENER[[#This Row],[SERIE]])</f>
        <v>0</v>
      </c>
      <c r="AW632" s="683">
        <f>COUNTIFS(Q632:Q2632,"MANTENIMIENTO PREVENTIVO",Y632:Y2632,BDEGENER[[#This Row],[SERIE]])</f>
        <v>0</v>
      </c>
      <c r="AX632" s="2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32" s="225">
        <f>COUNTIFS(BDEGENER[SERIE],BDEGENER[[#This Row],[SERIE]],BDEGENER[TIPO DE SERVICIO],"MANTENIMIENTO PREVENTIVO")</f>
        <v>0</v>
      </c>
      <c r="AZ632" s="225" t="str">
        <f>CONCATENATE("MANTENIMIENTO PREVENTIVO N°",BDEGENER[[#This Row],[GA1]])</f>
        <v>MANTENIMIENTO PREVENTIVO N°0</v>
      </c>
      <c r="BA632" s="224" t="str">
        <f>IF(BDEGENER[[#This Row],[SERVICIO]]=BDEGENER[[#This Row],[GA2]],BDEGENER[[#This Row],[HORAS]],"0")</f>
        <v>0</v>
      </c>
      <c r="BB632" s="224">
        <f>SUMIF(BDEGENER[SERIE],BDEGENER[[#This Row],[SERIE]],BDEGENER[GA3])</f>
        <v>0</v>
      </c>
      <c r="BC632" s="683" t="str">
        <f>CONCATENATE("MANT",COUNTIF($Y$7:Y632,Y632))</f>
        <v>MANT1</v>
      </c>
      <c r="BD632" s="225" t="str">
        <f>CONCATENATE(BDEGENER[[#This Row],[SERIE]],BDEGENER[[#This Row],[GA5]])</f>
        <v>PEE2598803MANT1</v>
      </c>
      <c r="BE632" s="225" t="str">
        <f>CONCATENATE(BDEGENER[[#This Row],[CODIGO PATRIMONIAL]],BDEGENER[[#This Row],[GA5]])</f>
        <v>MANT1</v>
      </c>
      <c r="BF632" s="224">
        <f>COUNTIF(BDEGENER[SERIE],BDEGENER[[#This Row],[SERIE]])</f>
        <v>1</v>
      </c>
      <c r="BG632" s="683" t="str">
        <f>CONCATENATE("F",COUNTIF($K$7:K632,K632))</f>
        <v>F1</v>
      </c>
      <c r="BH632" s="224" t="str">
        <f>CONCATENATE(BDEGENER[[#This Row],[FECHA DE SERVICIO]],BDEGENER[[#This Row],[N° DE REGISTROS DEL DIA]])</f>
        <v>43871F1</v>
      </c>
      <c r="BI632" s="324"/>
      <c r="BJ632" s="325"/>
      <c r="BK632" s="326"/>
    </row>
    <row r="633" spans="2:63" ht="82.8" hidden="1" x14ac:dyDescent="0.3">
      <c r="B633" s="129"/>
      <c r="C633" s="129"/>
      <c r="D633" s="129"/>
      <c r="E633" s="129"/>
      <c r="F633" s="129"/>
      <c r="G633" s="129"/>
      <c r="H633" s="129"/>
      <c r="I633" s="129"/>
      <c r="J633" s="129"/>
      <c r="K633" s="131">
        <v>43869</v>
      </c>
      <c r="L633" s="130" t="s">
        <v>764</v>
      </c>
      <c r="M633" s="85" t="s">
        <v>1434</v>
      </c>
      <c r="N633" s="85" t="s">
        <v>1435</v>
      </c>
      <c r="O633" s="85"/>
      <c r="P633" s="85"/>
      <c r="Q633" s="85" t="s">
        <v>37</v>
      </c>
      <c r="R633" s="85" t="s">
        <v>1782</v>
      </c>
      <c r="S633" s="6" t="s">
        <v>1795</v>
      </c>
      <c r="T633" s="85" t="s">
        <v>1782</v>
      </c>
      <c r="U633" s="85" t="s">
        <v>1436</v>
      </c>
      <c r="V633" s="85" t="s">
        <v>922</v>
      </c>
      <c r="W633" s="85" t="s">
        <v>914</v>
      </c>
      <c r="X633" s="85" t="s">
        <v>917</v>
      </c>
      <c r="Y633" s="130" t="s">
        <v>1437</v>
      </c>
      <c r="Z633" s="85" t="s">
        <v>159</v>
      </c>
      <c r="AA633" s="85" t="s">
        <v>841</v>
      </c>
      <c r="AB633" s="85">
        <v>3412</v>
      </c>
      <c r="AC633" s="85" t="s">
        <v>1438</v>
      </c>
      <c r="AD633" s="85" t="s">
        <v>1439</v>
      </c>
      <c r="AE633" s="85">
        <v>60.5</v>
      </c>
      <c r="AF633" s="132">
        <v>2737</v>
      </c>
      <c r="AG633" s="85" t="s">
        <v>1412</v>
      </c>
      <c r="AH633" s="85" t="s">
        <v>1440</v>
      </c>
      <c r="AI633" s="85" t="s">
        <v>841</v>
      </c>
      <c r="AJ633" s="85" t="s">
        <v>1444</v>
      </c>
      <c r="AK633" s="85" t="s">
        <v>841</v>
      </c>
      <c r="AL633" s="85" t="s">
        <v>1437</v>
      </c>
      <c r="AM633" s="85" t="s">
        <v>1441</v>
      </c>
      <c r="AN633" s="85" t="s">
        <v>1442</v>
      </c>
      <c r="AO633" s="85" t="s">
        <v>1443</v>
      </c>
      <c r="AP633" s="85" t="s">
        <v>240</v>
      </c>
      <c r="AQ633" s="9" t="str">
        <f>CONCATENATE("REG-",BDEGENER[[#This Row],[FECHA DE SERVICIO]],"-",BDEGENER[[#This Row],[SERIE]],"-",BDEGENER[[#This Row],[HORAS]])</f>
        <v>REG-43869-6FA06155-2737</v>
      </c>
      <c r="AR633" s="85" t="str">
        <f>CONCATENATE("MARCA: ",BDEGENER[[#This Row],[MARCA]],"
 MODELO: ",BDEGENER[[#This Row],[MODELO]])</f>
        <v>MARCA: CATERPILLAR
 MODELO: 3412</v>
      </c>
      <c r="AS633" s="85" t="str">
        <f>CONCATENATE("MARCA: ",BDEGENER[[#This Row],[MARCA DE MOTOR]],"
SERIE: ",BDEGENER[[#This Row],[SERIE DE MOTOR]])</f>
        <v>MARCA: CATERPILLAR
SERIE: 81Z09896</v>
      </c>
      <c r="AT633" s="85" t="str">
        <f>CONCATENATE("MARCA: ",BDEGENER[[#This Row],[MARCA ALTERNADOR ]],"
SERIE: ",BDEGENER[[#This Row],[SERIE DE ALTERNADOR]])</f>
        <v>MARCA: CATERPILLAR
SERIE: 6FA06155</v>
      </c>
      <c r="AU633" s="85" t="str">
        <f>CONCATENATE("HORAS: ",BDEGENER[[#This Row],[HORAS]],"
KW-HR: ",BDEGENER[[#This Row],[KW-HORA]],"
VOLT.BATERIA: ",BDEGENER[[#This Row],[VOLTAJE DE BATERIA]],"
TEMPERATURA: ",BDEGENER[[#This Row],[TEMPERATURA DE AGUA]],"
PRES. ACEITE: ",BDEGENER[[#This Row],[PRESION DE ACEITE]])</f>
        <v>HORAS: 2737
KW-HR: 
VOLT.BATERIA: 26 V
TEMPERATURA: 163 °F
PRES. ACEITE: 80 PSI</v>
      </c>
      <c r="AV633" s="683">
        <f>COUNTIFS(Q633:Q2633,"MANTENIMIENTO CORRECTIVO",Y633:Y2633,BDEGENER[[#This Row],[SERIE]])</f>
        <v>0</v>
      </c>
      <c r="AW633" s="683">
        <f>COUNTIFS(Q633:Q2633,"MANTENIMIENTO PREVENTIVO",Y633:Y2633,BDEGENER[[#This Row],[SERIE]])</f>
        <v>1</v>
      </c>
      <c r="AX633"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33" s="85">
        <f>COUNTIFS(BDEGENER[SERIE],BDEGENER[[#This Row],[SERIE]],BDEGENER[TIPO DE SERVICIO],"MANTENIMIENTO PREVENTIVO")</f>
        <v>2</v>
      </c>
      <c r="AZ633" s="85" t="str">
        <f>CONCATENATE("MANTENIMIENTO PREVENTIVO N°",BDEGENER[[#This Row],[GA1]])</f>
        <v>MANTENIMIENTO PREVENTIVO N°2</v>
      </c>
      <c r="BA633" s="85" t="str">
        <f>IF(BDEGENER[[#This Row],[SERVICIO]]=BDEGENER[[#This Row],[GA2]],BDEGENER[[#This Row],[HORAS]],"0")</f>
        <v>0</v>
      </c>
      <c r="BB633" s="85">
        <f>SUMIF(BDEGENER[SERIE],BDEGENER[[#This Row],[SERIE]],BDEGENER[GA3])</f>
        <v>2737.2</v>
      </c>
      <c r="BC633" s="683" t="str">
        <f>CONCATENATE("MANT",COUNTIF($Y$7:Y633,Y633))</f>
        <v>MANT2</v>
      </c>
      <c r="BD633" s="85" t="str">
        <f>CONCATENATE(BDEGENER[[#This Row],[SERIE]],BDEGENER[[#This Row],[GA5]])</f>
        <v>6FA06155MANT2</v>
      </c>
      <c r="BE633" s="85" t="str">
        <f>CONCATENATE(BDEGENER[[#This Row],[CODIGO PATRIMONIAL]],BDEGENER[[#This Row],[GA5]])</f>
        <v>MANT2</v>
      </c>
      <c r="BF633" s="129">
        <f>COUNTIF(BDEGENER[SERIE],BDEGENER[[#This Row],[SERIE]])</f>
        <v>2</v>
      </c>
      <c r="BG633" s="683" t="str">
        <f>CONCATENATE("F",COUNTIF($K$7:K633,K633))</f>
        <v>F1</v>
      </c>
      <c r="BH633" s="681" t="str">
        <f>CONCATENATE(BDEGENER[[#This Row],[FECHA DE SERVICIO]],BDEGENER[[#This Row],[N° DE REGISTROS DEL DIA]])</f>
        <v>43869F1</v>
      </c>
      <c r="BI633" s="324"/>
      <c r="BJ633" s="325"/>
      <c r="BK633" s="326"/>
    </row>
    <row r="634" spans="2:63" ht="69" hidden="1" x14ac:dyDescent="0.3">
      <c r="B634" s="129"/>
      <c r="C634" s="129"/>
      <c r="D634" s="129"/>
      <c r="E634" s="129"/>
      <c r="F634" s="129"/>
      <c r="G634" s="129"/>
      <c r="H634" s="129"/>
      <c r="I634" s="129"/>
      <c r="J634" s="129"/>
      <c r="K634" s="131">
        <v>43868</v>
      </c>
      <c r="L634" s="85" t="s">
        <v>1545</v>
      </c>
      <c r="M634" s="85" t="s">
        <v>1395</v>
      </c>
      <c r="N634" s="85" t="s">
        <v>1547</v>
      </c>
      <c r="O634" s="85"/>
      <c r="P634" s="85"/>
      <c r="Q634" s="85" t="s">
        <v>107</v>
      </c>
      <c r="R634" s="85" t="s">
        <v>1782</v>
      </c>
      <c r="S634" s="6" t="s">
        <v>3326</v>
      </c>
      <c r="T634" s="85" t="s">
        <v>3322</v>
      </c>
      <c r="U634" s="85" t="s">
        <v>3327</v>
      </c>
      <c r="V634" s="85" t="s">
        <v>479</v>
      </c>
      <c r="W634" s="85" t="s">
        <v>2743</v>
      </c>
      <c r="X634" s="85" t="s">
        <v>2741</v>
      </c>
      <c r="Y634" s="15" t="s">
        <v>3320</v>
      </c>
      <c r="Z634" s="85" t="s">
        <v>159</v>
      </c>
      <c r="AA634" s="85" t="s">
        <v>867</v>
      </c>
      <c r="AB634" s="85" t="s">
        <v>3321</v>
      </c>
      <c r="AC634" s="85" t="s">
        <v>159</v>
      </c>
      <c r="AD634" s="85"/>
      <c r="AE634" s="85"/>
      <c r="AF634" s="132">
        <v>278993</v>
      </c>
      <c r="AG634" s="85" t="s">
        <v>159</v>
      </c>
      <c r="AH634" s="85" t="s">
        <v>159</v>
      </c>
      <c r="AI634" s="85" t="s">
        <v>867</v>
      </c>
      <c r="AJ634" s="85" t="s">
        <v>159</v>
      </c>
      <c r="AK634" s="85" t="s">
        <v>159</v>
      </c>
      <c r="AL634" s="85" t="s">
        <v>159</v>
      </c>
      <c r="AM634" s="85"/>
      <c r="AN634" s="85"/>
      <c r="AO634" s="85"/>
      <c r="AP634" s="85" t="s">
        <v>240</v>
      </c>
      <c r="AQ634" s="85" t="str">
        <f>CONCATENATE("REG-",BDEGENER[[#This Row],[FECHA DE SERVICIO]],"-",BDEGENER[[#This Row],[SERIE]],"-",BDEGENER[[#This Row],[HORAS]])</f>
        <v>REG-43868-C7A-736-278993</v>
      </c>
      <c r="AR634" s="85" t="str">
        <f>CONCATENATE("MARCA: ",BDEGENER[[#This Row],[MARCA]],"
 MODELO: ",BDEGENER[[#This Row],[MODELO]])</f>
        <v>MARCA: NISSAN
 MODELO: FRONTIER</v>
      </c>
      <c r="AS634" s="85" t="str">
        <f>CONCATENATE("MARCA: ",BDEGENER[[#This Row],[MARCA DE MOTOR]],"
SERIE: ",BDEGENER[[#This Row],[SERIE DE MOTOR]])</f>
        <v xml:space="preserve">MARCA: NISSAN
SERIE: </v>
      </c>
      <c r="AT634" s="85" t="str">
        <f>CONCATENATE("MARCA: ",BDEGENER[[#This Row],[MARCA ALTERNADOR ]],"
SERIE: ",BDEGENER[[#This Row],[SERIE DE ALTERNADOR]])</f>
        <v xml:space="preserve">MARCA: 
SERIE: </v>
      </c>
      <c r="AU634" s="85" t="str">
        <f>CONCATENATE("HORAS: ",BDEGENER[[#This Row],[HORAS]],"
KW-HR: ",BDEGENER[[#This Row],[KW-HORA]],"
VOLT.BATERIA: ",BDEGENER[[#This Row],[VOLTAJE DE BATERIA]],"
TEMPERATURA: ",BDEGENER[[#This Row],[TEMPERATURA DE AGUA]],"
PRES. ACEITE: ",BDEGENER[[#This Row],[PRESION DE ACEITE]])</f>
        <v xml:space="preserve">HORAS: 278993
KW-HR: 
VOLT.BATERIA: 
TEMPERATURA: 
PRES. ACEITE: </v>
      </c>
      <c r="AV634" s="761">
        <f>COUNTIFS(Q634:Q2634,"MANTENIMIENTO CORRECTIVO",Y634:Y2634,BDEGENER[[#This Row],[SERIE]])</f>
        <v>3</v>
      </c>
      <c r="AW634" s="761">
        <f>COUNTIFS(Q634:Q2634,"MANTENIMIENTO PREVENTIVO",Y634:Y2634,BDEGENER[[#This Row],[SERIE]])</f>
        <v>1</v>
      </c>
      <c r="AX63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634" s="85">
        <f>COUNTIFS(BDEGENER[SERIE],BDEGENER[[#This Row],[SERIE]],BDEGENER[TIPO DE SERVICIO],"MANTENIMIENTO PREVENTIVO")</f>
        <v>3</v>
      </c>
      <c r="AZ634" s="85" t="str">
        <f>CONCATENATE("MANTENIMIENTO PREVENTIVO N°",BDEGENER[[#This Row],[GA1]])</f>
        <v>MANTENIMIENTO PREVENTIVO N°3</v>
      </c>
      <c r="BA634" s="85" t="str">
        <f>IF(BDEGENER[[#This Row],[SERVICIO]]=BDEGENER[[#This Row],[GA2]],BDEGENER[[#This Row],[HORAS]],"0")</f>
        <v>0</v>
      </c>
      <c r="BB634" s="85">
        <f>SUMIF(BDEGENER[SERIE],BDEGENER[[#This Row],[SERIE]],BDEGENER[GA3])</f>
        <v>287150</v>
      </c>
      <c r="BC634" s="761" t="str">
        <f>CONCATENATE("MANT",COUNTIF($Y$7:Y634,Y634))</f>
        <v>MANT5</v>
      </c>
      <c r="BD634" s="85" t="str">
        <f>CONCATENATE(BDEGENER[[#This Row],[SERIE]],BDEGENER[[#This Row],[GA5]])</f>
        <v>C7A-736MANT5</v>
      </c>
      <c r="BE634" s="85" t="str">
        <f>CONCATENATE(BDEGENER[[#This Row],[CODIGO PATRIMONIAL]],BDEGENER[[#This Row],[GA5]])</f>
        <v>MANT5</v>
      </c>
      <c r="BF634" s="85">
        <f>COUNTIF(BDEGENER[SERIE],BDEGENER[[#This Row],[SERIE]])</f>
        <v>8</v>
      </c>
      <c r="BG634" s="761" t="str">
        <f>CONCATENATE("F",COUNTIF($K$7:K634,K634))</f>
        <v>F1</v>
      </c>
      <c r="BH634" s="85" t="str">
        <f>CONCATENATE(BDEGENER[[#This Row],[FECHA DE SERVICIO]],BDEGENER[[#This Row],[N° DE REGISTROS DEL DIA]])</f>
        <v>43868F1</v>
      </c>
      <c r="BI634" s="132"/>
      <c r="BJ634" s="85" t="s">
        <v>1544</v>
      </c>
      <c r="BK634" s="680"/>
    </row>
    <row r="635" spans="2:63" ht="69" hidden="1" x14ac:dyDescent="0.3">
      <c r="B635" s="129"/>
      <c r="C635" s="129"/>
      <c r="D635" s="129"/>
      <c r="E635" s="129"/>
      <c r="F635" s="129"/>
      <c r="G635" s="129"/>
      <c r="H635" s="129"/>
      <c r="I635" s="129"/>
      <c r="J635" s="129"/>
      <c r="K635" s="131">
        <v>43867</v>
      </c>
      <c r="L635" s="85" t="s">
        <v>1545</v>
      </c>
      <c r="M635" s="85" t="s">
        <v>2748</v>
      </c>
      <c r="N635" s="85" t="s">
        <v>2749</v>
      </c>
      <c r="O635" s="85"/>
      <c r="P635" s="85"/>
      <c r="Q635" s="85" t="s">
        <v>37</v>
      </c>
      <c r="R635" s="85" t="s">
        <v>1782</v>
      </c>
      <c r="S635" s="6" t="s">
        <v>2750</v>
      </c>
      <c r="T635" s="85" t="s">
        <v>2751</v>
      </c>
      <c r="U635" s="85" t="s">
        <v>2752</v>
      </c>
      <c r="V635" s="85" t="s">
        <v>146</v>
      </c>
      <c r="W635" s="85" t="s">
        <v>2743</v>
      </c>
      <c r="X635" s="85" t="s">
        <v>2741</v>
      </c>
      <c r="Y635" s="15" t="s">
        <v>2742</v>
      </c>
      <c r="Z635" s="85" t="s">
        <v>159</v>
      </c>
      <c r="AA635" s="85" t="s">
        <v>1495</v>
      </c>
      <c r="AB635" s="85" t="s">
        <v>2744</v>
      </c>
      <c r="AC635" s="85" t="s">
        <v>2745</v>
      </c>
      <c r="AD635" s="85"/>
      <c r="AE635" s="85"/>
      <c r="AF635" s="132">
        <v>131480</v>
      </c>
      <c r="AG635" s="85" t="s">
        <v>243</v>
      </c>
      <c r="AH635" s="85" t="s">
        <v>159</v>
      </c>
      <c r="AI635" s="85" t="s">
        <v>1495</v>
      </c>
      <c r="AJ635" s="85" t="s">
        <v>159</v>
      </c>
      <c r="AK635" s="85" t="s">
        <v>2746</v>
      </c>
      <c r="AL635" s="85" t="s">
        <v>2747</v>
      </c>
      <c r="AM635" s="85"/>
      <c r="AN635" s="85"/>
      <c r="AO635" s="85"/>
      <c r="AP635" s="85" t="s">
        <v>240</v>
      </c>
      <c r="AQ635" s="85" t="str">
        <f>CONCATENATE("REG-",BDEGENER[[#This Row],[FECHA DE SERVICIO]],"-",BDEGENER[[#This Row],[SERIE]],"-",BDEGENER[[#This Row],[HORAS]])</f>
        <v>REG-43867-D4Y-534-131480</v>
      </c>
      <c r="AR635" s="85" t="str">
        <f>CONCATENATE("MARCA: ",BDEGENER[[#This Row],[MARCA]],"
 MODELO: ",BDEGENER[[#This Row],[MODELO]])</f>
        <v>MARCA: FORD
 MODELO: ECOSPORT</v>
      </c>
      <c r="AS635" s="85" t="str">
        <f>CONCATENATE("MARCA: ",BDEGENER[[#This Row],[MARCA DE MOTOR]],"
SERIE: ",BDEGENER[[#This Row],[SERIE DE MOTOR]])</f>
        <v xml:space="preserve">MARCA: FORD
SERIE: </v>
      </c>
      <c r="AT635" s="85" t="str">
        <f>CONCATENATE("MARCA: ",BDEGENER[[#This Row],[MARCA ALTERNADOR ]],"
SERIE: ",BDEGENER[[#This Row],[SERIE DE ALTERNADOR]])</f>
        <v>MARCA: CHASIS FORD
SERIE: 9BFZE1GF358634864</v>
      </c>
      <c r="AU635" s="85" t="str">
        <f>CONCATENATE("HORAS: ",BDEGENER[[#This Row],[HORAS]],"
KW-HR: ",BDEGENER[[#This Row],[KW-HORA]],"
VOLT.BATERIA: ",BDEGENER[[#This Row],[VOLTAJE DE BATERIA]],"
TEMPERATURA: ",BDEGENER[[#This Row],[TEMPERATURA DE AGUA]],"
PRES. ACEITE: ",BDEGENER[[#This Row],[PRESION DE ACEITE]])</f>
        <v xml:space="preserve">HORAS: 131480
KW-HR: 
VOLT.BATERIA: 
TEMPERATURA: 
PRES. ACEITE: </v>
      </c>
      <c r="AV635" s="683">
        <f>COUNTIFS(Q635:Q2635,"MANTENIMIENTO CORRECTIVO",Y635:Y2635,BDEGENER[[#This Row],[SERIE]])</f>
        <v>0</v>
      </c>
      <c r="AW635" s="683">
        <f>COUNTIFS(Q635:Q2635,"MANTENIMIENTO PREVENTIVO",Y635:Y2635,BDEGENER[[#This Row],[SERIE]])</f>
        <v>1</v>
      </c>
      <c r="AX63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35" s="85">
        <f>COUNTIFS(BDEGENER[SERIE],BDEGENER[[#This Row],[SERIE]],BDEGENER[TIPO DE SERVICIO],"MANTENIMIENTO PREVENTIVO")</f>
        <v>3</v>
      </c>
      <c r="AZ635" s="85" t="str">
        <f>CONCATENATE("MANTENIMIENTO PREVENTIVO N°",BDEGENER[[#This Row],[GA1]])</f>
        <v>MANTENIMIENTO PREVENTIVO N°3</v>
      </c>
      <c r="BA635" s="85" t="str">
        <f>IF(BDEGENER[[#This Row],[SERVICIO]]=BDEGENER[[#This Row],[GA2]],BDEGENER[[#This Row],[HORAS]],"0")</f>
        <v>0</v>
      </c>
      <c r="BB635" s="85">
        <f>SUMIF(BDEGENER[SERIE],BDEGENER[[#This Row],[SERIE]],BDEGENER[GA3])</f>
        <v>141510</v>
      </c>
      <c r="BC635" s="683" t="str">
        <f>CONCATENATE("MANT",COUNTIF($Y$7:Y635,Y635))</f>
        <v>MANT6</v>
      </c>
      <c r="BD635" s="85" t="str">
        <f>CONCATENATE(BDEGENER[[#This Row],[SERIE]],BDEGENER[[#This Row],[GA5]])</f>
        <v>D4Y-534MANT6</v>
      </c>
      <c r="BE635" s="85" t="str">
        <f>CONCATENATE(BDEGENER[[#This Row],[CODIGO PATRIMONIAL]],BDEGENER[[#This Row],[GA5]])</f>
        <v>MANT6</v>
      </c>
      <c r="BF635" s="85">
        <f>COUNTIF(BDEGENER[SERIE],BDEGENER[[#This Row],[SERIE]])</f>
        <v>6</v>
      </c>
      <c r="BG635" s="683" t="str">
        <f>CONCATENATE("F",COUNTIF($K$7:K635,K635))</f>
        <v>F1</v>
      </c>
      <c r="BH635" s="85" t="str">
        <f>CONCATENATE(BDEGENER[[#This Row],[FECHA DE SERVICIO]],BDEGENER[[#This Row],[N° DE REGISTROS DEL DIA]])</f>
        <v>43867F1</v>
      </c>
      <c r="BI635" s="132"/>
      <c r="BJ635" s="85" t="s">
        <v>1545</v>
      </c>
      <c r="BK635" s="680"/>
    </row>
    <row r="636" spans="2:63" ht="69" hidden="1" x14ac:dyDescent="0.3">
      <c r="B636" s="129"/>
      <c r="C636" s="129"/>
      <c r="D636" s="129"/>
      <c r="E636" s="129"/>
      <c r="F636" s="129"/>
      <c r="G636" s="129"/>
      <c r="H636" s="129"/>
      <c r="I636" s="129"/>
      <c r="J636" s="129"/>
      <c r="K636" s="131">
        <v>43867</v>
      </c>
      <c r="L636" s="130" t="s">
        <v>181</v>
      </c>
      <c r="M636" s="85" t="s">
        <v>188</v>
      </c>
      <c r="N636" s="85" t="s">
        <v>183</v>
      </c>
      <c r="O636" s="85"/>
      <c r="P636" s="9" t="s">
        <v>1433</v>
      </c>
      <c r="Q636" s="85" t="s">
        <v>37</v>
      </c>
      <c r="R636" s="85" t="s">
        <v>1782</v>
      </c>
      <c r="S636" s="6" t="s">
        <v>1796</v>
      </c>
      <c r="T636" s="85" t="s">
        <v>1782</v>
      </c>
      <c r="U636" s="85" t="s">
        <v>1431</v>
      </c>
      <c r="V636" s="85" t="s">
        <v>146</v>
      </c>
      <c r="W636" s="85" t="s">
        <v>914</v>
      </c>
      <c r="X636" s="85" t="s">
        <v>918</v>
      </c>
      <c r="Y636" s="130">
        <v>3004331707</v>
      </c>
      <c r="Z636" s="85" t="s">
        <v>192</v>
      </c>
      <c r="AA636" s="85" t="s">
        <v>33</v>
      </c>
      <c r="AB636" s="85" t="s">
        <v>34</v>
      </c>
      <c r="AC636" s="85" t="s">
        <v>230</v>
      </c>
      <c r="AD636" s="85" t="s">
        <v>1432</v>
      </c>
      <c r="AE636" s="85">
        <v>60</v>
      </c>
      <c r="AF636" s="132">
        <v>521.6</v>
      </c>
      <c r="AG636" s="85" t="s">
        <v>243</v>
      </c>
      <c r="AH636" s="85" t="s">
        <v>220</v>
      </c>
      <c r="AI636" s="85" t="s">
        <v>33</v>
      </c>
      <c r="AJ636" s="85">
        <v>3004308222</v>
      </c>
      <c r="AK636" s="85" t="s">
        <v>33</v>
      </c>
      <c r="AL636" s="85">
        <v>106304910</v>
      </c>
      <c r="AM636" s="85" t="s">
        <v>1377</v>
      </c>
      <c r="AN636" s="85" t="s">
        <v>1102</v>
      </c>
      <c r="AO636" s="85" t="s">
        <v>1095</v>
      </c>
      <c r="AP636" s="85" t="s">
        <v>240</v>
      </c>
      <c r="AQ636" s="9" t="str">
        <f>CONCATENATE("REG-",BDEGENER[[#This Row],[FECHA DE SERVICIO]],"-",BDEGENER[[#This Row],[SERIE]],"-",BDEGENER[[#This Row],[HORAS]])</f>
        <v>REG-43867-3004331707-521,6</v>
      </c>
      <c r="AR636" s="85" t="str">
        <f>CONCATENATE("MARCA: ",BDEGENER[[#This Row],[MARCA]],"
 MODELO: ",BDEGENER[[#This Row],[MODELO]])</f>
        <v>MARCA: GENERAC
 MODELO: PG090</v>
      </c>
      <c r="AS636" s="85" t="str">
        <f>CONCATENATE("MARCA: ",BDEGENER[[#This Row],[MARCA DE MOTOR]],"
SERIE: ",BDEGENER[[#This Row],[SERIE DE MOTOR]])</f>
        <v>MARCA: GENERAC
SERIE: 3004308222</v>
      </c>
      <c r="AT636" s="85" t="str">
        <f>CONCATENATE("MARCA: ",BDEGENER[[#This Row],[MARCA ALTERNADOR ]],"
SERIE: ",BDEGENER[[#This Row],[SERIE DE ALTERNADOR]])</f>
        <v>MARCA: GENERAC
SERIE: 106304910</v>
      </c>
      <c r="AU636" s="85" t="str">
        <f>CONCATENATE("HORAS: ",BDEGENER[[#This Row],[HORAS]],"
KW-HR: ",BDEGENER[[#This Row],[KW-HORA]],"
VOLT.BATERIA: ",BDEGENER[[#This Row],[VOLTAJE DE BATERIA]],"
TEMPERATURA: ",BDEGENER[[#This Row],[TEMPERATURA DE AGUA]],"
PRES. ACEITE: ",BDEGENER[[#This Row],[PRESION DE ACEITE]])</f>
        <v>HORAS: 521,6
KW-HR: 
VOLT.BATERIA: 13.8 V
TEMPERATURA: 199 °F
PRES. ACEITE: 54 PSI</v>
      </c>
      <c r="AV636" s="683">
        <f>COUNTIFS(Q636:Q2636,"MANTENIMIENTO CORRECTIVO",Y636:Y2636,BDEGENER[[#This Row],[SERIE]])</f>
        <v>1</v>
      </c>
      <c r="AW636" s="683">
        <f>COUNTIFS(Q636:Q2636,"MANTENIMIENTO PREVENTIVO",Y636:Y2636,BDEGENER[[#This Row],[SERIE]])</f>
        <v>2</v>
      </c>
      <c r="AX63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36" s="85">
        <f>COUNTIFS(BDEGENER[SERIE],BDEGENER[[#This Row],[SERIE]],BDEGENER[TIPO DE SERVICIO],"MANTENIMIENTO PREVENTIVO")</f>
        <v>3</v>
      </c>
      <c r="AZ636" s="85" t="str">
        <f>CONCATENATE("MANTENIMIENTO PREVENTIVO N°",BDEGENER[[#This Row],[GA1]])</f>
        <v>MANTENIMIENTO PREVENTIVO N°3</v>
      </c>
      <c r="BA636" s="85" t="str">
        <f>IF(BDEGENER[[#This Row],[SERVICIO]]=BDEGENER[[#This Row],[GA2]],BDEGENER[[#This Row],[HORAS]],"0")</f>
        <v>0</v>
      </c>
      <c r="BB636" s="85">
        <f>SUMIF(BDEGENER[SERIE],BDEGENER[[#This Row],[SERIE]],BDEGENER[GA3])</f>
        <v>938</v>
      </c>
      <c r="BC636" s="683" t="str">
        <f>CONCATENATE("MANT",COUNTIF($Y$7:Y636,Y636))</f>
        <v>MANT5</v>
      </c>
      <c r="BD636" s="85" t="str">
        <f>CONCATENATE(BDEGENER[[#This Row],[SERIE]],BDEGENER[[#This Row],[GA5]])</f>
        <v>3004331707MANT5</v>
      </c>
      <c r="BE636" s="85" t="str">
        <f>CONCATENATE(BDEGENER[[#This Row],[CODIGO PATRIMONIAL]],BDEGENER[[#This Row],[GA5]])</f>
        <v xml:space="preserve"> MANT5</v>
      </c>
      <c r="BF636" s="129">
        <f>COUNTIF(BDEGENER[SERIE],BDEGENER[[#This Row],[SERIE]])</f>
        <v>8</v>
      </c>
      <c r="BG636" s="683" t="str">
        <f>CONCATENATE("F",COUNTIF($K$7:K636,K636))</f>
        <v>F2</v>
      </c>
      <c r="BH636" s="681" t="str">
        <f>CONCATENATE(BDEGENER[[#This Row],[FECHA DE SERVICIO]],BDEGENER[[#This Row],[N° DE REGISTROS DEL DIA]])</f>
        <v>43867F2</v>
      </c>
      <c r="BI636" s="324"/>
      <c r="BJ636" s="85" t="s">
        <v>1544</v>
      </c>
      <c r="BK636" s="326"/>
    </row>
    <row r="637" spans="2:63" ht="69" hidden="1" x14ac:dyDescent="0.3">
      <c r="B637" s="129"/>
      <c r="C637" s="129"/>
      <c r="D637" s="129"/>
      <c r="E637" s="129"/>
      <c r="F637" s="129"/>
      <c r="G637" s="129"/>
      <c r="H637" s="129"/>
      <c r="I637" s="129"/>
      <c r="J637" s="129"/>
      <c r="K637" s="131">
        <v>43866</v>
      </c>
      <c r="L637" s="130" t="s">
        <v>181</v>
      </c>
      <c r="M637" s="85" t="s">
        <v>189</v>
      </c>
      <c r="N637" s="85" t="s">
        <v>1982</v>
      </c>
      <c r="O637" s="683"/>
      <c r="P637" s="85"/>
      <c r="Q637" s="85" t="s">
        <v>108</v>
      </c>
      <c r="R637" s="85" t="s">
        <v>2068</v>
      </c>
      <c r="S637" s="6" t="s">
        <v>2070</v>
      </c>
      <c r="T637" s="85" t="s">
        <v>2069</v>
      </c>
      <c r="U637" s="85"/>
      <c r="V637" s="85" t="s">
        <v>488</v>
      </c>
      <c r="W637" s="85" t="s">
        <v>914</v>
      </c>
      <c r="X637" s="85" t="s">
        <v>918</v>
      </c>
      <c r="Y637" s="15">
        <v>3004331708</v>
      </c>
      <c r="Z637" s="85"/>
      <c r="AA637" s="85" t="s">
        <v>33</v>
      </c>
      <c r="AB637" s="85" t="s">
        <v>34</v>
      </c>
      <c r="AC637" s="85" t="s">
        <v>230</v>
      </c>
      <c r="AD637" s="85" t="s">
        <v>2071</v>
      </c>
      <c r="AE637" s="85"/>
      <c r="AF637" s="132">
        <v>997.6</v>
      </c>
      <c r="AG637" s="85" t="s">
        <v>243</v>
      </c>
      <c r="AH637" s="85" t="s">
        <v>220</v>
      </c>
      <c r="AI637" s="85" t="s">
        <v>33</v>
      </c>
      <c r="AJ637" s="85">
        <v>3004309058</v>
      </c>
      <c r="AK637" s="85" t="s">
        <v>33</v>
      </c>
      <c r="AL637" s="85">
        <v>106302850</v>
      </c>
      <c r="AM637" s="85" t="s">
        <v>2072</v>
      </c>
      <c r="AN637" s="85" t="s">
        <v>2073</v>
      </c>
      <c r="AO637" s="85" t="s">
        <v>1166</v>
      </c>
      <c r="AP637" s="85" t="s">
        <v>557</v>
      </c>
      <c r="AQ637" s="9" t="str">
        <f>CONCATENATE("REG-",BDEGENER[[#This Row],[FECHA DE SERVICIO]],"-",BDEGENER[[#This Row],[SERIE]],"-",BDEGENER[[#This Row],[HORAS]])</f>
        <v>REG-43866-3004331708-997,6</v>
      </c>
      <c r="AR637" s="85" t="str">
        <f>CONCATENATE("MARCA: ",BDEGENER[[#This Row],[MARCA]],"
 MODELO: ",BDEGENER[[#This Row],[MODELO]])</f>
        <v>MARCA: GENERAC
 MODELO: PG090</v>
      </c>
      <c r="AS637" s="85" t="str">
        <f>CONCATENATE("MARCA: ",BDEGENER[[#This Row],[MARCA DE MOTOR]],"
SERIE: ",BDEGENER[[#This Row],[SERIE DE MOTOR]])</f>
        <v>MARCA: GENERAC
SERIE: 3004309058</v>
      </c>
      <c r="AT637" s="85" t="str">
        <f>CONCATENATE("MARCA: ",BDEGENER[[#This Row],[MARCA ALTERNADOR ]],"
SERIE: ",BDEGENER[[#This Row],[SERIE DE ALTERNADOR]])</f>
        <v>MARCA: GENERAC
SERIE: 106302850</v>
      </c>
      <c r="AU637" s="85" t="str">
        <f>CONCATENATE("HORAS: ",BDEGENER[[#This Row],[HORAS]],"
KW-HR: ",BDEGENER[[#This Row],[KW-HORA]],"
VOLT.BATERIA: ",BDEGENER[[#This Row],[VOLTAJE DE BATERIA]],"
TEMPERATURA: ",BDEGENER[[#This Row],[TEMPERATURA DE AGUA]],"
PRES. ACEITE: ",BDEGENER[[#This Row],[PRESION DE ACEITE]])</f>
        <v>HORAS: 997,6
KW-HR: 
VOLT.BATERIA: 13.63 V
TEMPERATURA: 187 °F
PRES. ACEITE: 57 PSI</v>
      </c>
      <c r="AV637" s="761">
        <f>COUNTIFS(Q637:Q2637,"MANTENIMIENTO CORRECTIVO",Y637:Y2637,BDEGENER[[#This Row],[SERIE]])</f>
        <v>2</v>
      </c>
      <c r="AW637" s="761">
        <f>COUNTIFS(Q637:Q2637,"MANTENIMIENTO PREVENTIVO",Y637:Y2637,BDEGENER[[#This Row],[SERIE]])</f>
        <v>3</v>
      </c>
      <c r="AX637"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37" s="85">
        <f>COUNTIFS(BDEGENER[SERIE],BDEGENER[[#This Row],[SERIE]],BDEGENER[TIPO DE SERVICIO],"MANTENIMIENTO PREVENTIVO")</f>
        <v>6</v>
      </c>
      <c r="AZ637" s="85" t="str">
        <f>CONCATENATE("MANTENIMIENTO PREVENTIVO N°",BDEGENER[[#This Row],[GA1]])</f>
        <v>MANTENIMIENTO PREVENTIVO N°6</v>
      </c>
      <c r="BA637" s="85" t="str">
        <f>IF(BDEGENER[[#This Row],[SERVICIO]]=BDEGENER[[#This Row],[GA2]],BDEGENER[[#This Row],[HORAS]],"0")</f>
        <v>0</v>
      </c>
      <c r="BB637" s="85">
        <f>SUMIF(BDEGENER[SERIE],BDEGENER[[#This Row],[SERIE]],BDEGENER[GA3])</f>
        <v>1635.5</v>
      </c>
      <c r="BC637" s="761" t="str">
        <f>CONCATENATE("MANT",COUNTIF($Y$7:Y637,Y637))</f>
        <v>MANT7</v>
      </c>
      <c r="BD637" s="85" t="str">
        <f>CONCATENATE(BDEGENER[[#This Row],[SERIE]],BDEGENER[[#This Row],[GA5]])</f>
        <v>3004331708MANT7</v>
      </c>
      <c r="BE637" s="85" t="str">
        <f>CONCATENATE(BDEGENER[[#This Row],[CODIGO PATRIMONIAL]],BDEGENER[[#This Row],[GA5]])</f>
        <v>MANT7</v>
      </c>
      <c r="BF637" s="85">
        <f>COUNTIF(BDEGENER[SERIE],BDEGENER[[#This Row],[SERIE]])</f>
        <v>13</v>
      </c>
      <c r="BG637" s="761" t="str">
        <f>CONCATENATE("F",COUNTIF($K$7:K637,K637))</f>
        <v>F1</v>
      </c>
      <c r="BH637" s="85" t="str">
        <f>CONCATENATE(BDEGENER[[#This Row],[FECHA DE SERVICIO]],BDEGENER[[#This Row],[N° DE REGISTROS DEL DIA]])</f>
        <v>43866F1</v>
      </c>
      <c r="BI637" s="132"/>
      <c r="BJ637" s="85" t="s">
        <v>1544</v>
      </c>
      <c r="BK637" s="680"/>
    </row>
    <row r="638" spans="2:63" ht="82.8" hidden="1" x14ac:dyDescent="0.3">
      <c r="B638" s="129"/>
      <c r="C638" s="129"/>
      <c r="D638" s="129"/>
      <c r="E638" s="129"/>
      <c r="F638" s="129"/>
      <c r="G638" s="129"/>
      <c r="H638" s="129"/>
      <c r="I638" s="129"/>
      <c r="J638" s="129"/>
      <c r="K638" s="131">
        <v>43866</v>
      </c>
      <c r="L638" s="130" t="s">
        <v>181</v>
      </c>
      <c r="M638" s="85" t="s">
        <v>187</v>
      </c>
      <c r="N638" s="85" t="s">
        <v>183</v>
      </c>
      <c r="O638" s="85"/>
      <c r="P638" s="85"/>
      <c r="Q638" s="85" t="s">
        <v>108</v>
      </c>
      <c r="R638" s="85" t="s">
        <v>1693</v>
      </c>
      <c r="S638" s="6" t="s">
        <v>1694</v>
      </c>
      <c r="T638" s="85" t="s">
        <v>1695</v>
      </c>
      <c r="U638" s="85"/>
      <c r="V638" s="85" t="s">
        <v>149</v>
      </c>
      <c r="W638" s="85" t="s">
        <v>914</v>
      </c>
      <c r="X638" s="85" t="s">
        <v>918</v>
      </c>
      <c r="Y638" s="15">
        <v>3004337430</v>
      </c>
      <c r="Z638" s="85" t="s">
        <v>192</v>
      </c>
      <c r="AA638" s="85" t="s">
        <v>33</v>
      </c>
      <c r="AB638" s="85" t="s">
        <v>34</v>
      </c>
      <c r="AC638" s="85" t="s">
        <v>230</v>
      </c>
      <c r="AD638" s="85"/>
      <c r="AE638" s="85"/>
      <c r="AF638" s="132">
        <v>563.1</v>
      </c>
      <c r="AG638" s="85" t="s">
        <v>243</v>
      </c>
      <c r="AH638" s="85" t="s">
        <v>220</v>
      </c>
      <c r="AI638" s="85" t="s">
        <v>33</v>
      </c>
      <c r="AJ638" s="85">
        <v>3004346827</v>
      </c>
      <c r="AK638" s="85" t="s">
        <v>33</v>
      </c>
      <c r="AL638" s="85"/>
      <c r="AM638" s="85"/>
      <c r="AN638" s="85"/>
      <c r="AO638" s="85" t="s">
        <v>1321</v>
      </c>
      <c r="AP638" s="85" t="s">
        <v>557</v>
      </c>
      <c r="AQ638" s="9" t="str">
        <f>CONCATENATE("REG-",BDEGENER[[#This Row],[FECHA DE SERVICIO]],"-",BDEGENER[[#This Row],[SERIE]],"-",BDEGENER[[#This Row],[HORAS]])</f>
        <v>REG-43866-3004337430-563,1</v>
      </c>
      <c r="AR638" s="85" t="str">
        <f>CONCATENATE("MARCA: ",BDEGENER[[#This Row],[MARCA]],"
 MODELO: ",BDEGENER[[#This Row],[MODELO]])</f>
        <v>MARCA: GENERAC
 MODELO: PG090</v>
      </c>
      <c r="AS638" s="85" t="str">
        <f>CONCATENATE("MARCA: ",BDEGENER[[#This Row],[MARCA DE MOTOR]],"
SERIE: ",BDEGENER[[#This Row],[SERIE DE MOTOR]])</f>
        <v>MARCA: GENERAC
SERIE: 3004346827</v>
      </c>
      <c r="AT638" s="85" t="str">
        <f>CONCATENATE("MARCA: ",BDEGENER[[#This Row],[MARCA ALTERNADOR ]],"
SERIE: ",BDEGENER[[#This Row],[SERIE DE ALTERNADOR]])</f>
        <v xml:space="preserve">MARCA: GENERAC
SERIE: </v>
      </c>
      <c r="AU638" s="85" t="str">
        <f>CONCATENATE("HORAS: ",BDEGENER[[#This Row],[HORAS]],"
KW-HR: ",BDEGENER[[#This Row],[KW-HORA]],"
VOLT.BATERIA: ",BDEGENER[[#This Row],[VOLTAJE DE BATERIA]],"
TEMPERATURA: ",BDEGENER[[#This Row],[TEMPERATURA DE AGUA]],"
PRES. ACEITE: ",BDEGENER[[#This Row],[PRESION DE ACEITE]])</f>
        <v>HORAS: 563,1
KW-HR: 
VOLT.BATERIA: 
TEMPERATURA: 
PRES. ACEITE: 25 PSI</v>
      </c>
      <c r="AV638" s="683">
        <f>COUNTIFS(Q638:Q2638,"MANTENIMIENTO CORRECTIVO",Y638:Y2638,BDEGENER[[#This Row],[SERIE]])</f>
        <v>1</v>
      </c>
      <c r="AW638" s="683">
        <f>COUNTIFS(Q638:Q2638,"MANTENIMIENTO PREVENTIVO",Y638:Y2638,BDEGENER[[#This Row],[SERIE]])</f>
        <v>2</v>
      </c>
      <c r="AX638"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638" s="85">
        <f>COUNTIFS(BDEGENER[SERIE],BDEGENER[[#This Row],[SERIE]],BDEGENER[TIPO DE SERVICIO],"MANTENIMIENTO PREVENTIVO")</f>
        <v>3</v>
      </c>
      <c r="AZ638" s="85" t="str">
        <f>CONCATENATE("MANTENIMIENTO PREVENTIVO N°",BDEGENER[[#This Row],[GA1]])</f>
        <v>MANTENIMIENTO PREVENTIVO N°3</v>
      </c>
      <c r="BA638" s="85" t="str">
        <f>IF(BDEGENER[[#This Row],[SERVICIO]]=BDEGENER[[#This Row],[GA2]],BDEGENER[[#This Row],[HORAS]],"0")</f>
        <v>0</v>
      </c>
      <c r="BB638" s="85">
        <f>SUMIF(BDEGENER[SERIE],BDEGENER[[#This Row],[SERIE]],BDEGENER[GA3])</f>
        <v>596.6</v>
      </c>
      <c r="BC638" s="683" t="str">
        <f>CONCATENATE("MANT",COUNTIF($Y$7:Y638,Y638))</f>
        <v>MANT7</v>
      </c>
      <c r="BD638" s="85" t="str">
        <f>CONCATENATE(BDEGENER[[#This Row],[SERIE]],BDEGENER[[#This Row],[GA5]])</f>
        <v>3004337430MANT7</v>
      </c>
      <c r="BE638" s="85" t="str">
        <f>CONCATENATE(BDEGENER[[#This Row],[CODIGO PATRIMONIAL]],BDEGENER[[#This Row],[GA5]])</f>
        <v xml:space="preserve"> MANT7</v>
      </c>
      <c r="BF638" s="85">
        <f>COUNTIF(BDEGENER[SERIE],BDEGENER[[#This Row],[SERIE]])</f>
        <v>11</v>
      </c>
      <c r="BG638" s="683" t="str">
        <f>CONCATENATE("F",COUNTIF($K$7:K638,K638))</f>
        <v>F2</v>
      </c>
      <c r="BH638" s="85" t="str">
        <f>CONCATENATE(BDEGENER[[#This Row],[FECHA DE SERVICIO]],BDEGENER[[#This Row],[N° DE REGISTROS DEL DIA]])</f>
        <v>43866F2</v>
      </c>
      <c r="BI638" s="132"/>
      <c r="BJ638" s="85" t="s">
        <v>1544</v>
      </c>
      <c r="BK638" s="326"/>
    </row>
    <row r="639" spans="2:63" ht="69" hidden="1" x14ac:dyDescent="0.3">
      <c r="B639" s="129"/>
      <c r="C639" s="129"/>
      <c r="D639" s="129"/>
      <c r="E639" s="129"/>
      <c r="F639" s="129"/>
      <c r="G639" s="129"/>
      <c r="H639" s="129"/>
      <c r="I639" s="129"/>
      <c r="J639" s="129"/>
      <c r="K639" s="131">
        <v>43866</v>
      </c>
      <c r="L639" s="130" t="s">
        <v>248</v>
      </c>
      <c r="M639" s="85" t="s">
        <v>249</v>
      </c>
      <c r="N639" s="85" t="s">
        <v>250</v>
      </c>
      <c r="O639" s="85"/>
      <c r="P639" s="85"/>
      <c r="Q639" s="85" t="s">
        <v>37</v>
      </c>
      <c r="R639" s="85" t="s">
        <v>1782</v>
      </c>
      <c r="S639" s="6" t="s">
        <v>1797</v>
      </c>
      <c r="T639" s="85" t="s">
        <v>1782</v>
      </c>
      <c r="U639" s="85" t="s">
        <v>1831</v>
      </c>
      <c r="V639" s="85" t="s">
        <v>149</v>
      </c>
      <c r="W639" s="85" t="s">
        <v>914</v>
      </c>
      <c r="X639" s="85" t="s">
        <v>918</v>
      </c>
      <c r="Y639" s="130">
        <v>3005005010</v>
      </c>
      <c r="Z639" s="85">
        <v>24547</v>
      </c>
      <c r="AA639" s="85" t="s">
        <v>33</v>
      </c>
      <c r="AB639" s="85" t="s">
        <v>34</v>
      </c>
      <c r="AC639" s="85" t="s">
        <v>230</v>
      </c>
      <c r="AD639" s="85" t="s">
        <v>1123</v>
      </c>
      <c r="AE639" s="85">
        <v>60</v>
      </c>
      <c r="AF639" s="132">
        <v>733</v>
      </c>
      <c r="AG639" s="85" t="s">
        <v>243</v>
      </c>
      <c r="AH639" s="85" t="s">
        <v>220</v>
      </c>
      <c r="AI639" s="16" t="s">
        <v>33</v>
      </c>
      <c r="AJ639" s="16">
        <v>3005065416</v>
      </c>
      <c r="AK639" s="16" t="s">
        <v>33</v>
      </c>
      <c r="AL639" s="85"/>
      <c r="AM639" s="85" t="s">
        <v>1377</v>
      </c>
      <c r="AN639" s="85" t="s">
        <v>1397</v>
      </c>
      <c r="AO639" s="85" t="s">
        <v>247</v>
      </c>
      <c r="AP639" s="85" t="s">
        <v>240</v>
      </c>
      <c r="AQ639" s="9" t="str">
        <f>CONCATENATE("REG-",BDEGENER[[#This Row],[FECHA DE SERVICIO]],"-",BDEGENER[[#This Row],[SERIE]],"-",BDEGENER[[#This Row],[HORAS]])</f>
        <v>REG-43866-3005005010-733</v>
      </c>
      <c r="AR639" s="85" t="str">
        <f>CONCATENATE("MARCA: ",BDEGENER[[#This Row],[MARCA]],"
 MODELO: ",BDEGENER[[#This Row],[MODELO]])</f>
        <v>MARCA: GENERAC
 MODELO: PG090</v>
      </c>
      <c r="AS639" s="85" t="str">
        <f>CONCATENATE("MARCA: ",BDEGENER[[#This Row],[MARCA DE MOTOR]],"
SERIE: ",BDEGENER[[#This Row],[SERIE DE MOTOR]])</f>
        <v>MARCA: GENERAC
SERIE: 3005065416</v>
      </c>
      <c r="AT639" s="85" t="str">
        <f>CONCATENATE("MARCA: ",BDEGENER[[#This Row],[MARCA ALTERNADOR ]],"
SERIE: ",BDEGENER[[#This Row],[SERIE DE ALTERNADOR]])</f>
        <v xml:space="preserve">MARCA: GENERAC
SERIE: </v>
      </c>
      <c r="AU639" s="85" t="str">
        <f>CONCATENATE("HORAS: ",BDEGENER[[#This Row],[HORAS]],"
KW-HR: ",BDEGENER[[#This Row],[KW-HORA]],"
VOLT.BATERIA: ",BDEGENER[[#This Row],[VOLTAJE DE BATERIA]],"
TEMPERATURA: ",BDEGENER[[#This Row],[TEMPERATURA DE AGUA]],"
PRES. ACEITE: ",BDEGENER[[#This Row],[PRESION DE ACEITE]])</f>
        <v>HORAS: 733
KW-HR: 22853
VOLT.BATERIA: 13.8 V
TEMPERATURA: 206 °F
PRES. ACEITE: 55 PSI</v>
      </c>
      <c r="AV639" s="683">
        <f>COUNTIFS(Q639:Q2639,"MANTENIMIENTO CORRECTIVO",Y639:Y2639,BDEGENER[[#This Row],[SERIE]])</f>
        <v>0</v>
      </c>
      <c r="AW639" s="683">
        <f>COUNTIFS(Q639:Q2639,"MANTENIMIENTO PREVENTIVO",Y639:Y2639,BDEGENER[[#This Row],[SERIE]])</f>
        <v>3</v>
      </c>
      <c r="AX63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39" s="85">
        <f>COUNTIFS(BDEGENER[SERIE],BDEGENER[[#This Row],[SERIE]],BDEGENER[TIPO DE SERVICIO],"MANTENIMIENTO PREVENTIVO")</f>
        <v>9</v>
      </c>
      <c r="AZ639" s="85" t="str">
        <f>CONCATENATE("MANTENIMIENTO PREVENTIVO N°",BDEGENER[[#This Row],[GA1]])</f>
        <v>MANTENIMIENTO PREVENTIVO N°9</v>
      </c>
      <c r="BA639" s="85" t="str">
        <f>IF(BDEGENER[[#This Row],[SERVICIO]]=BDEGENER[[#This Row],[GA2]],BDEGENER[[#This Row],[HORAS]],"0")</f>
        <v>0</v>
      </c>
      <c r="BB639" s="85">
        <f>SUMIF(BDEGENER[SERIE],BDEGENER[[#This Row],[SERIE]],BDEGENER[GA3])</f>
        <v>2557.3000000000002</v>
      </c>
      <c r="BC639" s="683" t="str">
        <f>CONCATENATE("MANT",COUNTIF($Y$7:Y639,Y639))</f>
        <v>MANT10</v>
      </c>
      <c r="BD639" s="85" t="str">
        <f>CONCATENATE(BDEGENER[[#This Row],[SERIE]],BDEGENER[[#This Row],[GA5]])</f>
        <v>3005005010MANT10</v>
      </c>
      <c r="BE639" s="85" t="str">
        <f>CONCATENATE(BDEGENER[[#This Row],[CODIGO PATRIMONIAL]],BDEGENER[[#This Row],[GA5]])</f>
        <v>24547MANT10</v>
      </c>
      <c r="BF639" s="129">
        <f>COUNTIF(BDEGENER[SERIE],BDEGENER[[#This Row],[SERIE]])</f>
        <v>14</v>
      </c>
      <c r="BG639" s="683" t="str">
        <f>CONCATENATE("F",COUNTIF($K$7:K639,K639))</f>
        <v>F3</v>
      </c>
      <c r="BH639" s="681" t="str">
        <f>CONCATENATE(BDEGENER[[#This Row],[FECHA DE SERVICIO]],BDEGENER[[#This Row],[N° DE REGISTROS DEL DIA]])</f>
        <v>43866F3</v>
      </c>
      <c r="BI639" s="326">
        <v>22853</v>
      </c>
      <c r="BJ639" s="325" t="s">
        <v>1544</v>
      </c>
      <c r="BK639" s="326"/>
    </row>
    <row r="640" spans="2:63" ht="82.8" hidden="1" x14ac:dyDescent="0.3">
      <c r="B640" s="129"/>
      <c r="C640" s="129"/>
      <c r="D640" s="129"/>
      <c r="E640" s="129"/>
      <c r="F640" s="129"/>
      <c r="G640" s="129"/>
      <c r="H640" s="129"/>
      <c r="I640" s="129"/>
      <c r="J640" s="129"/>
      <c r="K640" s="131">
        <v>43866</v>
      </c>
      <c r="L640" s="130" t="s">
        <v>181</v>
      </c>
      <c r="M640" s="85" t="s">
        <v>187</v>
      </c>
      <c r="N640" s="85" t="s">
        <v>183</v>
      </c>
      <c r="O640" s="85">
        <v>4500850370</v>
      </c>
      <c r="P640" s="9" t="s">
        <v>1324</v>
      </c>
      <c r="Q640" s="85" t="s">
        <v>37</v>
      </c>
      <c r="R640" s="85" t="s">
        <v>1320</v>
      </c>
      <c r="S640" s="6" t="s">
        <v>1805</v>
      </c>
      <c r="T640" s="85" t="s">
        <v>1322</v>
      </c>
      <c r="U640" s="85" t="s">
        <v>1323</v>
      </c>
      <c r="V640" s="85" t="s">
        <v>149</v>
      </c>
      <c r="W640" s="85" t="s">
        <v>914</v>
      </c>
      <c r="X640" s="85" t="s">
        <v>918</v>
      </c>
      <c r="Y640" s="130">
        <v>3004337430</v>
      </c>
      <c r="Z640" s="85" t="s">
        <v>192</v>
      </c>
      <c r="AA640" s="85" t="s">
        <v>33</v>
      </c>
      <c r="AB640" s="85" t="s">
        <v>34</v>
      </c>
      <c r="AC640" s="85" t="s">
        <v>230</v>
      </c>
      <c r="AD640" s="85" t="s">
        <v>1110</v>
      </c>
      <c r="AE640" s="85">
        <v>60</v>
      </c>
      <c r="AF640" s="132">
        <v>563</v>
      </c>
      <c r="AG640" s="85" t="s">
        <v>243</v>
      </c>
      <c r="AH640" s="85" t="s">
        <v>220</v>
      </c>
      <c r="AI640" s="85" t="s">
        <v>33</v>
      </c>
      <c r="AJ640" s="85"/>
      <c r="AK640" s="85" t="s">
        <v>33</v>
      </c>
      <c r="AL640" s="85"/>
      <c r="AM640" s="85" t="s">
        <v>1325</v>
      </c>
      <c r="AN640" s="85" t="s">
        <v>1102</v>
      </c>
      <c r="AO640" s="85" t="s">
        <v>1321</v>
      </c>
      <c r="AP640" s="85" t="s">
        <v>240</v>
      </c>
      <c r="AQ640" s="9" t="str">
        <f>CONCATENATE("REG-",BDEGENER[[#This Row],[FECHA DE SERVICIO]],"-",BDEGENER[[#This Row],[SERIE]],"-",BDEGENER[[#This Row],[HORAS]])</f>
        <v>REG-43866-3004337430-563</v>
      </c>
      <c r="AR640" s="85" t="str">
        <f>CONCATENATE("MARCA: ",BDEGENER[[#This Row],[MARCA]],"
 MODELO: ",BDEGENER[[#This Row],[MODELO]])</f>
        <v>MARCA: GENERAC
 MODELO: PG090</v>
      </c>
      <c r="AS640" s="85" t="str">
        <f>CONCATENATE("MARCA: ",BDEGENER[[#This Row],[MARCA DE MOTOR]],"
SERIE: ",BDEGENER[[#This Row],[SERIE DE MOTOR]])</f>
        <v xml:space="preserve">MARCA: GENERAC
SERIE: </v>
      </c>
      <c r="AT640" s="85" t="str">
        <f>CONCATENATE("MARCA: ",BDEGENER[[#This Row],[MARCA ALTERNADOR ]],"
SERIE: ",BDEGENER[[#This Row],[SERIE DE ALTERNADOR]])</f>
        <v xml:space="preserve">MARCA: GENERAC
SERIE: </v>
      </c>
      <c r="AU640" s="85" t="str">
        <f>CONCATENATE("HORAS: ",BDEGENER[[#This Row],[HORAS]],"
KW-HR: ",BDEGENER[[#This Row],[KW-HORA]],"
VOLT.BATERIA: ",BDEGENER[[#This Row],[VOLTAJE DE BATERIA]],"
TEMPERATURA: ",BDEGENER[[#This Row],[TEMPERATURA DE AGUA]],"
PRES. ACEITE: ",BDEGENER[[#This Row],[PRESION DE ACEITE]])</f>
        <v>HORAS: 563
KW-HR: 
VOLT.BATERIA: 13.8V
TEMPERATURA: 199 °F
PRES. ACEITE: 25 PSI</v>
      </c>
      <c r="AV640" s="761">
        <f>COUNTIFS(Q640:Q2640,"MANTENIMIENTO CORRECTIVO",Y640:Y2640,BDEGENER[[#This Row],[SERIE]])</f>
        <v>1</v>
      </c>
      <c r="AW640" s="761">
        <f>COUNTIFS(Q640:Q2640,"MANTENIMIENTO PREVENTIVO",Y640:Y2640,BDEGENER[[#This Row],[SERIE]])</f>
        <v>2</v>
      </c>
      <c r="AX64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40" s="85">
        <f>COUNTIFS(BDEGENER[SERIE],BDEGENER[[#This Row],[SERIE]],BDEGENER[TIPO DE SERVICIO],"MANTENIMIENTO PREVENTIVO")</f>
        <v>3</v>
      </c>
      <c r="AZ640" s="85" t="str">
        <f>CONCATENATE("MANTENIMIENTO PREVENTIVO N°",BDEGENER[[#This Row],[GA1]])</f>
        <v>MANTENIMIENTO PREVENTIVO N°3</v>
      </c>
      <c r="BA640" s="85" t="str">
        <f>IF(BDEGENER[[#This Row],[SERVICIO]]=BDEGENER[[#This Row],[GA2]],BDEGENER[[#This Row],[HORAS]],"0")</f>
        <v>0</v>
      </c>
      <c r="BB640" s="85">
        <f>SUMIF(BDEGENER[SERIE],BDEGENER[[#This Row],[SERIE]],BDEGENER[GA3])</f>
        <v>596.6</v>
      </c>
      <c r="BC640" s="761" t="str">
        <f>CONCATENATE("MANT",COUNTIF($Y$7:Y640,Y640))</f>
        <v>MANT8</v>
      </c>
      <c r="BD640" s="85" t="str">
        <f>CONCATENATE(BDEGENER[[#This Row],[SERIE]],BDEGENER[[#This Row],[GA5]])</f>
        <v>3004337430MANT8</v>
      </c>
      <c r="BE640" s="85" t="str">
        <f>CONCATENATE(BDEGENER[[#This Row],[CODIGO PATRIMONIAL]],BDEGENER[[#This Row],[GA5]])</f>
        <v xml:space="preserve"> MANT8</v>
      </c>
      <c r="BF640" s="129">
        <f>COUNTIF(BDEGENER[SERIE],BDEGENER[[#This Row],[SERIE]])</f>
        <v>11</v>
      </c>
      <c r="BG640" s="761" t="str">
        <f>CONCATENATE("F",COUNTIF($K$7:K640,K640))</f>
        <v>F4</v>
      </c>
      <c r="BH640" s="325" t="str">
        <f>CONCATENATE(BDEGENER[[#This Row],[FECHA DE SERVICIO]],BDEGENER[[#This Row],[N° DE REGISTROS DEL DIA]])</f>
        <v>43866F4</v>
      </c>
      <c r="BI640" s="324"/>
      <c r="BJ640" s="85" t="s">
        <v>1544</v>
      </c>
      <c r="BK640" s="326"/>
    </row>
    <row r="641" spans="2:63" ht="69" hidden="1" x14ac:dyDescent="0.3">
      <c r="B641" s="129"/>
      <c r="C641" s="129"/>
      <c r="D641" s="129"/>
      <c r="E641" s="129"/>
      <c r="F641" s="129"/>
      <c r="G641" s="129"/>
      <c r="H641" s="129"/>
      <c r="I641" s="129"/>
      <c r="J641" s="129"/>
      <c r="K641" s="131">
        <v>43865</v>
      </c>
      <c r="L641" s="130" t="s">
        <v>181</v>
      </c>
      <c r="M641" s="85" t="s">
        <v>188</v>
      </c>
      <c r="N641" s="85" t="s">
        <v>183</v>
      </c>
      <c r="O641" s="85"/>
      <c r="P641" s="9" t="s">
        <v>1328</v>
      </c>
      <c r="Q641" s="85" t="s">
        <v>37</v>
      </c>
      <c r="R641" s="85" t="s">
        <v>1782</v>
      </c>
      <c r="S641" s="6" t="s">
        <v>1798</v>
      </c>
      <c r="T641" s="85" t="s">
        <v>1225</v>
      </c>
      <c r="U641" s="85" t="s">
        <v>1327</v>
      </c>
      <c r="V641" s="85" t="s">
        <v>146</v>
      </c>
      <c r="W641" s="85" t="s">
        <v>914</v>
      </c>
      <c r="X641" s="85" t="s">
        <v>918</v>
      </c>
      <c r="Y641" s="130">
        <v>3004235514</v>
      </c>
      <c r="Z641" s="85" t="s">
        <v>192</v>
      </c>
      <c r="AA641" s="85" t="s">
        <v>33</v>
      </c>
      <c r="AB641" s="85" t="s">
        <v>34</v>
      </c>
      <c r="AC641" s="85" t="s">
        <v>230</v>
      </c>
      <c r="AD641" s="85">
        <v>450</v>
      </c>
      <c r="AE641" s="85">
        <v>60</v>
      </c>
      <c r="AF641" s="132">
        <v>460.7</v>
      </c>
      <c r="AG641" s="85" t="s">
        <v>243</v>
      </c>
      <c r="AH641" s="85" t="s">
        <v>220</v>
      </c>
      <c r="AI641" s="85" t="s">
        <v>33</v>
      </c>
      <c r="AJ641" s="85"/>
      <c r="AK641" s="85" t="s">
        <v>33</v>
      </c>
      <c r="AL641" s="85"/>
      <c r="AM641" s="85" t="s">
        <v>1121</v>
      </c>
      <c r="AN641" s="85" t="s">
        <v>1102</v>
      </c>
      <c r="AO641" s="85" t="s">
        <v>1095</v>
      </c>
      <c r="AP641" s="85" t="s">
        <v>240</v>
      </c>
      <c r="AQ641" s="9" t="str">
        <f>CONCATENATE("REG-",BDEGENER[[#This Row],[FECHA DE SERVICIO]],"-",BDEGENER[[#This Row],[SERIE]],"-",BDEGENER[[#This Row],[HORAS]])</f>
        <v>REG-43865-3004235514-460,7</v>
      </c>
      <c r="AR641" s="85" t="str">
        <f>CONCATENATE("MARCA: ",BDEGENER[[#This Row],[MARCA]],"
 MODELO: ",BDEGENER[[#This Row],[MODELO]])</f>
        <v>MARCA: GENERAC
 MODELO: PG090</v>
      </c>
      <c r="AS641" s="85" t="str">
        <f>CONCATENATE("MARCA: ",BDEGENER[[#This Row],[MARCA DE MOTOR]],"
SERIE: ",BDEGENER[[#This Row],[SERIE DE MOTOR]])</f>
        <v xml:space="preserve">MARCA: GENERAC
SERIE: </v>
      </c>
      <c r="AT641" s="85" t="str">
        <f>CONCATENATE("MARCA: ",BDEGENER[[#This Row],[MARCA ALTERNADOR ]],"
SERIE: ",BDEGENER[[#This Row],[SERIE DE ALTERNADOR]])</f>
        <v xml:space="preserve">MARCA: GENERAC
SERIE: </v>
      </c>
      <c r="AU641" s="85" t="str">
        <f>CONCATENATE("HORAS: ",BDEGENER[[#This Row],[HORAS]],"
KW-HR: ",BDEGENER[[#This Row],[KW-HORA]],"
VOLT.BATERIA: ",BDEGENER[[#This Row],[VOLTAJE DE BATERIA]],"
TEMPERATURA: ",BDEGENER[[#This Row],[TEMPERATURA DE AGUA]],"
PRES. ACEITE: ",BDEGENER[[#This Row],[PRESION DE ACEITE]])</f>
        <v>HORAS: 460,7
KW-HR: 
VOLT.BATERIA: 13.7 V
TEMPERATURA: 199 °F
PRES. ACEITE: 54 PSI</v>
      </c>
      <c r="AV641" s="683">
        <f>COUNTIFS(Q641:Q2641,"MANTENIMIENTO CORRECTIVO",Y641:Y2641,BDEGENER[[#This Row],[SERIE]])</f>
        <v>1</v>
      </c>
      <c r="AW641" s="683">
        <f>COUNTIFS(Q641:Q2641,"MANTENIMIENTO PREVENTIVO",Y641:Y2641,BDEGENER[[#This Row],[SERIE]])</f>
        <v>2</v>
      </c>
      <c r="AX64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41" s="85">
        <f>COUNTIFS(BDEGENER[SERIE],BDEGENER[[#This Row],[SERIE]],BDEGENER[TIPO DE SERVICIO],"MANTENIMIENTO PREVENTIVO")</f>
        <v>7</v>
      </c>
      <c r="AZ641" s="85" t="str">
        <f>CONCATENATE("MANTENIMIENTO PREVENTIVO N°",BDEGENER[[#This Row],[GA1]])</f>
        <v>MANTENIMIENTO PREVENTIVO N°7</v>
      </c>
      <c r="BA641" s="85" t="str">
        <f>IF(BDEGENER[[#This Row],[SERVICIO]]=BDEGENER[[#This Row],[GA2]],BDEGENER[[#This Row],[HORAS]],"0")</f>
        <v>0</v>
      </c>
      <c r="BB641" s="85">
        <f>SUMIF(BDEGENER[SERIE],BDEGENER[[#This Row],[SERIE]],BDEGENER[GA3])</f>
        <v>2044.9</v>
      </c>
      <c r="BC641" s="683" t="str">
        <f>CONCATENATE("MANT",COUNTIF($Y$7:Y641,Y641))</f>
        <v>MANT7</v>
      </c>
      <c r="BD641" s="85" t="str">
        <f>CONCATENATE(BDEGENER[[#This Row],[SERIE]],BDEGENER[[#This Row],[GA5]])</f>
        <v>3004235514MANT7</v>
      </c>
      <c r="BE641" s="85" t="str">
        <f>CONCATENATE(BDEGENER[[#This Row],[CODIGO PATRIMONIAL]],BDEGENER[[#This Row],[GA5]])</f>
        <v xml:space="preserve"> MANT7</v>
      </c>
      <c r="BF641" s="129">
        <f>COUNTIF(BDEGENER[SERIE],BDEGENER[[#This Row],[SERIE]])</f>
        <v>10</v>
      </c>
      <c r="BG641" s="683" t="str">
        <f>CONCATENATE("F",COUNTIF($K$7:K641,K641))</f>
        <v>F1</v>
      </c>
      <c r="BH641" s="325" t="str">
        <f>CONCATENATE(BDEGENER[[#This Row],[FECHA DE SERVICIO]],BDEGENER[[#This Row],[N° DE REGISTROS DEL DIA]])</f>
        <v>43865F1</v>
      </c>
      <c r="BI641" s="324"/>
      <c r="BJ641" s="85" t="s">
        <v>1544</v>
      </c>
      <c r="BK641" s="326"/>
    </row>
    <row r="642" spans="2:63" ht="69" hidden="1" x14ac:dyDescent="0.3">
      <c r="B642" s="129"/>
      <c r="C642" s="129"/>
      <c r="D642" s="129"/>
      <c r="E642" s="129"/>
      <c r="F642" s="129"/>
      <c r="G642" s="129"/>
      <c r="H642" s="129"/>
      <c r="I642" s="129"/>
      <c r="J642" s="129"/>
      <c r="K642" s="131">
        <v>43864</v>
      </c>
      <c r="L642" s="130" t="s">
        <v>181</v>
      </c>
      <c r="M642" s="85" t="s">
        <v>187</v>
      </c>
      <c r="N642" s="85" t="s">
        <v>183</v>
      </c>
      <c r="O642" s="85"/>
      <c r="P642" s="85"/>
      <c r="Q642" s="85" t="s">
        <v>107</v>
      </c>
      <c r="R642" s="85" t="s">
        <v>1489</v>
      </c>
      <c r="S642" s="6" t="s">
        <v>1326</v>
      </c>
      <c r="T642" s="85" t="s">
        <v>1782</v>
      </c>
      <c r="U642" s="85"/>
      <c r="V642" s="85" t="s">
        <v>146</v>
      </c>
      <c r="W642" s="85" t="s">
        <v>914</v>
      </c>
      <c r="X642" s="85" t="s">
        <v>918</v>
      </c>
      <c r="Y642" s="130">
        <v>3004214491</v>
      </c>
      <c r="Z642" s="85"/>
      <c r="AA642" s="85" t="s">
        <v>33</v>
      </c>
      <c r="AB642" s="85" t="s">
        <v>34</v>
      </c>
      <c r="AC642" s="85" t="s">
        <v>230</v>
      </c>
      <c r="AD642" s="85" t="s">
        <v>1110</v>
      </c>
      <c r="AE642" s="85"/>
      <c r="AF642" s="132">
        <v>470.3</v>
      </c>
      <c r="AG642" s="85" t="s">
        <v>243</v>
      </c>
      <c r="AH642" s="85" t="s">
        <v>244</v>
      </c>
      <c r="AI642" s="85" t="s">
        <v>33</v>
      </c>
      <c r="AJ642" s="85">
        <v>3004133600</v>
      </c>
      <c r="AK642" s="85" t="s">
        <v>33</v>
      </c>
      <c r="AL642" s="85">
        <v>1063014</v>
      </c>
      <c r="AM642" s="85" t="s">
        <v>1121</v>
      </c>
      <c r="AN642" s="85" t="s">
        <v>246</v>
      </c>
      <c r="AO642" s="85" t="s">
        <v>1158</v>
      </c>
      <c r="AP642" s="85" t="s">
        <v>240</v>
      </c>
      <c r="AQ642" s="9" t="str">
        <f>CONCATENATE("REG-",BDEGENER[[#This Row],[FECHA DE SERVICIO]],"-",BDEGENER[[#This Row],[SERIE]],"-",BDEGENER[[#This Row],[HORAS]])</f>
        <v>REG-43864-3004214491-470,3</v>
      </c>
      <c r="AR642" s="85" t="str">
        <f>CONCATENATE("MARCA: ",BDEGENER[[#This Row],[MARCA]],"
 MODELO: ",BDEGENER[[#This Row],[MODELO]])</f>
        <v>MARCA: GENERAC
 MODELO: PG090</v>
      </c>
      <c r="AS642" s="85" t="str">
        <f>CONCATENATE("MARCA: ",BDEGENER[[#This Row],[MARCA DE MOTOR]],"
SERIE: ",BDEGENER[[#This Row],[SERIE DE MOTOR]])</f>
        <v>MARCA: GENERAC
SERIE: 3004133600</v>
      </c>
      <c r="AT642" s="85" t="str">
        <f>CONCATENATE("MARCA: ",BDEGENER[[#This Row],[MARCA ALTERNADOR ]],"
SERIE: ",BDEGENER[[#This Row],[SERIE DE ALTERNADOR]])</f>
        <v>MARCA: GENERAC
SERIE: 1063014</v>
      </c>
      <c r="AU642" s="85" t="str">
        <f>CONCATENATE("HORAS: ",BDEGENER[[#This Row],[HORAS]],"
KW-HR: ",BDEGENER[[#This Row],[KW-HORA]],"
VOLT.BATERIA: ",BDEGENER[[#This Row],[VOLTAJE DE BATERIA]],"
TEMPERATURA: ",BDEGENER[[#This Row],[TEMPERATURA DE AGUA]],"
PRES. ACEITE: ",BDEGENER[[#This Row],[PRESION DE ACEITE]])</f>
        <v>HORAS: 470,3
KW-HR: 
VOLT.BATERIA: 13.7 V
TEMPERATURA: 198 °F
PRES. ACEITE: 53 PSI</v>
      </c>
      <c r="AV642" s="683">
        <f>COUNTIFS(Q642:Q2642,"MANTENIMIENTO CORRECTIVO",Y642:Y2642,BDEGENER[[#This Row],[SERIE]])</f>
        <v>4</v>
      </c>
      <c r="AW642" s="683">
        <f>COUNTIFS(Q642:Q2642,"MANTENIMIENTO PREVENTIVO",Y642:Y2642,BDEGENER[[#This Row],[SERIE]])</f>
        <v>1</v>
      </c>
      <c r="AX642"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642" s="85">
        <f>COUNTIFS(BDEGENER[SERIE],BDEGENER[[#This Row],[SERIE]],BDEGENER[TIPO DE SERVICIO],"MANTENIMIENTO PREVENTIVO")</f>
        <v>9</v>
      </c>
      <c r="AZ642" s="85" t="str">
        <f>CONCATENATE("MANTENIMIENTO PREVENTIVO N°",BDEGENER[[#This Row],[GA1]])</f>
        <v>MANTENIMIENTO PREVENTIVO N°9</v>
      </c>
      <c r="BA642" s="85" t="str">
        <f>IF(BDEGENER[[#This Row],[SERVICIO]]=BDEGENER[[#This Row],[GA2]],BDEGENER[[#This Row],[HORAS]],"0")</f>
        <v>0</v>
      </c>
      <c r="BB642" s="85">
        <f>SUMIF(BDEGENER[SERIE],BDEGENER[[#This Row],[SERIE]],BDEGENER[GA3])</f>
        <v>2751</v>
      </c>
      <c r="BC642" s="683" t="str">
        <f>CONCATENATE("MANT",COUNTIF($Y$7:Y642,Y642))</f>
        <v>MANT13</v>
      </c>
      <c r="BD642" s="85" t="str">
        <f>CONCATENATE(BDEGENER[[#This Row],[SERIE]],BDEGENER[[#This Row],[GA5]])</f>
        <v>3004214491MANT13</v>
      </c>
      <c r="BE642" s="85" t="str">
        <f>CONCATENATE(BDEGENER[[#This Row],[CODIGO PATRIMONIAL]],BDEGENER[[#This Row],[GA5]])</f>
        <v>MANT13</v>
      </c>
      <c r="BF642" s="129">
        <f>COUNTIF(BDEGENER[SERIE],BDEGENER[[#This Row],[SERIE]])</f>
        <v>18</v>
      </c>
      <c r="BG642" s="683" t="str">
        <f>CONCATENATE("F",COUNTIF($K$7:K642,K642))</f>
        <v>F1</v>
      </c>
      <c r="BH642" s="325" t="str">
        <f>CONCATENATE(BDEGENER[[#This Row],[FECHA DE SERVICIO]],BDEGENER[[#This Row],[N° DE REGISTROS DEL DIA]])</f>
        <v>43864F1</v>
      </c>
      <c r="BI642" s="324"/>
      <c r="BJ642" s="85" t="s">
        <v>1544</v>
      </c>
      <c r="BK642" s="326"/>
    </row>
    <row r="643" spans="2:63" ht="69" hidden="1" x14ac:dyDescent="0.3">
      <c r="B643" s="129"/>
      <c r="C643" s="129"/>
      <c r="D643" s="129"/>
      <c r="E643" s="129"/>
      <c r="F643" s="129"/>
      <c r="G643" s="129"/>
      <c r="H643" s="129"/>
      <c r="I643" s="129"/>
      <c r="J643" s="129"/>
      <c r="K643" s="131">
        <v>43861</v>
      </c>
      <c r="L643" s="130" t="s">
        <v>248</v>
      </c>
      <c r="M643" s="85" t="s">
        <v>1315</v>
      </c>
      <c r="N643" s="85" t="s">
        <v>1319</v>
      </c>
      <c r="O643" s="85"/>
      <c r="P643" s="9" t="s">
        <v>1316</v>
      </c>
      <c r="Q643" s="85" t="s">
        <v>37</v>
      </c>
      <c r="R643" s="85" t="s">
        <v>1782</v>
      </c>
      <c r="S643" s="6" t="s">
        <v>1799</v>
      </c>
      <c r="T643" s="85" t="s">
        <v>1782</v>
      </c>
      <c r="U643" s="85" t="s">
        <v>1317</v>
      </c>
      <c r="V643" s="85" t="s">
        <v>149</v>
      </c>
      <c r="W643" s="85" t="s">
        <v>914</v>
      </c>
      <c r="X643" s="85" t="s">
        <v>918</v>
      </c>
      <c r="Y643" s="130">
        <v>3005005007</v>
      </c>
      <c r="Z643" s="85">
        <v>24546</v>
      </c>
      <c r="AA643" s="85" t="s">
        <v>33</v>
      </c>
      <c r="AB643" s="85" t="s">
        <v>34</v>
      </c>
      <c r="AC643" s="85" t="s">
        <v>230</v>
      </c>
      <c r="AD643" s="85" t="s">
        <v>1123</v>
      </c>
      <c r="AE643" s="85">
        <v>60</v>
      </c>
      <c r="AF643" s="132">
        <v>424.3</v>
      </c>
      <c r="AG643" s="85" t="s">
        <v>243</v>
      </c>
      <c r="AH643" s="85" t="s">
        <v>220</v>
      </c>
      <c r="AI643" s="85" t="s">
        <v>33</v>
      </c>
      <c r="AJ643" s="85">
        <v>3005065920</v>
      </c>
      <c r="AK643" s="85" t="s">
        <v>33</v>
      </c>
      <c r="AL643" s="85"/>
      <c r="AM643" s="85" t="s">
        <v>1094</v>
      </c>
      <c r="AN643" s="85" t="s">
        <v>1143</v>
      </c>
      <c r="AO643" s="85" t="s">
        <v>1318</v>
      </c>
      <c r="AP643" s="85" t="s">
        <v>240</v>
      </c>
      <c r="AQ643" s="9" t="str">
        <f>CONCATENATE("REG-",BDEGENER[[#This Row],[FECHA DE SERVICIO]],"-",BDEGENER[[#This Row],[SERIE]],"-",BDEGENER[[#This Row],[HORAS]])</f>
        <v>REG-43861-3005005007-424,3</v>
      </c>
      <c r="AR643" s="85" t="str">
        <f>CONCATENATE("MARCA: ",BDEGENER[[#This Row],[MARCA]],"
 MODELO: ",BDEGENER[[#This Row],[MODELO]])</f>
        <v>MARCA: GENERAC
 MODELO: PG090</v>
      </c>
      <c r="AS643" s="85" t="str">
        <f>CONCATENATE("MARCA: ",BDEGENER[[#This Row],[MARCA DE MOTOR]],"
SERIE: ",BDEGENER[[#This Row],[SERIE DE MOTOR]])</f>
        <v>MARCA: GENERAC
SERIE: 3005065920</v>
      </c>
      <c r="AT643" s="85" t="str">
        <f>CONCATENATE("MARCA: ",BDEGENER[[#This Row],[MARCA ALTERNADOR ]],"
SERIE: ",BDEGENER[[#This Row],[SERIE DE ALTERNADOR]])</f>
        <v xml:space="preserve">MARCA: GENERAC
SERIE: </v>
      </c>
      <c r="AU643" s="85" t="str">
        <f>CONCATENATE("HORAS: ",BDEGENER[[#This Row],[HORAS]],"
KW-HR: ",BDEGENER[[#This Row],[KW-HORA]],"
VOLT.BATERIA: ",BDEGENER[[#This Row],[VOLTAJE DE BATERIA]],"
TEMPERATURA: ",BDEGENER[[#This Row],[TEMPERATURA DE AGUA]],"
PRES. ACEITE: ",BDEGENER[[#This Row],[PRESION DE ACEITE]])</f>
        <v>HORAS: 424,3
KW-HR: 
VOLT.BATERIA: 13.5 V
TEMPERATURA: 197 °F
PRES. ACEITE: 58 PSI</v>
      </c>
      <c r="AV643" s="761">
        <f>COUNTIFS(Q643:Q2643,"MANTENIMIENTO CORRECTIVO",Y643:Y2643,BDEGENER[[#This Row],[SERIE]])</f>
        <v>0</v>
      </c>
      <c r="AW643" s="761">
        <f>COUNTIFS(Q643:Q2643,"MANTENIMIENTO PREVENTIVO",Y643:Y2643,BDEGENER[[#This Row],[SERIE]])</f>
        <v>2</v>
      </c>
      <c r="AX643"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43" s="85">
        <f>COUNTIFS(BDEGENER[SERIE],BDEGENER[[#This Row],[SERIE]],BDEGENER[TIPO DE SERVICIO],"MANTENIMIENTO PREVENTIVO")</f>
        <v>7</v>
      </c>
      <c r="AZ643" s="85" t="str">
        <f>CONCATENATE("MANTENIMIENTO PREVENTIVO N°",BDEGENER[[#This Row],[GA1]])</f>
        <v>MANTENIMIENTO PREVENTIVO N°7</v>
      </c>
      <c r="BA643" s="85" t="str">
        <f>IF(BDEGENER[[#This Row],[SERVICIO]]=BDEGENER[[#This Row],[GA2]],BDEGENER[[#This Row],[HORAS]],"0")</f>
        <v>0</v>
      </c>
      <c r="BB643" s="85">
        <f>SUMIF(BDEGENER[SERIE],BDEGENER[[#This Row],[SERIE]],BDEGENER[GA3])</f>
        <v>2333.3000000000002</v>
      </c>
      <c r="BC643" s="761" t="str">
        <f>CONCATENATE("MANT",COUNTIF($Y$7:Y643,Y643))</f>
        <v>MANT8</v>
      </c>
      <c r="BD643" s="85" t="str">
        <f>CONCATENATE(BDEGENER[[#This Row],[SERIE]],BDEGENER[[#This Row],[GA5]])</f>
        <v>3005005007MANT8</v>
      </c>
      <c r="BE643" s="85" t="str">
        <f>CONCATENATE(BDEGENER[[#This Row],[CODIGO PATRIMONIAL]],BDEGENER[[#This Row],[GA5]])</f>
        <v>24546MANT8</v>
      </c>
      <c r="BF643" s="129">
        <f>COUNTIF(BDEGENER[SERIE],BDEGENER[[#This Row],[SERIE]])</f>
        <v>11</v>
      </c>
      <c r="BG643" s="761" t="str">
        <f>CONCATENATE("F",COUNTIF($K$7:K643,K643))</f>
        <v>F1</v>
      </c>
      <c r="BH643" s="325" t="str">
        <f>CONCATENATE(BDEGENER[[#This Row],[FECHA DE SERVICIO]],BDEGENER[[#This Row],[N° DE REGISTROS DEL DIA]])</f>
        <v>43861F1</v>
      </c>
      <c r="BI643" s="324"/>
      <c r="BJ643" s="325"/>
      <c r="BK643" s="326"/>
    </row>
    <row r="644" spans="2:63" ht="69" hidden="1" x14ac:dyDescent="0.3">
      <c r="B644" s="129"/>
      <c r="C644" s="129"/>
      <c r="D644" s="129"/>
      <c r="E644" s="129"/>
      <c r="F644" s="129"/>
      <c r="G644" s="129"/>
      <c r="H644" s="129"/>
      <c r="I644" s="129"/>
      <c r="J644" s="129"/>
      <c r="K644" s="131">
        <v>43860</v>
      </c>
      <c r="L644" s="130" t="s">
        <v>1546</v>
      </c>
      <c r="M644" s="85" t="s">
        <v>1395</v>
      </c>
      <c r="N644" s="85" t="s">
        <v>1547</v>
      </c>
      <c r="O644" s="85"/>
      <c r="P644" s="85"/>
      <c r="Q644" s="85" t="s">
        <v>37</v>
      </c>
      <c r="R644" s="85" t="s">
        <v>1782</v>
      </c>
      <c r="S644" s="6" t="s">
        <v>1963</v>
      </c>
      <c r="T644" s="85" t="s">
        <v>1782</v>
      </c>
      <c r="U644" s="85" t="s">
        <v>1964</v>
      </c>
      <c r="V644" s="85" t="s">
        <v>147</v>
      </c>
      <c r="W644" s="85" t="s">
        <v>914</v>
      </c>
      <c r="X644" s="85" t="s">
        <v>917</v>
      </c>
      <c r="Y644" s="15" t="s">
        <v>1965</v>
      </c>
      <c r="Z644" s="85" t="s">
        <v>159</v>
      </c>
      <c r="AA644" s="85" t="s">
        <v>1966</v>
      </c>
      <c r="AB644" s="85" t="s">
        <v>1967</v>
      </c>
      <c r="AC644" s="85" t="s">
        <v>1968</v>
      </c>
      <c r="AD644" s="85" t="s">
        <v>1932</v>
      </c>
      <c r="AE644" s="85">
        <v>60</v>
      </c>
      <c r="AF644" s="132">
        <v>1525.14</v>
      </c>
      <c r="AG644" s="85" t="s">
        <v>1412</v>
      </c>
      <c r="AH644" s="85" t="s">
        <v>1969</v>
      </c>
      <c r="AI644" s="85" t="s">
        <v>1966</v>
      </c>
      <c r="AJ644" s="85">
        <v>87363974</v>
      </c>
      <c r="AK644" s="85" t="s">
        <v>1448</v>
      </c>
      <c r="AL644" s="85">
        <v>44699001</v>
      </c>
      <c r="AM644" s="85" t="s">
        <v>1970</v>
      </c>
      <c r="AN644" s="85" t="s">
        <v>1352</v>
      </c>
      <c r="AO644" s="85" t="s">
        <v>1971</v>
      </c>
      <c r="AP644" s="85" t="s">
        <v>240</v>
      </c>
      <c r="AQ644" s="85" t="str">
        <f>CONCATENATE("REG-",BDEGENER[[#This Row],[FECHA DE SERVICIO]],"-",BDEGENER[[#This Row],[SERIE]],"-",BDEGENER[[#This Row],[HORAS]])</f>
        <v>REG-43860-C3020121001-S-1525,14</v>
      </c>
      <c r="AR644" s="85" t="str">
        <f>CONCATENATE("MARCA: ",BDEGENER[[#This Row],[MARCA]],"
 MODELO: ",BDEGENER[[#This Row],[MODELO]])</f>
        <v>MARCA: CUMMINS
 MODELO: EDC-3051</v>
      </c>
      <c r="AS644" s="85" t="str">
        <f>CONCATENATE("MARCA: ",BDEGENER[[#This Row],[MARCA DE MOTOR]],"
SERIE: ",BDEGENER[[#This Row],[SERIE DE MOTOR]])</f>
        <v>MARCA: CUMMINS
SERIE: 87363974</v>
      </c>
      <c r="AT644" s="85" t="str">
        <f>CONCATENATE("MARCA: ",BDEGENER[[#This Row],[MARCA ALTERNADOR ]],"
SERIE: ",BDEGENER[[#This Row],[SERIE DE ALTERNADOR]])</f>
        <v>MARCA: LEROY SOMER
SERIE: 44699001</v>
      </c>
      <c r="AU644" s="85" t="str">
        <f>CONCATENATE("HORAS: ",BDEGENER[[#This Row],[HORAS]],"
KW-HR: ",BDEGENER[[#This Row],[KW-HORA]],"
VOLT.BATERIA: ",BDEGENER[[#This Row],[VOLTAJE DE BATERIA]],"
TEMPERATURA: ",BDEGENER[[#This Row],[TEMPERATURA DE AGUA]],"
PRES. ACEITE: ",BDEGENER[[#This Row],[PRESION DE ACEITE]])</f>
        <v>HORAS: 1525,14
KW-HR: 
VOLT.BATERIA: 28.3 V
TEMPERATURA: 196 °F
PRES. ACEITE: 77 PSI</v>
      </c>
      <c r="AV644" s="683">
        <f>COUNTIFS(Q644:Q2644,"MANTENIMIENTO CORRECTIVO",Y644:Y2644,BDEGENER[[#This Row],[SERIE]])</f>
        <v>0</v>
      </c>
      <c r="AW644" s="683">
        <f>COUNTIFS(Q644:Q2644,"MANTENIMIENTO PREVENTIVO",Y644:Y2644,BDEGENER[[#This Row],[SERIE]])</f>
        <v>1</v>
      </c>
      <c r="AX64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44" s="85">
        <f>COUNTIFS(BDEGENER[SERIE],BDEGENER[[#This Row],[SERIE]],BDEGENER[TIPO DE SERVICIO],"MANTENIMIENTO PREVENTIVO")</f>
        <v>1</v>
      </c>
      <c r="AZ644" s="85" t="str">
        <f>CONCATENATE("MANTENIMIENTO PREVENTIVO N°",BDEGENER[[#This Row],[GA1]])</f>
        <v>MANTENIMIENTO PREVENTIVO N°1</v>
      </c>
      <c r="BA644" s="85">
        <f>IF(BDEGENER[[#This Row],[SERVICIO]]=BDEGENER[[#This Row],[GA2]],BDEGENER[[#This Row],[HORAS]],"0")</f>
        <v>1525.14</v>
      </c>
      <c r="BB644" s="85">
        <f>SUMIF(BDEGENER[SERIE],BDEGENER[[#This Row],[SERIE]],BDEGENER[GA3])</f>
        <v>1525.14</v>
      </c>
      <c r="BC644" s="683" t="str">
        <f>CONCATENATE("MANT",COUNTIF($Y$7:Y644,Y644))</f>
        <v>MANT2</v>
      </c>
      <c r="BD644" s="85" t="str">
        <f>CONCATENATE(BDEGENER[[#This Row],[SERIE]],BDEGENER[[#This Row],[GA5]])</f>
        <v>C3020121001-SMANT2</v>
      </c>
      <c r="BE644" s="85" t="str">
        <f>CONCATENATE(BDEGENER[[#This Row],[CODIGO PATRIMONIAL]],BDEGENER[[#This Row],[GA5]])</f>
        <v>MANT2</v>
      </c>
      <c r="BF644" s="85">
        <f>COUNTIF(BDEGENER[SERIE],BDEGENER[[#This Row],[SERIE]])</f>
        <v>2</v>
      </c>
      <c r="BG644" s="683" t="str">
        <f>CONCATENATE("F",COUNTIF($K$7:K644,K644))</f>
        <v>F1</v>
      </c>
      <c r="BH644" s="85" t="str">
        <f>CONCATENATE(BDEGENER[[#This Row],[FECHA DE SERVICIO]],BDEGENER[[#This Row],[N° DE REGISTROS DEL DIA]])</f>
        <v>43860F1</v>
      </c>
      <c r="BI644" s="132"/>
      <c r="BJ644" s="85" t="s">
        <v>1545</v>
      </c>
      <c r="BK644" s="680"/>
    </row>
    <row r="645" spans="2:63" ht="69" hidden="1" x14ac:dyDescent="0.3">
      <c r="B645" s="129"/>
      <c r="C645" s="129"/>
      <c r="D645" s="129"/>
      <c r="E645" s="129"/>
      <c r="F645" s="129"/>
      <c r="G645" s="129"/>
      <c r="H645" s="129"/>
      <c r="I645" s="129"/>
      <c r="J645" s="129"/>
      <c r="K645" s="131">
        <v>43858</v>
      </c>
      <c r="L645" s="130" t="s">
        <v>181</v>
      </c>
      <c r="M645" s="85" t="s">
        <v>188</v>
      </c>
      <c r="N645" s="85" t="s">
        <v>183</v>
      </c>
      <c r="O645" s="85"/>
      <c r="P645" s="85"/>
      <c r="Q645" s="85" t="s">
        <v>107</v>
      </c>
      <c r="R645" s="85" t="s">
        <v>1487</v>
      </c>
      <c r="S645" s="6" t="s">
        <v>1488</v>
      </c>
      <c r="T645" s="85" t="s">
        <v>1782</v>
      </c>
      <c r="U645" s="85"/>
      <c r="V645" s="85" t="s">
        <v>146</v>
      </c>
      <c r="W645" s="85" t="s">
        <v>914</v>
      </c>
      <c r="X645" s="85" t="s">
        <v>918</v>
      </c>
      <c r="Y645" s="130">
        <v>3004290369</v>
      </c>
      <c r="Z645" s="85" t="s">
        <v>192</v>
      </c>
      <c r="AA645" s="85" t="s">
        <v>33</v>
      </c>
      <c r="AB645" s="85" t="s">
        <v>34</v>
      </c>
      <c r="AC645" s="85" t="s">
        <v>230</v>
      </c>
      <c r="AD645" s="85"/>
      <c r="AE645" s="85"/>
      <c r="AF645" s="132">
        <v>247.1</v>
      </c>
      <c r="AG645" s="85" t="s">
        <v>243</v>
      </c>
      <c r="AH645" s="85" t="s">
        <v>220</v>
      </c>
      <c r="AI645" s="85" t="s">
        <v>33</v>
      </c>
      <c r="AJ645" s="85"/>
      <c r="AK645" s="85" t="s">
        <v>33</v>
      </c>
      <c r="AL645" s="85"/>
      <c r="AM645" s="85"/>
      <c r="AN645" s="85"/>
      <c r="AO645" s="85"/>
      <c r="AP645" s="85" t="s">
        <v>240</v>
      </c>
      <c r="AQ645" s="85" t="str">
        <f>CONCATENATE("REG-",BDEGENER[[#This Row],[FECHA DE SERVICIO]],"-",BDEGENER[[#This Row],[SERIE]],"-",BDEGENER[[#This Row],[HORAS]])</f>
        <v>REG-43858-3004290369-247,1</v>
      </c>
      <c r="AR645" s="85" t="str">
        <f>CONCATENATE("MARCA: ",BDEGENER[[#This Row],[MARCA]],"
 MODELO: ",BDEGENER[[#This Row],[MODELO]])</f>
        <v>MARCA: GENERAC
 MODELO: PG090</v>
      </c>
      <c r="AS645" s="85" t="str">
        <f>CONCATENATE("MARCA: ",BDEGENER[[#This Row],[MARCA DE MOTOR]],"
SERIE: ",BDEGENER[[#This Row],[SERIE DE MOTOR]])</f>
        <v xml:space="preserve">MARCA: GENERAC
SERIE: </v>
      </c>
      <c r="AT645" s="85" t="str">
        <f>CONCATENATE("MARCA: ",BDEGENER[[#This Row],[MARCA ALTERNADOR ]],"
SERIE: ",BDEGENER[[#This Row],[SERIE DE ALTERNADOR]])</f>
        <v xml:space="preserve">MARCA: GENERAC
SERIE: </v>
      </c>
      <c r="AU645" s="85" t="str">
        <f>CONCATENATE("HORAS: ",BDEGENER[[#This Row],[HORAS]],"
KW-HR: ",BDEGENER[[#This Row],[KW-HORA]],"
VOLT.BATERIA: ",BDEGENER[[#This Row],[VOLTAJE DE BATERIA]],"
TEMPERATURA: ",BDEGENER[[#This Row],[TEMPERATURA DE AGUA]],"
PRES. ACEITE: ",BDEGENER[[#This Row],[PRESION DE ACEITE]])</f>
        <v xml:space="preserve">HORAS: 247,1
KW-HR: 
VOLT.BATERIA: 
TEMPERATURA: 
PRES. ACEITE: </v>
      </c>
      <c r="AV645" s="683">
        <f>COUNTIFS(Q645:Q2645,"MANTENIMIENTO CORRECTIVO",Y645:Y2645,BDEGENER[[#This Row],[SERIE]])</f>
        <v>2</v>
      </c>
      <c r="AW645" s="683">
        <f>COUNTIFS(Q645:Q2645,"MANTENIMIENTO PREVENTIVO",Y645:Y2645,BDEGENER[[#This Row],[SERIE]])</f>
        <v>1</v>
      </c>
      <c r="AX64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45" s="85">
        <f>COUNTIFS(BDEGENER[SERIE],BDEGENER[[#This Row],[SERIE]],BDEGENER[TIPO DE SERVICIO],"MANTENIMIENTO PREVENTIVO")</f>
        <v>7</v>
      </c>
      <c r="AZ645" s="85" t="str">
        <f>CONCATENATE("MANTENIMIENTO PREVENTIVO N°",BDEGENER[[#This Row],[GA1]])</f>
        <v>MANTENIMIENTO PREVENTIVO N°7</v>
      </c>
      <c r="BA645" s="85" t="str">
        <f>IF(BDEGENER[[#This Row],[SERVICIO]]=BDEGENER[[#This Row],[GA2]],BDEGENER[[#This Row],[HORAS]],"0")</f>
        <v>0</v>
      </c>
      <c r="BB645" s="85">
        <f>SUMIF(BDEGENER[SERIE],BDEGENER[[#This Row],[SERIE]],BDEGENER[GA3])</f>
        <v>2294</v>
      </c>
      <c r="BC645" s="683" t="str">
        <f>CONCATENATE("MANT",COUNTIF($Y$7:Y645,Y645))</f>
        <v>MANT8</v>
      </c>
      <c r="BD645" s="85" t="str">
        <f>CONCATENATE(BDEGENER[[#This Row],[SERIE]],BDEGENER[[#This Row],[GA5]])</f>
        <v>3004290369MANT8</v>
      </c>
      <c r="BE645" s="85" t="str">
        <f>CONCATENATE(BDEGENER[[#This Row],[CODIGO PATRIMONIAL]],BDEGENER[[#This Row],[GA5]])</f>
        <v xml:space="preserve"> MANT8</v>
      </c>
      <c r="BF645" s="129">
        <f>COUNTIF(BDEGENER[SERIE],BDEGENER[[#This Row],[SERIE]])</f>
        <v>11</v>
      </c>
      <c r="BG645" s="683" t="str">
        <f>CONCATENATE("F",COUNTIF($K$7:K645,K645))</f>
        <v>F1</v>
      </c>
      <c r="BH645" s="129" t="str">
        <f>CONCATENATE(BDEGENER[[#This Row],[FECHA DE SERVICIO]],BDEGENER[[#This Row],[N° DE REGISTROS DEL DIA]])</f>
        <v>43858F1</v>
      </c>
      <c r="BI645" s="324"/>
      <c r="BJ645" s="85" t="s">
        <v>1544</v>
      </c>
      <c r="BK645" s="326"/>
    </row>
    <row r="646" spans="2:63" ht="69" hidden="1" x14ac:dyDescent="0.3">
      <c r="B646" s="129"/>
      <c r="C646" s="129"/>
      <c r="D646" s="129"/>
      <c r="E646" s="129"/>
      <c r="F646" s="129"/>
      <c r="G646" s="129"/>
      <c r="H646" s="129"/>
      <c r="I646" s="129"/>
      <c r="J646" s="129"/>
      <c r="K646" s="131">
        <v>43858</v>
      </c>
      <c r="L646" s="130" t="s">
        <v>181</v>
      </c>
      <c r="M646" s="85" t="s">
        <v>188</v>
      </c>
      <c r="N646" s="85" t="s">
        <v>183</v>
      </c>
      <c r="O646" s="85"/>
      <c r="P646" s="85"/>
      <c r="Q646" s="85" t="s">
        <v>107</v>
      </c>
      <c r="R646" s="85" t="s">
        <v>1485</v>
      </c>
      <c r="S646" s="6" t="s">
        <v>1486</v>
      </c>
      <c r="T646" s="85" t="s">
        <v>1782</v>
      </c>
      <c r="U646" s="85"/>
      <c r="V646" s="85" t="s">
        <v>146</v>
      </c>
      <c r="W646" s="85" t="s">
        <v>914</v>
      </c>
      <c r="X646" s="85" t="s">
        <v>918</v>
      </c>
      <c r="Y646" s="130">
        <v>3004381437</v>
      </c>
      <c r="Z646" s="85"/>
      <c r="AA646" s="85" t="s">
        <v>33</v>
      </c>
      <c r="AB646" s="85" t="s">
        <v>34</v>
      </c>
      <c r="AC646" s="85" t="s">
        <v>230</v>
      </c>
      <c r="AD646" s="85"/>
      <c r="AE646" s="85"/>
      <c r="AF646" s="132">
        <v>377</v>
      </c>
      <c r="AG646" s="85" t="s">
        <v>243</v>
      </c>
      <c r="AH646" s="85" t="s">
        <v>220</v>
      </c>
      <c r="AI646" s="85" t="s">
        <v>33</v>
      </c>
      <c r="AJ646" s="85">
        <v>3004346804</v>
      </c>
      <c r="AK646" s="85" t="s">
        <v>33</v>
      </c>
      <c r="AL646" s="85">
        <v>106309630</v>
      </c>
      <c r="AM646" s="85"/>
      <c r="AN646" s="85"/>
      <c r="AO646" s="85"/>
      <c r="AP646" s="85" t="s">
        <v>240</v>
      </c>
      <c r="AQ646" s="85" t="str">
        <f>CONCATENATE("REG-",BDEGENER[[#This Row],[FECHA DE SERVICIO]],"-",BDEGENER[[#This Row],[SERIE]],"-",BDEGENER[[#This Row],[HORAS]])</f>
        <v>REG-43858-3004381437-377</v>
      </c>
      <c r="AR646" s="85" t="str">
        <f>CONCATENATE("MARCA: ",BDEGENER[[#This Row],[MARCA]],"
 MODELO: ",BDEGENER[[#This Row],[MODELO]])</f>
        <v>MARCA: GENERAC
 MODELO: PG090</v>
      </c>
      <c r="AS646" s="85" t="str">
        <f>CONCATENATE("MARCA: ",BDEGENER[[#This Row],[MARCA DE MOTOR]],"
SERIE: ",BDEGENER[[#This Row],[SERIE DE MOTOR]])</f>
        <v>MARCA: GENERAC
SERIE: 3004346804</v>
      </c>
      <c r="AT646" s="85" t="str">
        <f>CONCATENATE("MARCA: ",BDEGENER[[#This Row],[MARCA ALTERNADOR ]],"
SERIE: ",BDEGENER[[#This Row],[SERIE DE ALTERNADOR]])</f>
        <v>MARCA: GENERAC
SERIE: 106309630</v>
      </c>
      <c r="AU646" s="85" t="str">
        <f>CONCATENATE("HORAS: ",BDEGENER[[#This Row],[HORAS]],"
KW-HR: ",BDEGENER[[#This Row],[KW-HORA]],"
VOLT.BATERIA: ",BDEGENER[[#This Row],[VOLTAJE DE BATERIA]],"
TEMPERATURA: ",BDEGENER[[#This Row],[TEMPERATURA DE AGUA]],"
PRES. ACEITE: ",BDEGENER[[#This Row],[PRESION DE ACEITE]])</f>
        <v xml:space="preserve">HORAS: 377
KW-HR: 
VOLT.BATERIA: 
TEMPERATURA: 
PRES. ACEITE: </v>
      </c>
      <c r="AV646" s="761">
        <f>COUNTIFS(Q646:Q2646,"MANTENIMIENTO CORRECTIVO",Y646:Y2646,BDEGENER[[#This Row],[SERIE]])</f>
        <v>2</v>
      </c>
      <c r="AW646" s="761">
        <f>COUNTIFS(Q646:Q2646,"MANTENIMIENTO PREVENTIVO",Y646:Y2646,BDEGENER[[#This Row],[SERIE]])</f>
        <v>1</v>
      </c>
      <c r="AX64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46" s="85">
        <f>COUNTIFS(BDEGENER[SERIE],BDEGENER[[#This Row],[SERIE]],BDEGENER[TIPO DE SERVICIO],"MANTENIMIENTO PREVENTIVO")</f>
        <v>8</v>
      </c>
      <c r="AZ646" s="85" t="str">
        <f>CONCATENATE("MANTENIMIENTO PREVENTIVO N°",BDEGENER[[#This Row],[GA1]])</f>
        <v>MANTENIMIENTO PREVENTIVO N°8</v>
      </c>
      <c r="BA646" s="85" t="str">
        <f>IF(BDEGENER[[#This Row],[SERVICIO]]=BDEGENER[[#This Row],[GA2]],BDEGENER[[#This Row],[HORAS]],"0")</f>
        <v>0</v>
      </c>
      <c r="BB646" s="85">
        <f>SUMIF(BDEGENER[SERIE],BDEGENER[[#This Row],[SERIE]],BDEGENER[GA3])</f>
        <v>2359.6</v>
      </c>
      <c r="BC646" s="761" t="str">
        <f>CONCATENATE("MANT",COUNTIF($Y$7:Y646,Y646))</f>
        <v>MANT9</v>
      </c>
      <c r="BD646" s="85" t="str">
        <f>CONCATENATE(BDEGENER[[#This Row],[SERIE]],BDEGENER[[#This Row],[GA5]])</f>
        <v>3004381437MANT9</v>
      </c>
      <c r="BE646" s="85" t="str">
        <f>CONCATENATE(BDEGENER[[#This Row],[CODIGO PATRIMONIAL]],BDEGENER[[#This Row],[GA5]])</f>
        <v>MANT9</v>
      </c>
      <c r="BF646" s="129">
        <f>COUNTIF(BDEGENER[SERIE],BDEGENER[[#This Row],[SERIE]])</f>
        <v>12</v>
      </c>
      <c r="BG646" s="761" t="str">
        <f>CONCATENATE("F",COUNTIF($K$7:K646,K646))</f>
        <v>F2</v>
      </c>
      <c r="BH646" s="129" t="str">
        <f>CONCATENATE(BDEGENER[[#This Row],[FECHA DE SERVICIO]],BDEGENER[[#This Row],[N° DE REGISTROS DEL DIA]])</f>
        <v>43858F2</v>
      </c>
      <c r="BI646" s="324"/>
      <c r="BJ646" s="85" t="s">
        <v>1544</v>
      </c>
      <c r="BK646" s="326"/>
    </row>
    <row r="647" spans="2:63" ht="69" hidden="1" x14ac:dyDescent="0.3">
      <c r="B647" s="129"/>
      <c r="C647" s="129"/>
      <c r="D647" s="129"/>
      <c r="E647" s="129"/>
      <c r="F647" s="129"/>
      <c r="G647" s="129"/>
      <c r="H647" s="129"/>
      <c r="I647" s="129"/>
      <c r="J647" s="129"/>
      <c r="K647" s="131">
        <v>43858</v>
      </c>
      <c r="L647" s="130" t="s">
        <v>181</v>
      </c>
      <c r="M647" s="85" t="s">
        <v>184</v>
      </c>
      <c r="N647" s="85" t="s">
        <v>183</v>
      </c>
      <c r="O647" s="85"/>
      <c r="P647" s="85"/>
      <c r="Q647" s="85" t="s">
        <v>107</v>
      </c>
      <c r="R647" s="85" t="s">
        <v>1483</v>
      </c>
      <c r="S647" s="6" t="s">
        <v>1484</v>
      </c>
      <c r="T647" s="85" t="s">
        <v>1782</v>
      </c>
      <c r="U647" s="85" t="s">
        <v>1492</v>
      </c>
      <c r="V647" s="85" t="s">
        <v>146</v>
      </c>
      <c r="W647" s="85" t="s">
        <v>914</v>
      </c>
      <c r="X647" s="85" t="s">
        <v>918</v>
      </c>
      <c r="Y647" s="130">
        <v>3004402507</v>
      </c>
      <c r="Z647" s="85"/>
      <c r="AA647" s="85" t="s">
        <v>33</v>
      </c>
      <c r="AB647" s="85" t="s">
        <v>34</v>
      </c>
      <c r="AC647" s="85" t="s">
        <v>230</v>
      </c>
      <c r="AD647" s="85"/>
      <c r="AE647" s="85"/>
      <c r="AF647" s="132">
        <v>1227.5999999999999</v>
      </c>
      <c r="AG647" s="85" t="s">
        <v>243</v>
      </c>
      <c r="AH647" s="85" t="s">
        <v>220</v>
      </c>
      <c r="AI647" s="85" t="s">
        <v>33</v>
      </c>
      <c r="AJ647" s="85">
        <v>3004425772</v>
      </c>
      <c r="AK647" s="85" t="s">
        <v>33</v>
      </c>
      <c r="AL647" s="85">
        <v>106310030</v>
      </c>
      <c r="AM647" s="85"/>
      <c r="AN647" s="85"/>
      <c r="AO647" s="85"/>
      <c r="AP647" s="85" t="s">
        <v>240</v>
      </c>
      <c r="AQ647" s="85" t="str">
        <f>CONCATENATE("REG-",BDEGENER[[#This Row],[FECHA DE SERVICIO]],"-",BDEGENER[[#This Row],[SERIE]],"-",BDEGENER[[#This Row],[HORAS]])</f>
        <v>REG-43858-3004402507-1227,6</v>
      </c>
      <c r="AR647" s="85" t="str">
        <f>CONCATENATE("MARCA: ",BDEGENER[[#This Row],[MARCA]],"
 MODELO: ",BDEGENER[[#This Row],[MODELO]])</f>
        <v>MARCA: GENERAC
 MODELO: PG090</v>
      </c>
      <c r="AS647" s="85" t="str">
        <f>CONCATENATE("MARCA: ",BDEGENER[[#This Row],[MARCA DE MOTOR]],"
SERIE: ",BDEGENER[[#This Row],[SERIE DE MOTOR]])</f>
        <v>MARCA: GENERAC
SERIE: 3004425772</v>
      </c>
      <c r="AT647" s="85" t="str">
        <f>CONCATENATE("MARCA: ",BDEGENER[[#This Row],[MARCA ALTERNADOR ]],"
SERIE: ",BDEGENER[[#This Row],[SERIE DE ALTERNADOR]])</f>
        <v>MARCA: GENERAC
SERIE: 106310030</v>
      </c>
      <c r="AU647" s="85" t="str">
        <f>CONCATENATE("HORAS: ",BDEGENER[[#This Row],[HORAS]],"
KW-HR: ",BDEGENER[[#This Row],[KW-HORA]],"
VOLT.BATERIA: ",BDEGENER[[#This Row],[VOLTAJE DE BATERIA]],"
TEMPERATURA: ",BDEGENER[[#This Row],[TEMPERATURA DE AGUA]],"
PRES. ACEITE: ",BDEGENER[[#This Row],[PRESION DE ACEITE]])</f>
        <v xml:space="preserve">HORAS: 1227,6
KW-HR: 
VOLT.BATERIA: 
TEMPERATURA: 
PRES. ACEITE: </v>
      </c>
      <c r="AV647" s="683">
        <f>COUNTIFS(Q647:Q2647,"MANTENIMIENTO CORRECTIVO",Y647:Y2647,BDEGENER[[#This Row],[SERIE]])</f>
        <v>4</v>
      </c>
      <c r="AW647" s="683">
        <f>COUNTIFS(Q647:Q2647,"MANTENIMIENTO PREVENTIVO",Y647:Y2647,BDEGENER[[#This Row],[SERIE]])</f>
        <v>4</v>
      </c>
      <c r="AX647"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647" s="85">
        <f>COUNTIFS(BDEGENER[SERIE],BDEGENER[[#This Row],[SERIE]],BDEGENER[TIPO DE SERVICIO],"MANTENIMIENTO PREVENTIVO")</f>
        <v>7</v>
      </c>
      <c r="AZ647" s="85" t="str">
        <f>CONCATENATE("MANTENIMIENTO PREVENTIVO N°",BDEGENER[[#This Row],[GA1]])</f>
        <v>MANTENIMIENTO PREVENTIVO N°7</v>
      </c>
      <c r="BA647" s="85" t="str">
        <f>IF(BDEGENER[[#This Row],[SERVICIO]]=BDEGENER[[#This Row],[GA2]],BDEGENER[[#This Row],[HORAS]],"0")</f>
        <v>0</v>
      </c>
      <c r="BB647" s="85">
        <f>SUMIF(BDEGENER[SERIE],BDEGENER[[#This Row],[SERIE]],BDEGENER[GA3])</f>
        <v>2134</v>
      </c>
      <c r="BC647" s="683" t="str">
        <f>CONCATENATE("MANT",COUNTIF($Y$7:Y647,Y647))</f>
        <v>MANT8</v>
      </c>
      <c r="BD647" s="85" t="str">
        <f>CONCATENATE(BDEGENER[[#This Row],[SERIE]],BDEGENER[[#This Row],[GA5]])</f>
        <v>3004402507MANT8</v>
      </c>
      <c r="BE647" s="85" t="str">
        <f>CONCATENATE(BDEGENER[[#This Row],[CODIGO PATRIMONIAL]],BDEGENER[[#This Row],[GA5]])</f>
        <v>MANT8</v>
      </c>
      <c r="BF647" s="129">
        <f>COUNTIF(BDEGENER[SERIE],BDEGENER[[#This Row],[SERIE]])</f>
        <v>16</v>
      </c>
      <c r="BG647" s="683" t="str">
        <f>CONCATENATE("F",COUNTIF($K$7:K647,K647))</f>
        <v>F3</v>
      </c>
      <c r="BH647" s="129" t="str">
        <f>CONCATENATE(BDEGENER[[#This Row],[FECHA DE SERVICIO]],BDEGENER[[#This Row],[N° DE REGISTROS DEL DIA]])</f>
        <v>43858F3</v>
      </c>
      <c r="BI647" s="324"/>
      <c r="BJ647" s="85" t="s">
        <v>1544</v>
      </c>
      <c r="BK647" s="326"/>
    </row>
    <row r="648" spans="2:63" ht="69" hidden="1" x14ac:dyDescent="0.3">
      <c r="B648" s="129"/>
      <c r="C648" s="129"/>
      <c r="D648" s="129"/>
      <c r="E648" s="129"/>
      <c r="F648" s="129"/>
      <c r="G648" s="129"/>
      <c r="H648" s="129"/>
      <c r="I648" s="129"/>
      <c r="J648" s="129"/>
      <c r="K648" s="131">
        <v>43857</v>
      </c>
      <c r="L648" s="130" t="s">
        <v>181</v>
      </c>
      <c r="M648" s="85" t="s">
        <v>182</v>
      </c>
      <c r="N648" s="85" t="s">
        <v>183</v>
      </c>
      <c r="O648" s="85"/>
      <c r="P648" s="85"/>
      <c r="Q648" s="85" t="s">
        <v>107</v>
      </c>
      <c r="R648" s="85" t="s">
        <v>1481</v>
      </c>
      <c r="S648" s="6" t="s">
        <v>1482</v>
      </c>
      <c r="T648" s="85" t="s">
        <v>1782</v>
      </c>
      <c r="U648" s="85"/>
      <c r="V648" s="85" t="s">
        <v>146</v>
      </c>
      <c r="W648" s="85" t="s">
        <v>914</v>
      </c>
      <c r="X648" s="85" t="s">
        <v>918</v>
      </c>
      <c r="Y648" s="130">
        <v>3004337427</v>
      </c>
      <c r="Z648" s="85"/>
      <c r="AA648" s="85" t="s">
        <v>33</v>
      </c>
      <c r="AB648" s="85" t="s">
        <v>34</v>
      </c>
      <c r="AC648" s="85" t="s">
        <v>230</v>
      </c>
      <c r="AD648" s="85"/>
      <c r="AE648" s="85"/>
      <c r="AF648" s="132">
        <v>672</v>
      </c>
      <c r="AG648" s="85" t="s">
        <v>243</v>
      </c>
      <c r="AH648" s="85" t="s">
        <v>220</v>
      </c>
      <c r="AI648" s="85" t="s">
        <v>33</v>
      </c>
      <c r="AJ648" s="85">
        <v>3004346831</v>
      </c>
      <c r="AK648" s="85" t="s">
        <v>33</v>
      </c>
      <c r="AL648" s="85">
        <v>106307250</v>
      </c>
      <c r="AM648" s="85"/>
      <c r="AN648" s="85"/>
      <c r="AO648" s="85"/>
      <c r="AP648" s="85" t="s">
        <v>240</v>
      </c>
      <c r="AQ648" s="85" t="str">
        <f>CONCATENATE("REG-",BDEGENER[[#This Row],[FECHA DE SERVICIO]],"-",BDEGENER[[#This Row],[SERIE]],"-",BDEGENER[[#This Row],[HORAS]])</f>
        <v>REG-43857-3004337427-672</v>
      </c>
      <c r="AR648" s="85" t="str">
        <f>CONCATENATE("MARCA: ",BDEGENER[[#This Row],[MARCA]],"
 MODELO: ",BDEGENER[[#This Row],[MODELO]])</f>
        <v>MARCA: GENERAC
 MODELO: PG090</v>
      </c>
      <c r="AS648" s="85" t="str">
        <f>CONCATENATE("MARCA: ",BDEGENER[[#This Row],[MARCA DE MOTOR]],"
SERIE: ",BDEGENER[[#This Row],[SERIE DE MOTOR]])</f>
        <v>MARCA: GENERAC
SERIE: 3004346831</v>
      </c>
      <c r="AT648" s="85" t="str">
        <f>CONCATENATE("MARCA: ",BDEGENER[[#This Row],[MARCA ALTERNADOR ]],"
SERIE: ",BDEGENER[[#This Row],[SERIE DE ALTERNADOR]])</f>
        <v>MARCA: GENERAC
SERIE: 106307250</v>
      </c>
      <c r="AU648" s="85" t="str">
        <f>CONCATENATE("HORAS: ",BDEGENER[[#This Row],[HORAS]],"
KW-HR: ",BDEGENER[[#This Row],[KW-HORA]],"
VOLT.BATERIA: ",BDEGENER[[#This Row],[VOLTAJE DE BATERIA]],"
TEMPERATURA: ",BDEGENER[[#This Row],[TEMPERATURA DE AGUA]],"
PRES. ACEITE: ",BDEGENER[[#This Row],[PRESION DE ACEITE]])</f>
        <v xml:space="preserve">HORAS: 672
KW-HR: 
VOLT.BATERIA: 
TEMPERATURA: 
PRES. ACEITE: </v>
      </c>
      <c r="AV648" s="683">
        <f>COUNTIFS(Q648:Q2648,"MANTENIMIENTO CORRECTIVO",Y648:Y2648,BDEGENER[[#This Row],[SERIE]])</f>
        <v>2</v>
      </c>
      <c r="AW648" s="683">
        <f>COUNTIFS(Q648:Q2648,"MANTENIMIENTO PREVENTIVO",Y648:Y2648,BDEGENER[[#This Row],[SERIE]])</f>
        <v>2</v>
      </c>
      <c r="AX648"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48" s="85">
        <f>COUNTIFS(BDEGENER[SERIE],BDEGENER[[#This Row],[SERIE]],BDEGENER[TIPO DE SERVICIO],"MANTENIMIENTO PREVENTIVO")</f>
        <v>6</v>
      </c>
      <c r="AZ648" s="85" t="str">
        <f>CONCATENATE("MANTENIMIENTO PREVENTIVO N°",BDEGENER[[#This Row],[GA1]])</f>
        <v>MANTENIMIENTO PREVENTIVO N°6</v>
      </c>
      <c r="BA648" s="85" t="str">
        <f>IF(BDEGENER[[#This Row],[SERVICIO]]=BDEGENER[[#This Row],[GA2]],BDEGENER[[#This Row],[HORAS]],"0")</f>
        <v>0</v>
      </c>
      <c r="BB648" s="85">
        <f>SUMIF(BDEGENER[SERIE],BDEGENER[[#This Row],[SERIE]],BDEGENER[GA3])</f>
        <v>1835.7</v>
      </c>
      <c r="BC648" s="683" t="str">
        <f>CONCATENATE("MANT",COUNTIF($Y$7:Y648,Y648))</f>
        <v>MANT5</v>
      </c>
      <c r="BD648" s="85" t="str">
        <f>CONCATENATE(BDEGENER[[#This Row],[SERIE]],BDEGENER[[#This Row],[GA5]])</f>
        <v>3004337427MANT5</v>
      </c>
      <c r="BE648" s="85" t="str">
        <f>CONCATENATE(BDEGENER[[#This Row],[CODIGO PATRIMONIAL]],BDEGENER[[#This Row],[GA5]])</f>
        <v>MANT5</v>
      </c>
      <c r="BF648" s="129">
        <f>COUNTIF(BDEGENER[SERIE],BDEGENER[[#This Row],[SERIE]])</f>
        <v>9</v>
      </c>
      <c r="BG648" s="683" t="str">
        <f>CONCATENATE("F",COUNTIF($K$7:K648,K648))</f>
        <v>F1</v>
      </c>
      <c r="BH648" s="129" t="str">
        <f>CONCATENATE(BDEGENER[[#This Row],[FECHA DE SERVICIO]],BDEGENER[[#This Row],[N° DE REGISTROS DEL DIA]])</f>
        <v>43857F1</v>
      </c>
      <c r="BI648" s="324"/>
      <c r="BJ648" s="85" t="s">
        <v>1544</v>
      </c>
      <c r="BK648" s="326"/>
    </row>
    <row r="649" spans="2:63" ht="69" hidden="1" x14ac:dyDescent="0.3">
      <c r="B649" s="222"/>
      <c r="C649" s="223"/>
      <c r="D649" s="223"/>
      <c r="E649" s="223"/>
      <c r="F649" s="223"/>
      <c r="G649" s="223"/>
      <c r="H649" s="223"/>
      <c r="I649" s="223"/>
      <c r="J649" s="223"/>
      <c r="K649" s="226">
        <v>43857</v>
      </c>
      <c r="L649" s="227" t="s">
        <v>181</v>
      </c>
      <c r="M649" s="6" t="s">
        <v>189</v>
      </c>
      <c r="N649" s="6" t="s">
        <v>946</v>
      </c>
      <c r="O649" s="6"/>
      <c r="P649" s="6"/>
      <c r="Q649" s="6" t="s">
        <v>107</v>
      </c>
      <c r="R649" s="6" t="s">
        <v>1471</v>
      </c>
      <c r="S649" s="6" t="s">
        <v>1472</v>
      </c>
      <c r="T649" s="85" t="s">
        <v>1782</v>
      </c>
      <c r="U649" s="6"/>
      <c r="V649" s="6" t="s">
        <v>149</v>
      </c>
      <c r="W649" s="6" t="s">
        <v>914</v>
      </c>
      <c r="X649" s="6" t="s">
        <v>918</v>
      </c>
      <c r="Y649" s="227">
        <v>3004331708</v>
      </c>
      <c r="Z649" s="6"/>
      <c r="AA649" s="6" t="s">
        <v>33</v>
      </c>
      <c r="AB649" s="6" t="s">
        <v>34</v>
      </c>
      <c r="AC649" s="6" t="s">
        <v>230</v>
      </c>
      <c r="AD649" s="6" t="s">
        <v>1113</v>
      </c>
      <c r="AE649" s="6"/>
      <c r="AF649" s="228">
        <v>973</v>
      </c>
      <c r="AG649" s="6" t="s">
        <v>243</v>
      </c>
      <c r="AH649" s="6" t="s">
        <v>220</v>
      </c>
      <c r="AI649" s="6" t="s">
        <v>33</v>
      </c>
      <c r="AJ649" s="6">
        <v>3004309058</v>
      </c>
      <c r="AK649" s="6" t="s">
        <v>33</v>
      </c>
      <c r="AL649" s="6"/>
      <c r="AM649" s="6" t="s">
        <v>1145</v>
      </c>
      <c r="AN649" s="6" t="s">
        <v>1424</v>
      </c>
      <c r="AO649" s="6" t="s">
        <v>1427</v>
      </c>
      <c r="AP649" s="6" t="s">
        <v>557</v>
      </c>
      <c r="AQ649" s="9" t="str">
        <f>CONCATENATE("REG-",BDEGENER[[#This Row],[FECHA DE SERVICIO]],"-",BDEGENER[[#This Row],[SERIE]],"-",BDEGENER[[#This Row],[HORAS]])</f>
        <v>REG-43857-3004331708-973</v>
      </c>
      <c r="AR649" s="225" t="str">
        <f>CONCATENATE("MARCA: ",BDEGENER[[#This Row],[MARCA]],"
 MODELO: ",BDEGENER[[#This Row],[MODELO]])</f>
        <v>MARCA: GENERAC
 MODELO: PG090</v>
      </c>
      <c r="AS649" s="225" t="str">
        <f>CONCATENATE("MARCA: ",BDEGENER[[#This Row],[MARCA DE MOTOR]],"
SERIE: ",BDEGENER[[#This Row],[SERIE DE MOTOR]])</f>
        <v>MARCA: GENERAC
SERIE: 3004309058</v>
      </c>
      <c r="AT649" s="225" t="str">
        <f>CONCATENATE("MARCA: ",BDEGENER[[#This Row],[MARCA ALTERNADOR ]],"
SERIE: ",BDEGENER[[#This Row],[SERIE DE ALTERNADOR]])</f>
        <v xml:space="preserve">MARCA: GENERAC
SERIE: </v>
      </c>
      <c r="AU649" s="225" t="str">
        <f>CONCATENATE("HORAS: ",BDEGENER[[#This Row],[HORAS]],"
KW-HR: ",BDEGENER[[#This Row],[KW-HORA]],"
VOLT.BATERIA: ",BDEGENER[[#This Row],[VOLTAJE DE BATERIA]],"
TEMPERATURA: ",BDEGENER[[#This Row],[TEMPERATURA DE AGUA]],"
PRES. ACEITE: ",BDEGENER[[#This Row],[PRESION DE ACEITE]])</f>
        <v>HORAS: 973
KW-HR: 
VOLT.BATERIA: 13.4 V
TEMPERATURA: 185 °F
PRES. ACEITE: 60 PSI</v>
      </c>
      <c r="AV649" s="761">
        <f>COUNTIFS(Q649:Q2649,"MANTENIMIENTO CORRECTIVO",Y649:Y2649,BDEGENER[[#This Row],[SERIE]])</f>
        <v>2</v>
      </c>
      <c r="AW649" s="761">
        <f>COUNTIFS(Q649:Q2649,"MANTENIMIENTO PREVENTIVO",Y649:Y2649,BDEGENER[[#This Row],[SERIE]])</f>
        <v>3</v>
      </c>
      <c r="AX649" s="2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49" s="225">
        <f>COUNTIFS(BDEGENER[SERIE],BDEGENER[[#This Row],[SERIE]],BDEGENER[TIPO DE SERVICIO],"MANTENIMIENTO PREVENTIVO")</f>
        <v>6</v>
      </c>
      <c r="AZ649" s="225" t="str">
        <f>CONCATENATE("MANTENIMIENTO PREVENTIVO N°",BDEGENER[[#This Row],[GA1]])</f>
        <v>MANTENIMIENTO PREVENTIVO N°6</v>
      </c>
      <c r="BA649" s="224" t="str">
        <f>IF(BDEGENER[[#This Row],[SERVICIO]]=BDEGENER[[#This Row],[GA2]],BDEGENER[[#This Row],[HORAS]],"0")</f>
        <v>0</v>
      </c>
      <c r="BB649" s="224">
        <f>SUMIF(BDEGENER[SERIE],BDEGENER[[#This Row],[SERIE]],BDEGENER[GA3])</f>
        <v>1635.5</v>
      </c>
      <c r="BC649" s="761" t="str">
        <f>CONCATENATE("MANT",COUNTIF($Y$7:Y649,Y649))</f>
        <v>MANT8</v>
      </c>
      <c r="BD649" s="225" t="str">
        <f>CONCATENATE(BDEGENER[[#This Row],[SERIE]],BDEGENER[[#This Row],[GA5]])</f>
        <v>3004331708MANT8</v>
      </c>
      <c r="BE649" s="225" t="str">
        <f>CONCATENATE(BDEGENER[[#This Row],[CODIGO PATRIMONIAL]],BDEGENER[[#This Row],[GA5]])</f>
        <v>MANT8</v>
      </c>
      <c r="BF649" s="224">
        <f>COUNTIF(BDEGENER[SERIE],BDEGENER[[#This Row],[SERIE]])</f>
        <v>13</v>
      </c>
      <c r="BG649" s="761" t="str">
        <f>CONCATENATE("F",COUNTIF($K$7:K649,K649))</f>
        <v>F2</v>
      </c>
      <c r="BH649" s="224" t="str">
        <f>CONCATENATE(BDEGENER[[#This Row],[FECHA DE SERVICIO]],BDEGENER[[#This Row],[N° DE REGISTROS DEL DIA]])</f>
        <v>43857F2</v>
      </c>
      <c r="BI649" s="324"/>
      <c r="BJ649" s="85" t="s">
        <v>1544</v>
      </c>
      <c r="BK649" s="326"/>
    </row>
    <row r="650" spans="2:63" ht="69" hidden="1" x14ac:dyDescent="0.3">
      <c r="B650" s="129"/>
      <c r="C650" s="129"/>
      <c r="D650" s="129"/>
      <c r="E650" s="129"/>
      <c r="F650" s="129"/>
      <c r="G650" s="129"/>
      <c r="H650" s="129"/>
      <c r="I650" s="129"/>
      <c r="J650" s="129"/>
      <c r="K650" s="131">
        <v>43855</v>
      </c>
      <c r="L650" s="85" t="s">
        <v>1545</v>
      </c>
      <c r="M650" s="85" t="s">
        <v>1395</v>
      </c>
      <c r="N650" s="85" t="s">
        <v>1547</v>
      </c>
      <c r="O650" s="85"/>
      <c r="P650" s="85"/>
      <c r="Q650" s="85" t="s">
        <v>107</v>
      </c>
      <c r="R650" s="85" t="s">
        <v>1782</v>
      </c>
      <c r="S650" s="6" t="s">
        <v>3325</v>
      </c>
      <c r="T650" s="85" t="s">
        <v>3322</v>
      </c>
      <c r="U650" s="85" t="s">
        <v>3319</v>
      </c>
      <c r="V650" s="85" t="s">
        <v>479</v>
      </c>
      <c r="W650" s="85" t="s">
        <v>2743</v>
      </c>
      <c r="X650" s="85" t="s">
        <v>2741</v>
      </c>
      <c r="Y650" s="15" t="s">
        <v>3320</v>
      </c>
      <c r="Z650" s="85" t="s">
        <v>159</v>
      </c>
      <c r="AA650" s="85" t="s">
        <v>867</v>
      </c>
      <c r="AB650" s="85" t="s">
        <v>3321</v>
      </c>
      <c r="AC650" s="85" t="s">
        <v>159</v>
      </c>
      <c r="AD650" s="85"/>
      <c r="AE650" s="85"/>
      <c r="AF650" s="132">
        <v>275623</v>
      </c>
      <c r="AG650" s="85" t="s">
        <v>159</v>
      </c>
      <c r="AH650" s="85" t="s">
        <v>159</v>
      </c>
      <c r="AI650" s="85" t="s">
        <v>867</v>
      </c>
      <c r="AJ650" s="85" t="s">
        <v>159</v>
      </c>
      <c r="AK650" s="85" t="s">
        <v>159</v>
      </c>
      <c r="AL650" s="85" t="s">
        <v>159</v>
      </c>
      <c r="AM650" s="85"/>
      <c r="AN650" s="85"/>
      <c r="AO650" s="85"/>
      <c r="AP650" s="85" t="s">
        <v>240</v>
      </c>
      <c r="AQ650" s="85" t="str">
        <f>CONCATENATE("REG-",BDEGENER[[#This Row],[FECHA DE SERVICIO]],"-",BDEGENER[[#This Row],[SERIE]],"-",BDEGENER[[#This Row],[HORAS]])</f>
        <v>REG-43855-C7A-736-275623</v>
      </c>
      <c r="AR650" s="85" t="str">
        <f>CONCATENATE("MARCA: ",BDEGENER[[#This Row],[MARCA]],"
 MODELO: ",BDEGENER[[#This Row],[MODELO]])</f>
        <v>MARCA: NISSAN
 MODELO: FRONTIER</v>
      </c>
      <c r="AS650" s="85" t="str">
        <f>CONCATENATE("MARCA: ",BDEGENER[[#This Row],[MARCA DE MOTOR]],"
SERIE: ",BDEGENER[[#This Row],[SERIE DE MOTOR]])</f>
        <v xml:space="preserve">MARCA: NISSAN
SERIE: </v>
      </c>
      <c r="AT650" s="85" t="str">
        <f>CONCATENATE("MARCA: ",BDEGENER[[#This Row],[MARCA ALTERNADOR ]],"
SERIE: ",BDEGENER[[#This Row],[SERIE DE ALTERNADOR]])</f>
        <v xml:space="preserve">MARCA: 
SERIE: </v>
      </c>
      <c r="AU650" s="85" t="str">
        <f>CONCATENATE("HORAS: ",BDEGENER[[#This Row],[HORAS]],"
KW-HR: ",BDEGENER[[#This Row],[KW-HORA]],"
VOLT.BATERIA: ",BDEGENER[[#This Row],[VOLTAJE DE BATERIA]],"
TEMPERATURA: ",BDEGENER[[#This Row],[TEMPERATURA DE AGUA]],"
PRES. ACEITE: ",BDEGENER[[#This Row],[PRESION DE ACEITE]])</f>
        <v xml:space="preserve">HORAS: 275623
KW-HR: 
VOLT.BATERIA: 
TEMPERATURA: 
PRES. ACEITE: </v>
      </c>
      <c r="AV650" s="683">
        <f>COUNTIFS(Q650:Q2650,"MANTENIMIENTO CORRECTIVO",Y650:Y2650,BDEGENER[[#This Row],[SERIE]])</f>
        <v>2</v>
      </c>
      <c r="AW650" s="683">
        <f>COUNTIFS(Q650:Q2650,"MANTENIMIENTO PREVENTIVO",Y650:Y2650,BDEGENER[[#This Row],[SERIE]])</f>
        <v>1</v>
      </c>
      <c r="AX65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50" s="85">
        <f>COUNTIFS(BDEGENER[SERIE],BDEGENER[[#This Row],[SERIE]],BDEGENER[TIPO DE SERVICIO],"MANTENIMIENTO PREVENTIVO")</f>
        <v>3</v>
      </c>
      <c r="AZ650" s="85" t="str">
        <f>CONCATENATE("MANTENIMIENTO PREVENTIVO N°",BDEGENER[[#This Row],[GA1]])</f>
        <v>MANTENIMIENTO PREVENTIVO N°3</v>
      </c>
      <c r="BA650" s="85" t="str">
        <f>IF(BDEGENER[[#This Row],[SERVICIO]]=BDEGENER[[#This Row],[GA2]],BDEGENER[[#This Row],[HORAS]],"0")</f>
        <v>0</v>
      </c>
      <c r="BB650" s="85">
        <f>SUMIF(BDEGENER[SERIE],BDEGENER[[#This Row],[SERIE]],BDEGENER[GA3])</f>
        <v>287150</v>
      </c>
      <c r="BC650" s="683" t="str">
        <f>CONCATENATE("MANT",COUNTIF($Y$7:Y650,Y650))</f>
        <v>MANT6</v>
      </c>
      <c r="BD650" s="85" t="str">
        <f>CONCATENATE(BDEGENER[[#This Row],[SERIE]],BDEGENER[[#This Row],[GA5]])</f>
        <v>C7A-736MANT6</v>
      </c>
      <c r="BE650" s="85" t="str">
        <f>CONCATENATE(BDEGENER[[#This Row],[CODIGO PATRIMONIAL]],BDEGENER[[#This Row],[GA5]])</f>
        <v>MANT6</v>
      </c>
      <c r="BF650" s="85">
        <f>COUNTIF(BDEGENER[SERIE],BDEGENER[[#This Row],[SERIE]])</f>
        <v>8</v>
      </c>
      <c r="BG650" s="683" t="str">
        <f>CONCATENATE("F",COUNTIF($K$7:K650,K650))</f>
        <v>F1</v>
      </c>
      <c r="BH650" s="85" t="str">
        <f>CONCATENATE(BDEGENER[[#This Row],[FECHA DE SERVICIO]],BDEGENER[[#This Row],[N° DE REGISTROS DEL DIA]])</f>
        <v>43855F1</v>
      </c>
      <c r="BI650" s="132"/>
      <c r="BJ650" s="85" t="s">
        <v>1544</v>
      </c>
      <c r="BK650" s="680"/>
    </row>
    <row r="651" spans="2:63" ht="69" hidden="1" x14ac:dyDescent="0.3">
      <c r="B651" s="129"/>
      <c r="C651" s="129"/>
      <c r="D651" s="129"/>
      <c r="E651" s="129"/>
      <c r="F651" s="129"/>
      <c r="G651" s="129"/>
      <c r="H651" s="129"/>
      <c r="I651" s="129"/>
      <c r="J651" s="129"/>
      <c r="K651" s="131">
        <v>43855</v>
      </c>
      <c r="L651" s="130" t="s">
        <v>181</v>
      </c>
      <c r="M651" s="85" t="s">
        <v>182</v>
      </c>
      <c r="N651" s="85" t="s">
        <v>183</v>
      </c>
      <c r="O651" s="85"/>
      <c r="P651" s="85"/>
      <c r="Q651" s="85" t="s">
        <v>107</v>
      </c>
      <c r="R651" s="85" t="s">
        <v>1480</v>
      </c>
      <c r="S651" s="6" t="s">
        <v>1479</v>
      </c>
      <c r="T651" s="85" t="s">
        <v>1782</v>
      </c>
      <c r="U651" s="85"/>
      <c r="V651" s="85" t="s">
        <v>146</v>
      </c>
      <c r="W651" s="85" t="s">
        <v>914</v>
      </c>
      <c r="X651" s="85" t="s">
        <v>918</v>
      </c>
      <c r="Y651" s="130">
        <v>3004256777</v>
      </c>
      <c r="Z651" s="85"/>
      <c r="AA651" s="85" t="s">
        <v>33</v>
      </c>
      <c r="AB651" s="85" t="s">
        <v>34</v>
      </c>
      <c r="AC651" s="85" t="s">
        <v>230</v>
      </c>
      <c r="AD651" s="85"/>
      <c r="AE651" s="85"/>
      <c r="AF651" s="132">
        <v>273.2</v>
      </c>
      <c r="AG651" s="85" t="s">
        <v>243</v>
      </c>
      <c r="AH651" s="85" t="s">
        <v>220</v>
      </c>
      <c r="AI651" s="85" t="s">
        <v>33</v>
      </c>
      <c r="AJ651" s="85"/>
      <c r="AK651" s="85" t="s">
        <v>33</v>
      </c>
      <c r="AL651" s="85"/>
      <c r="AM651" s="85"/>
      <c r="AN651" s="85"/>
      <c r="AO651" s="85"/>
      <c r="AP651" s="85" t="s">
        <v>240</v>
      </c>
      <c r="AQ651" s="85" t="str">
        <f>CONCATENATE("REG-",BDEGENER[[#This Row],[FECHA DE SERVICIO]],"-",BDEGENER[[#This Row],[SERIE]],"-",BDEGENER[[#This Row],[HORAS]])</f>
        <v>REG-43855-3004256777-273,2</v>
      </c>
      <c r="AR651" s="85" t="str">
        <f>CONCATENATE("MARCA: ",BDEGENER[[#This Row],[MARCA]],"
 MODELO: ",BDEGENER[[#This Row],[MODELO]])</f>
        <v>MARCA: GENERAC
 MODELO: PG090</v>
      </c>
      <c r="AS651" s="85" t="str">
        <f>CONCATENATE("MARCA: ",BDEGENER[[#This Row],[MARCA DE MOTOR]],"
SERIE: ",BDEGENER[[#This Row],[SERIE DE MOTOR]])</f>
        <v xml:space="preserve">MARCA: GENERAC
SERIE: </v>
      </c>
      <c r="AT651" s="85" t="str">
        <f>CONCATENATE("MARCA: ",BDEGENER[[#This Row],[MARCA ALTERNADOR ]],"
SERIE: ",BDEGENER[[#This Row],[SERIE DE ALTERNADOR]])</f>
        <v xml:space="preserve">MARCA: GENERAC
SERIE: </v>
      </c>
      <c r="AU651" s="85" t="str">
        <f>CONCATENATE("HORAS: ",BDEGENER[[#This Row],[HORAS]],"
KW-HR: ",BDEGENER[[#This Row],[KW-HORA]],"
VOLT.BATERIA: ",BDEGENER[[#This Row],[VOLTAJE DE BATERIA]],"
TEMPERATURA: ",BDEGENER[[#This Row],[TEMPERATURA DE AGUA]],"
PRES. ACEITE: ",BDEGENER[[#This Row],[PRESION DE ACEITE]])</f>
        <v xml:space="preserve">HORAS: 273,2
KW-HR: 
VOLT.BATERIA: 
TEMPERATURA: 
PRES. ACEITE: </v>
      </c>
      <c r="AV651" s="683">
        <f>COUNTIFS(Q651:Q2651,"MANTENIMIENTO CORRECTIVO",Y651:Y2651,BDEGENER[[#This Row],[SERIE]])</f>
        <v>2</v>
      </c>
      <c r="AW651" s="683">
        <f>COUNTIFS(Q651:Q2651,"MANTENIMIENTO PREVENTIVO",Y651:Y2651,BDEGENER[[#This Row],[SERIE]])</f>
        <v>1</v>
      </c>
      <c r="AX65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51" s="85">
        <f>COUNTIFS(BDEGENER[SERIE],BDEGENER[[#This Row],[SERIE]],BDEGENER[TIPO DE SERVICIO],"MANTENIMIENTO PREVENTIVO")</f>
        <v>9</v>
      </c>
      <c r="AZ651" s="85" t="str">
        <f>CONCATENATE("MANTENIMIENTO PREVENTIVO N°",BDEGENER[[#This Row],[GA1]])</f>
        <v>MANTENIMIENTO PREVENTIVO N°9</v>
      </c>
      <c r="BA651" s="85" t="str">
        <f>IF(BDEGENER[[#This Row],[SERVICIO]]=BDEGENER[[#This Row],[GA2]],BDEGENER[[#This Row],[HORAS]],"0")</f>
        <v>0</v>
      </c>
      <c r="BB651" s="85">
        <f>SUMIF(BDEGENER[SERIE],BDEGENER[[#This Row],[SERIE]],BDEGENER[GA3])</f>
        <v>2804.7</v>
      </c>
      <c r="BC651" s="683" t="str">
        <f>CONCATENATE("MANT",COUNTIF($Y$7:Y651,Y651))</f>
        <v>MANT13</v>
      </c>
      <c r="BD651" s="85" t="str">
        <f>CONCATENATE(BDEGENER[[#This Row],[SERIE]],BDEGENER[[#This Row],[GA5]])</f>
        <v>3004256777MANT13</v>
      </c>
      <c r="BE651" s="85" t="str">
        <f>CONCATENATE(BDEGENER[[#This Row],[CODIGO PATRIMONIAL]],BDEGENER[[#This Row],[GA5]])</f>
        <v>MANT13</v>
      </c>
      <c r="BF651" s="129">
        <f>COUNTIF(BDEGENER[SERIE],BDEGENER[[#This Row],[SERIE]])</f>
        <v>16</v>
      </c>
      <c r="BG651" s="683" t="str">
        <f>CONCATENATE("F",COUNTIF($K$7:K651,K651))</f>
        <v>F2</v>
      </c>
      <c r="BH651" s="129" t="str">
        <f>CONCATENATE(BDEGENER[[#This Row],[FECHA DE SERVICIO]],BDEGENER[[#This Row],[N° DE REGISTROS DEL DIA]])</f>
        <v>43855F2</v>
      </c>
      <c r="BI651" s="324"/>
      <c r="BJ651" s="85" t="s">
        <v>1544</v>
      </c>
      <c r="BK651" s="326"/>
    </row>
    <row r="652" spans="2:63" ht="69" hidden="1" x14ac:dyDescent="0.3">
      <c r="B652" s="129"/>
      <c r="C652" s="129"/>
      <c r="D652" s="129"/>
      <c r="E652" s="129"/>
      <c r="F652" s="129"/>
      <c r="G652" s="129"/>
      <c r="H652" s="129"/>
      <c r="I652" s="129"/>
      <c r="J652" s="129"/>
      <c r="K652" s="131">
        <v>43855</v>
      </c>
      <c r="L652" s="130" t="s">
        <v>181</v>
      </c>
      <c r="M652" s="85" t="s">
        <v>184</v>
      </c>
      <c r="N652" s="85" t="s">
        <v>183</v>
      </c>
      <c r="O652" s="85"/>
      <c r="P652" s="85"/>
      <c r="Q652" s="85" t="s">
        <v>107</v>
      </c>
      <c r="R652" s="85" t="s">
        <v>1480</v>
      </c>
      <c r="S652" s="6" t="s">
        <v>1479</v>
      </c>
      <c r="T652" s="85" t="s">
        <v>1782</v>
      </c>
      <c r="U652" s="85"/>
      <c r="V652" s="85" t="s">
        <v>146</v>
      </c>
      <c r="W652" s="85" t="s">
        <v>914</v>
      </c>
      <c r="X652" s="85" t="s">
        <v>918</v>
      </c>
      <c r="Y652" s="130">
        <v>3004402507</v>
      </c>
      <c r="Z652" s="85"/>
      <c r="AA652" s="85" t="s">
        <v>33</v>
      </c>
      <c r="AB652" s="85" t="s">
        <v>34</v>
      </c>
      <c r="AC652" s="85" t="s">
        <v>230</v>
      </c>
      <c r="AD652" s="85"/>
      <c r="AE652" s="85"/>
      <c r="AF652" s="132">
        <v>1190</v>
      </c>
      <c r="AG652" s="85" t="s">
        <v>243</v>
      </c>
      <c r="AH652" s="85" t="s">
        <v>220</v>
      </c>
      <c r="AI652" s="85" t="s">
        <v>33</v>
      </c>
      <c r="AJ652" s="85">
        <v>3004425772</v>
      </c>
      <c r="AK652" s="85" t="s">
        <v>33</v>
      </c>
      <c r="AL652" s="85">
        <v>106310030</v>
      </c>
      <c r="AM652" s="85"/>
      <c r="AN652" s="85"/>
      <c r="AO652" s="85"/>
      <c r="AP652" s="85" t="s">
        <v>240</v>
      </c>
      <c r="AQ652" s="85" t="str">
        <f>CONCATENATE("REG-",BDEGENER[[#This Row],[FECHA DE SERVICIO]],"-",BDEGENER[[#This Row],[SERIE]],"-",BDEGENER[[#This Row],[HORAS]])</f>
        <v>REG-43855-3004402507-1190</v>
      </c>
      <c r="AR652" s="85" t="str">
        <f>CONCATENATE("MARCA: ",BDEGENER[[#This Row],[MARCA]],"
 MODELO: ",BDEGENER[[#This Row],[MODELO]])</f>
        <v>MARCA: GENERAC
 MODELO: PG090</v>
      </c>
      <c r="AS652" s="85" t="str">
        <f>CONCATENATE("MARCA: ",BDEGENER[[#This Row],[MARCA DE MOTOR]],"
SERIE: ",BDEGENER[[#This Row],[SERIE DE MOTOR]])</f>
        <v>MARCA: GENERAC
SERIE: 3004425772</v>
      </c>
      <c r="AT652" s="85" t="str">
        <f>CONCATENATE("MARCA: ",BDEGENER[[#This Row],[MARCA ALTERNADOR ]],"
SERIE: ",BDEGENER[[#This Row],[SERIE DE ALTERNADOR]])</f>
        <v>MARCA: GENERAC
SERIE: 106310030</v>
      </c>
      <c r="AU652" s="85" t="str">
        <f>CONCATENATE("HORAS: ",BDEGENER[[#This Row],[HORAS]],"
KW-HR: ",BDEGENER[[#This Row],[KW-HORA]],"
VOLT.BATERIA: ",BDEGENER[[#This Row],[VOLTAJE DE BATERIA]],"
TEMPERATURA: ",BDEGENER[[#This Row],[TEMPERATURA DE AGUA]],"
PRES. ACEITE: ",BDEGENER[[#This Row],[PRESION DE ACEITE]])</f>
        <v xml:space="preserve">HORAS: 1190
KW-HR: 
VOLT.BATERIA: 
TEMPERATURA: 
PRES. ACEITE: </v>
      </c>
      <c r="AV652" s="761">
        <f>COUNTIFS(Q652:Q2652,"MANTENIMIENTO CORRECTIVO",Y652:Y2652,BDEGENER[[#This Row],[SERIE]])</f>
        <v>3</v>
      </c>
      <c r="AW652" s="761">
        <f>COUNTIFS(Q652:Q2652,"MANTENIMIENTO PREVENTIVO",Y652:Y2652,BDEGENER[[#This Row],[SERIE]])</f>
        <v>4</v>
      </c>
      <c r="AX652"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652" s="85">
        <f>COUNTIFS(BDEGENER[SERIE],BDEGENER[[#This Row],[SERIE]],BDEGENER[TIPO DE SERVICIO],"MANTENIMIENTO PREVENTIVO")</f>
        <v>7</v>
      </c>
      <c r="AZ652" s="85" t="str">
        <f>CONCATENATE("MANTENIMIENTO PREVENTIVO N°",BDEGENER[[#This Row],[GA1]])</f>
        <v>MANTENIMIENTO PREVENTIVO N°7</v>
      </c>
      <c r="BA652" s="85" t="str">
        <f>IF(BDEGENER[[#This Row],[SERVICIO]]=BDEGENER[[#This Row],[GA2]],BDEGENER[[#This Row],[HORAS]],"0")</f>
        <v>0</v>
      </c>
      <c r="BB652" s="85">
        <f>SUMIF(BDEGENER[SERIE],BDEGENER[[#This Row],[SERIE]],BDEGENER[GA3])</f>
        <v>2134</v>
      </c>
      <c r="BC652" s="761" t="str">
        <f>CONCATENATE("MANT",COUNTIF($Y$7:Y652,Y652))</f>
        <v>MANT9</v>
      </c>
      <c r="BD652" s="85" t="str">
        <f>CONCATENATE(BDEGENER[[#This Row],[SERIE]],BDEGENER[[#This Row],[GA5]])</f>
        <v>3004402507MANT9</v>
      </c>
      <c r="BE652" s="85" t="str">
        <f>CONCATENATE(BDEGENER[[#This Row],[CODIGO PATRIMONIAL]],BDEGENER[[#This Row],[GA5]])</f>
        <v>MANT9</v>
      </c>
      <c r="BF652" s="129">
        <f>COUNTIF(BDEGENER[SERIE],BDEGENER[[#This Row],[SERIE]])</f>
        <v>16</v>
      </c>
      <c r="BG652" s="761" t="str">
        <f>CONCATENATE("F",COUNTIF($K$7:K652,K652))</f>
        <v>F3</v>
      </c>
      <c r="BH652" s="129" t="str">
        <f>CONCATENATE(BDEGENER[[#This Row],[FECHA DE SERVICIO]],BDEGENER[[#This Row],[N° DE REGISTROS DEL DIA]])</f>
        <v>43855F3</v>
      </c>
      <c r="BI652" s="324"/>
      <c r="BJ652" s="85" t="s">
        <v>1544</v>
      </c>
      <c r="BK652" s="326"/>
    </row>
    <row r="653" spans="2:63" ht="82.8" hidden="1" x14ac:dyDescent="0.3">
      <c r="B653" s="129"/>
      <c r="C653" s="129"/>
      <c r="D653" s="129"/>
      <c r="E653" s="129"/>
      <c r="F653" s="129"/>
      <c r="G653" s="129"/>
      <c r="H653" s="129"/>
      <c r="I653" s="129"/>
      <c r="J653" s="129"/>
      <c r="K653" s="131">
        <v>43855</v>
      </c>
      <c r="L653" s="130" t="s">
        <v>1173</v>
      </c>
      <c r="M653" s="85" t="s">
        <v>1174</v>
      </c>
      <c r="N653" s="19" t="s">
        <v>793</v>
      </c>
      <c r="O653" s="85"/>
      <c r="P653" s="85"/>
      <c r="Q653" s="85" t="s">
        <v>37</v>
      </c>
      <c r="R653" s="85" t="s">
        <v>1782</v>
      </c>
      <c r="S653" s="6" t="s">
        <v>1806</v>
      </c>
      <c r="T653" s="85" t="s">
        <v>1175</v>
      </c>
      <c r="U653" s="85"/>
      <c r="V653" s="85" t="s">
        <v>922</v>
      </c>
      <c r="W653" s="85" t="s">
        <v>914</v>
      </c>
      <c r="X653" s="85" t="s">
        <v>917</v>
      </c>
      <c r="Y653" s="130" t="s">
        <v>835</v>
      </c>
      <c r="Z653" s="85"/>
      <c r="AA653" s="85" t="s">
        <v>841</v>
      </c>
      <c r="AB653" s="85" t="s">
        <v>1171</v>
      </c>
      <c r="AC653" s="85" t="s">
        <v>852</v>
      </c>
      <c r="AD653" s="85" t="s">
        <v>1172</v>
      </c>
      <c r="AE653" s="85">
        <v>60.4</v>
      </c>
      <c r="AF653" s="132">
        <v>2751</v>
      </c>
      <c r="AG653" s="85"/>
      <c r="AH653" s="85"/>
      <c r="AI653" s="85" t="s">
        <v>841</v>
      </c>
      <c r="AJ653" s="19" t="s">
        <v>839</v>
      </c>
      <c r="AK653" s="85" t="s">
        <v>841</v>
      </c>
      <c r="AL653" s="85" t="s">
        <v>835</v>
      </c>
      <c r="AM653" s="85" t="s">
        <v>1176</v>
      </c>
      <c r="AN653" s="85"/>
      <c r="AO653" s="85" t="s">
        <v>1177</v>
      </c>
      <c r="AP653" s="85" t="s">
        <v>240</v>
      </c>
      <c r="AQ653" s="200" t="str">
        <f>CONCATENATE("REG-",BDEGENER[[#This Row],[FECHA DE SERVICIO]],"-",BDEGENER[[#This Row],[SERIE]],"-",BDEGENER[[#This Row],[HORAS]])</f>
        <v>REG-43855-6JA02716-2751</v>
      </c>
      <c r="AR653" s="85" t="str">
        <f>CONCATENATE("MARCA: ",BDEGENER[[#This Row],[MARCA]],"
 MODELO: ",BDEGENER[[#This Row],[MODELO]])</f>
        <v>MARCA: CATERPILLAR
 MODELO: SR4</v>
      </c>
      <c r="AS653" s="85" t="str">
        <f>CONCATENATE("MARCA: ",BDEGENER[[#This Row],[MARCA DE MOTOR]],"
SERIE: ",BDEGENER[[#This Row],[SERIE DE MOTOR]])</f>
        <v>MARCA: CATERPILLAR
SERIE: 3DAD4134</v>
      </c>
      <c r="AT653" s="85" t="str">
        <f>CONCATENATE("MARCA: ",BDEGENER[[#This Row],[MARCA ALTERNADOR ]],"
SERIE: ",BDEGENER[[#This Row],[SERIE DE ALTERNADOR]])</f>
        <v>MARCA: CATERPILLAR
SERIE: 6JA02716</v>
      </c>
      <c r="AU653" s="85" t="str">
        <f>CONCATENATE("HORAS: ",BDEGENER[[#This Row],[HORAS]],"
KW-HR: ",BDEGENER[[#This Row],[KW-HORA]],"
VOLT.BATERIA: ",BDEGENER[[#This Row],[VOLTAJE DE BATERIA]],"
TEMPERATURA: ",BDEGENER[[#This Row],[TEMPERATURA DE AGUA]],"
PRES. ACEITE: ",BDEGENER[[#This Row],[PRESION DE ACEITE]])</f>
        <v>HORAS: 2751
KW-HR: 
VOLT.BATERIA: 27.8 V
TEMPERATURA: 
PRES. ACEITE: 84 PSI</v>
      </c>
      <c r="AV653" s="683">
        <f>COUNTIFS(Q653:Q2653,"MANTENIMIENTO CORRECTIVO",Y653:Y2653,BDEGENER[[#This Row],[SERIE]])</f>
        <v>1</v>
      </c>
      <c r="AW653" s="683">
        <f>COUNTIFS(Q653:Q2653,"MANTENIMIENTO PREVENTIVO",Y653:Y2653,BDEGENER[[#This Row],[SERIE]])</f>
        <v>3</v>
      </c>
      <c r="AX653"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53" s="85">
        <f>COUNTIFS(BDEGENER[SERIE],BDEGENER[[#This Row],[SERIE]],BDEGENER[TIPO DE SERVICIO],"MANTENIMIENTO PREVENTIVO")</f>
        <v>4</v>
      </c>
      <c r="AZ653" s="85" t="str">
        <f>CONCATENATE("MANTENIMIENTO PREVENTIVO N°",BDEGENER[[#This Row],[GA1]])</f>
        <v>MANTENIMIENTO PREVENTIVO N°4</v>
      </c>
      <c r="BA653" s="85" t="str">
        <f>IF(BDEGENER[[#This Row],[SERVICIO]]=BDEGENER[[#This Row],[GA2]],BDEGENER[[#This Row],[HORAS]],"0")</f>
        <v>0</v>
      </c>
      <c r="BB653" s="85">
        <f>SUMIF(BDEGENER[SERIE],BDEGENER[[#This Row],[SERIE]],BDEGENER[GA3])</f>
        <v>2751</v>
      </c>
      <c r="BC653" s="683" t="str">
        <f>CONCATENATE("MANT",COUNTIF($Y$7:Y653,Y653))</f>
        <v>MANT3</v>
      </c>
      <c r="BD653" s="85" t="str">
        <f>CONCATENATE(BDEGENER[[#This Row],[SERIE]],BDEGENER[[#This Row],[GA5]])</f>
        <v>6JA02716MANT3</v>
      </c>
      <c r="BE653" s="85" t="str">
        <f>CONCATENATE(BDEGENER[[#This Row],[CODIGO PATRIMONIAL]],BDEGENER[[#This Row],[GA5]])</f>
        <v>MANT3</v>
      </c>
      <c r="BF653" s="129">
        <f>COUNTIF(BDEGENER[SERIE],BDEGENER[[#This Row],[SERIE]])</f>
        <v>7</v>
      </c>
      <c r="BG653" s="683" t="str">
        <f>CONCATENATE("F",COUNTIF($K$7:K653,K653))</f>
        <v>F4</v>
      </c>
      <c r="BH653" s="325" t="str">
        <f>CONCATENATE(BDEGENER[[#This Row],[FECHA DE SERVICIO]],BDEGENER[[#This Row],[N° DE REGISTROS DEL DIA]])</f>
        <v>43855F4</v>
      </c>
      <c r="BI653" s="324"/>
      <c r="BJ653" s="325"/>
      <c r="BK653" s="326"/>
    </row>
    <row r="654" spans="2:63" ht="69" hidden="1" x14ac:dyDescent="0.3">
      <c r="B654" s="129"/>
      <c r="C654" s="129"/>
      <c r="D654" s="129"/>
      <c r="E654" s="129"/>
      <c r="F654" s="129"/>
      <c r="G654" s="129"/>
      <c r="H654" s="129"/>
      <c r="I654" s="129"/>
      <c r="J654" s="129"/>
      <c r="K654" s="131">
        <v>43854</v>
      </c>
      <c r="L654" s="130" t="s">
        <v>181</v>
      </c>
      <c r="M654" s="85" t="s">
        <v>187</v>
      </c>
      <c r="N654" s="85" t="s">
        <v>183</v>
      </c>
      <c r="O654" s="85"/>
      <c r="P654" s="85"/>
      <c r="Q654" s="85" t="s">
        <v>107</v>
      </c>
      <c r="R654" s="85" t="s">
        <v>1164</v>
      </c>
      <c r="S654" s="6" t="s">
        <v>1162</v>
      </c>
      <c r="T654" s="85" t="s">
        <v>1163</v>
      </c>
      <c r="U654" s="85" t="s">
        <v>1165</v>
      </c>
      <c r="V654" s="85" t="s">
        <v>148</v>
      </c>
      <c r="W654" s="85" t="s">
        <v>914</v>
      </c>
      <c r="X654" s="85" t="s">
        <v>918</v>
      </c>
      <c r="Y654" s="130">
        <v>3004214491</v>
      </c>
      <c r="Z654" s="85"/>
      <c r="AA654" s="85" t="s">
        <v>33</v>
      </c>
      <c r="AB654" s="85" t="s">
        <v>34</v>
      </c>
      <c r="AC654" s="85" t="s">
        <v>230</v>
      </c>
      <c r="AD654" s="85" t="s">
        <v>1110</v>
      </c>
      <c r="AE654" s="85">
        <v>60</v>
      </c>
      <c r="AF654" s="132">
        <v>323.60000000000002</v>
      </c>
      <c r="AG654" s="85" t="s">
        <v>243</v>
      </c>
      <c r="AH654" s="85" t="s">
        <v>244</v>
      </c>
      <c r="AI654" s="85" t="s">
        <v>33</v>
      </c>
      <c r="AJ654" s="85">
        <v>3004133600</v>
      </c>
      <c r="AK654" s="85" t="s">
        <v>33</v>
      </c>
      <c r="AL654" s="85">
        <v>1063014</v>
      </c>
      <c r="AM654" s="85" t="s">
        <v>245</v>
      </c>
      <c r="AN654" s="85" t="s">
        <v>1143</v>
      </c>
      <c r="AO654" s="85" t="s">
        <v>1166</v>
      </c>
      <c r="AP654" s="85" t="s">
        <v>240</v>
      </c>
      <c r="AQ654" s="200" t="str">
        <f>CONCATENATE("REG-",BDEGENER[[#This Row],[FECHA DE SERVICIO]],"-",BDEGENER[[#This Row],[SERIE]],"-",BDEGENER[[#This Row],[HORAS]])</f>
        <v>REG-43854-3004214491-323,6</v>
      </c>
      <c r="AR654" s="85" t="str">
        <f>CONCATENATE("MARCA: ",BDEGENER[[#This Row],[MARCA]],"
 MODELO: ",BDEGENER[[#This Row],[MODELO]])</f>
        <v>MARCA: GENERAC
 MODELO: PG090</v>
      </c>
      <c r="AS654" s="85" t="str">
        <f>CONCATENATE("MARCA: ",BDEGENER[[#This Row],[MARCA DE MOTOR]],"
SERIE: ",BDEGENER[[#This Row],[SERIE DE MOTOR]])</f>
        <v>MARCA: GENERAC
SERIE: 3004133600</v>
      </c>
      <c r="AT654" s="85" t="str">
        <f>CONCATENATE("MARCA: ",BDEGENER[[#This Row],[MARCA ALTERNADOR ]],"
SERIE: ",BDEGENER[[#This Row],[SERIE DE ALTERNADOR]])</f>
        <v>MARCA: GENERAC
SERIE: 1063014</v>
      </c>
      <c r="AU654" s="85" t="str">
        <f>CONCATENATE("HORAS: ",BDEGENER[[#This Row],[HORAS]],"
KW-HR: ",BDEGENER[[#This Row],[KW-HORA]],"
VOLT.BATERIA: ",BDEGENER[[#This Row],[VOLTAJE DE BATERIA]],"
TEMPERATURA: ",BDEGENER[[#This Row],[TEMPERATURA DE AGUA]],"
PRES. ACEITE: ",BDEGENER[[#This Row],[PRESION DE ACEITE]])</f>
        <v>HORAS: 323,6
KW-HR: 
VOLT.BATERIA: 13.6 V
TEMPERATURA: 197 °F
PRES. ACEITE: 57 PSI</v>
      </c>
      <c r="AV654" s="683">
        <f>COUNTIFS(Q654:Q2654,"MANTENIMIENTO CORRECTIVO",Y654:Y2654,BDEGENER[[#This Row],[SERIE]])</f>
        <v>3</v>
      </c>
      <c r="AW654" s="683">
        <f>COUNTIFS(Q654:Q2654,"MANTENIMIENTO PREVENTIVO",Y654:Y2654,BDEGENER[[#This Row],[SERIE]])</f>
        <v>1</v>
      </c>
      <c r="AX65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654" s="85">
        <f>COUNTIFS(BDEGENER[SERIE],BDEGENER[[#This Row],[SERIE]],BDEGENER[TIPO DE SERVICIO],"MANTENIMIENTO PREVENTIVO")</f>
        <v>9</v>
      </c>
      <c r="AZ654" s="85" t="str">
        <f>CONCATENATE("MANTENIMIENTO PREVENTIVO N°",BDEGENER[[#This Row],[GA1]])</f>
        <v>MANTENIMIENTO PREVENTIVO N°9</v>
      </c>
      <c r="BA654" s="85" t="str">
        <f>IF(BDEGENER[[#This Row],[SERVICIO]]=BDEGENER[[#This Row],[GA2]],BDEGENER[[#This Row],[HORAS]],"0")</f>
        <v>0</v>
      </c>
      <c r="BB654" s="85">
        <f>SUMIF(BDEGENER[SERIE],BDEGENER[[#This Row],[SERIE]],BDEGENER[GA3])</f>
        <v>2751</v>
      </c>
      <c r="BC654" s="683" t="str">
        <f>CONCATENATE("MANT",COUNTIF($Y$7:Y654,Y654))</f>
        <v>MANT14</v>
      </c>
      <c r="BD654" s="85" t="str">
        <f>CONCATENATE(BDEGENER[[#This Row],[SERIE]],BDEGENER[[#This Row],[GA5]])</f>
        <v>3004214491MANT14</v>
      </c>
      <c r="BE654" s="85" t="str">
        <f>CONCATENATE(BDEGENER[[#This Row],[CODIGO PATRIMONIAL]],BDEGENER[[#This Row],[GA5]])</f>
        <v>MANT14</v>
      </c>
      <c r="BF654" s="129">
        <f>COUNTIF(BDEGENER[SERIE],BDEGENER[[#This Row],[SERIE]])</f>
        <v>18</v>
      </c>
      <c r="BG654" s="683" t="str">
        <f>CONCATENATE("F",COUNTIF($K$7:K654,K654))</f>
        <v>F1</v>
      </c>
      <c r="BH654" s="325" t="str">
        <f>CONCATENATE(BDEGENER[[#This Row],[FECHA DE SERVICIO]],BDEGENER[[#This Row],[N° DE REGISTROS DEL DIA]])</f>
        <v>43854F1</v>
      </c>
      <c r="BI654" s="324"/>
      <c r="BJ654" s="85" t="s">
        <v>1544</v>
      </c>
      <c r="BK654" s="326"/>
    </row>
    <row r="655" spans="2:63" ht="110.4" hidden="1" x14ac:dyDescent="0.3">
      <c r="B655" s="129"/>
      <c r="C655" s="129"/>
      <c r="D655" s="129"/>
      <c r="E655" s="129"/>
      <c r="F655" s="129"/>
      <c r="G655" s="129"/>
      <c r="H655" s="129"/>
      <c r="I655" s="129"/>
      <c r="J655" s="129"/>
      <c r="K655" s="131">
        <v>43854</v>
      </c>
      <c r="L655" s="130" t="s">
        <v>181</v>
      </c>
      <c r="M655" s="85" t="s">
        <v>188</v>
      </c>
      <c r="N655" s="85" t="s">
        <v>183</v>
      </c>
      <c r="O655" s="85"/>
      <c r="P655" s="85"/>
      <c r="Q655" s="85" t="s">
        <v>107</v>
      </c>
      <c r="R655" s="85" t="s">
        <v>1167</v>
      </c>
      <c r="S655" s="6" t="s">
        <v>1170</v>
      </c>
      <c r="T655" s="85" t="s">
        <v>1168</v>
      </c>
      <c r="U655" s="85" t="s">
        <v>1169</v>
      </c>
      <c r="V655" s="85" t="s">
        <v>148</v>
      </c>
      <c r="W655" s="85" t="s">
        <v>914</v>
      </c>
      <c r="X655" s="85" t="s">
        <v>918</v>
      </c>
      <c r="Y655" s="130">
        <v>3004337388</v>
      </c>
      <c r="Z655" s="85"/>
      <c r="AA655" s="85" t="s">
        <v>33</v>
      </c>
      <c r="AB655" s="85" t="s">
        <v>34</v>
      </c>
      <c r="AC655" s="85" t="s">
        <v>230</v>
      </c>
      <c r="AD655" s="85" t="s">
        <v>1110</v>
      </c>
      <c r="AE655" s="85">
        <v>60</v>
      </c>
      <c r="AF655" s="132">
        <v>853.4</v>
      </c>
      <c r="AG655" s="85" t="s">
        <v>243</v>
      </c>
      <c r="AH655" s="85" t="s">
        <v>220</v>
      </c>
      <c r="AI655" s="85" t="s">
        <v>33</v>
      </c>
      <c r="AJ655" s="16">
        <v>3004346829</v>
      </c>
      <c r="AK655" s="85" t="s">
        <v>33</v>
      </c>
      <c r="AL655" s="16">
        <v>106308710</v>
      </c>
      <c r="AM655" s="85" t="s">
        <v>245</v>
      </c>
      <c r="AN655" s="85" t="s">
        <v>1102</v>
      </c>
      <c r="AO655" s="85" t="s">
        <v>1140</v>
      </c>
      <c r="AP655" s="85" t="s">
        <v>557</v>
      </c>
      <c r="AQ655" s="200" t="str">
        <f>CONCATENATE("REG-",BDEGENER[[#This Row],[FECHA DE SERVICIO]],"-",BDEGENER[[#This Row],[SERIE]],"-",BDEGENER[[#This Row],[HORAS]])</f>
        <v>REG-43854-3004337388-853,4</v>
      </c>
      <c r="AR655" s="85" t="str">
        <f>CONCATENATE("MARCA: ",BDEGENER[[#This Row],[MARCA]],"
 MODELO: ",BDEGENER[[#This Row],[MODELO]])</f>
        <v>MARCA: GENERAC
 MODELO: PG090</v>
      </c>
      <c r="AS655" s="85" t="str">
        <f>CONCATENATE("MARCA: ",BDEGENER[[#This Row],[MARCA DE MOTOR]],"
SERIE: ",BDEGENER[[#This Row],[SERIE DE MOTOR]])</f>
        <v>MARCA: GENERAC
SERIE: 3004346829</v>
      </c>
      <c r="AT655" s="85" t="str">
        <f>CONCATENATE("MARCA: ",BDEGENER[[#This Row],[MARCA ALTERNADOR ]],"
SERIE: ",BDEGENER[[#This Row],[SERIE DE ALTERNADOR]])</f>
        <v>MARCA: GENERAC
SERIE: 106308710</v>
      </c>
      <c r="AU655" s="85" t="str">
        <f>CONCATENATE("HORAS: ",BDEGENER[[#This Row],[HORAS]],"
KW-HR: ",BDEGENER[[#This Row],[KW-HORA]],"
VOLT.BATERIA: ",BDEGENER[[#This Row],[VOLTAJE DE BATERIA]],"
TEMPERATURA: ",BDEGENER[[#This Row],[TEMPERATURA DE AGUA]],"
PRES. ACEITE: ",BDEGENER[[#This Row],[PRESION DE ACEITE]])</f>
        <v>HORAS: 853,4
KW-HR: 
VOLT.BATERIA: 13.6 V
TEMPERATURA: 199 °F
PRES. ACEITE: 50 PSI</v>
      </c>
      <c r="AV655" s="761">
        <f>COUNTIFS(Q655:Q2655,"MANTENIMIENTO CORRECTIVO",Y655:Y2655,BDEGENER[[#This Row],[SERIE]])</f>
        <v>2</v>
      </c>
      <c r="AW655" s="761">
        <f>COUNTIFS(Q655:Q2655,"MANTENIMIENTO PREVENTIVO",Y655:Y2655,BDEGENER[[#This Row],[SERIE]])</f>
        <v>3</v>
      </c>
      <c r="AX65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55" s="85">
        <f>COUNTIFS(BDEGENER[SERIE],BDEGENER[[#This Row],[SERIE]],BDEGENER[TIPO DE SERVICIO],"MANTENIMIENTO PREVENTIVO")</f>
        <v>7</v>
      </c>
      <c r="AZ655" s="85" t="str">
        <f>CONCATENATE("MANTENIMIENTO PREVENTIVO N°",BDEGENER[[#This Row],[GA1]])</f>
        <v>MANTENIMIENTO PREVENTIVO N°7</v>
      </c>
      <c r="BA655" s="85" t="str">
        <f>IF(BDEGENER[[#This Row],[SERVICIO]]=BDEGENER[[#This Row],[GA2]],BDEGENER[[#This Row],[HORAS]],"0")</f>
        <v>0</v>
      </c>
      <c r="BB655" s="85">
        <f>SUMIF(BDEGENER[SERIE],BDEGENER[[#This Row],[SERIE]],BDEGENER[GA3])</f>
        <v>2129.8000000000002</v>
      </c>
      <c r="BC655" s="761" t="str">
        <f>CONCATENATE("MANT",COUNTIF($Y$7:Y655,Y655))</f>
        <v>MANT9</v>
      </c>
      <c r="BD655" s="85" t="str">
        <f>CONCATENATE(BDEGENER[[#This Row],[SERIE]],BDEGENER[[#This Row],[GA5]])</f>
        <v>3004337388MANT9</v>
      </c>
      <c r="BE655" s="85" t="str">
        <f>CONCATENATE(BDEGENER[[#This Row],[CODIGO PATRIMONIAL]],BDEGENER[[#This Row],[GA5]])</f>
        <v>MANT9</v>
      </c>
      <c r="BF655" s="129">
        <f>COUNTIF(BDEGENER[SERIE],BDEGENER[[#This Row],[SERIE]])</f>
        <v>14</v>
      </c>
      <c r="BG655" s="761" t="str">
        <f>CONCATENATE("F",COUNTIF($K$7:K655,K655))</f>
        <v>F2</v>
      </c>
      <c r="BH655" s="325" t="str">
        <f>CONCATENATE(BDEGENER[[#This Row],[FECHA DE SERVICIO]],BDEGENER[[#This Row],[N° DE REGISTROS DEL DIA]])</f>
        <v>43854F2</v>
      </c>
      <c r="BI655" s="324"/>
      <c r="BJ655" s="85" t="s">
        <v>1544</v>
      </c>
      <c r="BK655" s="326"/>
    </row>
    <row r="656" spans="2:63" ht="69" hidden="1" x14ac:dyDescent="0.3">
      <c r="B656" s="129"/>
      <c r="C656" s="129"/>
      <c r="D656" s="129"/>
      <c r="E656" s="129"/>
      <c r="F656" s="129"/>
      <c r="G656" s="129"/>
      <c r="H656" s="129"/>
      <c r="I656" s="129"/>
      <c r="J656" s="129"/>
      <c r="K656" s="131">
        <v>43854</v>
      </c>
      <c r="L656" s="130" t="s">
        <v>181</v>
      </c>
      <c r="M656" s="85" t="s">
        <v>190</v>
      </c>
      <c r="N656" s="85" t="s">
        <v>191</v>
      </c>
      <c r="O656" s="85"/>
      <c r="P656" s="200" t="s">
        <v>1154</v>
      </c>
      <c r="Q656" s="85" t="s">
        <v>37</v>
      </c>
      <c r="R656" s="85" t="s">
        <v>1782</v>
      </c>
      <c r="S656" s="6" t="s">
        <v>1807</v>
      </c>
      <c r="T656" s="85" t="s">
        <v>1155</v>
      </c>
      <c r="U656" s="85" t="s">
        <v>1156</v>
      </c>
      <c r="V656" s="85" t="s">
        <v>146</v>
      </c>
      <c r="W656" s="85" t="s">
        <v>914</v>
      </c>
      <c r="X656" s="85" t="s">
        <v>918</v>
      </c>
      <c r="Y656" s="130">
        <v>3004416581</v>
      </c>
      <c r="Z656" s="85"/>
      <c r="AA656" s="85" t="s">
        <v>33</v>
      </c>
      <c r="AB656" s="85" t="s">
        <v>34</v>
      </c>
      <c r="AC656" s="85" t="s">
        <v>230</v>
      </c>
      <c r="AD656" s="85" t="s">
        <v>1110</v>
      </c>
      <c r="AE656" s="85">
        <v>60</v>
      </c>
      <c r="AF656" s="132">
        <v>842.2</v>
      </c>
      <c r="AG656" s="85" t="s">
        <v>243</v>
      </c>
      <c r="AH656" s="85" t="s">
        <v>220</v>
      </c>
      <c r="AI656" s="85" t="s">
        <v>33</v>
      </c>
      <c r="AJ656" s="16">
        <v>3004309056</v>
      </c>
      <c r="AK656" s="85" t="s">
        <v>33</v>
      </c>
      <c r="AL656" s="16">
        <v>107748810</v>
      </c>
      <c r="AM656" s="85" t="s">
        <v>1157</v>
      </c>
      <c r="AN656" s="85" t="s">
        <v>1143</v>
      </c>
      <c r="AO656" s="85" t="s">
        <v>1158</v>
      </c>
      <c r="AP656" s="85" t="s">
        <v>240</v>
      </c>
      <c r="AQ656" s="200" t="str">
        <f>CONCATENATE("REG-",BDEGENER[[#This Row],[FECHA DE SERVICIO]],"-",BDEGENER[[#This Row],[SERIE]],"-",BDEGENER[[#This Row],[HORAS]])</f>
        <v>REG-43854-3004416581-842,2</v>
      </c>
      <c r="AR656" s="85" t="str">
        <f>CONCATENATE("MARCA: ",BDEGENER[[#This Row],[MARCA]],"
 MODELO: ",BDEGENER[[#This Row],[MODELO]])</f>
        <v>MARCA: GENERAC
 MODELO: PG090</v>
      </c>
      <c r="AS656" s="85" t="str">
        <f>CONCATENATE("MARCA: ",BDEGENER[[#This Row],[MARCA DE MOTOR]],"
SERIE: ",BDEGENER[[#This Row],[SERIE DE MOTOR]])</f>
        <v>MARCA: GENERAC
SERIE: 3004309056</v>
      </c>
      <c r="AT656" s="85" t="str">
        <f>CONCATENATE("MARCA: ",BDEGENER[[#This Row],[MARCA ALTERNADOR ]],"
SERIE: ",BDEGENER[[#This Row],[SERIE DE ALTERNADOR]])</f>
        <v>MARCA: GENERAC
SERIE: 107748810</v>
      </c>
      <c r="AU656" s="85" t="str">
        <f>CONCATENATE("HORAS: ",BDEGENER[[#This Row],[HORAS]],"
KW-HR: ",BDEGENER[[#This Row],[KW-HORA]],"
VOLT.BATERIA: ",BDEGENER[[#This Row],[VOLTAJE DE BATERIA]],"
TEMPERATURA: ",BDEGENER[[#This Row],[TEMPERATURA DE AGUA]],"
PRES. ACEITE: ",BDEGENER[[#This Row],[PRESION DE ACEITE]])</f>
        <v>HORAS: 842,2
KW-HR: 
VOLT.BATERIA: 13.9 V
TEMPERATURA: 197 °F
PRES. ACEITE: 53 PSI</v>
      </c>
      <c r="AV656" s="683">
        <f>COUNTIFS(Q656:Q2656,"MANTENIMIENTO CORRECTIVO",Y656:Y2656,BDEGENER[[#This Row],[SERIE]])</f>
        <v>1</v>
      </c>
      <c r="AW656" s="683">
        <f>COUNTIFS(Q656:Q2656,"MANTENIMIENTO PREVENTIVO",Y656:Y2656,BDEGENER[[#This Row],[SERIE]])</f>
        <v>3</v>
      </c>
      <c r="AX65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56" s="85">
        <f>COUNTIFS(BDEGENER[SERIE],BDEGENER[[#This Row],[SERIE]],BDEGENER[TIPO DE SERVICIO],"MANTENIMIENTO PREVENTIVO")</f>
        <v>6</v>
      </c>
      <c r="AZ656" s="85" t="str">
        <f>CONCATENATE("MANTENIMIENTO PREVENTIVO N°",BDEGENER[[#This Row],[GA1]])</f>
        <v>MANTENIMIENTO PREVENTIVO N°6</v>
      </c>
      <c r="BA656" s="85" t="str">
        <f>IF(BDEGENER[[#This Row],[SERVICIO]]=BDEGENER[[#This Row],[GA2]],BDEGENER[[#This Row],[HORAS]],"0")</f>
        <v>0</v>
      </c>
      <c r="BB656" s="85">
        <f>SUMIF(BDEGENER[SERIE],BDEGENER[[#This Row],[SERIE]],BDEGENER[GA3])</f>
        <v>1659.1</v>
      </c>
      <c r="BC656" s="683" t="str">
        <f>CONCATENATE("MANT",COUNTIF($Y$7:Y656,Y656))</f>
        <v>MANT7</v>
      </c>
      <c r="BD656" s="85" t="str">
        <f>CONCATENATE(BDEGENER[[#This Row],[SERIE]],BDEGENER[[#This Row],[GA5]])</f>
        <v>3004416581MANT7</v>
      </c>
      <c r="BE656" s="85" t="str">
        <f>CONCATENATE(BDEGENER[[#This Row],[CODIGO PATRIMONIAL]],BDEGENER[[#This Row],[GA5]])</f>
        <v>MANT7</v>
      </c>
      <c r="BF656" s="129">
        <f>COUNTIF(BDEGENER[SERIE],BDEGENER[[#This Row],[SERIE]])</f>
        <v>11</v>
      </c>
      <c r="BG656" s="683" t="str">
        <f>CONCATENATE("F",COUNTIF($K$7:K656,K656))</f>
        <v>F3</v>
      </c>
      <c r="BH656" s="325" t="str">
        <f>CONCATENATE(BDEGENER[[#This Row],[FECHA DE SERVICIO]],BDEGENER[[#This Row],[N° DE REGISTROS DEL DIA]])</f>
        <v>43854F3</v>
      </c>
      <c r="BI656" s="324"/>
      <c r="BJ656" s="85" t="s">
        <v>1544</v>
      </c>
      <c r="BK656" s="326"/>
    </row>
    <row r="657" spans="2:63" ht="69" hidden="1" x14ac:dyDescent="0.3">
      <c r="B657" s="129"/>
      <c r="C657" s="129"/>
      <c r="D657" s="129"/>
      <c r="E657" s="129"/>
      <c r="F657" s="129"/>
      <c r="G657" s="129"/>
      <c r="H657" s="129"/>
      <c r="I657" s="129"/>
      <c r="J657" s="129"/>
      <c r="K657" s="131">
        <v>43854</v>
      </c>
      <c r="L657" s="130" t="s">
        <v>181</v>
      </c>
      <c r="M657" s="85" t="s">
        <v>184</v>
      </c>
      <c r="N657" s="85" t="s">
        <v>183</v>
      </c>
      <c r="O657" s="85"/>
      <c r="P657" s="200" t="s">
        <v>1150</v>
      </c>
      <c r="Q657" s="85" t="s">
        <v>37</v>
      </c>
      <c r="R657" s="85" t="s">
        <v>1782</v>
      </c>
      <c r="S657" s="6" t="s">
        <v>1805</v>
      </c>
      <c r="T657" s="85" t="s">
        <v>1151</v>
      </c>
      <c r="U657" s="85" t="s">
        <v>1152</v>
      </c>
      <c r="V657" s="85" t="s">
        <v>146</v>
      </c>
      <c r="W657" s="85" t="s">
        <v>914</v>
      </c>
      <c r="X657" s="85" t="s">
        <v>918</v>
      </c>
      <c r="Y657" s="130">
        <v>3004402507</v>
      </c>
      <c r="Z657" s="85"/>
      <c r="AA657" s="85" t="s">
        <v>33</v>
      </c>
      <c r="AB657" s="85" t="s">
        <v>34</v>
      </c>
      <c r="AC657" s="85" t="s">
        <v>230</v>
      </c>
      <c r="AD657" s="85" t="s">
        <v>1110</v>
      </c>
      <c r="AE657" s="85">
        <v>60</v>
      </c>
      <c r="AF657" s="132">
        <v>1189</v>
      </c>
      <c r="AG657" s="16" t="s">
        <v>243</v>
      </c>
      <c r="AH657" s="16" t="s">
        <v>220</v>
      </c>
      <c r="AI657" s="16" t="s">
        <v>33</v>
      </c>
      <c r="AJ657" s="16">
        <v>3004425772</v>
      </c>
      <c r="AK657" s="16" t="s">
        <v>33</v>
      </c>
      <c r="AL657" s="16">
        <v>106310030</v>
      </c>
      <c r="AM657" s="85" t="s">
        <v>1121</v>
      </c>
      <c r="AN657" s="85" t="s">
        <v>246</v>
      </c>
      <c r="AO657" s="85" t="s">
        <v>1153</v>
      </c>
      <c r="AP657" s="85" t="s">
        <v>240</v>
      </c>
      <c r="AQ657" s="200" t="str">
        <f>CONCATENATE("REG-",BDEGENER[[#This Row],[FECHA DE SERVICIO]],"-",BDEGENER[[#This Row],[SERIE]],"-",BDEGENER[[#This Row],[HORAS]])</f>
        <v>REG-43854-3004402507-1189</v>
      </c>
      <c r="AR657" s="85" t="str">
        <f>CONCATENATE("MARCA: ",BDEGENER[[#This Row],[MARCA]],"
 MODELO: ",BDEGENER[[#This Row],[MODELO]])</f>
        <v>MARCA: GENERAC
 MODELO: PG090</v>
      </c>
      <c r="AS657" s="85" t="str">
        <f>CONCATENATE("MARCA: ",BDEGENER[[#This Row],[MARCA DE MOTOR]],"
SERIE: ",BDEGENER[[#This Row],[SERIE DE MOTOR]])</f>
        <v>MARCA: GENERAC
SERIE: 3004425772</v>
      </c>
      <c r="AT657" s="85" t="str">
        <f>CONCATENATE("MARCA: ",BDEGENER[[#This Row],[MARCA ALTERNADOR ]],"
SERIE: ",BDEGENER[[#This Row],[SERIE DE ALTERNADOR]])</f>
        <v>MARCA: GENERAC
SERIE: 106310030</v>
      </c>
      <c r="AU657" s="85" t="str">
        <f>CONCATENATE("HORAS: ",BDEGENER[[#This Row],[HORAS]],"
KW-HR: ",BDEGENER[[#This Row],[KW-HORA]],"
VOLT.BATERIA: ",BDEGENER[[#This Row],[VOLTAJE DE BATERIA]],"
TEMPERATURA: ",BDEGENER[[#This Row],[TEMPERATURA DE AGUA]],"
PRES. ACEITE: ",BDEGENER[[#This Row],[PRESION DE ACEITE]])</f>
        <v>HORAS: 1189
KW-HR: 
VOLT.BATERIA: 13.7 V
TEMPERATURA: 198 °F
PRES. ACEITE: 45 PSI</v>
      </c>
      <c r="AV657" s="683">
        <f>COUNTIFS(Q657:Q2657,"MANTENIMIENTO CORRECTIVO",Y657:Y2657,BDEGENER[[#This Row],[SERIE]])</f>
        <v>2</v>
      </c>
      <c r="AW657" s="683">
        <f>COUNTIFS(Q657:Q2657,"MANTENIMIENTO PREVENTIVO",Y657:Y2657,BDEGENER[[#This Row],[SERIE]])</f>
        <v>4</v>
      </c>
      <c r="AX657"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657" s="85">
        <f>COUNTIFS(BDEGENER[SERIE],BDEGENER[[#This Row],[SERIE]],BDEGENER[TIPO DE SERVICIO],"MANTENIMIENTO PREVENTIVO")</f>
        <v>7</v>
      </c>
      <c r="AZ657" s="85" t="str">
        <f>CONCATENATE("MANTENIMIENTO PREVENTIVO N°",BDEGENER[[#This Row],[GA1]])</f>
        <v>MANTENIMIENTO PREVENTIVO N°7</v>
      </c>
      <c r="BA657" s="85" t="str">
        <f>IF(BDEGENER[[#This Row],[SERVICIO]]=BDEGENER[[#This Row],[GA2]],BDEGENER[[#This Row],[HORAS]],"0")</f>
        <v>0</v>
      </c>
      <c r="BB657" s="85">
        <f>SUMIF(BDEGENER[SERIE],BDEGENER[[#This Row],[SERIE]],BDEGENER[GA3])</f>
        <v>2134</v>
      </c>
      <c r="BC657" s="683" t="str">
        <f>CONCATENATE("MANT",COUNTIF($Y$7:Y657,Y657))</f>
        <v>MANT10</v>
      </c>
      <c r="BD657" s="85" t="str">
        <f>CONCATENATE(BDEGENER[[#This Row],[SERIE]],BDEGENER[[#This Row],[GA5]])</f>
        <v>3004402507MANT10</v>
      </c>
      <c r="BE657" s="85" t="str">
        <f>CONCATENATE(BDEGENER[[#This Row],[CODIGO PATRIMONIAL]],BDEGENER[[#This Row],[GA5]])</f>
        <v>MANT10</v>
      </c>
      <c r="BF657" s="129">
        <f>COUNTIF(BDEGENER[SERIE],BDEGENER[[#This Row],[SERIE]])</f>
        <v>16</v>
      </c>
      <c r="BG657" s="683" t="str">
        <f>CONCATENATE("F",COUNTIF($K$7:K657,K657))</f>
        <v>F4</v>
      </c>
      <c r="BH657" s="325" t="str">
        <f>CONCATENATE(BDEGENER[[#This Row],[FECHA DE SERVICIO]],BDEGENER[[#This Row],[N° DE REGISTROS DEL DIA]])</f>
        <v>43854F4</v>
      </c>
      <c r="BI657" s="324"/>
      <c r="BJ657" s="85" t="s">
        <v>1544</v>
      </c>
      <c r="BK657" s="326"/>
    </row>
    <row r="658" spans="2:63" ht="69" hidden="1" x14ac:dyDescent="0.3">
      <c r="B658" s="129"/>
      <c r="C658" s="129"/>
      <c r="D658" s="129"/>
      <c r="E658" s="129"/>
      <c r="F658" s="129"/>
      <c r="G658" s="129"/>
      <c r="H658" s="129"/>
      <c r="I658" s="129"/>
      <c r="J658" s="129"/>
      <c r="K658" s="131">
        <v>43853</v>
      </c>
      <c r="L658" s="130" t="s">
        <v>181</v>
      </c>
      <c r="M658" s="85" t="s">
        <v>185</v>
      </c>
      <c r="N658" s="85" t="s">
        <v>183</v>
      </c>
      <c r="O658" s="85"/>
      <c r="P658" s="85"/>
      <c r="Q658" s="85" t="s">
        <v>107</v>
      </c>
      <c r="R658" s="85" t="s">
        <v>1478</v>
      </c>
      <c r="S658" s="6" t="s">
        <v>1479</v>
      </c>
      <c r="T658" s="85" t="s">
        <v>1782</v>
      </c>
      <c r="U658" s="85"/>
      <c r="V658" s="85" t="s">
        <v>146</v>
      </c>
      <c r="W658" s="85" t="s">
        <v>914</v>
      </c>
      <c r="X658" s="85" t="s">
        <v>918</v>
      </c>
      <c r="Y658" s="130">
        <v>3004290365</v>
      </c>
      <c r="Z658" s="85"/>
      <c r="AA658" s="85" t="s">
        <v>33</v>
      </c>
      <c r="AB658" s="85" t="s">
        <v>34</v>
      </c>
      <c r="AC658" s="85" t="s">
        <v>230</v>
      </c>
      <c r="AD658" s="85"/>
      <c r="AE658" s="85"/>
      <c r="AF658" s="132">
        <v>618.20000000000005</v>
      </c>
      <c r="AG658" s="85" t="s">
        <v>243</v>
      </c>
      <c r="AH658" s="85" t="s">
        <v>220</v>
      </c>
      <c r="AI658" s="85" t="s">
        <v>33</v>
      </c>
      <c r="AJ658" s="85"/>
      <c r="AK658" s="85" t="s">
        <v>33</v>
      </c>
      <c r="AL658" s="85"/>
      <c r="AM658" s="85"/>
      <c r="AN658" s="85"/>
      <c r="AO658" s="85"/>
      <c r="AP658" s="85" t="s">
        <v>240</v>
      </c>
      <c r="AQ658" s="85" t="str">
        <f>CONCATENATE("REG-",BDEGENER[[#This Row],[FECHA DE SERVICIO]],"-",BDEGENER[[#This Row],[SERIE]],"-",BDEGENER[[#This Row],[HORAS]])</f>
        <v>REG-43853-3004290365-618,2</v>
      </c>
      <c r="AR658" s="85" t="str">
        <f>CONCATENATE("MARCA: ",BDEGENER[[#This Row],[MARCA]],"
 MODELO: ",BDEGENER[[#This Row],[MODELO]])</f>
        <v>MARCA: GENERAC
 MODELO: PG090</v>
      </c>
      <c r="AS658" s="85" t="str">
        <f>CONCATENATE("MARCA: ",BDEGENER[[#This Row],[MARCA DE MOTOR]],"
SERIE: ",BDEGENER[[#This Row],[SERIE DE MOTOR]])</f>
        <v xml:space="preserve">MARCA: GENERAC
SERIE: </v>
      </c>
      <c r="AT658" s="85" t="str">
        <f>CONCATENATE("MARCA: ",BDEGENER[[#This Row],[MARCA ALTERNADOR ]],"
SERIE: ",BDEGENER[[#This Row],[SERIE DE ALTERNADOR]])</f>
        <v xml:space="preserve">MARCA: GENERAC
SERIE: </v>
      </c>
      <c r="AU658" s="85" t="str">
        <f>CONCATENATE("HORAS: ",BDEGENER[[#This Row],[HORAS]],"
KW-HR: ",BDEGENER[[#This Row],[KW-HORA]],"
VOLT.BATERIA: ",BDEGENER[[#This Row],[VOLTAJE DE BATERIA]],"
TEMPERATURA: ",BDEGENER[[#This Row],[TEMPERATURA DE AGUA]],"
PRES. ACEITE: ",BDEGENER[[#This Row],[PRESION DE ACEITE]])</f>
        <v xml:space="preserve">HORAS: 618,2
KW-HR: 
VOLT.BATERIA: 
TEMPERATURA: 
PRES. ACEITE: </v>
      </c>
      <c r="AV658" s="761">
        <f>COUNTIFS(Q658:Q2658,"MANTENIMIENTO CORRECTIVO",Y658:Y2658,BDEGENER[[#This Row],[SERIE]])</f>
        <v>4</v>
      </c>
      <c r="AW658" s="761">
        <f>COUNTIFS(Q658:Q2658,"MANTENIMIENTO PREVENTIVO",Y658:Y2658,BDEGENER[[#This Row],[SERIE]])</f>
        <v>2</v>
      </c>
      <c r="AX658"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658" s="85">
        <f>COUNTIFS(BDEGENER[SERIE],BDEGENER[[#This Row],[SERIE]],BDEGENER[TIPO DE SERVICIO],"MANTENIMIENTO PREVENTIVO")</f>
        <v>5</v>
      </c>
      <c r="AZ658" s="85" t="str">
        <f>CONCATENATE("MANTENIMIENTO PREVENTIVO N°",BDEGENER[[#This Row],[GA1]])</f>
        <v>MANTENIMIENTO PREVENTIVO N°5</v>
      </c>
      <c r="BA658" s="85" t="str">
        <f>IF(BDEGENER[[#This Row],[SERVICIO]]=BDEGENER[[#This Row],[GA2]],BDEGENER[[#This Row],[HORAS]],"0")</f>
        <v>0</v>
      </c>
      <c r="BB658" s="85">
        <f>SUMIF(BDEGENER[SERIE],BDEGENER[[#This Row],[SERIE]],BDEGENER[GA3])</f>
        <v>1700.2</v>
      </c>
      <c r="BC658" s="761" t="str">
        <f>CONCATENATE("MANT",COUNTIF($Y$7:Y658,Y658))</f>
        <v>MANT9</v>
      </c>
      <c r="BD658" s="85" t="str">
        <f>CONCATENATE(BDEGENER[[#This Row],[SERIE]],BDEGENER[[#This Row],[GA5]])</f>
        <v>3004290365MANT9</v>
      </c>
      <c r="BE658" s="85" t="str">
        <f>CONCATENATE(BDEGENER[[#This Row],[CODIGO PATRIMONIAL]],BDEGENER[[#This Row],[GA5]])</f>
        <v>MANT9</v>
      </c>
      <c r="BF658" s="129">
        <f>COUNTIF(BDEGENER[SERIE],BDEGENER[[#This Row],[SERIE]])</f>
        <v>15</v>
      </c>
      <c r="BG658" s="761" t="str">
        <f>CONCATENATE("F",COUNTIF($K$7:K658,K658))</f>
        <v>F1</v>
      </c>
      <c r="BH658" s="129" t="str">
        <f>CONCATENATE(BDEGENER[[#This Row],[FECHA DE SERVICIO]],BDEGENER[[#This Row],[N° DE REGISTROS DEL DIA]])</f>
        <v>43853F1</v>
      </c>
      <c r="BI658" s="324"/>
      <c r="BJ658" s="85" t="s">
        <v>1544</v>
      </c>
      <c r="BK658" s="326"/>
    </row>
    <row r="659" spans="2:63" ht="69" hidden="1" x14ac:dyDescent="0.3">
      <c r="B659" s="129"/>
      <c r="C659" s="129"/>
      <c r="D659" s="129"/>
      <c r="E659" s="129"/>
      <c r="F659" s="129"/>
      <c r="G659" s="129"/>
      <c r="H659" s="129"/>
      <c r="I659" s="129"/>
      <c r="J659" s="129"/>
      <c r="K659" s="131">
        <v>43853</v>
      </c>
      <c r="L659" s="130" t="s">
        <v>248</v>
      </c>
      <c r="M659" s="85" t="s">
        <v>1224</v>
      </c>
      <c r="N659" s="85" t="s">
        <v>251</v>
      </c>
      <c r="O659" s="85"/>
      <c r="P659" s="200" t="s">
        <v>1223</v>
      </c>
      <c r="Q659" s="85" t="s">
        <v>37</v>
      </c>
      <c r="R659" s="85" t="s">
        <v>1782</v>
      </c>
      <c r="S659" s="6" t="s">
        <v>1808</v>
      </c>
      <c r="T659" s="85" t="s">
        <v>1225</v>
      </c>
      <c r="U659" s="85" t="s">
        <v>1226</v>
      </c>
      <c r="V659" s="85" t="s">
        <v>149</v>
      </c>
      <c r="W659" s="85" t="s">
        <v>914</v>
      </c>
      <c r="X659" s="85" t="s">
        <v>918</v>
      </c>
      <c r="Y659" s="130">
        <v>3004999911</v>
      </c>
      <c r="Z659" s="85">
        <v>24543</v>
      </c>
      <c r="AA659" s="85" t="s">
        <v>33</v>
      </c>
      <c r="AB659" s="85" t="s">
        <v>1728</v>
      </c>
      <c r="AC659" s="85" t="s">
        <v>528</v>
      </c>
      <c r="AD659" s="85"/>
      <c r="AE659" s="85"/>
      <c r="AF659" s="132">
        <v>493.5</v>
      </c>
      <c r="AG659" s="85" t="s">
        <v>243</v>
      </c>
      <c r="AH659" s="85" t="s">
        <v>220</v>
      </c>
      <c r="AI659" s="85" t="s">
        <v>1495</v>
      </c>
      <c r="AJ659" s="85" t="s">
        <v>1496</v>
      </c>
      <c r="AK659" s="85" t="s">
        <v>33</v>
      </c>
      <c r="AL659" s="85">
        <v>1395462</v>
      </c>
      <c r="AM659" s="85" t="s">
        <v>245</v>
      </c>
      <c r="AN659" s="85"/>
      <c r="AO659" s="85"/>
      <c r="AP659" s="22" t="s">
        <v>240</v>
      </c>
      <c r="AQ659" s="724" t="str">
        <f>CONCATENATE("REG-",BDEGENER[[#This Row],[FECHA DE SERVICIO]],"-",BDEGENER[[#This Row],[SERIE]],"-",BDEGENER[[#This Row],[HORAS]])</f>
        <v>REG-43853-3004999911-493,5</v>
      </c>
      <c r="AR659" s="85" t="str">
        <f>CONCATENATE("MARCA: ",BDEGENER[[#This Row],[MARCA]],"
 MODELO: ",BDEGENER[[#This Row],[MODELO]])</f>
        <v>MARCA: GENERAC
 MODELO: PG054</v>
      </c>
      <c r="AS659" s="85" t="str">
        <f>CONCATENATE("MARCA: ",BDEGENER[[#This Row],[MARCA DE MOTOR]],"
SERIE: ",BDEGENER[[#This Row],[SERIE DE MOTOR]])</f>
        <v>MARCA: FORD
SERIE: GP680AA</v>
      </c>
      <c r="AT659" s="85" t="str">
        <f>CONCATENATE("MARCA: ",BDEGENER[[#This Row],[MARCA ALTERNADOR ]],"
SERIE: ",BDEGENER[[#This Row],[SERIE DE ALTERNADOR]])</f>
        <v>MARCA: GENERAC
SERIE: 1395462</v>
      </c>
      <c r="AU659" s="85" t="str">
        <f>CONCATENATE("HORAS: ",BDEGENER[[#This Row],[HORAS]],"
KW-HR: ",BDEGENER[[#This Row],[KW-HORA]],"
VOLT.BATERIA: ",BDEGENER[[#This Row],[VOLTAJE DE BATERIA]],"
TEMPERATURA: ",BDEGENER[[#This Row],[TEMPERATURA DE AGUA]],"
PRES. ACEITE: ",BDEGENER[[#This Row],[PRESION DE ACEITE]])</f>
        <v xml:space="preserve">HORAS: 493,5
KW-HR: 12119,7
VOLT.BATERIA: 13.6 V
TEMPERATURA: 
PRES. ACEITE: </v>
      </c>
      <c r="AV659" s="683">
        <f>COUNTIFS(Q659:Q2659,"MANTENIMIENTO CORRECTIVO",Y659:Y2659,BDEGENER[[#This Row],[SERIE]])</f>
        <v>0</v>
      </c>
      <c r="AW659" s="683">
        <f>COUNTIFS(Q659:Q2659,"MANTENIMIENTO PREVENTIVO",Y659:Y2659,BDEGENER[[#This Row],[SERIE]])</f>
        <v>2</v>
      </c>
      <c r="AX65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59" s="85">
        <f>COUNTIFS(BDEGENER[SERIE],BDEGENER[[#This Row],[SERIE]],BDEGENER[TIPO DE SERVICIO],"MANTENIMIENTO PREVENTIVO")</f>
        <v>12</v>
      </c>
      <c r="AZ659" s="85" t="str">
        <f>CONCATENATE("MANTENIMIENTO PREVENTIVO N°",BDEGENER[[#This Row],[GA1]])</f>
        <v>MANTENIMIENTO PREVENTIVO N°12</v>
      </c>
      <c r="BA659" s="85" t="str">
        <f>IF(BDEGENER[[#This Row],[SERVICIO]]=BDEGENER[[#This Row],[GA2]],BDEGENER[[#This Row],[HORAS]],"0")</f>
        <v>0</v>
      </c>
      <c r="BB659" s="85">
        <f>SUMIF(BDEGENER[SERIE],BDEGENER[[#This Row],[SERIE]],BDEGENER[GA3])</f>
        <v>3510.8</v>
      </c>
      <c r="BC659" s="683" t="str">
        <f>CONCATENATE("MANT",COUNTIF($Y$7:Y659,Y659))</f>
        <v>MANT11</v>
      </c>
      <c r="BD659" s="85" t="str">
        <f>CONCATENATE(BDEGENER[[#This Row],[SERIE]],BDEGENER[[#This Row],[GA5]])</f>
        <v>3004999911MANT11</v>
      </c>
      <c r="BE659" s="85" t="str">
        <f>CONCATENATE(BDEGENER[[#This Row],[CODIGO PATRIMONIAL]],BDEGENER[[#This Row],[GA5]])</f>
        <v>24543MANT11</v>
      </c>
      <c r="BF659" s="129">
        <f>COUNTIF(BDEGENER[SERIE],BDEGENER[[#This Row],[SERIE]])</f>
        <v>14</v>
      </c>
      <c r="BG659" s="683" t="str">
        <f>CONCATENATE("F",COUNTIF($K$7:K659,K659))</f>
        <v>F2</v>
      </c>
      <c r="BH659" s="325" t="str">
        <f>CONCATENATE(BDEGENER[[#This Row],[FECHA DE SERVICIO]],BDEGENER[[#This Row],[N° DE REGISTROS DEL DIA]])</f>
        <v>43853F2</v>
      </c>
      <c r="BI659" s="326">
        <v>12119.7</v>
      </c>
      <c r="BJ659" s="325" t="s">
        <v>1544</v>
      </c>
      <c r="BK659" s="326"/>
    </row>
    <row r="660" spans="2:63" ht="69" hidden="1" x14ac:dyDescent="0.3">
      <c r="B660" s="129"/>
      <c r="C660" s="129"/>
      <c r="D660" s="129"/>
      <c r="E660" s="129"/>
      <c r="F660" s="129"/>
      <c r="G660" s="129"/>
      <c r="H660" s="129"/>
      <c r="I660" s="129"/>
      <c r="J660" s="129"/>
      <c r="K660" s="131">
        <v>43852</v>
      </c>
      <c r="L660" s="130" t="s">
        <v>181</v>
      </c>
      <c r="M660" s="85" t="s">
        <v>185</v>
      </c>
      <c r="N660" s="85" t="s">
        <v>183</v>
      </c>
      <c r="O660" s="85"/>
      <c r="P660" s="85"/>
      <c r="Q660" s="85" t="s">
        <v>107</v>
      </c>
      <c r="R660" s="85" t="s">
        <v>1475</v>
      </c>
      <c r="S660" s="6" t="s">
        <v>1476</v>
      </c>
      <c r="T660" s="85" t="s">
        <v>1782</v>
      </c>
      <c r="U660" s="85" t="s">
        <v>1477</v>
      </c>
      <c r="V660" s="85" t="s">
        <v>146</v>
      </c>
      <c r="W660" s="85" t="s">
        <v>914</v>
      </c>
      <c r="X660" s="85" t="s">
        <v>918</v>
      </c>
      <c r="Y660" s="130">
        <v>3004290365</v>
      </c>
      <c r="Z660" s="85"/>
      <c r="AA660" s="85" t="s">
        <v>33</v>
      </c>
      <c r="AB660" s="85" t="s">
        <v>34</v>
      </c>
      <c r="AC660" s="85" t="s">
        <v>230</v>
      </c>
      <c r="AD660" s="85"/>
      <c r="AE660" s="85"/>
      <c r="AF660" s="132">
        <v>612.20000000000005</v>
      </c>
      <c r="AG660" s="85" t="s">
        <v>243</v>
      </c>
      <c r="AH660" s="85" t="s">
        <v>220</v>
      </c>
      <c r="AI660" s="85" t="s">
        <v>33</v>
      </c>
      <c r="AJ660" s="85"/>
      <c r="AK660" s="85" t="s">
        <v>33</v>
      </c>
      <c r="AL660" s="85"/>
      <c r="AM660" s="85"/>
      <c r="AN660" s="85"/>
      <c r="AO660" s="85"/>
      <c r="AP660" s="85" t="s">
        <v>240</v>
      </c>
      <c r="AQ660" s="85" t="str">
        <f>CONCATENATE("REG-",BDEGENER[[#This Row],[FECHA DE SERVICIO]],"-",BDEGENER[[#This Row],[SERIE]],"-",BDEGENER[[#This Row],[HORAS]])</f>
        <v>REG-43852-3004290365-612,2</v>
      </c>
      <c r="AR660" s="85" t="str">
        <f>CONCATENATE("MARCA: ",BDEGENER[[#This Row],[MARCA]],"
 MODELO: ",BDEGENER[[#This Row],[MODELO]])</f>
        <v>MARCA: GENERAC
 MODELO: PG090</v>
      </c>
      <c r="AS660" s="85" t="str">
        <f>CONCATENATE("MARCA: ",BDEGENER[[#This Row],[MARCA DE MOTOR]],"
SERIE: ",BDEGENER[[#This Row],[SERIE DE MOTOR]])</f>
        <v xml:space="preserve">MARCA: GENERAC
SERIE: </v>
      </c>
      <c r="AT660" s="85" t="str">
        <f>CONCATENATE("MARCA: ",BDEGENER[[#This Row],[MARCA ALTERNADOR ]],"
SERIE: ",BDEGENER[[#This Row],[SERIE DE ALTERNADOR]])</f>
        <v xml:space="preserve">MARCA: GENERAC
SERIE: </v>
      </c>
      <c r="AU660" s="85" t="str">
        <f>CONCATENATE("HORAS: ",BDEGENER[[#This Row],[HORAS]],"
KW-HR: ",BDEGENER[[#This Row],[KW-HORA]],"
VOLT.BATERIA: ",BDEGENER[[#This Row],[VOLTAJE DE BATERIA]],"
TEMPERATURA: ",BDEGENER[[#This Row],[TEMPERATURA DE AGUA]],"
PRES. ACEITE: ",BDEGENER[[#This Row],[PRESION DE ACEITE]])</f>
        <v xml:space="preserve">HORAS: 612,2
KW-HR: 
VOLT.BATERIA: 
TEMPERATURA: 
PRES. ACEITE: </v>
      </c>
      <c r="AV660" s="683">
        <f>COUNTIFS(Q660:Q2660,"MANTENIMIENTO CORRECTIVO",Y660:Y2660,BDEGENER[[#This Row],[SERIE]])</f>
        <v>3</v>
      </c>
      <c r="AW660" s="683">
        <f>COUNTIFS(Q660:Q2660,"MANTENIMIENTO PREVENTIVO",Y660:Y2660,BDEGENER[[#This Row],[SERIE]])</f>
        <v>2</v>
      </c>
      <c r="AX66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660" s="85">
        <f>COUNTIFS(BDEGENER[SERIE],BDEGENER[[#This Row],[SERIE]],BDEGENER[TIPO DE SERVICIO],"MANTENIMIENTO PREVENTIVO")</f>
        <v>5</v>
      </c>
      <c r="AZ660" s="85" t="str">
        <f>CONCATENATE("MANTENIMIENTO PREVENTIVO N°",BDEGENER[[#This Row],[GA1]])</f>
        <v>MANTENIMIENTO PREVENTIVO N°5</v>
      </c>
      <c r="BA660" s="85" t="str">
        <f>IF(BDEGENER[[#This Row],[SERVICIO]]=BDEGENER[[#This Row],[GA2]],BDEGENER[[#This Row],[HORAS]],"0")</f>
        <v>0</v>
      </c>
      <c r="BB660" s="85">
        <f>SUMIF(BDEGENER[SERIE],BDEGENER[[#This Row],[SERIE]],BDEGENER[GA3])</f>
        <v>1700.2</v>
      </c>
      <c r="BC660" s="683" t="str">
        <f>CONCATENATE("MANT",COUNTIF($Y$7:Y660,Y660))</f>
        <v>MANT10</v>
      </c>
      <c r="BD660" s="85" t="str">
        <f>CONCATENATE(BDEGENER[[#This Row],[SERIE]],BDEGENER[[#This Row],[GA5]])</f>
        <v>3004290365MANT10</v>
      </c>
      <c r="BE660" s="85" t="str">
        <f>CONCATENATE(BDEGENER[[#This Row],[CODIGO PATRIMONIAL]],BDEGENER[[#This Row],[GA5]])</f>
        <v>MANT10</v>
      </c>
      <c r="BF660" s="129">
        <f>COUNTIF(BDEGENER[SERIE],BDEGENER[[#This Row],[SERIE]])</f>
        <v>15</v>
      </c>
      <c r="BG660" s="683" t="str">
        <f>CONCATENATE("F",COUNTIF($K$7:K660,K660))</f>
        <v>F1</v>
      </c>
      <c r="BH660" s="129" t="str">
        <f>CONCATENATE(BDEGENER[[#This Row],[FECHA DE SERVICIO]],BDEGENER[[#This Row],[N° DE REGISTROS DEL DIA]])</f>
        <v>43852F1</v>
      </c>
      <c r="BI660" s="324"/>
      <c r="BJ660" s="85" t="s">
        <v>1544</v>
      </c>
      <c r="BK660" s="326"/>
    </row>
    <row r="661" spans="2:63" ht="69" hidden="1" x14ac:dyDescent="0.3">
      <c r="B661" s="129"/>
      <c r="C661" s="129"/>
      <c r="D661" s="129"/>
      <c r="E661" s="129"/>
      <c r="F661" s="129"/>
      <c r="G661" s="129"/>
      <c r="H661" s="129"/>
      <c r="I661" s="129"/>
      <c r="J661" s="129"/>
      <c r="K661" s="131">
        <v>43852</v>
      </c>
      <c r="L661" s="130" t="s">
        <v>181</v>
      </c>
      <c r="M661" s="85" t="s">
        <v>185</v>
      </c>
      <c r="N661" s="85" t="s">
        <v>183</v>
      </c>
      <c r="O661" s="85"/>
      <c r="P661" s="85"/>
      <c r="Q661" s="85" t="s">
        <v>107</v>
      </c>
      <c r="R661" s="85" t="s">
        <v>1475</v>
      </c>
      <c r="S661" s="6" t="s">
        <v>1476</v>
      </c>
      <c r="T661" s="85" t="s">
        <v>1782</v>
      </c>
      <c r="U661" s="85" t="s">
        <v>1477</v>
      </c>
      <c r="V661" s="85" t="s">
        <v>146</v>
      </c>
      <c r="W661" s="85" t="s">
        <v>914</v>
      </c>
      <c r="X661" s="85" t="s">
        <v>918</v>
      </c>
      <c r="Y661" s="130">
        <v>3004344017</v>
      </c>
      <c r="Z661" s="85"/>
      <c r="AA661" s="85" t="s">
        <v>33</v>
      </c>
      <c r="AB661" s="85" t="s">
        <v>34</v>
      </c>
      <c r="AC661" s="85" t="s">
        <v>230</v>
      </c>
      <c r="AD661" s="85"/>
      <c r="AE661" s="85"/>
      <c r="AF661" s="132">
        <v>675.8</v>
      </c>
      <c r="AG661" s="85" t="s">
        <v>243</v>
      </c>
      <c r="AH661" s="85" t="s">
        <v>220</v>
      </c>
      <c r="AI661" s="85" t="s">
        <v>33</v>
      </c>
      <c r="AJ661" s="85">
        <v>3004346832</v>
      </c>
      <c r="AK661" s="85" t="s">
        <v>33</v>
      </c>
      <c r="AL661" s="85">
        <v>106308750</v>
      </c>
      <c r="AM661" s="85"/>
      <c r="AN661" s="85"/>
      <c r="AO661" s="85"/>
      <c r="AP661" s="85" t="s">
        <v>240</v>
      </c>
      <c r="AQ661" s="85" t="str">
        <f>CONCATENATE("REG-",BDEGENER[[#This Row],[FECHA DE SERVICIO]],"-",BDEGENER[[#This Row],[SERIE]],"-",BDEGENER[[#This Row],[HORAS]])</f>
        <v>REG-43852-3004344017-675,8</v>
      </c>
      <c r="AR661" s="85" t="str">
        <f>CONCATENATE("MARCA: ",BDEGENER[[#This Row],[MARCA]],"
 MODELO: ",BDEGENER[[#This Row],[MODELO]])</f>
        <v>MARCA: GENERAC
 MODELO: PG090</v>
      </c>
      <c r="AS661" s="85" t="str">
        <f>CONCATENATE("MARCA: ",BDEGENER[[#This Row],[MARCA DE MOTOR]],"
SERIE: ",BDEGENER[[#This Row],[SERIE DE MOTOR]])</f>
        <v>MARCA: GENERAC
SERIE: 3004346832</v>
      </c>
      <c r="AT661" s="85" t="str">
        <f>CONCATENATE("MARCA: ",BDEGENER[[#This Row],[MARCA ALTERNADOR ]],"
SERIE: ",BDEGENER[[#This Row],[SERIE DE ALTERNADOR]])</f>
        <v>MARCA: GENERAC
SERIE: 106308750</v>
      </c>
      <c r="AU661" s="85" t="str">
        <f>CONCATENATE("HORAS: ",BDEGENER[[#This Row],[HORAS]],"
KW-HR: ",BDEGENER[[#This Row],[KW-HORA]],"
VOLT.BATERIA: ",BDEGENER[[#This Row],[VOLTAJE DE BATERIA]],"
TEMPERATURA: ",BDEGENER[[#This Row],[TEMPERATURA DE AGUA]],"
PRES. ACEITE: ",BDEGENER[[#This Row],[PRESION DE ACEITE]])</f>
        <v xml:space="preserve">HORAS: 675,8
KW-HR: 
VOLT.BATERIA: 
TEMPERATURA: 
PRES. ACEITE: </v>
      </c>
      <c r="AV661" s="761">
        <f>COUNTIFS(Q661:Q2661,"MANTENIMIENTO CORRECTIVO",Y661:Y2661,BDEGENER[[#This Row],[SERIE]])</f>
        <v>2</v>
      </c>
      <c r="AW661" s="761">
        <f>COUNTIFS(Q661:Q2661,"MANTENIMIENTO PREVENTIVO",Y661:Y2661,BDEGENER[[#This Row],[SERIE]])</f>
        <v>1</v>
      </c>
      <c r="AX66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61" s="85">
        <f>COUNTIFS(BDEGENER[SERIE],BDEGENER[[#This Row],[SERIE]],BDEGENER[TIPO DE SERVICIO],"MANTENIMIENTO PREVENTIVO")</f>
        <v>6</v>
      </c>
      <c r="AZ661" s="85" t="str">
        <f>CONCATENATE("MANTENIMIENTO PREVENTIVO N°",BDEGENER[[#This Row],[GA1]])</f>
        <v>MANTENIMIENTO PREVENTIVO N°6</v>
      </c>
      <c r="BA661" s="85" t="str">
        <f>IF(BDEGENER[[#This Row],[SERVICIO]]=BDEGENER[[#This Row],[GA2]],BDEGENER[[#This Row],[HORAS]],"0")</f>
        <v>0</v>
      </c>
      <c r="BB661" s="85">
        <f>SUMIF(BDEGENER[SERIE],BDEGENER[[#This Row],[SERIE]],BDEGENER[GA3])</f>
        <v>2140.9</v>
      </c>
      <c r="BC661" s="761" t="str">
        <f>CONCATENATE("MANT",COUNTIF($Y$7:Y661,Y661))</f>
        <v>MANT9</v>
      </c>
      <c r="BD661" s="85" t="str">
        <f>CONCATENATE(BDEGENER[[#This Row],[SERIE]],BDEGENER[[#This Row],[GA5]])</f>
        <v>3004344017MANT9</v>
      </c>
      <c r="BE661" s="85" t="str">
        <f>CONCATENATE(BDEGENER[[#This Row],[CODIGO PATRIMONIAL]],BDEGENER[[#This Row],[GA5]])</f>
        <v>MANT9</v>
      </c>
      <c r="BF661" s="129">
        <f>COUNTIF(BDEGENER[SERIE],BDEGENER[[#This Row],[SERIE]])</f>
        <v>12</v>
      </c>
      <c r="BG661" s="761" t="str">
        <f>CONCATENATE("F",COUNTIF($K$7:K661,K661))</f>
        <v>F2</v>
      </c>
      <c r="BH661" s="129" t="str">
        <f>CONCATENATE(BDEGENER[[#This Row],[FECHA DE SERVICIO]],BDEGENER[[#This Row],[N° DE REGISTROS DEL DIA]])</f>
        <v>43852F2</v>
      </c>
      <c r="BI661" s="324"/>
      <c r="BJ661" s="85" t="s">
        <v>1544</v>
      </c>
      <c r="BK661" s="326"/>
    </row>
    <row r="662" spans="2:63" ht="96.6" hidden="1" x14ac:dyDescent="0.3">
      <c r="B662" s="129"/>
      <c r="C662" s="129"/>
      <c r="D662" s="129"/>
      <c r="E662" s="129"/>
      <c r="F662" s="129"/>
      <c r="G662" s="129"/>
      <c r="H662" s="129"/>
      <c r="I662" s="129"/>
      <c r="J662" s="129"/>
      <c r="K662" s="131">
        <v>43852</v>
      </c>
      <c r="L662" s="130" t="s">
        <v>181</v>
      </c>
      <c r="M662" s="85" t="s">
        <v>184</v>
      </c>
      <c r="N662" s="85" t="s">
        <v>183</v>
      </c>
      <c r="O662" s="85"/>
      <c r="P662" s="85"/>
      <c r="Q662" s="85" t="s">
        <v>107</v>
      </c>
      <c r="R662" s="85" t="s">
        <v>1104</v>
      </c>
      <c r="S662" s="6" t="s">
        <v>1105</v>
      </c>
      <c r="T662" s="85" t="s">
        <v>1106</v>
      </c>
      <c r="U662" s="85" t="s">
        <v>1107</v>
      </c>
      <c r="V662" s="85" t="s">
        <v>146</v>
      </c>
      <c r="W662" s="85" t="s">
        <v>914</v>
      </c>
      <c r="X662" s="85" t="s">
        <v>918</v>
      </c>
      <c r="Y662" s="130">
        <v>3004402507</v>
      </c>
      <c r="Z662" s="85"/>
      <c r="AA662" s="85" t="s">
        <v>33</v>
      </c>
      <c r="AB662" s="85" t="s">
        <v>34</v>
      </c>
      <c r="AC662" s="85" t="s">
        <v>230</v>
      </c>
      <c r="AD662" s="85" t="s">
        <v>1110</v>
      </c>
      <c r="AE662" s="85">
        <v>60</v>
      </c>
      <c r="AF662" s="132">
        <v>1154.5</v>
      </c>
      <c r="AG662" s="16" t="s">
        <v>243</v>
      </c>
      <c r="AH662" s="16" t="s">
        <v>220</v>
      </c>
      <c r="AI662" s="16" t="s">
        <v>33</v>
      </c>
      <c r="AJ662" s="16">
        <v>3004425772</v>
      </c>
      <c r="AK662" s="16" t="s">
        <v>33</v>
      </c>
      <c r="AL662" s="16">
        <v>106310030</v>
      </c>
      <c r="AM662" s="85" t="s">
        <v>245</v>
      </c>
      <c r="AN662" s="85" t="s">
        <v>246</v>
      </c>
      <c r="AO662" s="85" t="s">
        <v>1108</v>
      </c>
      <c r="AP662" s="85" t="s">
        <v>240</v>
      </c>
      <c r="AQ662" s="200" t="str">
        <f>CONCATENATE("REG-",BDEGENER[[#This Row],[FECHA DE SERVICIO]],"-",BDEGENER[[#This Row],[SERIE]],"-",BDEGENER[[#This Row],[HORAS]])</f>
        <v>REG-43852-3004402507-1154,5</v>
      </c>
      <c r="AR662" s="85" t="str">
        <f>CONCATENATE("MARCA: ",BDEGENER[[#This Row],[MARCA]],"
 MODELO: ",BDEGENER[[#This Row],[MODELO]])</f>
        <v>MARCA: GENERAC
 MODELO: PG090</v>
      </c>
      <c r="AS662" s="85" t="str">
        <f>CONCATENATE("MARCA: ",BDEGENER[[#This Row],[MARCA DE MOTOR]],"
SERIE: ",BDEGENER[[#This Row],[SERIE DE MOTOR]])</f>
        <v>MARCA: GENERAC
SERIE: 3004425772</v>
      </c>
      <c r="AT662" s="85" t="str">
        <f>CONCATENATE("MARCA: ",BDEGENER[[#This Row],[MARCA ALTERNADOR ]],"
SERIE: ",BDEGENER[[#This Row],[SERIE DE ALTERNADOR]])</f>
        <v>MARCA: GENERAC
SERIE: 106310030</v>
      </c>
      <c r="AU662" s="85" t="str">
        <f>CONCATENATE("HORAS: ",BDEGENER[[#This Row],[HORAS]],"
KW-HR: ",BDEGENER[[#This Row],[KW-HORA]],"
VOLT.BATERIA: ",BDEGENER[[#This Row],[VOLTAJE DE BATERIA]],"
TEMPERATURA: ",BDEGENER[[#This Row],[TEMPERATURA DE AGUA]],"
PRES. ACEITE: ",BDEGENER[[#This Row],[PRESION DE ACEITE]])</f>
        <v>HORAS: 1154,5
KW-HR: 
VOLT.BATERIA: 13.6 V
TEMPERATURA: 198 °F
PRES. ACEITE: 49 PSI</v>
      </c>
      <c r="AV662" s="683">
        <f>COUNTIFS(Q662:Q2662,"MANTENIMIENTO CORRECTIVO",Y662:Y2662,BDEGENER[[#This Row],[SERIE]])</f>
        <v>2</v>
      </c>
      <c r="AW662" s="683">
        <f>COUNTIFS(Q662:Q2662,"MANTENIMIENTO PREVENTIVO",Y662:Y2662,BDEGENER[[#This Row],[SERIE]])</f>
        <v>3</v>
      </c>
      <c r="AX662"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62" s="85">
        <f>COUNTIFS(BDEGENER[SERIE],BDEGENER[[#This Row],[SERIE]],BDEGENER[TIPO DE SERVICIO],"MANTENIMIENTO PREVENTIVO")</f>
        <v>7</v>
      </c>
      <c r="AZ662" s="85" t="str">
        <f>CONCATENATE("MANTENIMIENTO PREVENTIVO N°",BDEGENER[[#This Row],[GA1]])</f>
        <v>MANTENIMIENTO PREVENTIVO N°7</v>
      </c>
      <c r="BA662" s="85" t="str">
        <f>IF(BDEGENER[[#This Row],[SERVICIO]]=BDEGENER[[#This Row],[GA2]],BDEGENER[[#This Row],[HORAS]],"0")</f>
        <v>0</v>
      </c>
      <c r="BB662" s="85">
        <f>SUMIF(BDEGENER[SERIE],BDEGENER[[#This Row],[SERIE]],BDEGENER[GA3])</f>
        <v>2134</v>
      </c>
      <c r="BC662" s="683" t="str">
        <f>CONCATENATE("MANT",COUNTIF($Y$7:Y662,Y662))</f>
        <v>MANT11</v>
      </c>
      <c r="BD662" s="85" t="str">
        <f>CONCATENATE(BDEGENER[[#This Row],[SERIE]],BDEGENER[[#This Row],[GA5]])</f>
        <v>3004402507MANT11</v>
      </c>
      <c r="BE662" s="85" t="str">
        <f>CONCATENATE(BDEGENER[[#This Row],[CODIGO PATRIMONIAL]],BDEGENER[[#This Row],[GA5]])</f>
        <v>MANT11</v>
      </c>
      <c r="BF662" s="16">
        <f>COUNTIF(BDEGENER[SERIE],BDEGENER[[#This Row],[SERIE]])</f>
        <v>16</v>
      </c>
      <c r="BG662" s="683" t="str">
        <f>CONCATENATE("F",COUNTIF($K$7:K662,K662))</f>
        <v>F3</v>
      </c>
      <c r="BH662" s="325" t="str">
        <f>CONCATENATE(BDEGENER[[#This Row],[FECHA DE SERVICIO]],BDEGENER[[#This Row],[N° DE REGISTROS DEL DIA]])</f>
        <v>43852F3</v>
      </c>
      <c r="BI662" s="324"/>
      <c r="BJ662" s="85" t="s">
        <v>1544</v>
      </c>
      <c r="BK662" s="326"/>
    </row>
    <row r="663" spans="2:63" ht="69" hidden="1" x14ac:dyDescent="0.3">
      <c r="B663" s="129"/>
      <c r="C663" s="129"/>
      <c r="D663" s="129"/>
      <c r="E663" s="129"/>
      <c r="F663" s="129"/>
      <c r="G663" s="129"/>
      <c r="H663" s="129"/>
      <c r="I663" s="129"/>
      <c r="J663" s="129"/>
      <c r="K663" s="131">
        <v>43851</v>
      </c>
      <c r="L663" s="130" t="s">
        <v>181</v>
      </c>
      <c r="M663" s="85" t="s">
        <v>188</v>
      </c>
      <c r="N663" s="85" t="s">
        <v>183</v>
      </c>
      <c r="O663" s="85"/>
      <c r="P663" s="200" t="s">
        <v>1159</v>
      </c>
      <c r="Q663" s="85" t="s">
        <v>37</v>
      </c>
      <c r="R663" s="85" t="s">
        <v>1782</v>
      </c>
      <c r="S663" s="6" t="s">
        <v>1809</v>
      </c>
      <c r="T663" s="85" t="s">
        <v>1160</v>
      </c>
      <c r="U663" s="85" t="s">
        <v>1161</v>
      </c>
      <c r="V663" s="85" t="s">
        <v>147</v>
      </c>
      <c r="W663" s="85" t="s">
        <v>914</v>
      </c>
      <c r="X663" s="85" t="s">
        <v>918</v>
      </c>
      <c r="Y663" s="130">
        <v>3004337388</v>
      </c>
      <c r="Z663" s="85"/>
      <c r="AA663" s="85" t="s">
        <v>33</v>
      </c>
      <c r="AB663" s="85" t="s">
        <v>34</v>
      </c>
      <c r="AC663" s="85" t="s">
        <v>230</v>
      </c>
      <c r="AD663" s="85" t="s">
        <v>1110</v>
      </c>
      <c r="AE663" s="85">
        <v>60</v>
      </c>
      <c r="AF663" s="132">
        <v>853</v>
      </c>
      <c r="AG663" s="85" t="s">
        <v>243</v>
      </c>
      <c r="AH663" s="85" t="s">
        <v>220</v>
      </c>
      <c r="AI663" s="85" t="s">
        <v>33</v>
      </c>
      <c r="AJ663" s="16">
        <v>3004346829</v>
      </c>
      <c r="AK663" s="85" t="s">
        <v>33</v>
      </c>
      <c r="AL663" s="16">
        <v>106308710</v>
      </c>
      <c r="AM663" s="85" t="s">
        <v>245</v>
      </c>
      <c r="AN663" s="85" t="s">
        <v>1102</v>
      </c>
      <c r="AO663" s="85" t="s">
        <v>1140</v>
      </c>
      <c r="AP663" s="85" t="s">
        <v>240</v>
      </c>
      <c r="AQ663" s="200" t="str">
        <f>CONCATENATE("REG-",BDEGENER[[#This Row],[FECHA DE SERVICIO]],"-",BDEGENER[[#This Row],[SERIE]],"-",BDEGENER[[#This Row],[HORAS]])</f>
        <v>REG-43851-3004337388-853</v>
      </c>
      <c r="AR663" s="85" t="str">
        <f>CONCATENATE("MARCA: ",BDEGENER[[#This Row],[MARCA]],"
 MODELO: ",BDEGENER[[#This Row],[MODELO]])</f>
        <v>MARCA: GENERAC
 MODELO: PG090</v>
      </c>
      <c r="AS663" s="85" t="str">
        <f>CONCATENATE("MARCA: ",BDEGENER[[#This Row],[MARCA DE MOTOR]],"
SERIE: ",BDEGENER[[#This Row],[SERIE DE MOTOR]])</f>
        <v>MARCA: GENERAC
SERIE: 3004346829</v>
      </c>
      <c r="AT663" s="85" t="str">
        <f>CONCATENATE("MARCA: ",BDEGENER[[#This Row],[MARCA ALTERNADOR ]],"
SERIE: ",BDEGENER[[#This Row],[SERIE DE ALTERNADOR]])</f>
        <v>MARCA: GENERAC
SERIE: 106308710</v>
      </c>
      <c r="AU663" s="85" t="str">
        <f>CONCATENATE("HORAS: ",BDEGENER[[#This Row],[HORAS]],"
KW-HR: ",BDEGENER[[#This Row],[KW-HORA]],"
VOLT.BATERIA: ",BDEGENER[[#This Row],[VOLTAJE DE BATERIA]],"
TEMPERATURA: ",BDEGENER[[#This Row],[TEMPERATURA DE AGUA]],"
PRES. ACEITE: ",BDEGENER[[#This Row],[PRESION DE ACEITE]])</f>
        <v>HORAS: 853
KW-HR: 
VOLT.BATERIA: 13.6 V
TEMPERATURA: 199 °F
PRES. ACEITE: 50 PSI</v>
      </c>
      <c r="AV663" s="683">
        <f>COUNTIFS(Q663:Q2663,"MANTENIMIENTO CORRECTIVO",Y663:Y2663,BDEGENER[[#This Row],[SERIE]])</f>
        <v>1</v>
      </c>
      <c r="AW663" s="683">
        <f>COUNTIFS(Q663:Q2663,"MANTENIMIENTO PREVENTIVO",Y663:Y2663,BDEGENER[[#This Row],[SERIE]])</f>
        <v>3</v>
      </c>
      <c r="AX663"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63" s="85">
        <f>COUNTIFS(BDEGENER[SERIE],BDEGENER[[#This Row],[SERIE]],BDEGENER[TIPO DE SERVICIO],"MANTENIMIENTO PREVENTIVO")</f>
        <v>7</v>
      </c>
      <c r="AZ663" s="85" t="str">
        <f>CONCATENATE("MANTENIMIENTO PREVENTIVO N°",BDEGENER[[#This Row],[GA1]])</f>
        <v>MANTENIMIENTO PREVENTIVO N°7</v>
      </c>
      <c r="BA663" s="85" t="str">
        <f>IF(BDEGENER[[#This Row],[SERVICIO]]=BDEGENER[[#This Row],[GA2]],BDEGENER[[#This Row],[HORAS]],"0")</f>
        <v>0</v>
      </c>
      <c r="BB663" s="85">
        <f>SUMIF(BDEGENER[SERIE],BDEGENER[[#This Row],[SERIE]],BDEGENER[GA3])</f>
        <v>2129.8000000000002</v>
      </c>
      <c r="BC663" s="683" t="str">
        <f>CONCATENATE("MANT",COUNTIF($Y$7:Y663,Y663))</f>
        <v>MANT10</v>
      </c>
      <c r="BD663" s="85" t="str">
        <f>CONCATENATE(BDEGENER[[#This Row],[SERIE]],BDEGENER[[#This Row],[GA5]])</f>
        <v>3004337388MANT10</v>
      </c>
      <c r="BE663" s="85" t="str">
        <f>CONCATENATE(BDEGENER[[#This Row],[CODIGO PATRIMONIAL]],BDEGENER[[#This Row],[GA5]])</f>
        <v>MANT10</v>
      </c>
      <c r="BF663" s="129">
        <f>COUNTIF(BDEGENER[SERIE],BDEGENER[[#This Row],[SERIE]])</f>
        <v>14</v>
      </c>
      <c r="BG663" s="683" t="str">
        <f>CONCATENATE("F",COUNTIF($K$7:K663,K663))</f>
        <v>F1</v>
      </c>
      <c r="BH663" s="325" t="str">
        <f>CONCATENATE(BDEGENER[[#This Row],[FECHA DE SERVICIO]],BDEGENER[[#This Row],[N° DE REGISTROS DEL DIA]])</f>
        <v>43851F1</v>
      </c>
      <c r="BI663" s="324"/>
      <c r="BJ663" s="85" t="s">
        <v>1544</v>
      </c>
      <c r="BK663" s="326"/>
    </row>
    <row r="664" spans="2:63" ht="69" hidden="1" x14ac:dyDescent="0.3">
      <c r="B664" s="129"/>
      <c r="C664" s="129"/>
      <c r="D664" s="129"/>
      <c r="E664" s="129"/>
      <c r="F664" s="129"/>
      <c r="G664" s="129"/>
      <c r="H664" s="129"/>
      <c r="I664" s="129"/>
      <c r="J664" s="129"/>
      <c r="K664" s="131">
        <v>43850</v>
      </c>
      <c r="L664" s="130" t="s">
        <v>181</v>
      </c>
      <c r="M664" s="85" t="s">
        <v>185</v>
      </c>
      <c r="N664" s="85" t="s">
        <v>183</v>
      </c>
      <c r="O664" s="85"/>
      <c r="P664" s="85"/>
      <c r="Q664" s="85" t="s">
        <v>37</v>
      </c>
      <c r="R664" s="85" t="s">
        <v>1782</v>
      </c>
      <c r="S664" s="6" t="s">
        <v>1810</v>
      </c>
      <c r="T664" s="85" t="s">
        <v>1099</v>
      </c>
      <c r="U664" s="85" t="s">
        <v>1100</v>
      </c>
      <c r="V664" s="85" t="s">
        <v>147</v>
      </c>
      <c r="W664" s="85" t="s">
        <v>914</v>
      </c>
      <c r="X664" s="85" t="s">
        <v>918</v>
      </c>
      <c r="Y664" s="130">
        <v>3004290365</v>
      </c>
      <c r="Z664" s="85"/>
      <c r="AA664" s="85" t="s">
        <v>33</v>
      </c>
      <c r="AB664" s="85" t="s">
        <v>34</v>
      </c>
      <c r="AC664" s="85" t="s">
        <v>230</v>
      </c>
      <c r="AD664" s="85" t="s">
        <v>1110</v>
      </c>
      <c r="AE664" s="85">
        <v>60</v>
      </c>
      <c r="AF664" s="132">
        <v>592.9</v>
      </c>
      <c r="AG664" s="85" t="s">
        <v>243</v>
      </c>
      <c r="AH664" s="85" t="s">
        <v>220</v>
      </c>
      <c r="AI664" s="85" t="s">
        <v>33</v>
      </c>
      <c r="AJ664" s="85"/>
      <c r="AK664" s="85" t="s">
        <v>33</v>
      </c>
      <c r="AL664" s="85"/>
      <c r="AM664" s="85" t="s">
        <v>245</v>
      </c>
      <c r="AN664" s="85" t="s">
        <v>1102</v>
      </c>
      <c r="AO664" s="85" t="s">
        <v>1103</v>
      </c>
      <c r="AP664" s="85" t="s">
        <v>240</v>
      </c>
      <c r="AQ664" s="200" t="str">
        <f>CONCATENATE("REG-",BDEGENER[[#This Row],[FECHA DE SERVICIO]],"-",BDEGENER[[#This Row],[SERIE]],"-",BDEGENER[[#This Row],[HORAS]])</f>
        <v>REG-43850-3004290365-592,9</v>
      </c>
      <c r="AR664" s="85" t="str">
        <f>CONCATENATE("MARCA: ",BDEGENER[[#This Row],[MARCA]],"
 MODELO: ",BDEGENER[[#This Row],[MODELO]])</f>
        <v>MARCA: GENERAC
 MODELO: PG090</v>
      </c>
      <c r="AS664" s="85" t="str">
        <f>CONCATENATE("MARCA: ",BDEGENER[[#This Row],[MARCA DE MOTOR]],"
SERIE: ",BDEGENER[[#This Row],[SERIE DE MOTOR]])</f>
        <v xml:space="preserve">MARCA: GENERAC
SERIE: </v>
      </c>
      <c r="AT664" s="85" t="str">
        <f>CONCATENATE("MARCA: ",BDEGENER[[#This Row],[MARCA ALTERNADOR ]],"
SERIE: ",BDEGENER[[#This Row],[SERIE DE ALTERNADOR]])</f>
        <v xml:space="preserve">MARCA: GENERAC
SERIE: </v>
      </c>
      <c r="AU664" s="85" t="str">
        <f>CONCATENATE("HORAS: ",BDEGENER[[#This Row],[HORAS]],"
KW-HR: ",BDEGENER[[#This Row],[KW-HORA]],"
VOLT.BATERIA: ",BDEGENER[[#This Row],[VOLTAJE DE BATERIA]],"
TEMPERATURA: ",BDEGENER[[#This Row],[TEMPERATURA DE AGUA]],"
PRES. ACEITE: ",BDEGENER[[#This Row],[PRESION DE ACEITE]])</f>
        <v>HORAS: 592,9
KW-HR: 
VOLT.BATERIA: 13.6 V
TEMPERATURA: 199 °F
PRES. ACEITE: 52 PSI</v>
      </c>
      <c r="AV664" s="761">
        <f>COUNTIFS(Q664:Q2664,"MANTENIMIENTO CORRECTIVO",Y664:Y2664,BDEGENER[[#This Row],[SERIE]])</f>
        <v>2</v>
      </c>
      <c r="AW664" s="761">
        <f>COUNTIFS(Q664:Q2664,"MANTENIMIENTO PREVENTIVO",Y664:Y2664,BDEGENER[[#This Row],[SERIE]])</f>
        <v>2</v>
      </c>
      <c r="AX66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64" s="85">
        <f>COUNTIFS(BDEGENER[SERIE],BDEGENER[[#This Row],[SERIE]],BDEGENER[TIPO DE SERVICIO],"MANTENIMIENTO PREVENTIVO")</f>
        <v>5</v>
      </c>
      <c r="AZ664" s="85" t="str">
        <f>CONCATENATE("MANTENIMIENTO PREVENTIVO N°",BDEGENER[[#This Row],[GA1]])</f>
        <v>MANTENIMIENTO PREVENTIVO N°5</v>
      </c>
      <c r="BA664" s="85" t="str">
        <f>IF(BDEGENER[[#This Row],[SERVICIO]]=BDEGENER[[#This Row],[GA2]],BDEGENER[[#This Row],[HORAS]],"0")</f>
        <v>0</v>
      </c>
      <c r="BB664" s="85">
        <f>SUMIF(BDEGENER[SERIE],BDEGENER[[#This Row],[SERIE]],BDEGENER[GA3])</f>
        <v>1700.2</v>
      </c>
      <c r="BC664" s="761" t="str">
        <f>CONCATENATE("MANT",COUNTIF($Y$7:Y664,Y664))</f>
        <v>MANT11</v>
      </c>
      <c r="BD664" s="85" t="str">
        <f>CONCATENATE(BDEGENER[[#This Row],[SERIE]],BDEGENER[[#This Row],[GA5]])</f>
        <v>3004290365MANT11</v>
      </c>
      <c r="BE664" s="85" t="str">
        <f>CONCATENATE(BDEGENER[[#This Row],[CODIGO PATRIMONIAL]],BDEGENER[[#This Row],[GA5]])</f>
        <v>MANT11</v>
      </c>
      <c r="BF664" s="16">
        <f>COUNTIF(BDEGENER[SERIE],BDEGENER[[#This Row],[SERIE]])</f>
        <v>15</v>
      </c>
      <c r="BG664" s="761" t="str">
        <f>CONCATENATE("F",COUNTIF($K$7:K664,K664))</f>
        <v>F1</v>
      </c>
      <c r="BH664" s="325" t="str">
        <f>CONCATENATE(BDEGENER[[#This Row],[FECHA DE SERVICIO]],BDEGENER[[#This Row],[N° DE REGISTROS DEL DIA]])</f>
        <v>43850F1</v>
      </c>
      <c r="BI664" s="324"/>
      <c r="BJ664" s="85" t="s">
        <v>1544</v>
      </c>
      <c r="BK664" s="326"/>
    </row>
    <row r="665" spans="2:63" ht="69" hidden="1" x14ac:dyDescent="0.3">
      <c r="B665" s="129"/>
      <c r="C665" s="129"/>
      <c r="D665" s="129"/>
      <c r="E665" s="129"/>
      <c r="F665" s="129"/>
      <c r="G665" s="129"/>
      <c r="H665" s="129"/>
      <c r="I665" s="129"/>
      <c r="J665" s="129"/>
      <c r="K665" s="131">
        <v>43850</v>
      </c>
      <c r="L665" s="130" t="s">
        <v>181</v>
      </c>
      <c r="M665" s="85" t="s">
        <v>185</v>
      </c>
      <c r="N665" s="85" t="s">
        <v>183</v>
      </c>
      <c r="O665" s="85"/>
      <c r="P665" s="85"/>
      <c r="Q665" s="85" t="s">
        <v>37</v>
      </c>
      <c r="R665" s="85" t="s">
        <v>1782</v>
      </c>
      <c r="S665" s="6" t="s">
        <v>1811</v>
      </c>
      <c r="T665" s="85" t="s">
        <v>1099</v>
      </c>
      <c r="U665" s="85" t="s">
        <v>1361</v>
      </c>
      <c r="V665" s="85" t="s">
        <v>147</v>
      </c>
      <c r="W665" s="85" t="s">
        <v>914</v>
      </c>
      <c r="X665" s="85" t="s">
        <v>918</v>
      </c>
      <c r="Y665" s="130">
        <v>3004290368</v>
      </c>
      <c r="Z665" s="85"/>
      <c r="AA665" s="85" t="s">
        <v>33</v>
      </c>
      <c r="AB665" s="85" t="s">
        <v>34</v>
      </c>
      <c r="AC665" s="85" t="s">
        <v>230</v>
      </c>
      <c r="AD665" s="85" t="s">
        <v>1110</v>
      </c>
      <c r="AE665" s="85">
        <v>60</v>
      </c>
      <c r="AF665" s="132">
        <v>783</v>
      </c>
      <c r="AG665" s="85" t="s">
        <v>243</v>
      </c>
      <c r="AH665" s="85" t="s">
        <v>220</v>
      </c>
      <c r="AI665" s="85" t="s">
        <v>33</v>
      </c>
      <c r="AJ665" s="16">
        <v>3004034816</v>
      </c>
      <c r="AK665" s="85" t="s">
        <v>33</v>
      </c>
      <c r="AL665" s="16">
        <v>106312930</v>
      </c>
      <c r="AM665" s="85" t="s">
        <v>245</v>
      </c>
      <c r="AN665" s="85" t="s">
        <v>246</v>
      </c>
      <c r="AO665" s="85" t="s">
        <v>1101</v>
      </c>
      <c r="AP665" s="85" t="s">
        <v>240</v>
      </c>
      <c r="AQ665" s="200" t="str">
        <f>CONCATENATE("REG-",BDEGENER[[#This Row],[FECHA DE SERVICIO]],"-",BDEGENER[[#This Row],[SERIE]],"-",BDEGENER[[#This Row],[HORAS]])</f>
        <v>REG-43850-3004290368-783</v>
      </c>
      <c r="AR665" s="85" t="str">
        <f>CONCATENATE("MARCA: ",BDEGENER[[#This Row],[MARCA]],"
 MODELO: ",BDEGENER[[#This Row],[MODELO]])</f>
        <v>MARCA: GENERAC
 MODELO: PG090</v>
      </c>
      <c r="AS665" s="85" t="str">
        <f>CONCATENATE("MARCA: ",BDEGENER[[#This Row],[MARCA DE MOTOR]],"
SERIE: ",BDEGENER[[#This Row],[SERIE DE MOTOR]])</f>
        <v>MARCA: GENERAC
SERIE: 3004034816</v>
      </c>
      <c r="AT665" s="85" t="str">
        <f>CONCATENATE("MARCA: ",BDEGENER[[#This Row],[MARCA ALTERNADOR ]],"
SERIE: ",BDEGENER[[#This Row],[SERIE DE ALTERNADOR]])</f>
        <v>MARCA: GENERAC
SERIE: 106312930</v>
      </c>
      <c r="AU665" s="85" t="str">
        <f>CONCATENATE("HORAS: ",BDEGENER[[#This Row],[HORAS]],"
KW-HR: ",BDEGENER[[#This Row],[KW-HORA]],"
VOLT.BATERIA: ",BDEGENER[[#This Row],[VOLTAJE DE BATERIA]],"
TEMPERATURA: ",BDEGENER[[#This Row],[TEMPERATURA DE AGUA]],"
PRES. ACEITE: ",BDEGENER[[#This Row],[PRESION DE ACEITE]])</f>
        <v>HORAS: 783
KW-HR: 
VOLT.BATERIA: 13.6 V
TEMPERATURA: 198 °F
PRES. ACEITE: 51 PSI</v>
      </c>
      <c r="AV665" s="683">
        <f>COUNTIFS(Q665:Q2665,"MANTENIMIENTO CORRECTIVO",Y665:Y2665,BDEGENER[[#This Row],[SERIE]])</f>
        <v>1</v>
      </c>
      <c r="AW665" s="683">
        <f>COUNTIFS(Q665:Q2665,"MANTENIMIENTO PREVENTIVO",Y665:Y2665,BDEGENER[[#This Row],[SERIE]])</f>
        <v>2</v>
      </c>
      <c r="AX66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65" s="85">
        <f>COUNTIFS(BDEGENER[SERIE],BDEGENER[[#This Row],[SERIE]],BDEGENER[TIPO DE SERVICIO],"MANTENIMIENTO PREVENTIVO")</f>
        <v>6</v>
      </c>
      <c r="AZ665" s="85" t="str">
        <f>CONCATENATE("MANTENIMIENTO PREVENTIVO N°",BDEGENER[[#This Row],[GA1]])</f>
        <v>MANTENIMIENTO PREVENTIVO N°6</v>
      </c>
      <c r="BA665" s="85" t="str">
        <f>IF(BDEGENER[[#This Row],[SERVICIO]]=BDEGENER[[#This Row],[GA2]],BDEGENER[[#This Row],[HORAS]],"0")</f>
        <v>0</v>
      </c>
      <c r="BB665" s="85">
        <f>SUMIF(BDEGENER[SERIE],BDEGENER[[#This Row],[SERIE]],BDEGENER[GA3])</f>
        <v>2259.3000000000002</v>
      </c>
      <c r="BC665" s="683" t="str">
        <f>CONCATENATE("MANT",COUNTIF($Y$7:Y665,Y665))</f>
        <v>MANT12</v>
      </c>
      <c r="BD665" s="85" t="str">
        <f>CONCATENATE(BDEGENER[[#This Row],[SERIE]],BDEGENER[[#This Row],[GA5]])</f>
        <v>3004290368MANT12</v>
      </c>
      <c r="BE665" s="85" t="str">
        <f>CONCATENATE(BDEGENER[[#This Row],[CODIGO PATRIMONIAL]],BDEGENER[[#This Row],[GA5]])</f>
        <v>MANT12</v>
      </c>
      <c r="BF665" s="16">
        <f>COUNTIF(BDEGENER[SERIE],BDEGENER[[#This Row],[SERIE]])</f>
        <v>15</v>
      </c>
      <c r="BG665" s="683" t="str">
        <f>CONCATENATE("F",COUNTIF($K$7:K665,K665))</f>
        <v>F2</v>
      </c>
      <c r="BH665" s="325" t="str">
        <f>CONCATENATE(BDEGENER[[#This Row],[FECHA DE SERVICIO]],BDEGENER[[#This Row],[N° DE REGISTROS DEL DIA]])</f>
        <v>43850F2</v>
      </c>
      <c r="BI665" s="324"/>
      <c r="BJ665" s="85" t="s">
        <v>1544</v>
      </c>
      <c r="BK665" s="326"/>
    </row>
    <row r="666" spans="2:63" ht="69" hidden="1" x14ac:dyDescent="0.3">
      <c r="B666" s="129"/>
      <c r="C666" s="129"/>
      <c r="D666" s="129"/>
      <c r="E666" s="129"/>
      <c r="F666" s="129"/>
      <c r="G666" s="129"/>
      <c r="H666" s="129"/>
      <c r="I666" s="129"/>
      <c r="J666" s="129"/>
      <c r="K666" s="131">
        <v>43848</v>
      </c>
      <c r="L666" s="85" t="s">
        <v>1545</v>
      </c>
      <c r="M666" s="85" t="s">
        <v>1395</v>
      </c>
      <c r="N666" s="85" t="s">
        <v>1547</v>
      </c>
      <c r="O666" s="85"/>
      <c r="P666" s="85"/>
      <c r="Q666" s="85" t="s">
        <v>107</v>
      </c>
      <c r="R666" s="85" t="s">
        <v>1782</v>
      </c>
      <c r="S666" s="6" t="s">
        <v>3324</v>
      </c>
      <c r="T666" s="85" t="s">
        <v>3322</v>
      </c>
      <c r="U666" s="85" t="s">
        <v>3323</v>
      </c>
      <c r="V666" s="85" t="s">
        <v>479</v>
      </c>
      <c r="W666" s="85" t="s">
        <v>2743</v>
      </c>
      <c r="X666" s="85" t="s">
        <v>2741</v>
      </c>
      <c r="Y666" s="15" t="s">
        <v>3320</v>
      </c>
      <c r="Z666" s="85" t="s">
        <v>159</v>
      </c>
      <c r="AA666" s="85" t="s">
        <v>867</v>
      </c>
      <c r="AB666" s="85" t="s">
        <v>3321</v>
      </c>
      <c r="AC666" s="85" t="s">
        <v>159</v>
      </c>
      <c r="AD666" s="85"/>
      <c r="AE666" s="85"/>
      <c r="AF666" s="132">
        <v>269739</v>
      </c>
      <c r="AG666" s="85" t="s">
        <v>159</v>
      </c>
      <c r="AH666" s="85" t="s">
        <v>159</v>
      </c>
      <c r="AI666" s="85" t="s">
        <v>867</v>
      </c>
      <c r="AJ666" s="85" t="s">
        <v>159</v>
      </c>
      <c r="AK666" s="85" t="s">
        <v>159</v>
      </c>
      <c r="AL666" s="85" t="s">
        <v>159</v>
      </c>
      <c r="AM666" s="85"/>
      <c r="AN666" s="85"/>
      <c r="AO666" s="85"/>
      <c r="AP666" s="85" t="s">
        <v>240</v>
      </c>
      <c r="AQ666" s="85" t="str">
        <f>CONCATENATE("REG-",BDEGENER[[#This Row],[FECHA DE SERVICIO]],"-",BDEGENER[[#This Row],[SERIE]],"-",BDEGENER[[#This Row],[HORAS]])</f>
        <v>REG-43848-C7A-736-269739</v>
      </c>
      <c r="AR666" s="85" t="str">
        <f>CONCATENATE("MARCA: ",BDEGENER[[#This Row],[MARCA]],"
 MODELO: ",BDEGENER[[#This Row],[MODELO]])</f>
        <v>MARCA: NISSAN
 MODELO: FRONTIER</v>
      </c>
      <c r="AS666" s="85" t="str">
        <f>CONCATENATE("MARCA: ",BDEGENER[[#This Row],[MARCA DE MOTOR]],"
SERIE: ",BDEGENER[[#This Row],[SERIE DE MOTOR]])</f>
        <v xml:space="preserve">MARCA: NISSAN
SERIE: </v>
      </c>
      <c r="AT666" s="85" t="str">
        <f>CONCATENATE("MARCA: ",BDEGENER[[#This Row],[MARCA ALTERNADOR ]],"
SERIE: ",BDEGENER[[#This Row],[SERIE DE ALTERNADOR]])</f>
        <v xml:space="preserve">MARCA: 
SERIE: </v>
      </c>
      <c r="AU666" s="85" t="str">
        <f>CONCATENATE("HORAS: ",BDEGENER[[#This Row],[HORAS]],"
KW-HR: ",BDEGENER[[#This Row],[KW-HORA]],"
VOLT.BATERIA: ",BDEGENER[[#This Row],[VOLTAJE DE BATERIA]],"
TEMPERATURA: ",BDEGENER[[#This Row],[TEMPERATURA DE AGUA]],"
PRES. ACEITE: ",BDEGENER[[#This Row],[PRESION DE ACEITE]])</f>
        <v xml:space="preserve">HORAS: 269739
KW-HR: 
VOLT.BATERIA: 
TEMPERATURA: 
PRES. ACEITE: </v>
      </c>
      <c r="AV666" s="683">
        <f>COUNTIFS(Q666:Q2666,"MANTENIMIENTO CORRECTIVO",Y666:Y2666,BDEGENER[[#This Row],[SERIE]])</f>
        <v>1</v>
      </c>
      <c r="AW666" s="683">
        <f>COUNTIFS(Q666:Q2666,"MANTENIMIENTO PREVENTIVO",Y666:Y2666,BDEGENER[[#This Row],[SERIE]])</f>
        <v>1</v>
      </c>
      <c r="AX66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666" s="85">
        <f>COUNTIFS(BDEGENER[SERIE],BDEGENER[[#This Row],[SERIE]],BDEGENER[TIPO DE SERVICIO],"MANTENIMIENTO PREVENTIVO")</f>
        <v>3</v>
      </c>
      <c r="AZ666" s="85" t="str">
        <f>CONCATENATE("MANTENIMIENTO PREVENTIVO N°",BDEGENER[[#This Row],[GA1]])</f>
        <v>MANTENIMIENTO PREVENTIVO N°3</v>
      </c>
      <c r="BA666" s="85" t="str">
        <f>IF(BDEGENER[[#This Row],[SERVICIO]]=BDEGENER[[#This Row],[GA2]],BDEGENER[[#This Row],[HORAS]],"0")</f>
        <v>0</v>
      </c>
      <c r="BB666" s="85">
        <f>SUMIF(BDEGENER[SERIE],BDEGENER[[#This Row],[SERIE]],BDEGENER[GA3])</f>
        <v>287150</v>
      </c>
      <c r="BC666" s="683" t="str">
        <f>CONCATENATE("MANT",COUNTIF($Y$7:Y666,Y666))</f>
        <v>MANT7</v>
      </c>
      <c r="BD666" s="85" t="str">
        <f>CONCATENATE(BDEGENER[[#This Row],[SERIE]],BDEGENER[[#This Row],[GA5]])</f>
        <v>C7A-736MANT7</v>
      </c>
      <c r="BE666" s="85" t="str">
        <f>CONCATENATE(BDEGENER[[#This Row],[CODIGO PATRIMONIAL]],BDEGENER[[#This Row],[GA5]])</f>
        <v>MANT7</v>
      </c>
      <c r="BF666" s="85">
        <f>COUNTIF(BDEGENER[SERIE],BDEGENER[[#This Row],[SERIE]])</f>
        <v>8</v>
      </c>
      <c r="BG666" s="683" t="str">
        <f>CONCATENATE("F",COUNTIF($K$7:K666,K666))</f>
        <v>F1</v>
      </c>
      <c r="BH666" s="85" t="str">
        <f>CONCATENATE(BDEGENER[[#This Row],[FECHA DE SERVICIO]],BDEGENER[[#This Row],[N° DE REGISTROS DEL DIA]])</f>
        <v>43848F1</v>
      </c>
      <c r="BI666" s="132"/>
      <c r="BJ666" s="85" t="s">
        <v>177</v>
      </c>
      <c r="BK666" s="680"/>
    </row>
    <row r="667" spans="2:63" ht="69" hidden="1" x14ac:dyDescent="0.3">
      <c r="B667" s="223"/>
      <c r="C667" s="223"/>
      <c r="D667" s="223"/>
      <c r="E667" s="223"/>
      <c r="F667" s="223"/>
      <c r="G667" s="223"/>
      <c r="H667" s="223"/>
      <c r="I667" s="223"/>
      <c r="J667" s="223"/>
      <c r="K667" s="723">
        <v>43847</v>
      </c>
      <c r="L667" s="15" t="s">
        <v>181</v>
      </c>
      <c r="M667" s="14" t="s">
        <v>182</v>
      </c>
      <c r="N667" s="14" t="s">
        <v>183</v>
      </c>
      <c r="O667" s="8" t="s">
        <v>159</v>
      </c>
      <c r="P667" s="200" t="s">
        <v>165</v>
      </c>
      <c r="Q667" s="14" t="s">
        <v>37</v>
      </c>
      <c r="R667" s="85" t="s">
        <v>1782</v>
      </c>
      <c r="S667" s="5" t="s">
        <v>1812</v>
      </c>
      <c r="T667" s="14" t="s">
        <v>79</v>
      </c>
      <c r="U667" s="14" t="s">
        <v>112</v>
      </c>
      <c r="V667" s="14" t="s">
        <v>146</v>
      </c>
      <c r="W667" s="85" t="s">
        <v>914</v>
      </c>
      <c r="X667" s="85" t="s">
        <v>918</v>
      </c>
      <c r="Y667" s="15">
        <v>3004337427</v>
      </c>
      <c r="Z667" s="14"/>
      <c r="AA667" s="14" t="s">
        <v>33</v>
      </c>
      <c r="AB667" s="85" t="s">
        <v>34</v>
      </c>
      <c r="AC667" s="14" t="s">
        <v>230</v>
      </c>
      <c r="AD667" s="16" t="s">
        <v>1111</v>
      </c>
      <c r="AE667" s="16">
        <v>60</v>
      </c>
      <c r="AF667" s="12">
        <v>531.5</v>
      </c>
      <c r="AG667" s="16" t="s">
        <v>243</v>
      </c>
      <c r="AH667" s="16" t="s">
        <v>220</v>
      </c>
      <c r="AI667" s="16" t="s">
        <v>33</v>
      </c>
      <c r="AJ667" s="16">
        <v>3004346831</v>
      </c>
      <c r="AK667" s="16" t="s">
        <v>33</v>
      </c>
      <c r="AL667" s="16">
        <v>106307250</v>
      </c>
      <c r="AM667" s="16" t="s">
        <v>245</v>
      </c>
      <c r="AN667" s="16" t="s">
        <v>246</v>
      </c>
      <c r="AO667" s="16" t="s">
        <v>247</v>
      </c>
      <c r="AP667" s="14" t="s">
        <v>240</v>
      </c>
      <c r="AQ667" s="200" t="str">
        <f>CONCATENATE("REG-",BDEGENER[[#This Row],[FECHA DE SERVICIO]],"-",BDEGENER[[#This Row],[SERIE]],"-",BDEGENER[[#This Row],[HORAS]])</f>
        <v>REG-43847-3004337427-531,5</v>
      </c>
      <c r="AR667" s="5" t="str">
        <f>CONCATENATE("MARCA: ",BDEGENER[[#This Row],[MARCA]],"
 MODELO: ",BDEGENER[[#This Row],[MODELO]])</f>
        <v>MARCA: GENERAC
 MODELO: PG090</v>
      </c>
      <c r="AS667" s="5" t="str">
        <f>CONCATENATE("MARCA: ",BDEGENER[[#This Row],[MARCA DE MOTOR]],"
SERIE: ",BDEGENER[[#This Row],[SERIE DE MOTOR]])</f>
        <v>MARCA: GENERAC
SERIE: 3004346831</v>
      </c>
      <c r="AT667" s="5" t="str">
        <f>CONCATENATE("MARCA: ",BDEGENER[[#This Row],[MARCA ALTERNADOR ]],"
SERIE: ",BDEGENER[[#This Row],[SERIE DE ALTERNADOR]])</f>
        <v>MARCA: GENERAC
SERIE: 106307250</v>
      </c>
      <c r="AU667" s="5" t="str">
        <f>CONCATENATE("HORAS: ",BDEGENER[[#This Row],[HORAS]],"
KW-HR: ",BDEGENER[[#This Row],[KW-HORA]],"
VOLT.BATERIA: ",BDEGENER[[#This Row],[VOLTAJE DE BATERIA]],"
TEMPERATURA: ",BDEGENER[[#This Row],[TEMPERATURA DE AGUA]],"
PRES. ACEITE: ",BDEGENER[[#This Row],[PRESION DE ACEITE]])</f>
        <v>HORAS: 531,5
KW-HR: 
VOLT.BATERIA: 13.6 V
TEMPERATURA: 198 °F
PRES. ACEITE: 55 PSI</v>
      </c>
      <c r="AV667" s="761">
        <f>COUNTIFS(Q667:Q2667,"MANTENIMIENTO CORRECTIVO",Y667:Y2667,BDEGENER[[#This Row],[SERIE]])</f>
        <v>1</v>
      </c>
      <c r="AW667" s="761">
        <f>COUNTIFS(Q667:Q2667,"MANTENIMIENTO PREVENTIVO",Y667:Y2667,BDEGENER[[#This Row],[SERIE]])</f>
        <v>2</v>
      </c>
      <c r="AX66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67" s="29">
        <f>COUNTIFS(BDEGENER[SERIE],BDEGENER[[#This Row],[SERIE]],BDEGENER[TIPO DE SERVICIO],"MANTENIMIENTO PREVENTIVO")</f>
        <v>6</v>
      </c>
      <c r="AZ667" s="29" t="str">
        <f>CONCATENATE("MANTENIMIENTO PREVENTIVO N°",BDEGENER[[#This Row],[GA1]])</f>
        <v>MANTENIMIENTO PREVENTIVO N°6</v>
      </c>
      <c r="BA667" s="325" t="str">
        <f>IF(BDEGENER[[#This Row],[SERVICIO]]=BDEGENER[[#This Row],[GA2]],BDEGENER[[#This Row],[HORAS]],"0")</f>
        <v>0</v>
      </c>
      <c r="BB667" s="325">
        <f>SUMIF(BDEGENER[SERIE],BDEGENER[[#This Row],[SERIE]],BDEGENER[GA3])</f>
        <v>1835.7</v>
      </c>
      <c r="BC667" s="761" t="str">
        <f>CONCATENATE("MANT",COUNTIF($Y$7:Y667,Y667))</f>
        <v>MANT6</v>
      </c>
      <c r="BD667" s="29" t="str">
        <f>CONCATENATE(BDEGENER[[#This Row],[SERIE]],BDEGENER[[#This Row],[GA5]])</f>
        <v>3004337427MANT6</v>
      </c>
      <c r="BE667" s="29" t="str">
        <f>CONCATENATE(BDEGENER[[#This Row],[CODIGO PATRIMONIAL]],BDEGENER[[#This Row],[GA5]])</f>
        <v>MANT6</v>
      </c>
      <c r="BF667" s="16">
        <f>COUNTIF(BDEGENER[SERIE],BDEGENER[[#This Row],[SERIE]])</f>
        <v>9</v>
      </c>
      <c r="BG667" s="761" t="str">
        <f>CONCATENATE("F",COUNTIF($K$7:K667,K667))</f>
        <v>F1</v>
      </c>
      <c r="BH667" s="325" t="str">
        <f>CONCATENATE(BDEGENER[[#This Row],[FECHA DE SERVICIO]],BDEGENER[[#This Row],[N° DE REGISTROS DEL DIA]])</f>
        <v>43847F1</v>
      </c>
      <c r="BI667" s="324"/>
      <c r="BJ667" s="85" t="s">
        <v>1544</v>
      </c>
      <c r="BK667" s="326"/>
    </row>
    <row r="668" spans="2:63" ht="69" hidden="1" x14ac:dyDescent="0.3">
      <c r="B668" s="129"/>
      <c r="C668" s="129"/>
      <c r="D668" s="129"/>
      <c r="E668" s="129"/>
      <c r="F668" s="129"/>
      <c r="G668" s="129"/>
      <c r="H668" s="129"/>
      <c r="I668" s="129"/>
      <c r="J668" s="129"/>
      <c r="K668" s="131">
        <v>43845</v>
      </c>
      <c r="L668" s="130" t="s">
        <v>181</v>
      </c>
      <c r="M668" s="85" t="s">
        <v>189</v>
      </c>
      <c r="N668" s="85" t="s">
        <v>946</v>
      </c>
      <c r="O668" s="85"/>
      <c r="P668" s="9" t="s">
        <v>1091</v>
      </c>
      <c r="Q668" s="85" t="s">
        <v>37</v>
      </c>
      <c r="R668" s="85" t="s">
        <v>1782</v>
      </c>
      <c r="S668" s="6" t="s">
        <v>1813</v>
      </c>
      <c r="T668" s="85" t="s">
        <v>1096</v>
      </c>
      <c r="U668" s="85" t="s">
        <v>1092</v>
      </c>
      <c r="V668" s="85" t="s">
        <v>149</v>
      </c>
      <c r="W668" s="85" t="s">
        <v>914</v>
      </c>
      <c r="X668" s="85" t="s">
        <v>918</v>
      </c>
      <c r="Y668" s="130">
        <v>3004327723</v>
      </c>
      <c r="Z668" s="85"/>
      <c r="AA668" s="85" t="s">
        <v>33</v>
      </c>
      <c r="AB668" s="85" t="s">
        <v>34</v>
      </c>
      <c r="AC668" s="85" t="s">
        <v>230</v>
      </c>
      <c r="AD668" s="85" t="s">
        <v>1112</v>
      </c>
      <c r="AE668" s="85">
        <v>60</v>
      </c>
      <c r="AF668" s="132">
        <v>898.6</v>
      </c>
      <c r="AG668" s="85" t="s">
        <v>243</v>
      </c>
      <c r="AH668" s="85" t="s">
        <v>220</v>
      </c>
      <c r="AI668" s="85" t="s">
        <v>33</v>
      </c>
      <c r="AJ668" s="85">
        <v>3004346813</v>
      </c>
      <c r="AK668" s="85" t="s">
        <v>33</v>
      </c>
      <c r="AL668" s="85">
        <v>106302070</v>
      </c>
      <c r="AM668" s="85" t="s">
        <v>1094</v>
      </c>
      <c r="AN668" s="85" t="s">
        <v>1098</v>
      </c>
      <c r="AO668" s="85" t="s">
        <v>1097</v>
      </c>
      <c r="AP668" s="85" t="s">
        <v>240</v>
      </c>
      <c r="AQ668" s="742" t="str">
        <f>CONCATENATE("REG-",BDEGENER[[#This Row],[FECHA DE SERVICIO]],"-",BDEGENER[[#This Row],[SERIE]],"-",BDEGENER[[#This Row],[HORAS]])</f>
        <v>REG-43845-3004327723-898,6</v>
      </c>
      <c r="AR668" s="85" t="str">
        <f>CONCATENATE("MARCA: ",BDEGENER[[#This Row],[MARCA]],"
 MODELO: ",BDEGENER[[#This Row],[MODELO]])</f>
        <v>MARCA: GENERAC
 MODELO: PG090</v>
      </c>
      <c r="AS668" s="85" t="str">
        <f>CONCATENATE("MARCA: ",BDEGENER[[#This Row],[MARCA DE MOTOR]],"
SERIE: ",BDEGENER[[#This Row],[SERIE DE MOTOR]])</f>
        <v>MARCA: GENERAC
SERIE: 3004346813</v>
      </c>
      <c r="AT668" s="85" t="str">
        <f>CONCATENATE("MARCA: ",BDEGENER[[#This Row],[MARCA ALTERNADOR ]],"
SERIE: ",BDEGENER[[#This Row],[SERIE DE ALTERNADOR]])</f>
        <v>MARCA: GENERAC
SERIE: 106302070</v>
      </c>
      <c r="AU668" s="85" t="str">
        <f>CONCATENATE("HORAS: ",BDEGENER[[#This Row],[HORAS]],"
KW-HR: ",BDEGENER[[#This Row],[KW-HORA]],"
VOLT.BATERIA: ",BDEGENER[[#This Row],[VOLTAJE DE BATERIA]],"
TEMPERATURA: ",BDEGENER[[#This Row],[TEMPERATURA DE AGUA]],"
PRES. ACEITE: ",BDEGENER[[#This Row],[PRESION DE ACEITE]])</f>
        <v>HORAS: 898,6
KW-HR: 
VOLT.BATERIA: 13.5 V
TEMPERATURA: 206 °C
PRES. ACEITE: 48 PSI</v>
      </c>
      <c r="AV668" s="683">
        <f>COUNTIFS(Q668:Q2668,"MANTENIMIENTO CORRECTIVO",Y668:Y2668,BDEGENER[[#This Row],[SERIE]])</f>
        <v>1</v>
      </c>
      <c r="AW668" s="683">
        <f>COUNTIFS(Q668:Q2668,"MANTENIMIENTO PREVENTIVO",Y668:Y2668,BDEGENER[[#This Row],[SERIE]])</f>
        <v>3</v>
      </c>
      <c r="AX668"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68" s="85">
        <f>COUNTIFS(BDEGENER[SERIE],BDEGENER[[#This Row],[SERIE]],BDEGENER[TIPO DE SERVICIO],"MANTENIMIENTO PREVENTIVO")</f>
        <v>8</v>
      </c>
      <c r="AZ668" s="85" t="str">
        <f>CONCATENATE("MANTENIMIENTO PREVENTIVO N°",BDEGENER[[#This Row],[GA1]])</f>
        <v>MANTENIMIENTO PREVENTIVO N°8</v>
      </c>
      <c r="BA668" s="85" t="str">
        <f>IF(BDEGENER[[#This Row],[SERVICIO]]=BDEGENER[[#This Row],[GA2]],BDEGENER[[#This Row],[HORAS]],"0")</f>
        <v>0</v>
      </c>
      <c r="BB668" s="85">
        <f>SUMIF(BDEGENER[SERIE],BDEGENER[[#This Row],[SERIE]],BDEGENER[GA3])</f>
        <v>6883.3</v>
      </c>
      <c r="BC668" s="683" t="str">
        <f>CONCATENATE("MANT",COUNTIF($Y$7:Y668,Y668))</f>
        <v>MANT7</v>
      </c>
      <c r="BD668" s="85" t="str">
        <f>CONCATENATE(BDEGENER[[#This Row],[SERIE]],BDEGENER[[#This Row],[GA5]])</f>
        <v>3004327723MANT7</v>
      </c>
      <c r="BE668" s="85" t="str">
        <f>CONCATENATE(BDEGENER[[#This Row],[CODIGO PATRIMONIAL]],BDEGENER[[#This Row],[GA5]])</f>
        <v>MANT7</v>
      </c>
      <c r="BF668" s="16">
        <f>COUNTIF(BDEGENER[SERIE],BDEGENER[[#This Row],[SERIE]])</f>
        <v>11</v>
      </c>
      <c r="BG668" s="683" t="str">
        <f>CONCATENATE("F",COUNTIF($K$7:K668,K668))</f>
        <v>F1</v>
      </c>
      <c r="BH668" s="325" t="str">
        <f>CONCATENATE(BDEGENER[[#This Row],[FECHA DE SERVICIO]],BDEGENER[[#This Row],[N° DE REGISTROS DEL DIA]])</f>
        <v>43845F1</v>
      </c>
      <c r="BI668" s="324"/>
      <c r="BJ668" s="85" t="s">
        <v>1544</v>
      </c>
      <c r="BK668" s="326"/>
    </row>
    <row r="669" spans="2:63" ht="69" hidden="1" x14ac:dyDescent="0.3">
      <c r="B669" s="129"/>
      <c r="C669" s="129"/>
      <c r="D669" s="129"/>
      <c r="E669" s="129"/>
      <c r="F669" s="129"/>
      <c r="G669" s="129"/>
      <c r="H669" s="129"/>
      <c r="I669" s="129"/>
      <c r="J669" s="129"/>
      <c r="K669" s="131">
        <v>43845</v>
      </c>
      <c r="L669" s="130" t="s">
        <v>181</v>
      </c>
      <c r="M669" s="85" t="s">
        <v>189</v>
      </c>
      <c r="N669" s="85" t="s">
        <v>946</v>
      </c>
      <c r="O669" s="85"/>
      <c r="P669" s="9" t="s">
        <v>1091</v>
      </c>
      <c r="Q669" s="85" t="s">
        <v>37</v>
      </c>
      <c r="R669" s="85" t="s">
        <v>1782</v>
      </c>
      <c r="S669" s="6" t="s">
        <v>1813</v>
      </c>
      <c r="T669" s="85" t="s">
        <v>1096</v>
      </c>
      <c r="U669" s="85" t="s">
        <v>1092</v>
      </c>
      <c r="V669" s="85" t="s">
        <v>149</v>
      </c>
      <c r="W669" s="85" t="s">
        <v>914</v>
      </c>
      <c r="X669" s="85" t="s">
        <v>918</v>
      </c>
      <c r="Y669" s="130">
        <v>3004331708</v>
      </c>
      <c r="Z669" s="85"/>
      <c r="AA669" s="85" t="s">
        <v>33</v>
      </c>
      <c r="AB669" s="85" t="s">
        <v>34</v>
      </c>
      <c r="AC669" s="85" t="s">
        <v>230</v>
      </c>
      <c r="AD669" s="85" t="s">
        <v>1113</v>
      </c>
      <c r="AE669" s="85">
        <v>60</v>
      </c>
      <c r="AF669" s="132">
        <v>847.3</v>
      </c>
      <c r="AG669" s="85" t="s">
        <v>243</v>
      </c>
      <c r="AH669" s="85" t="s">
        <v>220</v>
      </c>
      <c r="AI669" s="85" t="s">
        <v>33</v>
      </c>
      <c r="AJ669" s="85">
        <v>3004309058</v>
      </c>
      <c r="AK669" s="85" t="s">
        <v>33</v>
      </c>
      <c r="AL669" s="85"/>
      <c r="AM669" s="85" t="s">
        <v>1094</v>
      </c>
      <c r="AN669" s="85" t="s">
        <v>1093</v>
      </c>
      <c r="AO669" s="85" t="s">
        <v>1095</v>
      </c>
      <c r="AP669" s="85" t="s">
        <v>240</v>
      </c>
      <c r="AQ669" s="200" t="str">
        <f>CONCATENATE("REG-",BDEGENER[[#This Row],[FECHA DE SERVICIO]],"-",BDEGENER[[#This Row],[SERIE]],"-",BDEGENER[[#This Row],[HORAS]])</f>
        <v>REG-43845-3004331708-847,3</v>
      </c>
      <c r="AR669" s="85" t="str">
        <f>CONCATENATE("MARCA: ",BDEGENER[[#This Row],[MARCA]],"
 MODELO: ",BDEGENER[[#This Row],[MODELO]])</f>
        <v>MARCA: GENERAC
 MODELO: PG090</v>
      </c>
      <c r="AS669" s="85" t="str">
        <f>CONCATENATE("MARCA: ",BDEGENER[[#This Row],[MARCA DE MOTOR]],"
SERIE: ",BDEGENER[[#This Row],[SERIE DE MOTOR]])</f>
        <v>MARCA: GENERAC
SERIE: 3004309058</v>
      </c>
      <c r="AT669" s="85" t="str">
        <f>CONCATENATE("MARCA: ",BDEGENER[[#This Row],[MARCA ALTERNADOR ]],"
SERIE: ",BDEGENER[[#This Row],[SERIE DE ALTERNADOR]])</f>
        <v xml:space="preserve">MARCA: GENERAC
SERIE: </v>
      </c>
      <c r="AU669" s="85" t="str">
        <f>CONCATENATE("HORAS: ",BDEGENER[[#This Row],[HORAS]],"
KW-HR: ",BDEGENER[[#This Row],[KW-HORA]],"
VOLT.BATERIA: ",BDEGENER[[#This Row],[VOLTAJE DE BATERIA]],"
TEMPERATURA: ",BDEGENER[[#This Row],[TEMPERATURA DE AGUA]],"
PRES. ACEITE: ",BDEGENER[[#This Row],[PRESION DE ACEITE]])</f>
        <v>HORAS: 847,3
KW-HR: 
VOLT.BATERIA: 13.5 V
TEMPERATURA: 198 °C
PRES. ACEITE: 54 PSI</v>
      </c>
      <c r="AV669" s="683">
        <f>COUNTIFS(Q669:Q2669,"MANTENIMIENTO CORRECTIVO",Y669:Y2669,BDEGENER[[#This Row],[SERIE]])</f>
        <v>1</v>
      </c>
      <c r="AW669" s="683">
        <f>COUNTIFS(Q669:Q2669,"MANTENIMIENTO PREVENTIVO",Y669:Y2669,BDEGENER[[#This Row],[SERIE]])</f>
        <v>3</v>
      </c>
      <c r="AX66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69" s="85">
        <f>COUNTIFS(BDEGENER[SERIE],BDEGENER[[#This Row],[SERIE]],BDEGENER[TIPO DE SERVICIO],"MANTENIMIENTO PREVENTIVO")</f>
        <v>6</v>
      </c>
      <c r="AZ669" s="85" t="str">
        <f>CONCATENATE("MANTENIMIENTO PREVENTIVO N°",BDEGENER[[#This Row],[GA1]])</f>
        <v>MANTENIMIENTO PREVENTIVO N°6</v>
      </c>
      <c r="BA669" s="85" t="str">
        <f>IF(BDEGENER[[#This Row],[SERVICIO]]=BDEGENER[[#This Row],[GA2]],BDEGENER[[#This Row],[HORAS]],"0")</f>
        <v>0</v>
      </c>
      <c r="BB669" s="85">
        <f>SUMIF(BDEGENER[SERIE],BDEGENER[[#This Row],[SERIE]],BDEGENER[GA3])</f>
        <v>1635.5</v>
      </c>
      <c r="BC669" s="683" t="str">
        <f>CONCATENATE("MANT",COUNTIF($Y$7:Y669,Y669))</f>
        <v>MANT9</v>
      </c>
      <c r="BD669" s="85" t="str">
        <f>CONCATENATE(BDEGENER[[#This Row],[SERIE]],BDEGENER[[#This Row],[GA5]])</f>
        <v>3004331708MANT9</v>
      </c>
      <c r="BE669" s="85" t="str">
        <f>CONCATENATE(BDEGENER[[#This Row],[CODIGO PATRIMONIAL]],BDEGENER[[#This Row],[GA5]])</f>
        <v>MANT9</v>
      </c>
      <c r="BF669" s="16">
        <f>COUNTIF(BDEGENER[SERIE],BDEGENER[[#This Row],[SERIE]])</f>
        <v>13</v>
      </c>
      <c r="BG669" s="683" t="str">
        <f>CONCATENATE("F",COUNTIF($K$7:K669,K669))</f>
        <v>F2</v>
      </c>
      <c r="BH669" s="325" t="str">
        <f>CONCATENATE(BDEGENER[[#This Row],[FECHA DE SERVICIO]],BDEGENER[[#This Row],[N° DE REGISTROS DEL DIA]])</f>
        <v>43845F2</v>
      </c>
      <c r="BI669" s="324"/>
      <c r="BJ669" s="85" t="s">
        <v>1544</v>
      </c>
      <c r="BK669" s="326"/>
    </row>
    <row r="670" spans="2:63" ht="69" hidden="1" x14ac:dyDescent="0.3">
      <c r="B670" s="129"/>
      <c r="C670" s="129"/>
      <c r="D670" s="129"/>
      <c r="E670" s="129"/>
      <c r="F670" s="129"/>
      <c r="G670" s="129"/>
      <c r="H670" s="129"/>
      <c r="I670" s="129"/>
      <c r="J670" s="129"/>
      <c r="K670" s="131">
        <v>43844</v>
      </c>
      <c r="L670" s="85" t="s">
        <v>181</v>
      </c>
      <c r="M670" s="85" t="s">
        <v>1395</v>
      </c>
      <c r="N670" s="85" t="s">
        <v>1547</v>
      </c>
      <c r="O670" s="85"/>
      <c r="P670" s="85"/>
      <c r="Q670" s="85" t="s">
        <v>107</v>
      </c>
      <c r="R670" s="85" t="s">
        <v>3918</v>
      </c>
      <c r="S670" s="6" t="s">
        <v>3919</v>
      </c>
      <c r="T670" s="85" t="s">
        <v>2546</v>
      </c>
      <c r="U670" s="85" t="s">
        <v>3920</v>
      </c>
      <c r="V670" s="85" t="s">
        <v>149</v>
      </c>
      <c r="W670" s="85" t="s">
        <v>914</v>
      </c>
      <c r="X670" s="85" t="s">
        <v>918</v>
      </c>
      <c r="Y670" s="15">
        <v>3004214491</v>
      </c>
      <c r="Z670" s="85"/>
      <c r="AA670" s="85" t="s">
        <v>33</v>
      </c>
      <c r="AB670" s="85" t="s">
        <v>34</v>
      </c>
      <c r="AC670" s="85" t="s">
        <v>230</v>
      </c>
      <c r="AD670" s="85"/>
      <c r="AE670" s="85"/>
      <c r="AF670" s="132">
        <v>323.2</v>
      </c>
      <c r="AG670" s="85" t="s">
        <v>243</v>
      </c>
      <c r="AH670" s="85" t="s">
        <v>244</v>
      </c>
      <c r="AI670" s="85" t="s">
        <v>33</v>
      </c>
      <c r="AJ670" s="85">
        <v>3004133600</v>
      </c>
      <c r="AK670" s="85" t="s">
        <v>33</v>
      </c>
      <c r="AL670" s="85">
        <v>1063014</v>
      </c>
      <c r="AM670" s="85"/>
      <c r="AN670" s="85"/>
      <c r="AO670" s="85"/>
      <c r="AP670" s="85" t="s">
        <v>240</v>
      </c>
      <c r="AQ670" s="85" t="str">
        <f>CONCATENATE("REG-",BDEGENER[[#This Row],[FECHA DE SERVICIO]],"-",BDEGENER[[#This Row],[SERIE]],"-",BDEGENER[[#This Row],[HORAS]])</f>
        <v>REG-43844-3004214491-323,2</v>
      </c>
      <c r="AR670" s="85" t="str">
        <f>CONCATENATE("MARCA: ",BDEGENER[[#This Row],[MARCA]],"
 MODELO: ",BDEGENER[[#This Row],[MODELO]])</f>
        <v>MARCA: GENERAC
 MODELO: PG090</v>
      </c>
      <c r="AS670" s="85" t="str">
        <f>CONCATENATE("MARCA: ",BDEGENER[[#This Row],[MARCA DE MOTOR]],"
SERIE: ",BDEGENER[[#This Row],[SERIE DE MOTOR]])</f>
        <v>MARCA: GENERAC
SERIE: 3004133600</v>
      </c>
      <c r="AT670" s="85" t="str">
        <f>CONCATENATE("MARCA: ",BDEGENER[[#This Row],[MARCA ALTERNADOR ]],"
SERIE: ",BDEGENER[[#This Row],[SERIE DE ALTERNADOR]])</f>
        <v>MARCA: GENERAC
SERIE: 1063014</v>
      </c>
      <c r="AU670" s="85" t="str">
        <f>CONCATENATE("HORAS: ",BDEGENER[[#This Row],[HORAS]],"
KW-HR: ",BDEGENER[[#This Row],[KW-HORA]],"
VOLT.BATERIA: ",BDEGENER[[#This Row],[VOLTAJE DE BATERIA]],"
TEMPERATURA: ",BDEGENER[[#This Row],[TEMPERATURA DE AGUA]],"
PRES. ACEITE: ",BDEGENER[[#This Row],[PRESION DE ACEITE]])</f>
        <v xml:space="preserve">HORAS: 323,2
KW-HR: 
VOLT.BATERIA: 
TEMPERATURA: 
PRES. ACEITE: </v>
      </c>
      <c r="AV670" s="761">
        <f>COUNTIFS(Q670:Q2670,"MANTENIMIENTO CORRECTIVO",Y670:Y2670,BDEGENER[[#This Row],[SERIE]])</f>
        <v>2</v>
      </c>
      <c r="AW670" s="761">
        <f>COUNTIFS(Q670:Q2670,"MANTENIMIENTO PREVENTIVO",Y670:Y2670,BDEGENER[[#This Row],[SERIE]])</f>
        <v>1</v>
      </c>
      <c r="AX67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670" s="85">
        <f>COUNTIFS(BDEGENER[SERIE],BDEGENER[[#This Row],[SERIE]],BDEGENER[TIPO DE SERVICIO],"MANTENIMIENTO PREVENTIVO")</f>
        <v>9</v>
      </c>
      <c r="AZ670" s="85" t="str">
        <f>CONCATENATE("MANTENIMIENTO PREVENTIVO N°",BDEGENER[[#This Row],[GA1]])</f>
        <v>MANTENIMIENTO PREVENTIVO N°9</v>
      </c>
      <c r="BA670" s="85" t="str">
        <f>IF(BDEGENER[[#This Row],[SERVICIO]]=BDEGENER[[#This Row],[GA2]],BDEGENER[[#This Row],[HORAS]],"0")</f>
        <v>0</v>
      </c>
      <c r="BB670" s="85">
        <f>SUMIF(BDEGENER[SERIE],BDEGENER[[#This Row],[SERIE]],BDEGENER[GA3])</f>
        <v>2751</v>
      </c>
      <c r="BC670" s="761" t="str">
        <f>CONCATENATE("MANT",COUNTIF($Y$7:Y670,Y670))</f>
        <v>MANT15</v>
      </c>
      <c r="BD670" s="85" t="str">
        <f>CONCATENATE(BDEGENER[[#This Row],[SERIE]],BDEGENER[[#This Row],[GA5]])</f>
        <v>3004214491MANT15</v>
      </c>
      <c r="BE670" s="85" t="str">
        <f>CONCATENATE(BDEGENER[[#This Row],[CODIGO PATRIMONIAL]],BDEGENER[[#This Row],[GA5]])</f>
        <v>MANT15</v>
      </c>
      <c r="BF670" s="85">
        <f>COUNTIF(BDEGENER[SERIE],BDEGENER[[#This Row],[SERIE]])</f>
        <v>18</v>
      </c>
      <c r="BG670" s="761" t="str">
        <f>CONCATENATE("F",COUNTIF($K$7:K670,K670))</f>
        <v>F1</v>
      </c>
      <c r="BH670" s="85" t="str">
        <f>CONCATENATE(BDEGENER[[#This Row],[FECHA DE SERVICIO]],BDEGENER[[#This Row],[N° DE REGISTROS DEL DIA]])</f>
        <v>43844F1</v>
      </c>
      <c r="BI670" s="132"/>
      <c r="BJ670" s="85" t="s">
        <v>1544</v>
      </c>
      <c r="BK670" s="680"/>
    </row>
    <row r="671" spans="2:63" ht="69" hidden="1" x14ac:dyDescent="0.3">
      <c r="B671" s="223"/>
      <c r="C671" s="223"/>
      <c r="D671" s="223"/>
      <c r="E671" s="223"/>
      <c r="F671" s="223"/>
      <c r="G671" s="223"/>
      <c r="H671" s="223"/>
      <c r="I671" s="223"/>
      <c r="J671" s="223"/>
      <c r="K671" s="723">
        <v>43844</v>
      </c>
      <c r="L671" s="15" t="s">
        <v>181</v>
      </c>
      <c r="M671" s="14" t="s">
        <v>184</v>
      </c>
      <c r="N671" s="14" t="s">
        <v>183</v>
      </c>
      <c r="O671" s="8" t="s">
        <v>159</v>
      </c>
      <c r="P671" s="200" t="s">
        <v>166</v>
      </c>
      <c r="Q671" s="14" t="s">
        <v>37</v>
      </c>
      <c r="R671" s="85" t="s">
        <v>1782</v>
      </c>
      <c r="S671" s="5" t="s">
        <v>1814</v>
      </c>
      <c r="T671" s="14" t="s">
        <v>80</v>
      </c>
      <c r="U671" s="14" t="s">
        <v>113</v>
      </c>
      <c r="V671" s="14" t="s">
        <v>146</v>
      </c>
      <c r="W671" s="85" t="s">
        <v>914</v>
      </c>
      <c r="X671" s="85" t="s">
        <v>918</v>
      </c>
      <c r="Y671" s="15">
        <v>3004227749</v>
      </c>
      <c r="Z671" s="14"/>
      <c r="AA671" s="14" t="s">
        <v>33</v>
      </c>
      <c r="AB671" s="85" t="s">
        <v>34</v>
      </c>
      <c r="AC671" s="14" t="s">
        <v>230</v>
      </c>
      <c r="AD671" s="16" t="s">
        <v>1110</v>
      </c>
      <c r="AE671" s="16">
        <v>60</v>
      </c>
      <c r="AF671" s="12">
        <v>370.1</v>
      </c>
      <c r="AG671" s="16" t="s">
        <v>243</v>
      </c>
      <c r="AH671" s="16" t="s">
        <v>220</v>
      </c>
      <c r="AI671" s="16" t="s">
        <v>33</v>
      </c>
      <c r="AJ671" s="16"/>
      <c r="AK671" s="16" t="s">
        <v>33</v>
      </c>
      <c r="AL671" s="16"/>
      <c r="AM671" s="16" t="s">
        <v>1142</v>
      </c>
      <c r="AN671" s="16" t="s">
        <v>1143</v>
      </c>
      <c r="AO671" s="16" t="s">
        <v>1095</v>
      </c>
      <c r="AP671" s="14" t="s">
        <v>240</v>
      </c>
      <c r="AQ671" s="200" t="str">
        <f>CONCATENATE("REG-",BDEGENER[[#This Row],[FECHA DE SERVICIO]],"-",BDEGENER[[#This Row],[SERIE]],"-",BDEGENER[[#This Row],[HORAS]])</f>
        <v>REG-43844-3004227749-370,1</v>
      </c>
      <c r="AR671" s="5" t="str">
        <f>CONCATENATE("MARCA: ",BDEGENER[[#This Row],[MARCA]],"
 MODELO: ",BDEGENER[[#This Row],[MODELO]])</f>
        <v>MARCA: GENERAC
 MODELO: PG090</v>
      </c>
      <c r="AS671" s="5" t="str">
        <f>CONCATENATE("MARCA: ",BDEGENER[[#This Row],[MARCA DE MOTOR]],"
SERIE: ",BDEGENER[[#This Row],[SERIE DE MOTOR]])</f>
        <v xml:space="preserve">MARCA: GENERAC
SERIE: </v>
      </c>
      <c r="AT671" s="5" t="str">
        <f>CONCATENATE("MARCA: ",BDEGENER[[#This Row],[MARCA ALTERNADOR ]],"
SERIE: ",BDEGENER[[#This Row],[SERIE DE ALTERNADOR]])</f>
        <v xml:space="preserve">MARCA: GENERAC
SERIE: </v>
      </c>
      <c r="AU671" s="5" t="str">
        <f>CONCATENATE("HORAS: ",BDEGENER[[#This Row],[HORAS]],"
KW-HR: ",BDEGENER[[#This Row],[KW-HORA]],"
VOLT.BATERIA: ",BDEGENER[[#This Row],[VOLTAJE DE BATERIA]],"
TEMPERATURA: ",BDEGENER[[#This Row],[TEMPERATURA DE AGUA]],"
PRES. ACEITE: ",BDEGENER[[#This Row],[PRESION DE ACEITE]])</f>
        <v>HORAS: 370,1
KW-HR: 
VOLT.BATERIA: 14.4 V
TEMPERATURA: 197 °F
PRES. ACEITE: 54 PSI</v>
      </c>
      <c r="AV671" s="683">
        <f>COUNTIFS(Q671:Q2671,"MANTENIMIENTO CORRECTIVO",Y671:Y2671,BDEGENER[[#This Row],[SERIE]])</f>
        <v>1</v>
      </c>
      <c r="AW671" s="683">
        <f>COUNTIFS(Q671:Q2671,"MANTENIMIENTO PREVENTIVO",Y671:Y2671,BDEGENER[[#This Row],[SERIE]])</f>
        <v>2</v>
      </c>
      <c r="AX67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71" s="29">
        <f>COUNTIFS(BDEGENER[SERIE],BDEGENER[[#This Row],[SERIE]],BDEGENER[TIPO DE SERVICIO],"MANTENIMIENTO PREVENTIVO")</f>
        <v>8</v>
      </c>
      <c r="AZ671" s="29" t="str">
        <f>CONCATENATE("MANTENIMIENTO PREVENTIVO N°",BDEGENER[[#This Row],[GA1]])</f>
        <v>MANTENIMIENTO PREVENTIVO N°8</v>
      </c>
      <c r="BA671" s="325" t="str">
        <f>IF(BDEGENER[[#This Row],[SERVICIO]]=BDEGENER[[#This Row],[GA2]],BDEGENER[[#This Row],[HORAS]],"0")</f>
        <v>0</v>
      </c>
      <c r="BB671" s="325">
        <f>SUMIF(BDEGENER[SERIE],BDEGENER[[#This Row],[SERIE]],BDEGENER[GA3])</f>
        <v>2404.1999999999998</v>
      </c>
      <c r="BC671" s="683" t="str">
        <f>CONCATENATE("MANT",COUNTIF($Y$7:Y671,Y671))</f>
        <v>MANT13</v>
      </c>
      <c r="BD671" s="29" t="str">
        <f>CONCATENATE(BDEGENER[[#This Row],[SERIE]],BDEGENER[[#This Row],[GA5]])</f>
        <v>3004227749MANT13</v>
      </c>
      <c r="BE671" s="29" t="str">
        <f>CONCATENATE(BDEGENER[[#This Row],[CODIGO PATRIMONIAL]],BDEGENER[[#This Row],[GA5]])</f>
        <v>MANT13</v>
      </c>
      <c r="BF671" s="16">
        <f>COUNTIF(BDEGENER[SERIE],BDEGENER[[#This Row],[SERIE]])</f>
        <v>16</v>
      </c>
      <c r="BG671" s="683" t="str">
        <f>CONCATENATE("F",COUNTIF($K$7:K671,K671))</f>
        <v>F2</v>
      </c>
      <c r="BH671" s="325" t="str">
        <f>CONCATENATE(BDEGENER[[#This Row],[FECHA DE SERVICIO]],BDEGENER[[#This Row],[N° DE REGISTROS DEL DIA]])</f>
        <v>43844F2</v>
      </c>
      <c r="BI671" s="324"/>
      <c r="BJ671" s="85" t="s">
        <v>1544</v>
      </c>
      <c r="BK671" s="326"/>
    </row>
    <row r="672" spans="2:63" ht="69" hidden="1" x14ac:dyDescent="0.3">
      <c r="B672" s="223"/>
      <c r="C672" s="223"/>
      <c r="D672" s="223"/>
      <c r="E672" s="223"/>
      <c r="F672" s="223"/>
      <c r="G672" s="223"/>
      <c r="H672" s="223"/>
      <c r="I672" s="223"/>
      <c r="J672" s="223"/>
      <c r="K672" s="723">
        <v>43844</v>
      </c>
      <c r="L672" s="15" t="s">
        <v>181</v>
      </c>
      <c r="M672" s="14" t="s">
        <v>185</v>
      </c>
      <c r="N672" s="14" t="s">
        <v>183</v>
      </c>
      <c r="O672" s="8" t="s">
        <v>159</v>
      </c>
      <c r="P672" s="200" t="s">
        <v>166</v>
      </c>
      <c r="Q672" s="14" t="s">
        <v>37</v>
      </c>
      <c r="R672" s="85" t="s">
        <v>1782</v>
      </c>
      <c r="S672" s="5" t="s">
        <v>1815</v>
      </c>
      <c r="T672" s="14" t="s">
        <v>81</v>
      </c>
      <c r="U672" s="14" t="s">
        <v>113</v>
      </c>
      <c r="V672" s="14" t="s">
        <v>146</v>
      </c>
      <c r="W672" s="85" t="s">
        <v>914</v>
      </c>
      <c r="X672" s="85" t="s">
        <v>918</v>
      </c>
      <c r="Y672" s="15">
        <v>3004344014</v>
      </c>
      <c r="Z672" s="14"/>
      <c r="AA672" s="14" t="s">
        <v>33</v>
      </c>
      <c r="AB672" s="85" t="s">
        <v>34</v>
      </c>
      <c r="AC672" s="14" t="s">
        <v>230</v>
      </c>
      <c r="AD672" s="16" t="s">
        <v>1110</v>
      </c>
      <c r="AE672" s="16">
        <v>60</v>
      </c>
      <c r="AF672" s="12">
        <v>608.1</v>
      </c>
      <c r="AG672" s="16" t="s">
        <v>243</v>
      </c>
      <c r="AH672" s="16" t="s">
        <v>220</v>
      </c>
      <c r="AI672" s="16" t="s">
        <v>33</v>
      </c>
      <c r="AJ672" s="16">
        <v>3004346826</v>
      </c>
      <c r="AK672" s="16" t="s">
        <v>33</v>
      </c>
      <c r="AL672" s="16">
        <v>106308730</v>
      </c>
      <c r="AM672" s="16" t="s">
        <v>1121</v>
      </c>
      <c r="AN672" s="16" t="s">
        <v>1122</v>
      </c>
      <c r="AO672" s="16" t="s">
        <v>247</v>
      </c>
      <c r="AP672" s="14" t="s">
        <v>240</v>
      </c>
      <c r="AQ672" s="200" t="str">
        <f>CONCATENATE("REG-",BDEGENER[[#This Row],[FECHA DE SERVICIO]],"-",BDEGENER[[#This Row],[SERIE]],"-",BDEGENER[[#This Row],[HORAS]])</f>
        <v>REG-43844-3004344014-608,1</v>
      </c>
      <c r="AR672" s="5" t="str">
        <f>CONCATENATE("MARCA: ",BDEGENER[[#This Row],[MARCA]],"
 MODELO: ",BDEGENER[[#This Row],[MODELO]])</f>
        <v>MARCA: GENERAC
 MODELO: PG090</v>
      </c>
      <c r="AS672" s="5" t="str">
        <f>CONCATENATE("MARCA: ",BDEGENER[[#This Row],[MARCA DE MOTOR]],"
SERIE: ",BDEGENER[[#This Row],[SERIE DE MOTOR]])</f>
        <v>MARCA: GENERAC
SERIE: 3004346826</v>
      </c>
      <c r="AT672" s="5" t="str">
        <f>CONCATENATE("MARCA: ",BDEGENER[[#This Row],[MARCA ALTERNADOR ]],"
SERIE: ",BDEGENER[[#This Row],[SERIE DE ALTERNADOR]])</f>
        <v>MARCA: GENERAC
SERIE: 106308730</v>
      </c>
      <c r="AU672" s="5" t="str">
        <f>CONCATENATE("HORAS: ",BDEGENER[[#This Row],[HORAS]],"
KW-HR: ",BDEGENER[[#This Row],[KW-HORA]],"
VOLT.BATERIA: ",BDEGENER[[#This Row],[VOLTAJE DE BATERIA]],"
TEMPERATURA: ",BDEGENER[[#This Row],[TEMPERATURA DE AGUA]],"
PRES. ACEITE: ",BDEGENER[[#This Row],[PRESION DE ACEITE]])</f>
        <v>HORAS: 608,1
KW-HR: 
VOLT.BATERIA: 13.7 V
TEMPERATURA: 195 °F
PRES. ACEITE: 55 PSI</v>
      </c>
      <c r="AV672" s="683">
        <f>COUNTIFS(Q672:Q2672,"MANTENIMIENTO CORRECTIVO",Y672:Y2672,BDEGENER[[#This Row],[SERIE]])</f>
        <v>1</v>
      </c>
      <c r="AW672" s="683">
        <f>COUNTIFS(Q672:Q2672,"MANTENIMIENTO PREVENTIVO",Y672:Y2672,BDEGENER[[#This Row],[SERIE]])</f>
        <v>3</v>
      </c>
      <c r="AX67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72" s="29">
        <f>COUNTIFS(BDEGENER[SERIE],BDEGENER[[#This Row],[SERIE]],BDEGENER[TIPO DE SERVICIO],"MANTENIMIENTO PREVENTIVO")</f>
        <v>8</v>
      </c>
      <c r="AZ672" s="29" t="str">
        <f>CONCATENATE("MANTENIMIENTO PREVENTIVO N°",BDEGENER[[#This Row],[GA1]])</f>
        <v>MANTENIMIENTO PREVENTIVO N°8</v>
      </c>
      <c r="BA672" s="325" t="str">
        <f>IF(BDEGENER[[#This Row],[SERVICIO]]=BDEGENER[[#This Row],[GA2]],BDEGENER[[#This Row],[HORAS]],"0")</f>
        <v>0</v>
      </c>
      <c r="BB672" s="325">
        <f>SUMIF(BDEGENER[SERIE],BDEGENER[[#This Row],[SERIE]],BDEGENER[GA3])</f>
        <v>2070.3000000000002</v>
      </c>
      <c r="BC672" s="683" t="str">
        <f>CONCATENATE("MANT",COUNTIF($Y$7:Y672,Y672))</f>
        <v>MANT8</v>
      </c>
      <c r="BD672" s="29" t="str">
        <f>CONCATENATE(BDEGENER[[#This Row],[SERIE]],BDEGENER[[#This Row],[GA5]])</f>
        <v>3004344014MANT8</v>
      </c>
      <c r="BE672" s="29" t="str">
        <f>CONCATENATE(BDEGENER[[#This Row],[CODIGO PATRIMONIAL]],BDEGENER[[#This Row],[GA5]])</f>
        <v>MANT8</v>
      </c>
      <c r="BF672" s="16">
        <f>COUNTIF(BDEGENER[SERIE],BDEGENER[[#This Row],[SERIE]])</f>
        <v>12</v>
      </c>
      <c r="BG672" s="683" t="str">
        <f>CONCATENATE("F",COUNTIF($K$7:K672,K672))</f>
        <v>F3</v>
      </c>
      <c r="BH672" s="325" t="str">
        <f>CONCATENATE(BDEGENER[[#This Row],[FECHA DE SERVICIO]],BDEGENER[[#This Row],[N° DE REGISTROS DEL DIA]])</f>
        <v>43844F3</v>
      </c>
      <c r="BI672" s="324"/>
      <c r="BJ672" s="85" t="s">
        <v>1544</v>
      </c>
      <c r="BK672" s="326"/>
    </row>
    <row r="673" spans="2:63" ht="69" hidden="1" x14ac:dyDescent="0.3">
      <c r="B673" s="223"/>
      <c r="C673" s="223"/>
      <c r="D673" s="223"/>
      <c r="E673" s="223"/>
      <c r="F673" s="223"/>
      <c r="G673" s="223"/>
      <c r="H673" s="223"/>
      <c r="I673" s="223"/>
      <c r="J673" s="223"/>
      <c r="K673" s="723">
        <v>43843</v>
      </c>
      <c r="L673" s="15" t="s">
        <v>181</v>
      </c>
      <c r="M673" s="14" t="s">
        <v>186</v>
      </c>
      <c r="N673" s="14" t="s">
        <v>946</v>
      </c>
      <c r="O673" s="8" t="s">
        <v>159</v>
      </c>
      <c r="P673" s="200" t="s">
        <v>167</v>
      </c>
      <c r="Q673" s="14" t="s">
        <v>37</v>
      </c>
      <c r="R673" s="85" t="s">
        <v>1782</v>
      </c>
      <c r="S673" s="5" t="s">
        <v>1817</v>
      </c>
      <c r="T673" s="85" t="s">
        <v>1782</v>
      </c>
      <c r="U673" s="14" t="s">
        <v>1816</v>
      </c>
      <c r="V673" s="14" t="s">
        <v>147</v>
      </c>
      <c r="W673" s="85" t="s">
        <v>914</v>
      </c>
      <c r="X673" s="85" t="s">
        <v>918</v>
      </c>
      <c r="Y673" s="15">
        <v>3004327724</v>
      </c>
      <c r="Z673" s="14"/>
      <c r="AA673" s="14" t="s">
        <v>33</v>
      </c>
      <c r="AB673" s="85" t="s">
        <v>34</v>
      </c>
      <c r="AC673" s="14" t="s">
        <v>230</v>
      </c>
      <c r="AD673" s="16" t="s">
        <v>1110</v>
      </c>
      <c r="AE673" s="16">
        <v>60</v>
      </c>
      <c r="AF673" s="12">
        <v>1002.7</v>
      </c>
      <c r="AG673" s="16" t="s">
        <v>243</v>
      </c>
      <c r="AH673" s="16" t="s">
        <v>220</v>
      </c>
      <c r="AI673" s="16" t="s">
        <v>33</v>
      </c>
      <c r="AJ673" s="16">
        <v>3004333872</v>
      </c>
      <c r="AK673" s="16" t="s">
        <v>33</v>
      </c>
      <c r="AL673" s="16"/>
      <c r="AM673" s="16" t="s">
        <v>1196</v>
      </c>
      <c r="AN673" s="16" t="s">
        <v>1102</v>
      </c>
      <c r="AO673" s="16" t="s">
        <v>1103</v>
      </c>
      <c r="AP673" s="14" t="s">
        <v>240</v>
      </c>
      <c r="AQ673" s="200" t="str">
        <f>CONCATENATE("REG-",BDEGENER[[#This Row],[FECHA DE SERVICIO]],"-",BDEGENER[[#This Row],[SERIE]],"-",BDEGENER[[#This Row],[HORAS]])</f>
        <v>REG-43843-3004327724-1002,7</v>
      </c>
      <c r="AR673" s="5" t="str">
        <f>CONCATENATE("MARCA: ",BDEGENER[[#This Row],[MARCA]],"
 MODELO: ",BDEGENER[[#This Row],[MODELO]])</f>
        <v>MARCA: GENERAC
 MODELO: PG090</v>
      </c>
      <c r="AS673" s="5" t="str">
        <f>CONCATENATE("MARCA: ",BDEGENER[[#This Row],[MARCA DE MOTOR]],"
SERIE: ",BDEGENER[[#This Row],[SERIE DE MOTOR]])</f>
        <v>MARCA: GENERAC
SERIE: 3004333872</v>
      </c>
      <c r="AT673" s="5" t="str">
        <f>CONCATENATE("MARCA: ",BDEGENER[[#This Row],[MARCA ALTERNADOR ]],"
SERIE: ",BDEGENER[[#This Row],[SERIE DE ALTERNADOR]])</f>
        <v xml:space="preserve">MARCA: GENERAC
SERIE: </v>
      </c>
      <c r="AU673" s="5" t="str">
        <f>CONCATENATE("HORAS: ",BDEGENER[[#This Row],[HORAS]],"
KW-HR: ",BDEGENER[[#This Row],[KW-HORA]],"
VOLT.BATERIA: ",BDEGENER[[#This Row],[VOLTAJE DE BATERIA]],"
TEMPERATURA: ",BDEGENER[[#This Row],[TEMPERATURA DE AGUA]],"
PRES. ACEITE: ",BDEGENER[[#This Row],[PRESION DE ACEITE]])</f>
        <v>HORAS: 1002,7
KW-HR: 
VOLT.BATERIA: 13.2 V
TEMPERATURA: 199 °F
PRES. ACEITE: 52 PSI</v>
      </c>
      <c r="AV673" s="761">
        <f>COUNTIFS(Q673:Q2673,"MANTENIMIENTO CORRECTIVO",Y673:Y2673,BDEGENER[[#This Row],[SERIE]])</f>
        <v>4</v>
      </c>
      <c r="AW673" s="761">
        <f>COUNTIFS(Q673:Q2673,"MANTENIMIENTO PREVENTIVO",Y673:Y2673,BDEGENER[[#This Row],[SERIE]])</f>
        <v>3</v>
      </c>
      <c r="AX67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73" s="29">
        <f>COUNTIFS(BDEGENER[SERIE],BDEGENER[[#This Row],[SERIE]],BDEGENER[TIPO DE SERVICIO],"MANTENIMIENTO PREVENTIVO")</f>
        <v>8</v>
      </c>
      <c r="AZ673" s="29" t="str">
        <f>CONCATENATE("MANTENIMIENTO PREVENTIVO N°",BDEGENER[[#This Row],[GA1]])</f>
        <v>MANTENIMIENTO PREVENTIVO N°8</v>
      </c>
      <c r="BA673" s="325" t="str">
        <f>IF(BDEGENER[[#This Row],[SERVICIO]]=BDEGENER[[#This Row],[GA2]],BDEGENER[[#This Row],[HORAS]],"0")</f>
        <v>0</v>
      </c>
      <c r="BB673" s="325">
        <f>SUMIF(BDEGENER[SERIE],BDEGENER[[#This Row],[SERIE]],BDEGENER[GA3])</f>
        <v>2271.8000000000002</v>
      </c>
      <c r="BC673" s="761" t="str">
        <f>CONCATENATE("MANT",COUNTIF($Y$7:Y673,Y673))</f>
        <v>MANT10</v>
      </c>
      <c r="BD673" s="29" t="str">
        <f>CONCATENATE(BDEGENER[[#This Row],[SERIE]],BDEGENER[[#This Row],[GA5]])</f>
        <v>3004327724MANT10</v>
      </c>
      <c r="BE673" s="29" t="str">
        <f>CONCATENATE(BDEGENER[[#This Row],[CODIGO PATRIMONIAL]],BDEGENER[[#This Row],[GA5]])</f>
        <v>MANT10</v>
      </c>
      <c r="BF673" s="16">
        <f>COUNTIF(BDEGENER[SERIE],BDEGENER[[#This Row],[SERIE]])</f>
        <v>17</v>
      </c>
      <c r="BG673" s="761" t="str">
        <f>CONCATENATE("F",COUNTIF($K$7:K673,K673))</f>
        <v>F1</v>
      </c>
      <c r="BH673" s="325" t="str">
        <f>CONCATENATE(BDEGENER[[#This Row],[FECHA DE SERVICIO]],BDEGENER[[#This Row],[N° DE REGISTROS DEL DIA]])</f>
        <v>43843F1</v>
      </c>
      <c r="BI673" s="324"/>
      <c r="BJ673" s="85" t="s">
        <v>1544</v>
      </c>
      <c r="BK673" s="326"/>
    </row>
    <row r="674" spans="2:63" ht="69" hidden="1" x14ac:dyDescent="0.3">
      <c r="B674" s="223"/>
      <c r="C674" s="223"/>
      <c r="D674" s="223"/>
      <c r="E674" s="223"/>
      <c r="F674" s="223"/>
      <c r="G674" s="223"/>
      <c r="H674" s="223"/>
      <c r="I674" s="223"/>
      <c r="J674" s="223"/>
      <c r="K674" s="723">
        <v>43843</v>
      </c>
      <c r="L674" s="15" t="s">
        <v>181</v>
      </c>
      <c r="M674" s="14" t="s">
        <v>186</v>
      </c>
      <c r="N674" s="14" t="s">
        <v>946</v>
      </c>
      <c r="O674" s="8" t="s">
        <v>159</v>
      </c>
      <c r="P674" s="200" t="s">
        <v>167</v>
      </c>
      <c r="Q674" s="14" t="s">
        <v>37</v>
      </c>
      <c r="R674" s="85" t="s">
        <v>1782</v>
      </c>
      <c r="S674" s="5" t="s">
        <v>1817</v>
      </c>
      <c r="T674" s="85" t="s">
        <v>1782</v>
      </c>
      <c r="U674" s="14" t="s">
        <v>1816</v>
      </c>
      <c r="V674" s="14" t="s">
        <v>147</v>
      </c>
      <c r="W674" s="85" t="s">
        <v>914</v>
      </c>
      <c r="X674" s="85" t="s">
        <v>918</v>
      </c>
      <c r="Y674" s="15">
        <v>3004327721</v>
      </c>
      <c r="Z674" s="14"/>
      <c r="AA674" s="14" t="s">
        <v>33</v>
      </c>
      <c r="AB674" s="85" t="s">
        <v>34</v>
      </c>
      <c r="AC674" s="14" t="s">
        <v>230</v>
      </c>
      <c r="AD674" s="16"/>
      <c r="AE674" s="16"/>
      <c r="AF674" s="12">
        <v>960.4</v>
      </c>
      <c r="AG674" s="16" t="s">
        <v>243</v>
      </c>
      <c r="AH674" s="16" t="s">
        <v>244</v>
      </c>
      <c r="AI674" s="16" t="s">
        <v>33</v>
      </c>
      <c r="AJ674" s="16">
        <v>3004346806</v>
      </c>
      <c r="AK674" s="16" t="s">
        <v>33</v>
      </c>
      <c r="AL674" s="16"/>
      <c r="AM674" s="16" t="s">
        <v>1139</v>
      </c>
      <c r="AN674" s="16" t="s">
        <v>246</v>
      </c>
      <c r="AO674" s="16" t="s">
        <v>1140</v>
      </c>
      <c r="AP674" s="14" t="s">
        <v>240</v>
      </c>
      <c r="AQ674" s="200" t="str">
        <f>CONCATENATE("REG-",BDEGENER[[#This Row],[FECHA DE SERVICIO]],"-",BDEGENER[[#This Row],[SERIE]],"-",BDEGENER[[#This Row],[HORAS]])</f>
        <v>REG-43843-3004327721-960,4</v>
      </c>
      <c r="AR674" s="5" t="str">
        <f>CONCATENATE("MARCA: ",BDEGENER[[#This Row],[MARCA]],"
 MODELO: ",BDEGENER[[#This Row],[MODELO]])</f>
        <v>MARCA: GENERAC
 MODELO: PG090</v>
      </c>
      <c r="AS674" s="5" t="str">
        <f>CONCATENATE("MARCA: ",BDEGENER[[#This Row],[MARCA DE MOTOR]],"
SERIE: ",BDEGENER[[#This Row],[SERIE DE MOTOR]])</f>
        <v>MARCA: GENERAC
SERIE: 3004346806</v>
      </c>
      <c r="AT674" s="5" t="str">
        <f>CONCATENATE("MARCA: ",BDEGENER[[#This Row],[MARCA ALTERNADOR ]],"
SERIE: ",BDEGENER[[#This Row],[SERIE DE ALTERNADOR]])</f>
        <v xml:space="preserve">MARCA: GENERAC
SERIE: </v>
      </c>
      <c r="AU674" s="5" t="str">
        <f>CONCATENATE("HORAS: ",BDEGENER[[#This Row],[HORAS]],"
KW-HR: ",BDEGENER[[#This Row],[KW-HORA]],"
VOLT.BATERIA: ",BDEGENER[[#This Row],[VOLTAJE DE BATERIA]],"
TEMPERATURA: ",BDEGENER[[#This Row],[TEMPERATURA DE AGUA]],"
PRES. ACEITE: ",BDEGENER[[#This Row],[PRESION DE ACEITE]])</f>
        <v>HORAS: 960,4
KW-HR: 
VOLT.BATERIA: 12.8 V
TEMPERATURA: 198 °F
PRES. ACEITE: 50 PSI</v>
      </c>
      <c r="AV674" s="683">
        <f>COUNTIFS(Q674:Q2674,"MANTENIMIENTO CORRECTIVO",Y674:Y2674,BDEGENER[[#This Row],[SERIE]])</f>
        <v>1</v>
      </c>
      <c r="AW674" s="683">
        <f>COUNTIFS(Q674:Q2674,"MANTENIMIENTO PREVENTIVO",Y674:Y2674,BDEGENER[[#This Row],[SERIE]])</f>
        <v>3</v>
      </c>
      <c r="AX67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74" s="29">
        <f>COUNTIFS(BDEGENER[SERIE],BDEGENER[[#This Row],[SERIE]],BDEGENER[TIPO DE SERVICIO],"MANTENIMIENTO PREVENTIVO")</f>
        <v>7</v>
      </c>
      <c r="AZ674" s="29" t="str">
        <f>CONCATENATE("MANTENIMIENTO PREVENTIVO N°",BDEGENER[[#This Row],[GA1]])</f>
        <v>MANTENIMIENTO PREVENTIVO N°7</v>
      </c>
      <c r="BA674" s="325" t="str">
        <f>IF(BDEGENER[[#This Row],[SERVICIO]]=BDEGENER[[#This Row],[GA2]],BDEGENER[[#This Row],[HORAS]],"0")</f>
        <v>0</v>
      </c>
      <c r="BB674" s="325">
        <f>SUMIF(BDEGENER[SERIE],BDEGENER[[#This Row],[SERIE]],BDEGENER[GA3])</f>
        <v>2098.4</v>
      </c>
      <c r="BC674" s="683" t="str">
        <f>CONCATENATE("MANT",COUNTIF($Y$7:Y674,Y674))</f>
        <v>MANT7</v>
      </c>
      <c r="BD674" s="29" t="str">
        <f>CONCATENATE(BDEGENER[[#This Row],[SERIE]],BDEGENER[[#This Row],[GA5]])</f>
        <v>3004327721MANT7</v>
      </c>
      <c r="BE674" s="29" t="str">
        <f>CONCATENATE(BDEGENER[[#This Row],[CODIGO PATRIMONIAL]],BDEGENER[[#This Row],[GA5]])</f>
        <v>MANT7</v>
      </c>
      <c r="BF674" s="16">
        <f>COUNTIF(BDEGENER[SERIE],BDEGENER[[#This Row],[SERIE]])</f>
        <v>11</v>
      </c>
      <c r="BG674" s="683" t="str">
        <f>CONCATENATE("F",COUNTIF($K$7:K674,K674))</f>
        <v>F2</v>
      </c>
      <c r="BH674" s="325" t="str">
        <f>CONCATENATE(BDEGENER[[#This Row],[FECHA DE SERVICIO]],BDEGENER[[#This Row],[N° DE REGISTROS DEL DIA]])</f>
        <v>43843F2</v>
      </c>
      <c r="BI674" s="324"/>
      <c r="BJ674" s="85" t="s">
        <v>1544</v>
      </c>
      <c r="BK674" s="326"/>
    </row>
    <row r="675" spans="2:63" ht="69" hidden="1" x14ac:dyDescent="0.3">
      <c r="B675" s="223"/>
      <c r="C675" s="223"/>
      <c r="D675" s="223"/>
      <c r="E675" s="223"/>
      <c r="F675" s="223"/>
      <c r="G675" s="223"/>
      <c r="H675" s="223"/>
      <c r="I675" s="223"/>
      <c r="J675" s="223"/>
      <c r="K675" s="723">
        <v>43843</v>
      </c>
      <c r="L675" s="15" t="s">
        <v>181</v>
      </c>
      <c r="M675" s="14" t="s">
        <v>186</v>
      </c>
      <c r="N675" s="14" t="s">
        <v>946</v>
      </c>
      <c r="O675" s="8" t="s">
        <v>159</v>
      </c>
      <c r="P675" s="200" t="s">
        <v>167</v>
      </c>
      <c r="Q675" s="14" t="s">
        <v>37</v>
      </c>
      <c r="R675" s="85" t="s">
        <v>1782</v>
      </c>
      <c r="S675" s="5" t="s">
        <v>1817</v>
      </c>
      <c r="T675" s="85" t="s">
        <v>1782</v>
      </c>
      <c r="U675" s="14" t="s">
        <v>1816</v>
      </c>
      <c r="V675" s="14" t="s">
        <v>147</v>
      </c>
      <c r="W675" s="85" t="s">
        <v>914</v>
      </c>
      <c r="X675" s="85" t="s">
        <v>918</v>
      </c>
      <c r="Y675" s="15">
        <v>3004327722</v>
      </c>
      <c r="Z675" s="14"/>
      <c r="AA675" s="14" t="s">
        <v>33</v>
      </c>
      <c r="AB675" s="85" t="s">
        <v>34</v>
      </c>
      <c r="AC675" s="14" t="s">
        <v>230</v>
      </c>
      <c r="AD675" s="16"/>
      <c r="AE675" s="16"/>
      <c r="AF675" s="12">
        <v>820.4</v>
      </c>
      <c r="AG675" s="16" t="s">
        <v>243</v>
      </c>
      <c r="AH675" s="16" t="s">
        <v>220</v>
      </c>
      <c r="AI675" s="16" t="s">
        <v>33</v>
      </c>
      <c r="AJ675" s="16">
        <v>3004346816</v>
      </c>
      <c r="AK675" s="16" t="s">
        <v>33</v>
      </c>
      <c r="AL675" s="16"/>
      <c r="AM675" s="16" t="s">
        <v>1347</v>
      </c>
      <c r="AN675" s="16" t="s">
        <v>1102</v>
      </c>
      <c r="AO675" s="16" t="s">
        <v>1140</v>
      </c>
      <c r="AP675" s="14" t="s">
        <v>240</v>
      </c>
      <c r="AQ675" s="200" t="str">
        <f>CONCATENATE("REG-",BDEGENER[[#This Row],[FECHA DE SERVICIO]],"-",BDEGENER[[#This Row],[SERIE]],"-",BDEGENER[[#This Row],[HORAS]])</f>
        <v>REG-43843-3004327722-820,4</v>
      </c>
      <c r="AR675" s="6" t="str">
        <f>CONCATENATE("MARCA: ",BDEGENER[[#This Row],[MARCA]],"
 MODELO: ",BDEGENER[[#This Row],[MODELO]])</f>
        <v>MARCA: GENERAC
 MODELO: PG090</v>
      </c>
      <c r="AS675" s="6" t="str">
        <f>CONCATENATE("MARCA: ",BDEGENER[[#This Row],[MARCA DE MOTOR]],"
SERIE: ",BDEGENER[[#This Row],[SERIE DE MOTOR]])</f>
        <v>MARCA: GENERAC
SERIE: 3004346816</v>
      </c>
      <c r="AT675" s="6" t="str">
        <f>CONCATENATE("MARCA: ",BDEGENER[[#This Row],[MARCA ALTERNADOR ]],"
SERIE: ",BDEGENER[[#This Row],[SERIE DE ALTERNADOR]])</f>
        <v xml:space="preserve">MARCA: GENERAC
SERIE: </v>
      </c>
      <c r="AU675" s="6" t="str">
        <f>CONCATENATE("HORAS: ",BDEGENER[[#This Row],[HORAS]],"
KW-HR: ",BDEGENER[[#This Row],[KW-HORA]],"
VOLT.BATERIA: ",BDEGENER[[#This Row],[VOLTAJE DE BATERIA]],"
TEMPERATURA: ",BDEGENER[[#This Row],[TEMPERATURA DE AGUA]],"
PRES. ACEITE: ",BDEGENER[[#This Row],[PRESION DE ACEITE]])</f>
        <v>HORAS: 820,4
KW-HR: 
VOLT.BATERIA: 13.3 V
TEMPERATURA: 199 °F
PRES. ACEITE: 50 PSI</v>
      </c>
      <c r="AV675" s="683">
        <f>COUNTIFS(Q675:Q2675,"MANTENIMIENTO CORRECTIVO",Y675:Y2675,BDEGENER[[#This Row],[SERIE]])</f>
        <v>1</v>
      </c>
      <c r="AW675" s="683">
        <f>COUNTIFS(Q675:Q2675,"MANTENIMIENTO PREVENTIVO",Y675:Y2675,BDEGENER[[#This Row],[SERIE]])</f>
        <v>3</v>
      </c>
      <c r="AX675"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75" s="325">
        <f>COUNTIFS(BDEGENER[SERIE],BDEGENER[[#This Row],[SERIE]],BDEGENER[TIPO DE SERVICIO],"MANTENIMIENTO PREVENTIVO")</f>
        <v>8</v>
      </c>
      <c r="AZ675" s="325" t="str">
        <f>CONCATENATE("MANTENIMIENTO PREVENTIVO N°",BDEGENER[[#This Row],[GA1]])</f>
        <v>MANTENIMIENTO PREVENTIVO N°8</v>
      </c>
      <c r="BA675" s="325" t="str">
        <f>IF(BDEGENER[[#This Row],[SERVICIO]]=BDEGENER[[#This Row],[GA2]],BDEGENER[[#This Row],[HORAS]],"0")</f>
        <v>0</v>
      </c>
      <c r="BB675" s="325">
        <f>SUMIF(BDEGENER[SERIE],BDEGENER[[#This Row],[SERIE]],BDEGENER[GA3])</f>
        <v>2102.5</v>
      </c>
      <c r="BC675" s="683" t="str">
        <f>CONCATENATE("MANT",COUNTIF($Y$7:Y675,Y675))</f>
        <v>MANT6</v>
      </c>
      <c r="BD675" s="325" t="str">
        <f>CONCATENATE(BDEGENER[[#This Row],[SERIE]],BDEGENER[[#This Row],[GA5]])</f>
        <v>3004327722MANT6</v>
      </c>
      <c r="BE675" s="325" t="str">
        <f>CONCATENATE(BDEGENER[[#This Row],[CODIGO PATRIMONIAL]],BDEGENER[[#This Row],[GA5]])</f>
        <v>MANT6</v>
      </c>
      <c r="BF675" s="16">
        <f>COUNTIF(BDEGENER[SERIE],BDEGENER[[#This Row],[SERIE]])</f>
        <v>10</v>
      </c>
      <c r="BG675" s="683" t="str">
        <f>CONCATENATE("F",COUNTIF($K$7:K675,K675))</f>
        <v>F3</v>
      </c>
      <c r="BH675" s="325" t="str">
        <f>CONCATENATE(BDEGENER[[#This Row],[FECHA DE SERVICIO]],BDEGENER[[#This Row],[N° DE REGISTROS DEL DIA]])</f>
        <v>43843F3</v>
      </c>
      <c r="BI675" s="326"/>
      <c r="BJ675" s="85" t="s">
        <v>1544</v>
      </c>
      <c r="BK675" s="326"/>
    </row>
    <row r="676" spans="2:63" ht="69" x14ac:dyDescent="0.3">
      <c r="B676" s="223"/>
      <c r="C676" s="223"/>
      <c r="D676" s="223"/>
      <c r="E676" s="223"/>
      <c r="F676" s="223"/>
      <c r="G676" s="223"/>
      <c r="H676" s="223"/>
      <c r="I676" s="223"/>
      <c r="J676" s="223"/>
      <c r="K676" s="723">
        <v>43843</v>
      </c>
      <c r="L676" s="15" t="s">
        <v>181</v>
      </c>
      <c r="M676" s="14" t="s">
        <v>186</v>
      </c>
      <c r="N676" s="14" t="s">
        <v>946</v>
      </c>
      <c r="O676" s="8" t="s">
        <v>159</v>
      </c>
      <c r="P676" s="200" t="s">
        <v>167</v>
      </c>
      <c r="Q676" s="14" t="s">
        <v>37</v>
      </c>
      <c r="R676" s="85" t="s">
        <v>1782</v>
      </c>
      <c r="S676" s="5" t="s">
        <v>1817</v>
      </c>
      <c r="T676" s="85" t="s">
        <v>1782</v>
      </c>
      <c r="U676" s="14" t="s">
        <v>1816</v>
      </c>
      <c r="V676" s="14" t="s">
        <v>147</v>
      </c>
      <c r="W676" s="85" t="s">
        <v>914</v>
      </c>
      <c r="X676" s="85" t="s">
        <v>918</v>
      </c>
      <c r="Y676" s="15">
        <v>3004336198</v>
      </c>
      <c r="Z676" s="14"/>
      <c r="AA676" s="14" t="s">
        <v>33</v>
      </c>
      <c r="AB676" s="85" t="s">
        <v>34</v>
      </c>
      <c r="AC676" s="14" t="s">
        <v>230</v>
      </c>
      <c r="AD676" s="16" t="s">
        <v>1110</v>
      </c>
      <c r="AE676" s="16">
        <v>60</v>
      </c>
      <c r="AF676" s="12">
        <v>920.4</v>
      </c>
      <c r="AG676" s="16" t="s">
        <v>243</v>
      </c>
      <c r="AH676" s="16" t="s">
        <v>220</v>
      </c>
      <c r="AI676" s="16" t="s">
        <v>33</v>
      </c>
      <c r="AJ676" s="16">
        <v>3004345803</v>
      </c>
      <c r="AK676" s="16" t="s">
        <v>33</v>
      </c>
      <c r="AL676" s="16"/>
      <c r="AM676" s="16" t="s">
        <v>1121</v>
      </c>
      <c r="AN676" s="16" t="s">
        <v>1429</v>
      </c>
      <c r="AO676" s="16" t="s">
        <v>1101</v>
      </c>
      <c r="AP676" s="14" t="s">
        <v>240</v>
      </c>
      <c r="AQ676" s="200" t="str">
        <f>CONCATENATE("REG-",BDEGENER[[#This Row],[FECHA DE SERVICIO]],"-",BDEGENER[[#This Row],[SERIE]],"-",BDEGENER[[#This Row],[HORAS]])</f>
        <v>REG-43843-3004336198-920,4</v>
      </c>
      <c r="AR676" s="5" t="str">
        <f>CONCATENATE("MARCA: ",BDEGENER[[#This Row],[MARCA]],"
 MODELO: ",BDEGENER[[#This Row],[MODELO]])</f>
        <v>MARCA: GENERAC
 MODELO: PG090</v>
      </c>
      <c r="AS676" s="5" t="str">
        <f>CONCATENATE("MARCA: ",BDEGENER[[#This Row],[MARCA DE MOTOR]],"
SERIE: ",BDEGENER[[#This Row],[SERIE DE MOTOR]])</f>
        <v>MARCA: GENERAC
SERIE: 3004345803</v>
      </c>
      <c r="AT676" s="5" t="str">
        <f>CONCATENATE("MARCA: ",BDEGENER[[#This Row],[MARCA ALTERNADOR ]],"
SERIE: ",BDEGENER[[#This Row],[SERIE DE ALTERNADOR]])</f>
        <v xml:space="preserve">MARCA: GENERAC
SERIE: </v>
      </c>
      <c r="AU676" s="5" t="str">
        <f>CONCATENATE("HORAS: ",BDEGENER[[#This Row],[HORAS]],"
KW-HR: ",BDEGENER[[#This Row],[KW-HORA]],"
VOLT.BATERIA: ",BDEGENER[[#This Row],[VOLTAJE DE BATERIA]],"
TEMPERATURA: ",BDEGENER[[#This Row],[TEMPERATURA DE AGUA]],"
PRES. ACEITE: ",BDEGENER[[#This Row],[PRESION DE ACEITE]])</f>
        <v>HORAS: 920,4
KW-HR: 16383,9
VOLT.BATERIA: 13.7 V
TEMPERATURA: 201 °F
PRES. ACEITE: 51 PSI</v>
      </c>
      <c r="AV676" s="761">
        <f>COUNTIFS(Q676:Q2676,"MANTENIMIENTO CORRECTIVO",Y676:Y2676,BDEGENER[[#This Row],[SERIE]])</f>
        <v>1</v>
      </c>
      <c r="AW676" s="761">
        <f>COUNTIFS(Q676:Q2676,"MANTENIMIENTO PREVENTIVO",Y676:Y2676,BDEGENER[[#This Row],[SERIE]])</f>
        <v>3</v>
      </c>
      <c r="AX67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76" s="29">
        <f>COUNTIFS(BDEGENER[SERIE],BDEGENER[[#This Row],[SERIE]],BDEGENER[TIPO DE SERVICIO],"MANTENIMIENTO PREVENTIVO")</f>
        <v>7</v>
      </c>
      <c r="AZ676" s="29" t="str">
        <f>CONCATENATE("MANTENIMIENTO PREVENTIVO N°",BDEGENER[[#This Row],[GA1]])</f>
        <v>MANTENIMIENTO PREVENTIVO N°7</v>
      </c>
      <c r="BA676" s="325" t="str">
        <f>IF(BDEGENER[[#This Row],[SERVICIO]]=BDEGENER[[#This Row],[GA2]],BDEGENER[[#This Row],[HORAS]],"0")</f>
        <v>0</v>
      </c>
      <c r="BB676" s="325">
        <f>SUMIF(BDEGENER[SERIE],BDEGENER[[#This Row],[SERIE]],BDEGENER[GA3])</f>
        <v>2049.3000000000002</v>
      </c>
      <c r="BC676" s="761" t="str">
        <f>CONCATENATE("MANT",COUNTIF($Y$7:Y676,Y676))</f>
        <v>MANT8</v>
      </c>
      <c r="BD676" s="29" t="str">
        <f>CONCATENATE(BDEGENER[[#This Row],[SERIE]],BDEGENER[[#This Row],[GA5]])</f>
        <v>3004336198MANT8</v>
      </c>
      <c r="BE676" s="29" t="str">
        <f>CONCATENATE(BDEGENER[[#This Row],[CODIGO PATRIMONIAL]],BDEGENER[[#This Row],[GA5]])</f>
        <v>MANT8</v>
      </c>
      <c r="BF676" s="16">
        <f>COUNTIF(BDEGENER[SERIE],BDEGENER[[#This Row],[SERIE]])</f>
        <v>12</v>
      </c>
      <c r="BG676" s="761" t="str">
        <f>CONCATENATE("F",COUNTIF($K$7:K676,K676))</f>
        <v>F4</v>
      </c>
      <c r="BH676" s="325" t="str">
        <f>CONCATENATE(BDEGENER[[#This Row],[FECHA DE SERVICIO]],BDEGENER[[#This Row],[N° DE REGISTROS DEL DIA]])</f>
        <v>43843F4</v>
      </c>
      <c r="BI676" s="326">
        <v>16383.9</v>
      </c>
      <c r="BJ676" s="85" t="s">
        <v>1544</v>
      </c>
      <c r="BK676" s="326" t="s">
        <v>2740</v>
      </c>
    </row>
    <row r="677" spans="2:63" ht="69" hidden="1" x14ac:dyDescent="0.3">
      <c r="B677" s="129"/>
      <c r="C677" s="129"/>
      <c r="D677" s="129"/>
      <c r="E677" s="129"/>
      <c r="F677" s="129"/>
      <c r="G677" s="129"/>
      <c r="H677" s="129"/>
      <c r="I677" s="129"/>
      <c r="J677" s="129"/>
      <c r="K677" s="131">
        <v>43841</v>
      </c>
      <c r="L677" s="130" t="s">
        <v>796</v>
      </c>
      <c r="M677" s="85" t="s">
        <v>796</v>
      </c>
      <c r="N677" s="85" t="s">
        <v>1083</v>
      </c>
      <c r="O677" s="85"/>
      <c r="P677" s="200" t="s">
        <v>1084</v>
      </c>
      <c r="Q677" s="85" t="s">
        <v>37</v>
      </c>
      <c r="R677" s="85" t="s">
        <v>1782</v>
      </c>
      <c r="S677" s="6" t="s">
        <v>1085</v>
      </c>
      <c r="T677" s="85" t="s">
        <v>1782</v>
      </c>
      <c r="U677" s="85" t="s">
        <v>1086</v>
      </c>
      <c r="V677" s="85" t="s">
        <v>146</v>
      </c>
      <c r="W677" s="85" t="s">
        <v>914</v>
      </c>
      <c r="X677" s="85" t="s">
        <v>917</v>
      </c>
      <c r="Y677" s="130">
        <v>3003953458</v>
      </c>
      <c r="Z677" s="85" t="s">
        <v>159</v>
      </c>
      <c r="AA677" s="85" t="s">
        <v>33</v>
      </c>
      <c r="AB677" s="85" t="s">
        <v>1555</v>
      </c>
      <c r="AC677" s="85" t="s">
        <v>235</v>
      </c>
      <c r="AD677" s="85" t="s">
        <v>1087</v>
      </c>
      <c r="AE677" s="85">
        <v>60</v>
      </c>
      <c r="AF677" s="132">
        <v>918.3</v>
      </c>
      <c r="AG677" s="85" t="s">
        <v>1412</v>
      </c>
      <c r="AH677" s="85" t="s">
        <v>1557</v>
      </c>
      <c r="AI677" s="85" t="s">
        <v>844</v>
      </c>
      <c r="AJ677" s="85" t="s">
        <v>1558</v>
      </c>
      <c r="AK677" s="85" t="s">
        <v>1448</v>
      </c>
      <c r="AL677" s="85" t="s">
        <v>1556</v>
      </c>
      <c r="AM677" s="85" t="s">
        <v>245</v>
      </c>
      <c r="AN677" s="85" t="s">
        <v>1089</v>
      </c>
      <c r="AO677" s="85" t="s">
        <v>1090</v>
      </c>
      <c r="AP677" s="85" t="s">
        <v>240</v>
      </c>
      <c r="AQ677" s="200" t="str">
        <f>CONCATENATE("REG-",BDEGENER[[#This Row],[FECHA DE SERVICIO]],"-",BDEGENER[[#This Row],[SERIE]],"-",BDEGENER[[#This Row],[HORAS]])</f>
        <v>REG-43841-3003953458-918,3</v>
      </c>
      <c r="AR677" s="85" t="str">
        <f>CONCATENATE("MARCA: ",BDEGENER[[#This Row],[MARCA]],"
 MODELO: ",BDEGENER[[#This Row],[MODELO]])</f>
        <v>MARCA: GENERAC
 MODELO: PLY100</v>
      </c>
      <c r="AS677" s="85" t="str">
        <f>CONCATENATE("MARCA: ",BDEGENER[[#This Row],[MARCA DE MOTOR]],"
SERIE: ",BDEGENER[[#This Row],[SERIE DE MOTOR]])</f>
        <v>MARCA: PERKINS
SERIE: V665786D</v>
      </c>
      <c r="AT677" s="85" t="str">
        <f>CONCATENATE("MARCA: ",BDEGENER[[#This Row],[MARCA ALTERNADOR ]],"
SERIE: ",BDEGENER[[#This Row],[SERIE DE ALTERNADOR]])</f>
        <v>MARCA: LEROY SOMER
SERIE: 352597/26</v>
      </c>
      <c r="AU677" s="85" t="str">
        <f>CONCATENATE("HORAS: ",BDEGENER[[#This Row],[HORAS]],"
KW-HR: ",BDEGENER[[#This Row],[KW-HORA]],"
VOLT.BATERIA: ",BDEGENER[[#This Row],[VOLTAJE DE BATERIA]],"
TEMPERATURA: ",BDEGENER[[#This Row],[TEMPERATURA DE AGUA]],"
PRES. ACEITE: ",BDEGENER[[#This Row],[PRESION DE ACEITE]])</f>
        <v>HORAS: 918,3
KW-HR: 
VOLT.BATERIA: 13.6 V
TEMPERATURA: 179 °F
PRES. ACEITE: 69 PSI</v>
      </c>
      <c r="AV677" s="683">
        <f>COUNTIFS(Q677:Q2677,"MANTENIMIENTO CORRECTIVO",Y677:Y2677,BDEGENER[[#This Row],[SERIE]])</f>
        <v>0</v>
      </c>
      <c r="AW677" s="683">
        <f>COUNTIFS(Q677:Q2677,"MANTENIMIENTO PREVENTIVO",Y677:Y2677,BDEGENER[[#This Row],[SERIE]])</f>
        <v>1</v>
      </c>
      <c r="AX677"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77" s="85">
        <f>COUNTIFS(BDEGENER[SERIE],BDEGENER[[#This Row],[SERIE]],BDEGENER[TIPO DE SERVICIO],"MANTENIMIENTO PREVENTIVO")</f>
        <v>1</v>
      </c>
      <c r="AZ677" s="85" t="str">
        <f>CONCATENATE("MANTENIMIENTO PREVENTIVO N°",BDEGENER[[#This Row],[GA1]])</f>
        <v>MANTENIMIENTO PREVENTIVO N°1</v>
      </c>
      <c r="BA677" s="85">
        <f>IF(BDEGENER[[#This Row],[SERVICIO]]=BDEGENER[[#This Row],[GA2]],BDEGENER[[#This Row],[HORAS]],"0")</f>
        <v>918.3</v>
      </c>
      <c r="BB677" s="85">
        <f>SUMIF(BDEGENER[SERIE],BDEGENER[[#This Row],[SERIE]],BDEGENER[GA3])</f>
        <v>918.3</v>
      </c>
      <c r="BC677" s="683" t="str">
        <f>CONCATENATE("MANT",COUNTIF($Y$7:Y677,Y677))</f>
        <v>MANT3</v>
      </c>
      <c r="BD677" s="85" t="str">
        <f>CONCATENATE(BDEGENER[[#This Row],[SERIE]],BDEGENER[[#This Row],[GA5]])</f>
        <v>3003953458MANT3</v>
      </c>
      <c r="BE677" s="85" t="str">
        <f>CONCATENATE(BDEGENER[[#This Row],[CODIGO PATRIMONIAL]],BDEGENER[[#This Row],[GA5]])</f>
        <v>MANT3</v>
      </c>
      <c r="BF677" s="16">
        <f>COUNTIF(BDEGENER[SERIE],BDEGENER[[#This Row],[SERIE]])</f>
        <v>3</v>
      </c>
      <c r="BG677" s="683" t="str">
        <f>CONCATENATE("F",COUNTIF($K$7:K677,K677))</f>
        <v>F1</v>
      </c>
      <c r="BH677" s="325" t="str">
        <f>CONCATENATE(BDEGENER[[#This Row],[FECHA DE SERVICIO]],BDEGENER[[#This Row],[N° DE REGISTROS DEL DIA]])</f>
        <v>43841F1</v>
      </c>
      <c r="BI677" s="326"/>
      <c r="BJ677" s="325" t="s">
        <v>1545</v>
      </c>
      <c r="BK677" s="326"/>
    </row>
    <row r="678" spans="2:63" ht="69" hidden="1" x14ac:dyDescent="0.3">
      <c r="B678" s="223"/>
      <c r="C678" s="223"/>
      <c r="D678" s="223"/>
      <c r="E678" s="223"/>
      <c r="F678" s="223"/>
      <c r="G678" s="223"/>
      <c r="H678" s="223"/>
      <c r="I678" s="223"/>
      <c r="J678" s="223"/>
      <c r="K678" s="723">
        <v>43840</v>
      </c>
      <c r="L678" s="15" t="s">
        <v>181</v>
      </c>
      <c r="M678" s="14" t="s">
        <v>184</v>
      </c>
      <c r="N678" s="14" t="s">
        <v>183</v>
      </c>
      <c r="O678" s="8" t="s">
        <v>159</v>
      </c>
      <c r="P678" s="200" t="s">
        <v>168</v>
      </c>
      <c r="Q678" s="14" t="s">
        <v>37</v>
      </c>
      <c r="R678" s="85" t="s">
        <v>1782</v>
      </c>
      <c r="S678" s="5" t="s">
        <v>1800</v>
      </c>
      <c r="T678" s="14" t="s">
        <v>82</v>
      </c>
      <c r="U678" s="14" t="s">
        <v>114</v>
      </c>
      <c r="V678" s="14" t="s">
        <v>146</v>
      </c>
      <c r="W678" s="85" t="s">
        <v>914</v>
      </c>
      <c r="X678" s="85" t="s">
        <v>918</v>
      </c>
      <c r="Y678" s="15">
        <v>3004418791</v>
      </c>
      <c r="Z678" s="14"/>
      <c r="AA678" s="14" t="s">
        <v>33</v>
      </c>
      <c r="AB678" s="85" t="s">
        <v>34</v>
      </c>
      <c r="AC678" s="14" t="s">
        <v>230</v>
      </c>
      <c r="AD678" s="16" t="s">
        <v>1110</v>
      </c>
      <c r="AE678" s="16">
        <v>60</v>
      </c>
      <c r="AF678" s="12">
        <v>817.2</v>
      </c>
      <c r="AG678" s="16" t="s">
        <v>243</v>
      </c>
      <c r="AH678" s="16" t="s">
        <v>220</v>
      </c>
      <c r="AI678" s="16" t="s">
        <v>33</v>
      </c>
      <c r="AJ678" s="16">
        <v>3004426135</v>
      </c>
      <c r="AK678" s="16" t="s">
        <v>33</v>
      </c>
      <c r="AL678" s="16">
        <v>107745330</v>
      </c>
      <c r="AM678" s="16" t="s">
        <v>245</v>
      </c>
      <c r="AN678" s="16" t="s">
        <v>246</v>
      </c>
      <c r="AO678" s="16" t="s">
        <v>1318</v>
      </c>
      <c r="AP678" s="14" t="s">
        <v>240</v>
      </c>
      <c r="AQ678" s="200" t="str">
        <f>CONCATENATE("REG-",BDEGENER[[#This Row],[FECHA DE SERVICIO]],"-",BDEGENER[[#This Row],[SERIE]],"-",BDEGENER[[#This Row],[HORAS]])</f>
        <v>REG-43840-3004418791-817,2</v>
      </c>
      <c r="AR678" s="5" t="str">
        <f>CONCATENATE("MARCA: ",BDEGENER[[#This Row],[MARCA]],"
 MODELO: ",BDEGENER[[#This Row],[MODELO]])</f>
        <v>MARCA: GENERAC
 MODELO: PG090</v>
      </c>
      <c r="AS678" s="5" t="str">
        <f>CONCATENATE("MARCA: ",BDEGENER[[#This Row],[MARCA DE MOTOR]],"
SERIE: ",BDEGENER[[#This Row],[SERIE DE MOTOR]])</f>
        <v>MARCA: GENERAC
SERIE: 3004426135</v>
      </c>
      <c r="AT678" s="5" t="str">
        <f>CONCATENATE("MARCA: ",BDEGENER[[#This Row],[MARCA ALTERNADOR ]],"
SERIE: ",BDEGENER[[#This Row],[SERIE DE ALTERNADOR]])</f>
        <v>MARCA: GENERAC
SERIE: 107745330</v>
      </c>
      <c r="AU678" s="5" t="str">
        <f>CONCATENATE("HORAS: ",BDEGENER[[#This Row],[HORAS]],"
KW-HR: ",BDEGENER[[#This Row],[KW-HORA]],"
VOLT.BATERIA: ",BDEGENER[[#This Row],[VOLTAJE DE BATERIA]],"
TEMPERATURA: ",BDEGENER[[#This Row],[TEMPERATURA DE AGUA]],"
PRES. ACEITE: ",BDEGENER[[#This Row],[PRESION DE ACEITE]])</f>
        <v>HORAS: 817,2
KW-HR: 
VOLT.BATERIA: 13.6 V
TEMPERATURA: 198 °F
PRES. ACEITE: 58 PSI</v>
      </c>
      <c r="AV678" s="683">
        <f>COUNTIFS(Q678:Q2678,"MANTENIMIENTO CORRECTIVO",Y678:Y2678,BDEGENER[[#This Row],[SERIE]])</f>
        <v>5</v>
      </c>
      <c r="AW678" s="683">
        <f>COUNTIFS(Q678:Q2678,"MANTENIMIENTO PREVENTIVO",Y678:Y2678,BDEGENER[[#This Row],[SERIE]])</f>
        <v>3</v>
      </c>
      <c r="AX67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78" s="29">
        <f>COUNTIFS(BDEGENER[SERIE],BDEGENER[[#This Row],[SERIE]],BDEGENER[TIPO DE SERVICIO],"MANTENIMIENTO PREVENTIVO")</f>
        <v>7</v>
      </c>
      <c r="AZ678" s="29" t="str">
        <f>CONCATENATE("MANTENIMIENTO PREVENTIVO N°",BDEGENER[[#This Row],[GA1]])</f>
        <v>MANTENIMIENTO PREVENTIVO N°7</v>
      </c>
      <c r="BA678" s="325" t="str">
        <f>IF(BDEGENER[[#This Row],[SERVICIO]]=BDEGENER[[#This Row],[GA2]],BDEGENER[[#This Row],[HORAS]],"0")</f>
        <v>0</v>
      </c>
      <c r="BB678" s="325">
        <f>SUMIF(BDEGENER[SERIE],BDEGENER[[#This Row],[SERIE]],BDEGENER[GA3])</f>
        <v>2074.3000000000002</v>
      </c>
      <c r="BC678" s="683" t="str">
        <f>CONCATENATE("MANT",COUNTIF($Y$7:Y678,Y678))</f>
        <v>MANT8</v>
      </c>
      <c r="BD678" s="29" t="str">
        <f>CONCATENATE(BDEGENER[[#This Row],[SERIE]],BDEGENER[[#This Row],[GA5]])</f>
        <v>3004418791MANT8</v>
      </c>
      <c r="BE678" s="29" t="str">
        <f>CONCATENATE(BDEGENER[[#This Row],[CODIGO PATRIMONIAL]],BDEGENER[[#This Row],[GA5]])</f>
        <v>MANT8</v>
      </c>
      <c r="BF678" s="16">
        <f>COUNTIF(BDEGENER[SERIE],BDEGENER[[#This Row],[SERIE]])</f>
        <v>16</v>
      </c>
      <c r="BG678" s="683" t="str">
        <f>CONCATENATE("F",COUNTIF($K$7:K678,K678))</f>
        <v>F1</v>
      </c>
      <c r="BH678" s="325" t="str">
        <f>CONCATENATE(BDEGENER[[#This Row],[FECHA DE SERVICIO]],BDEGENER[[#This Row],[N° DE REGISTROS DEL DIA]])</f>
        <v>43840F1</v>
      </c>
      <c r="BI678" s="324"/>
      <c r="BJ678" s="85" t="s">
        <v>1544</v>
      </c>
      <c r="BK678" s="326"/>
    </row>
    <row r="679" spans="2:63" ht="69" hidden="1" x14ac:dyDescent="0.3">
      <c r="B679" s="223"/>
      <c r="C679" s="223"/>
      <c r="D679" s="223"/>
      <c r="E679" s="223"/>
      <c r="F679" s="223"/>
      <c r="G679" s="223"/>
      <c r="H679" s="223"/>
      <c r="I679" s="223"/>
      <c r="J679" s="223"/>
      <c r="K679" s="723">
        <v>43840</v>
      </c>
      <c r="L679" s="15" t="s">
        <v>181</v>
      </c>
      <c r="M679" s="14" t="s">
        <v>187</v>
      </c>
      <c r="N679" s="14" t="s">
        <v>183</v>
      </c>
      <c r="O679" s="8" t="s">
        <v>159</v>
      </c>
      <c r="P679" s="15" t="s">
        <v>159</v>
      </c>
      <c r="Q679" s="14" t="s">
        <v>37</v>
      </c>
      <c r="R679" s="85" t="s">
        <v>1782</v>
      </c>
      <c r="S679" s="5" t="s">
        <v>1793</v>
      </c>
      <c r="T679" s="85" t="s">
        <v>1782</v>
      </c>
      <c r="U679" s="14" t="s">
        <v>1359</v>
      </c>
      <c r="V679" s="14" t="s">
        <v>146</v>
      </c>
      <c r="W679" s="85" t="s">
        <v>914</v>
      </c>
      <c r="X679" s="85" t="s">
        <v>918</v>
      </c>
      <c r="Y679" s="15">
        <v>3004337429</v>
      </c>
      <c r="Z679" s="14"/>
      <c r="AA679" s="14" t="s">
        <v>33</v>
      </c>
      <c r="AB679" s="85" t="s">
        <v>34</v>
      </c>
      <c r="AC679" s="14" t="s">
        <v>230</v>
      </c>
      <c r="AD679" s="16" t="s">
        <v>1110</v>
      </c>
      <c r="AE679" s="16">
        <v>60</v>
      </c>
      <c r="AF679" s="12">
        <v>449.8</v>
      </c>
      <c r="AG679" s="16" t="s">
        <v>243</v>
      </c>
      <c r="AH679" s="16" t="s">
        <v>220</v>
      </c>
      <c r="AI679" s="16" t="s">
        <v>33</v>
      </c>
      <c r="AJ679" s="16">
        <v>3004346833</v>
      </c>
      <c r="AK679" s="16" t="s">
        <v>33</v>
      </c>
      <c r="AL679" s="16">
        <v>106303570</v>
      </c>
      <c r="AM679" s="16" t="s">
        <v>1121</v>
      </c>
      <c r="AN679" s="16" t="s">
        <v>1352</v>
      </c>
      <c r="AO679" s="16" t="s">
        <v>1166</v>
      </c>
      <c r="AP679" s="14" t="s">
        <v>240</v>
      </c>
      <c r="AQ679" s="200" t="str">
        <f>CONCATENATE("REG-",BDEGENER[[#This Row],[FECHA DE SERVICIO]],"-",BDEGENER[[#This Row],[SERIE]],"-",BDEGENER[[#This Row],[HORAS]])</f>
        <v>REG-43840-3004337429-449,8</v>
      </c>
      <c r="AR679" s="5" t="str">
        <f>CONCATENATE("MARCA: ",BDEGENER[[#This Row],[MARCA]],"
 MODELO: ",BDEGENER[[#This Row],[MODELO]])</f>
        <v>MARCA: GENERAC
 MODELO: PG090</v>
      </c>
      <c r="AS679" s="5" t="str">
        <f>CONCATENATE("MARCA: ",BDEGENER[[#This Row],[MARCA DE MOTOR]],"
SERIE: ",BDEGENER[[#This Row],[SERIE DE MOTOR]])</f>
        <v>MARCA: GENERAC
SERIE: 3004346833</v>
      </c>
      <c r="AT679" s="5" t="str">
        <f>CONCATENATE("MARCA: ",BDEGENER[[#This Row],[MARCA ALTERNADOR ]],"
SERIE: ",BDEGENER[[#This Row],[SERIE DE ALTERNADOR]])</f>
        <v>MARCA: GENERAC
SERIE: 106303570</v>
      </c>
      <c r="AU679" s="5" t="str">
        <f>CONCATENATE("HORAS: ",BDEGENER[[#This Row],[HORAS]],"
KW-HR: ",BDEGENER[[#This Row],[KW-HORA]],"
VOLT.BATERIA: ",BDEGENER[[#This Row],[VOLTAJE DE BATERIA]],"
TEMPERATURA: ",BDEGENER[[#This Row],[TEMPERATURA DE AGUA]],"
PRES. ACEITE: ",BDEGENER[[#This Row],[PRESION DE ACEITE]])</f>
        <v>HORAS: 449,8
KW-HR: 
VOLT.BATERIA: 13.7 V
TEMPERATURA: 196 °F
PRES. ACEITE: 57 PSI</v>
      </c>
      <c r="AV679" s="761">
        <f>COUNTIFS(Q679:Q2679,"MANTENIMIENTO CORRECTIVO",Y679:Y2679,BDEGENER[[#This Row],[SERIE]])</f>
        <v>1</v>
      </c>
      <c r="AW679" s="761">
        <f>COUNTIFS(Q679:Q2679,"MANTENIMIENTO PREVENTIVO",Y679:Y2679,BDEGENER[[#This Row],[SERIE]])</f>
        <v>2</v>
      </c>
      <c r="AX67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79" s="29">
        <f>COUNTIFS(BDEGENER[SERIE],BDEGENER[[#This Row],[SERIE]],BDEGENER[TIPO DE SERVICIO],"MANTENIMIENTO PREVENTIVO")</f>
        <v>7</v>
      </c>
      <c r="AZ679" s="29" t="str">
        <f>CONCATENATE("MANTENIMIENTO PREVENTIVO N°",BDEGENER[[#This Row],[GA1]])</f>
        <v>MANTENIMIENTO PREVENTIVO N°7</v>
      </c>
      <c r="BA679" s="325" t="str">
        <f>IF(BDEGENER[[#This Row],[SERVICIO]]=BDEGENER[[#This Row],[GA2]],BDEGENER[[#This Row],[HORAS]],"0")</f>
        <v>0</v>
      </c>
      <c r="BB679" s="325">
        <f>SUMIF(BDEGENER[SERIE],BDEGENER[[#This Row],[SERIE]],BDEGENER[GA3])</f>
        <v>2207.6999999999998</v>
      </c>
      <c r="BC679" s="761" t="str">
        <f>CONCATENATE("MANT",COUNTIF($Y$7:Y679,Y679))</f>
        <v>MANT6</v>
      </c>
      <c r="BD679" s="29" t="str">
        <f>CONCATENATE(BDEGENER[[#This Row],[SERIE]],BDEGENER[[#This Row],[GA5]])</f>
        <v>3004337429MANT6</v>
      </c>
      <c r="BE679" s="29" t="str">
        <f>CONCATENATE(BDEGENER[[#This Row],[CODIGO PATRIMONIAL]],BDEGENER[[#This Row],[GA5]])</f>
        <v>MANT6</v>
      </c>
      <c r="BF679" s="16">
        <f>COUNTIF(BDEGENER[SERIE],BDEGENER[[#This Row],[SERIE]])</f>
        <v>9</v>
      </c>
      <c r="BG679" s="761" t="str">
        <f>CONCATENATE("F",COUNTIF($K$7:K679,K679))</f>
        <v>F2</v>
      </c>
      <c r="BH679" s="325" t="str">
        <f>CONCATENATE(BDEGENER[[#This Row],[FECHA DE SERVICIO]],BDEGENER[[#This Row],[N° DE REGISTROS DEL DIA]])</f>
        <v>43840F2</v>
      </c>
      <c r="BI679" s="782"/>
      <c r="BJ679" s="85" t="s">
        <v>1544</v>
      </c>
      <c r="BK679" s="326"/>
    </row>
    <row r="680" spans="2:63" ht="69" hidden="1" x14ac:dyDescent="0.3">
      <c r="B680" s="223"/>
      <c r="C680" s="223"/>
      <c r="D680" s="223"/>
      <c r="E680" s="223"/>
      <c r="F680" s="223"/>
      <c r="G680" s="223"/>
      <c r="H680" s="223"/>
      <c r="I680" s="223"/>
      <c r="J680" s="223"/>
      <c r="K680" s="723">
        <v>43840</v>
      </c>
      <c r="L680" s="15" t="s">
        <v>181</v>
      </c>
      <c r="M680" s="14" t="s">
        <v>184</v>
      </c>
      <c r="N680" s="14" t="s">
        <v>183</v>
      </c>
      <c r="O680" s="8" t="s">
        <v>159</v>
      </c>
      <c r="P680" s="200" t="s">
        <v>169</v>
      </c>
      <c r="Q680" s="14" t="s">
        <v>37</v>
      </c>
      <c r="R680" s="85" t="s">
        <v>1782</v>
      </c>
      <c r="S680" s="5" t="s">
        <v>1801</v>
      </c>
      <c r="T680" s="14" t="s">
        <v>83</v>
      </c>
      <c r="U680" s="14" t="s">
        <v>115</v>
      </c>
      <c r="V680" s="14" t="s">
        <v>146</v>
      </c>
      <c r="W680" s="85" t="s">
        <v>914</v>
      </c>
      <c r="X680" s="85" t="s">
        <v>918</v>
      </c>
      <c r="Y680" s="15">
        <v>3004416580</v>
      </c>
      <c r="Z680" s="14"/>
      <c r="AA680" s="14" t="s">
        <v>33</v>
      </c>
      <c r="AB680" s="85" t="s">
        <v>34</v>
      </c>
      <c r="AC680" s="14" t="s">
        <v>230</v>
      </c>
      <c r="AD680" s="16" t="s">
        <v>1110</v>
      </c>
      <c r="AE680" s="16">
        <v>60</v>
      </c>
      <c r="AF680" s="12">
        <v>870.1</v>
      </c>
      <c r="AG680" s="16" t="s">
        <v>243</v>
      </c>
      <c r="AH680" s="16" t="s">
        <v>220</v>
      </c>
      <c r="AI680" s="16" t="s">
        <v>33</v>
      </c>
      <c r="AJ680" s="16">
        <v>3004426061</v>
      </c>
      <c r="AK680" s="16" t="s">
        <v>33</v>
      </c>
      <c r="AL680" s="16">
        <v>107746810</v>
      </c>
      <c r="AM680" s="16" t="s">
        <v>1121</v>
      </c>
      <c r="AN680" s="16" t="s">
        <v>1352</v>
      </c>
      <c r="AO680" s="16" t="s">
        <v>247</v>
      </c>
      <c r="AP680" s="14" t="s">
        <v>240</v>
      </c>
      <c r="AQ680" s="200" t="str">
        <f>CONCATENATE("REG-",BDEGENER[[#This Row],[FECHA DE SERVICIO]],"-",BDEGENER[[#This Row],[SERIE]],"-",BDEGENER[[#This Row],[HORAS]])</f>
        <v>REG-43840-3004416580-870,1</v>
      </c>
      <c r="AR680" s="5" t="str">
        <f>CONCATENATE("MARCA: ",BDEGENER[[#This Row],[MARCA]],"
 MODELO: ",BDEGENER[[#This Row],[MODELO]])</f>
        <v>MARCA: GENERAC
 MODELO: PG090</v>
      </c>
      <c r="AS680" s="5" t="str">
        <f>CONCATENATE("MARCA: ",BDEGENER[[#This Row],[MARCA DE MOTOR]],"
SERIE: ",BDEGENER[[#This Row],[SERIE DE MOTOR]])</f>
        <v>MARCA: GENERAC
SERIE: 3004426061</v>
      </c>
      <c r="AT680" s="5" t="str">
        <f>CONCATENATE("MARCA: ",BDEGENER[[#This Row],[MARCA ALTERNADOR ]],"
SERIE: ",BDEGENER[[#This Row],[SERIE DE ALTERNADOR]])</f>
        <v>MARCA: GENERAC
SERIE: 107746810</v>
      </c>
      <c r="AU680" s="5" t="str">
        <f>CONCATENATE("HORAS: ",BDEGENER[[#This Row],[HORAS]],"
KW-HR: ",BDEGENER[[#This Row],[KW-HORA]],"
VOLT.BATERIA: ",BDEGENER[[#This Row],[VOLTAJE DE BATERIA]],"
TEMPERATURA: ",BDEGENER[[#This Row],[TEMPERATURA DE AGUA]],"
PRES. ACEITE: ",BDEGENER[[#This Row],[PRESION DE ACEITE]])</f>
        <v>HORAS: 870,1
KW-HR: 
VOLT.BATERIA: 13.7 V
TEMPERATURA: 196 °F
PRES. ACEITE: 55 PSI</v>
      </c>
      <c r="AV680" s="683">
        <f>COUNTIFS(Q680:Q2680,"MANTENIMIENTO CORRECTIVO",Y680:Y2680,BDEGENER[[#This Row],[SERIE]])</f>
        <v>1</v>
      </c>
      <c r="AW680" s="683">
        <f>COUNTIFS(Q680:Q2680,"MANTENIMIENTO PREVENTIVO",Y680:Y2680,BDEGENER[[#This Row],[SERIE]])</f>
        <v>3</v>
      </c>
      <c r="AX68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80" s="29">
        <f>COUNTIFS(BDEGENER[SERIE],BDEGENER[[#This Row],[SERIE]],BDEGENER[TIPO DE SERVICIO],"MANTENIMIENTO PREVENTIVO")</f>
        <v>8</v>
      </c>
      <c r="AZ680" s="29" t="str">
        <f>CONCATENATE("MANTENIMIENTO PREVENTIVO N°",BDEGENER[[#This Row],[GA1]])</f>
        <v>MANTENIMIENTO PREVENTIVO N°8</v>
      </c>
      <c r="BA680" s="325" t="str">
        <f>IF(BDEGENER[[#This Row],[SERVICIO]]=BDEGENER[[#This Row],[GA2]],BDEGENER[[#This Row],[HORAS]],"0")</f>
        <v>0</v>
      </c>
      <c r="BB680" s="325">
        <f>SUMIF(BDEGENER[SERIE],BDEGENER[[#This Row],[SERIE]],BDEGENER[GA3])</f>
        <v>3113.9</v>
      </c>
      <c r="BC680" s="683" t="str">
        <f>CONCATENATE("MANT",COUNTIF($Y$7:Y680,Y680))</f>
        <v>MANT10</v>
      </c>
      <c r="BD680" s="29" t="str">
        <f>CONCATENATE(BDEGENER[[#This Row],[SERIE]],BDEGENER[[#This Row],[GA5]])</f>
        <v>3004416580MANT10</v>
      </c>
      <c r="BE680" s="29" t="str">
        <f>CONCATENATE(BDEGENER[[#This Row],[CODIGO PATRIMONIAL]],BDEGENER[[#This Row],[GA5]])</f>
        <v>MANT10</v>
      </c>
      <c r="BF680" s="16">
        <f>COUNTIF(BDEGENER[SERIE],BDEGENER[[#This Row],[SERIE]])</f>
        <v>14</v>
      </c>
      <c r="BG680" s="683" t="str">
        <f>CONCATENATE("F",COUNTIF($K$7:K680,K680))</f>
        <v>F3</v>
      </c>
      <c r="BH680" s="325" t="str">
        <f>CONCATENATE(BDEGENER[[#This Row],[FECHA DE SERVICIO]],BDEGENER[[#This Row],[N° DE REGISTROS DEL DIA]])</f>
        <v>43840F3</v>
      </c>
      <c r="BI680" s="324"/>
      <c r="BJ680" s="85" t="s">
        <v>1544</v>
      </c>
      <c r="BK680" s="326"/>
    </row>
    <row r="681" spans="2:63" ht="69" hidden="1" x14ac:dyDescent="0.3">
      <c r="B681" s="223"/>
      <c r="C681" s="223"/>
      <c r="D681" s="223"/>
      <c r="E681" s="223"/>
      <c r="F681" s="223"/>
      <c r="G681" s="223"/>
      <c r="H681" s="223"/>
      <c r="I681" s="223"/>
      <c r="J681" s="223"/>
      <c r="K681" s="723">
        <v>43840</v>
      </c>
      <c r="L681" s="15" t="s">
        <v>181</v>
      </c>
      <c r="M681" s="14" t="s">
        <v>184</v>
      </c>
      <c r="N681" s="14" t="s">
        <v>183</v>
      </c>
      <c r="O681" s="8" t="s">
        <v>159</v>
      </c>
      <c r="P681" s="200" t="s">
        <v>168</v>
      </c>
      <c r="Q681" s="14" t="s">
        <v>37</v>
      </c>
      <c r="R681" s="85" t="s">
        <v>1782</v>
      </c>
      <c r="S681" s="5" t="s">
        <v>35</v>
      </c>
      <c r="T681" s="14" t="s">
        <v>84</v>
      </c>
      <c r="U681" s="14" t="s">
        <v>116</v>
      </c>
      <c r="V681" s="14" t="s">
        <v>146</v>
      </c>
      <c r="W681" s="85" t="s">
        <v>914</v>
      </c>
      <c r="X681" s="85" t="s">
        <v>918</v>
      </c>
      <c r="Y681" s="15">
        <v>3004418790</v>
      </c>
      <c r="Z681" s="14"/>
      <c r="AA681" s="14" t="s">
        <v>33</v>
      </c>
      <c r="AB681" s="85" t="s">
        <v>34</v>
      </c>
      <c r="AC681" s="14" t="s">
        <v>230</v>
      </c>
      <c r="AD681" s="16" t="s">
        <v>1110</v>
      </c>
      <c r="AE681" s="16">
        <v>60</v>
      </c>
      <c r="AF681" s="12">
        <v>940</v>
      </c>
      <c r="AG681" s="16" t="s">
        <v>243</v>
      </c>
      <c r="AH681" s="16" t="s">
        <v>220</v>
      </c>
      <c r="AI681" s="16" t="s">
        <v>33</v>
      </c>
      <c r="AJ681" s="16">
        <v>3004426133</v>
      </c>
      <c r="AK681" s="16" t="s">
        <v>33</v>
      </c>
      <c r="AL681" s="16">
        <v>107745310</v>
      </c>
      <c r="AM681" s="16" t="s">
        <v>1121</v>
      </c>
      <c r="AN681" s="16" t="s">
        <v>1382</v>
      </c>
      <c r="AO681" s="16" t="s">
        <v>1166</v>
      </c>
      <c r="AP681" s="14" t="s">
        <v>557</v>
      </c>
      <c r="AQ681" s="200" t="str">
        <f>CONCATENATE("REG-",BDEGENER[[#This Row],[FECHA DE SERVICIO]],"-",BDEGENER[[#This Row],[SERIE]],"-",BDEGENER[[#This Row],[HORAS]])</f>
        <v>REG-43840-3004418790-940</v>
      </c>
      <c r="AR681" s="5" t="str">
        <f>CONCATENATE("MARCA: ",BDEGENER[[#This Row],[MARCA]],"
 MODELO: ",BDEGENER[[#This Row],[MODELO]])</f>
        <v>MARCA: GENERAC
 MODELO: PG090</v>
      </c>
      <c r="AS681" s="5" t="str">
        <f>CONCATENATE("MARCA: ",BDEGENER[[#This Row],[MARCA DE MOTOR]],"
SERIE: ",BDEGENER[[#This Row],[SERIE DE MOTOR]])</f>
        <v>MARCA: GENERAC
SERIE: 3004426133</v>
      </c>
      <c r="AT681" s="5" t="str">
        <f>CONCATENATE("MARCA: ",BDEGENER[[#This Row],[MARCA ALTERNADOR ]],"
SERIE: ",BDEGENER[[#This Row],[SERIE DE ALTERNADOR]])</f>
        <v>MARCA: GENERAC
SERIE: 107745310</v>
      </c>
      <c r="AU681" s="5" t="str">
        <f>CONCATENATE("HORAS: ",BDEGENER[[#This Row],[HORAS]],"
KW-HR: ",BDEGENER[[#This Row],[KW-HORA]],"
VOLT.BATERIA: ",BDEGENER[[#This Row],[VOLTAJE DE BATERIA]],"
TEMPERATURA: ",BDEGENER[[#This Row],[TEMPERATURA DE AGUA]],"
PRES. ACEITE: ",BDEGENER[[#This Row],[PRESION DE ACEITE]])</f>
        <v>HORAS: 940
KW-HR: 
VOLT.BATERIA: 13.7 V
TEMPERATURA: 196°F
PRES. ACEITE: 57 PSI</v>
      </c>
      <c r="AV681" s="683">
        <f>COUNTIFS(Q681:Q2681,"MANTENIMIENTO CORRECTIVO",Y681:Y2681,BDEGENER[[#This Row],[SERIE]])</f>
        <v>1</v>
      </c>
      <c r="AW681" s="683">
        <f>COUNTIFS(Q681:Q2681,"MANTENIMIENTO PREVENTIVO",Y681:Y2681,BDEGENER[[#This Row],[SERIE]])</f>
        <v>3</v>
      </c>
      <c r="AX68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81" s="29">
        <f>COUNTIFS(BDEGENER[SERIE],BDEGENER[[#This Row],[SERIE]],BDEGENER[TIPO DE SERVICIO],"MANTENIMIENTO PREVENTIVO")</f>
        <v>8</v>
      </c>
      <c r="AZ681" s="29" t="str">
        <f>CONCATENATE("MANTENIMIENTO PREVENTIVO N°",BDEGENER[[#This Row],[GA1]])</f>
        <v>MANTENIMIENTO PREVENTIVO N°8</v>
      </c>
      <c r="BA681" s="325" t="str">
        <f>IF(BDEGENER[[#This Row],[SERVICIO]]=BDEGENER[[#This Row],[GA2]],BDEGENER[[#This Row],[HORAS]],"0")</f>
        <v>0</v>
      </c>
      <c r="BB681" s="325">
        <f>SUMIF(BDEGENER[SERIE],BDEGENER[[#This Row],[SERIE]],BDEGENER[GA3])</f>
        <v>2579.3000000000002</v>
      </c>
      <c r="BC681" s="683" t="str">
        <f>CONCATENATE("MANT",COUNTIF($Y$7:Y681,Y681))</f>
        <v>MANT10</v>
      </c>
      <c r="BD681" s="29" t="str">
        <f>CONCATENATE(BDEGENER[[#This Row],[SERIE]],BDEGENER[[#This Row],[GA5]])</f>
        <v>3004418790MANT10</v>
      </c>
      <c r="BE681" s="29" t="str">
        <f>CONCATENATE(BDEGENER[[#This Row],[CODIGO PATRIMONIAL]],BDEGENER[[#This Row],[GA5]])</f>
        <v>MANT10</v>
      </c>
      <c r="BF681" s="16">
        <f>COUNTIF(BDEGENER[SERIE],BDEGENER[[#This Row],[SERIE]])</f>
        <v>14</v>
      </c>
      <c r="BG681" s="683" t="str">
        <f>CONCATENATE("F",COUNTIF($K$7:K681,K681))</f>
        <v>F4</v>
      </c>
      <c r="BH681" s="325" t="str">
        <f>CONCATENATE(BDEGENER[[#This Row],[FECHA DE SERVICIO]],BDEGENER[[#This Row],[N° DE REGISTROS DEL DIA]])</f>
        <v>43840F4</v>
      </c>
      <c r="BI681" s="324"/>
      <c r="BJ681" s="85" t="s">
        <v>1544</v>
      </c>
      <c r="BK681" s="326"/>
    </row>
    <row r="682" spans="2:63" ht="69" hidden="1" x14ac:dyDescent="0.3">
      <c r="B682" s="223"/>
      <c r="C682" s="223"/>
      <c r="D682" s="223"/>
      <c r="E682" s="223"/>
      <c r="F682" s="223"/>
      <c r="G682" s="223"/>
      <c r="H682" s="223"/>
      <c r="I682" s="223"/>
      <c r="J682" s="223"/>
      <c r="K682" s="723">
        <v>43840</v>
      </c>
      <c r="L682" s="15" t="s">
        <v>181</v>
      </c>
      <c r="M682" s="14" t="s">
        <v>184</v>
      </c>
      <c r="N682" s="14" t="s">
        <v>183</v>
      </c>
      <c r="O682" s="8" t="s">
        <v>159</v>
      </c>
      <c r="P682" s="200" t="s">
        <v>169</v>
      </c>
      <c r="Q682" s="14" t="s">
        <v>37</v>
      </c>
      <c r="R682" s="85" t="s">
        <v>1782</v>
      </c>
      <c r="S682" s="5" t="s">
        <v>36</v>
      </c>
      <c r="T682" s="14" t="s">
        <v>85</v>
      </c>
      <c r="U682" s="14" t="s">
        <v>116</v>
      </c>
      <c r="V682" s="14" t="s">
        <v>146</v>
      </c>
      <c r="W682" s="85" t="s">
        <v>914</v>
      </c>
      <c r="X682" s="85" t="s">
        <v>918</v>
      </c>
      <c r="Y682" s="15">
        <v>3004402507</v>
      </c>
      <c r="Z682" s="14"/>
      <c r="AA682" s="14" t="s">
        <v>33</v>
      </c>
      <c r="AB682" s="85" t="s">
        <v>34</v>
      </c>
      <c r="AC682" s="14" t="s">
        <v>230</v>
      </c>
      <c r="AD682" s="16" t="s">
        <v>1110</v>
      </c>
      <c r="AE682" s="16">
        <v>60</v>
      </c>
      <c r="AF682" s="12">
        <v>933.8</v>
      </c>
      <c r="AG682" s="16" t="s">
        <v>243</v>
      </c>
      <c r="AH682" s="16" t="s">
        <v>220</v>
      </c>
      <c r="AI682" s="16" t="s">
        <v>33</v>
      </c>
      <c r="AJ682" s="16">
        <v>3004425772</v>
      </c>
      <c r="AK682" s="16" t="s">
        <v>33</v>
      </c>
      <c r="AL682" s="16">
        <v>106310030</v>
      </c>
      <c r="AM682" s="16" t="s">
        <v>1121</v>
      </c>
      <c r="AN682" s="16" t="s">
        <v>1143</v>
      </c>
      <c r="AO682" s="16" t="s">
        <v>1318</v>
      </c>
      <c r="AP682" s="14" t="s">
        <v>240</v>
      </c>
      <c r="AQ682" s="200" t="str">
        <f>CONCATENATE("REG-",BDEGENER[[#This Row],[FECHA DE SERVICIO]],"-",BDEGENER[[#This Row],[SERIE]],"-",BDEGENER[[#This Row],[HORAS]])</f>
        <v>REG-43840-3004402507-933,8</v>
      </c>
      <c r="AR682" s="5" t="str">
        <f>CONCATENATE("MARCA: ",BDEGENER[[#This Row],[MARCA]],"
 MODELO: ",BDEGENER[[#This Row],[MODELO]])</f>
        <v>MARCA: GENERAC
 MODELO: PG090</v>
      </c>
      <c r="AS682" s="5" t="str">
        <f>CONCATENATE("MARCA: ",BDEGENER[[#This Row],[MARCA DE MOTOR]],"
SERIE: ",BDEGENER[[#This Row],[SERIE DE MOTOR]])</f>
        <v>MARCA: GENERAC
SERIE: 3004425772</v>
      </c>
      <c r="AT682" s="5" t="str">
        <f>CONCATENATE("MARCA: ",BDEGENER[[#This Row],[MARCA ALTERNADOR ]],"
SERIE: ",BDEGENER[[#This Row],[SERIE DE ALTERNADOR]])</f>
        <v>MARCA: GENERAC
SERIE: 106310030</v>
      </c>
      <c r="AU682" s="5" t="str">
        <f>CONCATENATE("HORAS: ",BDEGENER[[#This Row],[HORAS]],"
KW-HR: ",BDEGENER[[#This Row],[KW-HORA]],"
VOLT.BATERIA: ",BDEGENER[[#This Row],[VOLTAJE DE BATERIA]],"
TEMPERATURA: ",BDEGENER[[#This Row],[TEMPERATURA DE AGUA]],"
PRES. ACEITE: ",BDEGENER[[#This Row],[PRESION DE ACEITE]])</f>
        <v>HORAS: 933,8
KW-HR: 
VOLT.BATERIA: 13.7 V
TEMPERATURA: 197 °F
PRES. ACEITE: 58 PSI</v>
      </c>
      <c r="AV682" s="761">
        <f>COUNTIFS(Q682:Q2682,"MANTENIMIENTO CORRECTIVO",Y682:Y2682,BDEGENER[[#This Row],[SERIE]])</f>
        <v>1</v>
      </c>
      <c r="AW682" s="761">
        <f>COUNTIFS(Q682:Q2682,"MANTENIMIENTO PREVENTIVO",Y682:Y2682,BDEGENER[[#This Row],[SERIE]])</f>
        <v>3</v>
      </c>
      <c r="AX68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82" s="29">
        <f>COUNTIFS(BDEGENER[SERIE],BDEGENER[[#This Row],[SERIE]],BDEGENER[TIPO DE SERVICIO],"MANTENIMIENTO PREVENTIVO")</f>
        <v>7</v>
      </c>
      <c r="AZ682" s="29" t="str">
        <f>CONCATENATE("MANTENIMIENTO PREVENTIVO N°",BDEGENER[[#This Row],[GA1]])</f>
        <v>MANTENIMIENTO PREVENTIVO N°7</v>
      </c>
      <c r="BA682" s="325" t="str">
        <f>IF(BDEGENER[[#This Row],[SERVICIO]]=BDEGENER[[#This Row],[GA2]],BDEGENER[[#This Row],[HORAS]],"0")</f>
        <v>0</v>
      </c>
      <c r="BB682" s="325">
        <f>SUMIF(BDEGENER[SERIE],BDEGENER[[#This Row],[SERIE]],BDEGENER[GA3])</f>
        <v>2134</v>
      </c>
      <c r="BC682" s="761" t="str">
        <f>CONCATENATE("MANT",COUNTIF($Y$7:Y682,Y682))</f>
        <v>MANT12</v>
      </c>
      <c r="BD682" s="29" t="str">
        <f>CONCATENATE(BDEGENER[[#This Row],[SERIE]],BDEGENER[[#This Row],[GA5]])</f>
        <v>3004402507MANT12</v>
      </c>
      <c r="BE682" s="29" t="str">
        <f>CONCATENATE(BDEGENER[[#This Row],[CODIGO PATRIMONIAL]],BDEGENER[[#This Row],[GA5]])</f>
        <v>MANT12</v>
      </c>
      <c r="BF682" s="16">
        <f>COUNTIF(BDEGENER[SERIE],BDEGENER[[#This Row],[SERIE]])</f>
        <v>16</v>
      </c>
      <c r="BG682" s="761" t="str">
        <f>CONCATENATE("F",COUNTIF($K$7:K682,K682))</f>
        <v>F5</v>
      </c>
      <c r="BH682" s="325" t="str">
        <f>CONCATENATE(BDEGENER[[#This Row],[FECHA DE SERVICIO]],BDEGENER[[#This Row],[N° DE REGISTROS DEL DIA]])</f>
        <v>43840F5</v>
      </c>
      <c r="BI682" s="324"/>
      <c r="BJ682" s="85" t="s">
        <v>1544</v>
      </c>
      <c r="BK682" s="326"/>
    </row>
    <row r="683" spans="2:63" ht="69" hidden="1" x14ac:dyDescent="0.3">
      <c r="B683" s="223"/>
      <c r="C683" s="223"/>
      <c r="D683" s="223"/>
      <c r="E683" s="223"/>
      <c r="F683" s="223"/>
      <c r="G683" s="223"/>
      <c r="H683" s="223"/>
      <c r="I683" s="223"/>
      <c r="J683" s="223"/>
      <c r="K683" s="723">
        <v>43840</v>
      </c>
      <c r="L683" s="15" t="s">
        <v>181</v>
      </c>
      <c r="M683" s="14" t="s">
        <v>3603</v>
      </c>
      <c r="N683" s="14" t="s">
        <v>196</v>
      </c>
      <c r="O683" s="8" t="s">
        <v>159</v>
      </c>
      <c r="P683" s="200" t="s">
        <v>170</v>
      </c>
      <c r="Q683" s="14" t="s">
        <v>37</v>
      </c>
      <c r="R683" s="85" t="s">
        <v>1782</v>
      </c>
      <c r="S683" s="5" t="s">
        <v>1802</v>
      </c>
      <c r="T683" s="85" t="s">
        <v>1782</v>
      </c>
      <c r="U683" s="14" t="s">
        <v>116</v>
      </c>
      <c r="V683" s="14"/>
      <c r="W683" s="14" t="s">
        <v>913</v>
      </c>
      <c r="X683" s="14" t="s">
        <v>918</v>
      </c>
      <c r="Y683" s="15">
        <v>8893263</v>
      </c>
      <c r="Z683" s="14" t="s">
        <v>192</v>
      </c>
      <c r="AA683" s="14" t="s">
        <v>33</v>
      </c>
      <c r="AB683" s="14" t="s">
        <v>210</v>
      </c>
      <c r="AC683" s="14" t="s">
        <v>231</v>
      </c>
      <c r="AD683" s="16" t="s">
        <v>1123</v>
      </c>
      <c r="AE683" s="16">
        <v>60</v>
      </c>
      <c r="AF683" s="12">
        <v>83.2</v>
      </c>
      <c r="AG683" s="16" t="s">
        <v>243</v>
      </c>
      <c r="AH683" s="16" t="s">
        <v>1803</v>
      </c>
      <c r="AI683" s="16" t="s">
        <v>33</v>
      </c>
      <c r="AJ683" s="16" t="s">
        <v>1804</v>
      </c>
      <c r="AK683" s="16" t="s">
        <v>33</v>
      </c>
      <c r="AL683" s="16">
        <v>8893263</v>
      </c>
      <c r="AM683" s="16" t="s">
        <v>1145</v>
      </c>
      <c r="AN683" s="16"/>
      <c r="AO683" s="16"/>
      <c r="AP683" s="14" t="s">
        <v>240</v>
      </c>
      <c r="AQ683" s="200" t="str">
        <f>CONCATENATE("REG-",BDEGENER[[#This Row],[FECHA DE SERVICIO]],"-",BDEGENER[[#This Row],[SERIE]],"-",BDEGENER[[#This Row],[HORAS]])</f>
        <v>REG-43840-8893263-83,2</v>
      </c>
      <c r="AR683" s="5" t="str">
        <f>CONCATENATE("MARCA: ",BDEGENER[[#This Row],[MARCA]],"
 MODELO: ",BDEGENER[[#This Row],[MODELO]])</f>
        <v>MARCA: GENERAC
 MODELO: 0062370</v>
      </c>
      <c r="AS683" s="5" t="str">
        <f>CONCATENATE("MARCA: ",BDEGENER[[#This Row],[MARCA DE MOTOR]],"
SERIE: ",BDEGENER[[#This Row],[SERIE DE MOTOR]])</f>
        <v>MARCA: GENERAC
SERIE: E9052424</v>
      </c>
      <c r="AT683" s="5" t="str">
        <f>CONCATENATE("MARCA: ",BDEGENER[[#This Row],[MARCA ALTERNADOR ]],"
SERIE: ",BDEGENER[[#This Row],[SERIE DE ALTERNADOR]])</f>
        <v>MARCA: GENERAC
SERIE: 8893263</v>
      </c>
      <c r="AU683" s="5" t="str">
        <f>CONCATENATE("HORAS: ",BDEGENER[[#This Row],[HORAS]],"
KW-HR: ",BDEGENER[[#This Row],[KW-HORA]],"
VOLT.BATERIA: ",BDEGENER[[#This Row],[VOLTAJE DE BATERIA]],"
TEMPERATURA: ",BDEGENER[[#This Row],[TEMPERATURA DE AGUA]],"
PRES. ACEITE: ",BDEGENER[[#This Row],[PRESION DE ACEITE]])</f>
        <v xml:space="preserve">HORAS: 83,2
KW-HR: 
VOLT.BATERIA: 13.4 V
TEMPERATURA: 
PRES. ACEITE: </v>
      </c>
      <c r="AV683" s="683">
        <f>COUNTIFS(Q683:Q2683,"MANTENIMIENTO CORRECTIVO",Y683:Y2683,BDEGENER[[#This Row],[SERIE]])</f>
        <v>2</v>
      </c>
      <c r="AW683" s="683">
        <f>COUNTIFS(Q683:Q2683,"MANTENIMIENTO PREVENTIVO",Y683:Y2683,BDEGENER[[#This Row],[SERIE]])</f>
        <v>2</v>
      </c>
      <c r="AX68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83" s="29">
        <f>COUNTIFS(BDEGENER[SERIE],BDEGENER[[#This Row],[SERIE]],BDEGENER[TIPO DE SERVICIO],"MANTENIMIENTO PREVENTIVO")</f>
        <v>3</v>
      </c>
      <c r="AZ683" s="29" t="str">
        <f>CONCATENATE("MANTENIMIENTO PREVENTIVO N°",BDEGENER[[#This Row],[GA1]])</f>
        <v>MANTENIMIENTO PREVENTIVO N°3</v>
      </c>
      <c r="BA683" s="325" t="str">
        <f>IF(BDEGENER[[#This Row],[SERVICIO]]=BDEGENER[[#This Row],[GA2]],BDEGENER[[#This Row],[HORAS]],"0")</f>
        <v>0</v>
      </c>
      <c r="BB683" s="325">
        <f>SUMIF(BDEGENER[SERIE],BDEGENER[[#This Row],[SERIE]],BDEGENER[GA3])</f>
        <v>351.77</v>
      </c>
      <c r="BC683" s="683" t="str">
        <f>CONCATENATE("MANT",COUNTIF($Y$7:Y683,Y683))</f>
        <v>MANT2</v>
      </c>
      <c r="BD683" s="29" t="str">
        <f>CONCATENATE(BDEGENER[[#This Row],[SERIE]],BDEGENER[[#This Row],[GA5]])</f>
        <v>8893263MANT2</v>
      </c>
      <c r="BE683" s="29" t="str">
        <f>CONCATENATE(BDEGENER[[#This Row],[CODIGO PATRIMONIAL]],BDEGENER[[#This Row],[GA5]])</f>
        <v xml:space="preserve"> MANT2</v>
      </c>
      <c r="BF683" s="16">
        <f>COUNTIF(BDEGENER[SERIE],BDEGENER[[#This Row],[SERIE]])</f>
        <v>5</v>
      </c>
      <c r="BG683" s="683" t="str">
        <f>CONCATENATE("F",COUNTIF($K$7:K683,K683))</f>
        <v>F6</v>
      </c>
      <c r="BH683" s="325" t="str">
        <f>CONCATENATE(BDEGENER[[#This Row],[FECHA DE SERVICIO]],BDEGENER[[#This Row],[N° DE REGISTROS DEL DIA]])</f>
        <v>43840F6</v>
      </c>
      <c r="BI683" s="324"/>
      <c r="BJ683" s="325"/>
      <c r="BK683" s="326"/>
    </row>
    <row r="684" spans="2:63" ht="69" hidden="1" x14ac:dyDescent="0.3">
      <c r="B684" s="129"/>
      <c r="C684" s="129"/>
      <c r="D684" s="129"/>
      <c r="E684" s="129"/>
      <c r="F684" s="129"/>
      <c r="G684" s="129"/>
      <c r="H684" s="129"/>
      <c r="I684" s="129"/>
      <c r="J684" s="129"/>
      <c r="K684" s="131">
        <v>43839</v>
      </c>
      <c r="L684" s="85" t="s">
        <v>1545</v>
      </c>
      <c r="M684" s="85" t="s">
        <v>1395</v>
      </c>
      <c r="N684" s="85" t="s">
        <v>1547</v>
      </c>
      <c r="O684" s="85"/>
      <c r="P684" s="85"/>
      <c r="Q684" s="85" t="s">
        <v>37</v>
      </c>
      <c r="R684" s="85" t="s">
        <v>1782</v>
      </c>
      <c r="S684" s="6" t="s">
        <v>3317</v>
      </c>
      <c r="T684" s="85" t="s">
        <v>3318</v>
      </c>
      <c r="U684" s="85" t="s">
        <v>3319</v>
      </c>
      <c r="V684" s="85" t="s">
        <v>479</v>
      </c>
      <c r="W684" s="85" t="s">
        <v>2743</v>
      </c>
      <c r="X684" s="85" t="s">
        <v>2741</v>
      </c>
      <c r="Y684" s="15" t="s">
        <v>3320</v>
      </c>
      <c r="Z684" s="85" t="s">
        <v>159</v>
      </c>
      <c r="AA684" s="85" t="s">
        <v>867</v>
      </c>
      <c r="AB684" s="85" t="s">
        <v>3321</v>
      </c>
      <c r="AC684" s="85" t="s">
        <v>159</v>
      </c>
      <c r="AD684" s="85"/>
      <c r="AE684" s="85"/>
      <c r="AF684" s="132">
        <v>269709</v>
      </c>
      <c r="AG684" s="85" t="s">
        <v>159</v>
      </c>
      <c r="AH684" s="85" t="s">
        <v>159</v>
      </c>
      <c r="AI684" s="85" t="s">
        <v>867</v>
      </c>
      <c r="AJ684" s="85" t="s">
        <v>159</v>
      </c>
      <c r="AK684" s="85" t="s">
        <v>159</v>
      </c>
      <c r="AL684" s="85" t="s">
        <v>159</v>
      </c>
      <c r="AM684" s="85"/>
      <c r="AN684" s="85"/>
      <c r="AO684" s="85"/>
      <c r="AP684" s="85" t="s">
        <v>240</v>
      </c>
      <c r="AQ684" s="85" t="str">
        <f>CONCATENATE("REG-",BDEGENER[[#This Row],[FECHA DE SERVICIO]],"-",BDEGENER[[#This Row],[SERIE]],"-",BDEGENER[[#This Row],[HORAS]])</f>
        <v>REG-43839-C7A-736-269709</v>
      </c>
      <c r="AR684" s="85" t="str">
        <f>CONCATENATE("MARCA: ",BDEGENER[[#This Row],[MARCA]],"
 MODELO: ",BDEGENER[[#This Row],[MODELO]])</f>
        <v>MARCA: NISSAN
 MODELO: FRONTIER</v>
      </c>
      <c r="AS684" s="85" t="str">
        <f>CONCATENATE("MARCA: ",BDEGENER[[#This Row],[MARCA DE MOTOR]],"
SERIE: ",BDEGENER[[#This Row],[SERIE DE MOTOR]])</f>
        <v xml:space="preserve">MARCA: NISSAN
SERIE: </v>
      </c>
      <c r="AT684" s="85" t="str">
        <f>CONCATENATE("MARCA: ",BDEGENER[[#This Row],[MARCA ALTERNADOR ]],"
SERIE: ",BDEGENER[[#This Row],[SERIE DE ALTERNADOR]])</f>
        <v xml:space="preserve">MARCA: 
SERIE: </v>
      </c>
      <c r="AU684" s="85" t="str">
        <f>CONCATENATE("HORAS: ",BDEGENER[[#This Row],[HORAS]],"
KW-HR: ",BDEGENER[[#This Row],[KW-HORA]],"
VOLT.BATERIA: ",BDEGENER[[#This Row],[VOLTAJE DE BATERIA]],"
TEMPERATURA: ",BDEGENER[[#This Row],[TEMPERATURA DE AGUA]],"
PRES. ACEITE: ",BDEGENER[[#This Row],[PRESION DE ACEITE]])</f>
        <v xml:space="preserve">HORAS: 269709
KW-HR: 
VOLT.BATERIA: 
TEMPERATURA: 
PRES. ACEITE: </v>
      </c>
      <c r="AV684" s="683">
        <f>COUNTIFS(Q684:Q2684,"MANTENIMIENTO CORRECTIVO",Y684:Y2684,BDEGENER[[#This Row],[SERIE]])</f>
        <v>0</v>
      </c>
      <c r="AW684" s="683">
        <f>COUNTIFS(Q684:Q2684,"MANTENIMIENTO PREVENTIVO",Y684:Y2684,BDEGENER[[#This Row],[SERIE]])</f>
        <v>1</v>
      </c>
      <c r="AX68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84" s="85">
        <f>COUNTIFS(BDEGENER[SERIE],BDEGENER[[#This Row],[SERIE]],BDEGENER[TIPO DE SERVICIO],"MANTENIMIENTO PREVENTIVO")</f>
        <v>3</v>
      </c>
      <c r="AZ684" s="85" t="str">
        <f>CONCATENATE("MANTENIMIENTO PREVENTIVO N°",BDEGENER[[#This Row],[GA1]])</f>
        <v>MANTENIMIENTO PREVENTIVO N°3</v>
      </c>
      <c r="BA684" s="85" t="str">
        <f>IF(BDEGENER[[#This Row],[SERVICIO]]=BDEGENER[[#This Row],[GA2]],BDEGENER[[#This Row],[HORAS]],"0")</f>
        <v>0</v>
      </c>
      <c r="BB684" s="85">
        <f>SUMIF(BDEGENER[SERIE],BDEGENER[[#This Row],[SERIE]],BDEGENER[GA3])</f>
        <v>287150</v>
      </c>
      <c r="BC684" s="683" t="str">
        <f>CONCATENATE("MANT",COUNTIF($Y$7:Y684,Y684))</f>
        <v>MANT8</v>
      </c>
      <c r="BD684" s="85" t="str">
        <f>CONCATENATE(BDEGENER[[#This Row],[SERIE]],BDEGENER[[#This Row],[GA5]])</f>
        <v>C7A-736MANT8</v>
      </c>
      <c r="BE684" s="85" t="str">
        <f>CONCATENATE(BDEGENER[[#This Row],[CODIGO PATRIMONIAL]],BDEGENER[[#This Row],[GA5]])</f>
        <v>MANT8</v>
      </c>
      <c r="BF684" s="85">
        <f>COUNTIF(BDEGENER[SERIE],BDEGENER[[#This Row],[SERIE]])</f>
        <v>8</v>
      </c>
      <c r="BG684" s="683" t="str">
        <f>CONCATENATE("F",COUNTIF($K$7:K684,K684))</f>
        <v>F1</v>
      </c>
      <c r="BH684" s="85" t="str">
        <f>CONCATENATE(BDEGENER[[#This Row],[FECHA DE SERVICIO]],BDEGENER[[#This Row],[N° DE REGISTROS DEL DIA]])</f>
        <v>43839F1</v>
      </c>
      <c r="BI684" s="132"/>
      <c r="BJ684" s="85" t="s">
        <v>177</v>
      </c>
      <c r="BK684" s="680"/>
    </row>
    <row r="685" spans="2:63" ht="69" hidden="1" x14ac:dyDescent="0.3">
      <c r="B685" s="223"/>
      <c r="C685" s="223"/>
      <c r="D685" s="223"/>
      <c r="E685" s="223"/>
      <c r="F685" s="223"/>
      <c r="G685" s="223"/>
      <c r="H685" s="223"/>
      <c r="I685" s="223"/>
      <c r="J685" s="223"/>
      <c r="K685" s="723">
        <v>43839</v>
      </c>
      <c r="L685" s="15" t="s">
        <v>181</v>
      </c>
      <c r="M685" s="14" t="s">
        <v>188</v>
      </c>
      <c r="N685" s="14" t="s">
        <v>183</v>
      </c>
      <c r="O685" s="8" t="s">
        <v>159</v>
      </c>
      <c r="P685" s="15" t="s">
        <v>159</v>
      </c>
      <c r="Q685" s="14" t="s">
        <v>37</v>
      </c>
      <c r="R685" s="85" t="s">
        <v>1782</v>
      </c>
      <c r="S685" s="5" t="s">
        <v>1818</v>
      </c>
      <c r="T685" s="14" t="s">
        <v>86</v>
      </c>
      <c r="U685" s="14" t="s">
        <v>112</v>
      </c>
      <c r="V685" s="14" t="s">
        <v>146</v>
      </c>
      <c r="W685" s="85" t="s">
        <v>914</v>
      </c>
      <c r="X685" s="85" t="s">
        <v>918</v>
      </c>
      <c r="Y685" s="15">
        <v>3004290369</v>
      </c>
      <c r="Z685" s="14" t="s">
        <v>192</v>
      </c>
      <c r="AA685" s="14" t="s">
        <v>33</v>
      </c>
      <c r="AB685" s="85" t="s">
        <v>34</v>
      </c>
      <c r="AC685" s="14" t="s">
        <v>230</v>
      </c>
      <c r="AD685" s="16" t="s">
        <v>1110</v>
      </c>
      <c r="AE685" s="16">
        <v>60</v>
      </c>
      <c r="AF685" s="12">
        <v>105.9</v>
      </c>
      <c r="AG685" s="16" t="s">
        <v>243</v>
      </c>
      <c r="AH685" s="16" t="s">
        <v>220</v>
      </c>
      <c r="AI685" s="16" t="s">
        <v>33</v>
      </c>
      <c r="AJ685" s="16"/>
      <c r="AK685" s="16" t="s">
        <v>33</v>
      </c>
      <c r="AL685" s="16"/>
      <c r="AM685" s="16" t="s">
        <v>245</v>
      </c>
      <c r="AN685" s="16" t="s">
        <v>1143</v>
      </c>
      <c r="AO685" s="16" t="s">
        <v>1144</v>
      </c>
      <c r="AP685" s="14" t="s">
        <v>240</v>
      </c>
      <c r="AQ685" s="200" t="str">
        <f>CONCATENATE("REG-",BDEGENER[[#This Row],[FECHA DE SERVICIO]],"-",BDEGENER[[#This Row],[SERIE]],"-",BDEGENER[[#This Row],[HORAS]])</f>
        <v>REG-43839-3004290369-105,9</v>
      </c>
      <c r="AR685" s="5" t="str">
        <f>CONCATENATE("MARCA: ",BDEGENER[[#This Row],[MARCA]],"
 MODELO: ",BDEGENER[[#This Row],[MODELO]])</f>
        <v>MARCA: GENERAC
 MODELO: PG090</v>
      </c>
      <c r="AS685" s="5" t="str">
        <f>CONCATENATE("MARCA: ",BDEGENER[[#This Row],[MARCA DE MOTOR]],"
SERIE: ",BDEGENER[[#This Row],[SERIE DE MOTOR]])</f>
        <v xml:space="preserve">MARCA: GENERAC
SERIE: </v>
      </c>
      <c r="AT685" s="5" t="str">
        <f>CONCATENATE("MARCA: ",BDEGENER[[#This Row],[MARCA ALTERNADOR ]],"
SERIE: ",BDEGENER[[#This Row],[SERIE DE ALTERNADOR]])</f>
        <v xml:space="preserve">MARCA: GENERAC
SERIE: </v>
      </c>
      <c r="AU685" s="5" t="str">
        <f>CONCATENATE("HORAS: ",BDEGENER[[#This Row],[HORAS]],"
KW-HR: ",BDEGENER[[#This Row],[KW-HORA]],"
VOLT.BATERIA: ",BDEGENER[[#This Row],[VOLTAJE DE BATERIA]],"
TEMPERATURA: ",BDEGENER[[#This Row],[TEMPERATURA DE AGUA]],"
PRES. ACEITE: ",BDEGENER[[#This Row],[PRESION DE ACEITE]])</f>
        <v>HORAS: 105,9
KW-HR: 
VOLT.BATERIA: 13.6 V
TEMPERATURA: 197 °F
PRES. ACEITE: 59 PSI</v>
      </c>
      <c r="AV685" s="761">
        <f>COUNTIFS(Q685:Q2685,"MANTENIMIENTO CORRECTIVO",Y685:Y2685,BDEGENER[[#This Row],[SERIE]])</f>
        <v>1</v>
      </c>
      <c r="AW685" s="761">
        <f>COUNTIFS(Q685:Q2685,"MANTENIMIENTO PREVENTIVO",Y685:Y2685,BDEGENER[[#This Row],[SERIE]])</f>
        <v>1</v>
      </c>
      <c r="AX68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85" s="29">
        <f>COUNTIFS(BDEGENER[SERIE],BDEGENER[[#This Row],[SERIE]],BDEGENER[TIPO DE SERVICIO],"MANTENIMIENTO PREVENTIVO")</f>
        <v>7</v>
      </c>
      <c r="AZ685" s="29" t="str">
        <f>CONCATENATE("MANTENIMIENTO PREVENTIVO N°",BDEGENER[[#This Row],[GA1]])</f>
        <v>MANTENIMIENTO PREVENTIVO N°7</v>
      </c>
      <c r="BA685" s="325" t="str">
        <f>IF(BDEGENER[[#This Row],[SERVICIO]]=BDEGENER[[#This Row],[GA2]],BDEGENER[[#This Row],[HORAS]],"0")</f>
        <v>0</v>
      </c>
      <c r="BB685" s="325">
        <f>SUMIF(BDEGENER[SERIE],BDEGENER[[#This Row],[SERIE]],BDEGENER[GA3])</f>
        <v>2294</v>
      </c>
      <c r="BC685" s="761" t="str">
        <f>CONCATENATE("MANT",COUNTIF($Y$7:Y685,Y685))</f>
        <v>MANT9</v>
      </c>
      <c r="BD685" s="29" t="str">
        <f>CONCATENATE(BDEGENER[[#This Row],[SERIE]],BDEGENER[[#This Row],[GA5]])</f>
        <v>3004290369MANT9</v>
      </c>
      <c r="BE685" s="29" t="str">
        <f>CONCATENATE(BDEGENER[[#This Row],[CODIGO PATRIMONIAL]],BDEGENER[[#This Row],[GA5]])</f>
        <v xml:space="preserve"> MANT9</v>
      </c>
      <c r="BF685" s="16">
        <f>COUNTIF(BDEGENER[SERIE],BDEGENER[[#This Row],[SERIE]])</f>
        <v>11</v>
      </c>
      <c r="BG685" s="761" t="str">
        <f>CONCATENATE("F",COUNTIF($K$7:K685,K685))</f>
        <v>F2</v>
      </c>
      <c r="BH685" s="325" t="str">
        <f>CONCATENATE(BDEGENER[[#This Row],[FECHA DE SERVICIO]],BDEGENER[[#This Row],[N° DE REGISTROS DEL DIA]])</f>
        <v>43839F2</v>
      </c>
      <c r="BI685" s="324"/>
      <c r="BJ685" s="85" t="s">
        <v>1544</v>
      </c>
      <c r="BK685" s="326"/>
    </row>
    <row r="686" spans="2:63" ht="69" hidden="1" x14ac:dyDescent="0.3">
      <c r="B686" s="223"/>
      <c r="C686" s="223"/>
      <c r="D686" s="223"/>
      <c r="E686" s="223"/>
      <c r="F686" s="223"/>
      <c r="G686" s="223"/>
      <c r="H686" s="223"/>
      <c r="I686" s="223"/>
      <c r="J686" s="223"/>
      <c r="K686" s="723">
        <v>43839</v>
      </c>
      <c r="L686" s="15" t="s">
        <v>181</v>
      </c>
      <c r="M686" s="14" t="s">
        <v>188</v>
      </c>
      <c r="N686" s="14" t="s">
        <v>183</v>
      </c>
      <c r="O686" s="8" t="s">
        <v>159</v>
      </c>
      <c r="P686" s="15" t="s">
        <v>159</v>
      </c>
      <c r="Q686" s="14" t="s">
        <v>37</v>
      </c>
      <c r="R686" s="85" t="s">
        <v>1782</v>
      </c>
      <c r="S686" s="5" t="s">
        <v>1818</v>
      </c>
      <c r="T686" s="14" t="s">
        <v>86</v>
      </c>
      <c r="U686" s="14" t="s">
        <v>112</v>
      </c>
      <c r="V686" s="14" t="s">
        <v>146</v>
      </c>
      <c r="W686" s="85" t="s">
        <v>914</v>
      </c>
      <c r="X686" s="85" t="s">
        <v>918</v>
      </c>
      <c r="Y686" s="15">
        <v>3004235514</v>
      </c>
      <c r="Z686" s="14" t="s">
        <v>192</v>
      </c>
      <c r="AA686" s="14" t="s">
        <v>33</v>
      </c>
      <c r="AB686" s="85" t="s">
        <v>34</v>
      </c>
      <c r="AC686" s="14" t="s">
        <v>230</v>
      </c>
      <c r="AD686" s="16" t="s">
        <v>1110</v>
      </c>
      <c r="AE686" s="16">
        <v>60</v>
      </c>
      <c r="AF686" s="12">
        <v>129.9</v>
      </c>
      <c r="AG686" s="16" t="s">
        <v>243</v>
      </c>
      <c r="AH686" s="16" t="s">
        <v>220</v>
      </c>
      <c r="AI686" s="16" t="s">
        <v>33</v>
      </c>
      <c r="AJ686" s="16"/>
      <c r="AK686" s="85" t="s">
        <v>33</v>
      </c>
      <c r="AL686" s="16"/>
      <c r="AM686" s="16">
        <v>13.7</v>
      </c>
      <c r="AN686" s="16" t="s">
        <v>1122</v>
      </c>
      <c r="AO686" s="16" t="s">
        <v>1144</v>
      </c>
      <c r="AP686" s="14" t="s">
        <v>240</v>
      </c>
      <c r="AQ686" s="200" t="str">
        <f>CONCATENATE("REG-",BDEGENER[[#This Row],[FECHA DE SERVICIO]],"-",BDEGENER[[#This Row],[SERIE]],"-",BDEGENER[[#This Row],[HORAS]])</f>
        <v>REG-43839-3004235514-129,9</v>
      </c>
      <c r="AR686" s="5" t="str">
        <f>CONCATENATE("MARCA: ",BDEGENER[[#This Row],[MARCA]],"
 MODELO: ",BDEGENER[[#This Row],[MODELO]])</f>
        <v>MARCA: GENERAC
 MODELO: PG090</v>
      </c>
      <c r="AS686" s="5" t="str">
        <f>CONCATENATE("MARCA: ",BDEGENER[[#This Row],[MARCA DE MOTOR]],"
SERIE: ",BDEGENER[[#This Row],[SERIE DE MOTOR]])</f>
        <v xml:space="preserve">MARCA: GENERAC
SERIE: </v>
      </c>
      <c r="AT686" s="5" t="str">
        <f>CONCATENATE("MARCA: ",BDEGENER[[#This Row],[MARCA ALTERNADOR ]],"
SERIE: ",BDEGENER[[#This Row],[SERIE DE ALTERNADOR]])</f>
        <v xml:space="preserve">MARCA: GENERAC
SERIE: </v>
      </c>
      <c r="AU686" s="5" t="str">
        <f>CONCATENATE("HORAS: ",BDEGENER[[#This Row],[HORAS]],"
KW-HR: ",BDEGENER[[#This Row],[KW-HORA]],"
VOLT.BATERIA: ",BDEGENER[[#This Row],[VOLTAJE DE BATERIA]],"
TEMPERATURA: ",BDEGENER[[#This Row],[TEMPERATURA DE AGUA]],"
PRES. ACEITE: ",BDEGENER[[#This Row],[PRESION DE ACEITE]])</f>
        <v>HORAS: 129,9
KW-HR: 
VOLT.BATERIA: 13,7
TEMPERATURA: 195 °F
PRES. ACEITE: 59 PSI</v>
      </c>
      <c r="AV686" s="683">
        <f>COUNTIFS(Q686:Q2686,"MANTENIMIENTO CORRECTIVO",Y686:Y2686,BDEGENER[[#This Row],[SERIE]])</f>
        <v>1</v>
      </c>
      <c r="AW686" s="683">
        <f>COUNTIFS(Q686:Q2686,"MANTENIMIENTO PREVENTIVO",Y686:Y2686,BDEGENER[[#This Row],[SERIE]])</f>
        <v>1</v>
      </c>
      <c r="AX68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86" s="29">
        <f>COUNTIFS(BDEGENER[SERIE],BDEGENER[[#This Row],[SERIE]],BDEGENER[TIPO DE SERVICIO],"MANTENIMIENTO PREVENTIVO")</f>
        <v>7</v>
      </c>
      <c r="AZ686" s="29" t="str">
        <f>CONCATENATE("MANTENIMIENTO PREVENTIVO N°",BDEGENER[[#This Row],[GA1]])</f>
        <v>MANTENIMIENTO PREVENTIVO N°7</v>
      </c>
      <c r="BA686" s="325" t="str">
        <f>IF(BDEGENER[[#This Row],[SERVICIO]]=BDEGENER[[#This Row],[GA2]],BDEGENER[[#This Row],[HORAS]],"0")</f>
        <v>0</v>
      </c>
      <c r="BB686" s="325">
        <f>SUMIF(BDEGENER[SERIE],BDEGENER[[#This Row],[SERIE]],BDEGENER[GA3])</f>
        <v>2044.9</v>
      </c>
      <c r="BC686" s="683" t="str">
        <f>CONCATENATE("MANT",COUNTIF($Y$7:Y686,Y686))</f>
        <v>MANT8</v>
      </c>
      <c r="BD686" s="29" t="str">
        <f>CONCATENATE(BDEGENER[[#This Row],[SERIE]],BDEGENER[[#This Row],[GA5]])</f>
        <v>3004235514MANT8</v>
      </c>
      <c r="BE686" s="29" t="str">
        <f>CONCATENATE(BDEGENER[[#This Row],[CODIGO PATRIMONIAL]],BDEGENER[[#This Row],[GA5]])</f>
        <v xml:space="preserve"> MANT8</v>
      </c>
      <c r="BF686" s="16">
        <f>COUNTIF(BDEGENER[SERIE],BDEGENER[[#This Row],[SERIE]])</f>
        <v>10</v>
      </c>
      <c r="BG686" s="683" t="str">
        <f>CONCATENATE("F",COUNTIF($K$7:K686,K686))</f>
        <v>F3</v>
      </c>
      <c r="BH686" s="325" t="str">
        <f>CONCATENATE(BDEGENER[[#This Row],[FECHA DE SERVICIO]],BDEGENER[[#This Row],[N° DE REGISTROS DEL DIA]])</f>
        <v>43839F3</v>
      </c>
      <c r="BI686" s="324"/>
      <c r="BJ686" s="85" t="s">
        <v>1544</v>
      </c>
      <c r="BK686" s="326"/>
    </row>
    <row r="687" spans="2:63" ht="69" hidden="1" x14ac:dyDescent="0.3">
      <c r="B687" s="223"/>
      <c r="C687" s="223"/>
      <c r="D687" s="223"/>
      <c r="E687" s="223"/>
      <c r="F687" s="223"/>
      <c r="G687" s="223"/>
      <c r="H687" s="223"/>
      <c r="I687" s="223"/>
      <c r="J687" s="223"/>
      <c r="K687" s="723">
        <v>43839</v>
      </c>
      <c r="L687" s="15" t="s">
        <v>181</v>
      </c>
      <c r="M687" s="14" t="s">
        <v>188</v>
      </c>
      <c r="N687" s="14" t="s">
        <v>183</v>
      </c>
      <c r="O687" s="8" t="s">
        <v>159</v>
      </c>
      <c r="P687" s="15" t="s">
        <v>159</v>
      </c>
      <c r="Q687" s="14" t="s">
        <v>37</v>
      </c>
      <c r="R687" s="85" t="s">
        <v>1782</v>
      </c>
      <c r="S687" s="5" t="s">
        <v>1818</v>
      </c>
      <c r="T687" s="14" t="s">
        <v>86</v>
      </c>
      <c r="U687" s="14" t="s">
        <v>112</v>
      </c>
      <c r="V687" s="14" t="s">
        <v>146</v>
      </c>
      <c r="W687" s="85" t="s">
        <v>914</v>
      </c>
      <c r="X687" s="85" t="s">
        <v>918</v>
      </c>
      <c r="Y687" s="15">
        <v>3004290364</v>
      </c>
      <c r="Z687" s="14" t="s">
        <v>192</v>
      </c>
      <c r="AA687" s="14" t="s">
        <v>33</v>
      </c>
      <c r="AB687" s="85" t="s">
        <v>34</v>
      </c>
      <c r="AC687" s="14" t="s">
        <v>230</v>
      </c>
      <c r="AD687" s="16" t="s">
        <v>1110</v>
      </c>
      <c r="AE687" s="16">
        <v>60</v>
      </c>
      <c r="AF687" s="12">
        <v>132.4</v>
      </c>
      <c r="AG687" s="16" t="s">
        <v>243</v>
      </c>
      <c r="AH687" s="16" t="s">
        <v>220</v>
      </c>
      <c r="AI687" s="16" t="s">
        <v>33</v>
      </c>
      <c r="AJ687" s="85">
        <v>3004301038</v>
      </c>
      <c r="AK687" s="16" t="s">
        <v>33</v>
      </c>
      <c r="AL687" s="85">
        <v>1063018</v>
      </c>
      <c r="AM687" s="16" t="s">
        <v>1121</v>
      </c>
      <c r="AN687" s="16" t="s">
        <v>246</v>
      </c>
      <c r="AO687" s="16" t="s">
        <v>1146</v>
      </c>
      <c r="AP687" s="14" t="s">
        <v>240</v>
      </c>
      <c r="AQ687" s="200" t="str">
        <f>CONCATENATE("REG-",BDEGENER[[#This Row],[FECHA DE SERVICIO]],"-",BDEGENER[[#This Row],[SERIE]],"-",BDEGENER[[#This Row],[HORAS]])</f>
        <v>REG-43839-3004290364-132,4</v>
      </c>
      <c r="AR687" s="5" t="str">
        <f>CONCATENATE("MARCA: ",BDEGENER[[#This Row],[MARCA]],"
 MODELO: ",BDEGENER[[#This Row],[MODELO]])</f>
        <v>MARCA: GENERAC
 MODELO: PG090</v>
      </c>
      <c r="AS687" s="5" t="str">
        <f>CONCATENATE("MARCA: ",BDEGENER[[#This Row],[MARCA DE MOTOR]],"
SERIE: ",BDEGENER[[#This Row],[SERIE DE MOTOR]])</f>
        <v>MARCA: GENERAC
SERIE: 3004301038</v>
      </c>
      <c r="AT687" s="5" t="str">
        <f>CONCATENATE("MARCA: ",BDEGENER[[#This Row],[MARCA ALTERNADOR ]],"
SERIE: ",BDEGENER[[#This Row],[SERIE DE ALTERNADOR]])</f>
        <v>MARCA: GENERAC
SERIE: 1063018</v>
      </c>
      <c r="AU687" s="5" t="str">
        <f>CONCATENATE("HORAS: ",BDEGENER[[#This Row],[HORAS]],"
KW-HR: ",BDEGENER[[#This Row],[KW-HORA]],"
VOLT.BATERIA: ",BDEGENER[[#This Row],[VOLTAJE DE BATERIA]],"
TEMPERATURA: ",BDEGENER[[#This Row],[TEMPERATURA DE AGUA]],"
PRES. ACEITE: ",BDEGENER[[#This Row],[PRESION DE ACEITE]])</f>
        <v>HORAS: 132,4
KW-HR: 
VOLT.BATERIA: 13.7 V
TEMPERATURA: 198 °F
PRES. ACEITE: 62 PSI</v>
      </c>
      <c r="AV687" s="683">
        <f>COUNTIFS(Q687:Q2687,"MANTENIMIENTO CORRECTIVO",Y687:Y2687,BDEGENER[[#This Row],[SERIE]])</f>
        <v>1</v>
      </c>
      <c r="AW687" s="683">
        <f>COUNTIFS(Q687:Q2687,"MANTENIMIENTO PREVENTIVO",Y687:Y2687,BDEGENER[[#This Row],[SERIE]])</f>
        <v>1</v>
      </c>
      <c r="AX68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87" s="29">
        <f>COUNTIFS(BDEGENER[SERIE],BDEGENER[[#This Row],[SERIE]],BDEGENER[TIPO DE SERVICIO],"MANTENIMIENTO PREVENTIVO")</f>
        <v>3</v>
      </c>
      <c r="AZ687" s="29" t="str">
        <f>CONCATENATE("MANTENIMIENTO PREVENTIVO N°",BDEGENER[[#This Row],[GA1]])</f>
        <v>MANTENIMIENTO PREVENTIVO N°3</v>
      </c>
      <c r="BA687" s="325" t="str">
        <f>IF(BDEGENER[[#This Row],[SERVICIO]]=BDEGENER[[#This Row],[GA2]],BDEGENER[[#This Row],[HORAS]],"0")</f>
        <v>0</v>
      </c>
      <c r="BB687" s="325">
        <f>SUMIF(BDEGENER[SERIE],BDEGENER[[#This Row],[SERIE]],BDEGENER[GA3])</f>
        <v>941.5</v>
      </c>
      <c r="BC687" s="683" t="str">
        <f>CONCATENATE("MANT",COUNTIF($Y$7:Y687,Y687))</f>
        <v>MANT7</v>
      </c>
      <c r="BD687" s="29" t="str">
        <f>CONCATENATE(BDEGENER[[#This Row],[SERIE]],BDEGENER[[#This Row],[GA5]])</f>
        <v>3004290364MANT7</v>
      </c>
      <c r="BE687" s="29" t="str">
        <f>CONCATENATE(BDEGENER[[#This Row],[CODIGO PATRIMONIAL]],BDEGENER[[#This Row],[GA5]])</f>
        <v xml:space="preserve"> MANT7</v>
      </c>
      <c r="BF687" s="16">
        <f>COUNTIF(BDEGENER[SERIE],BDEGENER[[#This Row],[SERIE]])</f>
        <v>9</v>
      </c>
      <c r="BG687" s="683" t="str">
        <f>CONCATENATE("F",COUNTIF($K$7:K687,K687))</f>
        <v>F4</v>
      </c>
      <c r="BH687" s="325" t="str">
        <f>CONCATENATE(BDEGENER[[#This Row],[FECHA DE SERVICIO]],BDEGENER[[#This Row],[N° DE REGISTROS DEL DIA]])</f>
        <v>43839F4</v>
      </c>
      <c r="BI687" s="324"/>
      <c r="BJ687" s="85" t="s">
        <v>1544</v>
      </c>
      <c r="BK687" s="326"/>
    </row>
    <row r="688" spans="2:63" ht="69" hidden="1" x14ac:dyDescent="0.3">
      <c r="B688" s="223"/>
      <c r="C688" s="223"/>
      <c r="D688" s="223"/>
      <c r="E688" s="223"/>
      <c r="F688" s="223"/>
      <c r="G688" s="223"/>
      <c r="H688" s="223"/>
      <c r="I688" s="223"/>
      <c r="J688" s="223"/>
      <c r="K688" s="723">
        <v>43839</v>
      </c>
      <c r="L688" s="15" t="s">
        <v>181</v>
      </c>
      <c r="M688" s="14" t="s">
        <v>188</v>
      </c>
      <c r="N688" s="14" t="s">
        <v>183</v>
      </c>
      <c r="O688" s="8" t="s">
        <v>159</v>
      </c>
      <c r="P688" s="15" t="s">
        <v>159</v>
      </c>
      <c r="Q688" s="14" t="s">
        <v>37</v>
      </c>
      <c r="R688" s="85" t="s">
        <v>1782</v>
      </c>
      <c r="S688" s="5" t="s">
        <v>1818</v>
      </c>
      <c r="T688" s="14" t="s">
        <v>86</v>
      </c>
      <c r="U688" s="14" t="s">
        <v>112</v>
      </c>
      <c r="V688" s="14" t="s">
        <v>146</v>
      </c>
      <c r="W688" s="85" t="s">
        <v>914</v>
      </c>
      <c r="X688" s="85" t="s">
        <v>918</v>
      </c>
      <c r="Y688" s="15">
        <v>3004331707</v>
      </c>
      <c r="Z688" s="14" t="s">
        <v>192</v>
      </c>
      <c r="AA688" s="14" t="s">
        <v>33</v>
      </c>
      <c r="AB688" s="85" t="s">
        <v>34</v>
      </c>
      <c r="AC688" s="14" t="s">
        <v>230</v>
      </c>
      <c r="AD688" s="16" t="s">
        <v>1110</v>
      </c>
      <c r="AE688" s="16">
        <v>60</v>
      </c>
      <c r="AF688" s="12">
        <v>197.9</v>
      </c>
      <c r="AG688" s="16" t="s">
        <v>243</v>
      </c>
      <c r="AH688" s="16" t="s">
        <v>220</v>
      </c>
      <c r="AI688" s="16" t="s">
        <v>33</v>
      </c>
      <c r="AJ688" s="16">
        <v>3004308222</v>
      </c>
      <c r="AK688" s="16" t="s">
        <v>33</v>
      </c>
      <c r="AL688" s="16">
        <v>106304910</v>
      </c>
      <c r="AM688" s="16" t="s">
        <v>1121</v>
      </c>
      <c r="AN688" s="16" t="s">
        <v>246</v>
      </c>
      <c r="AO688" s="16" t="s">
        <v>1149</v>
      </c>
      <c r="AP688" s="14" t="s">
        <v>240</v>
      </c>
      <c r="AQ688" s="200" t="str">
        <f>CONCATENATE("REG-",BDEGENER[[#This Row],[FECHA DE SERVICIO]],"-",BDEGENER[[#This Row],[SERIE]],"-",BDEGENER[[#This Row],[HORAS]])</f>
        <v>REG-43839-3004331707-197,9</v>
      </c>
      <c r="AR688" s="5" t="str">
        <f>CONCATENATE("MARCA: ",BDEGENER[[#This Row],[MARCA]],"
 MODELO: ",BDEGENER[[#This Row],[MODELO]])</f>
        <v>MARCA: GENERAC
 MODELO: PG090</v>
      </c>
      <c r="AS688" s="5" t="str">
        <f>CONCATENATE("MARCA: ",BDEGENER[[#This Row],[MARCA DE MOTOR]],"
SERIE: ",BDEGENER[[#This Row],[SERIE DE MOTOR]])</f>
        <v>MARCA: GENERAC
SERIE: 3004308222</v>
      </c>
      <c r="AT688" s="5" t="str">
        <f>CONCATENATE("MARCA: ",BDEGENER[[#This Row],[MARCA ALTERNADOR ]],"
SERIE: ",BDEGENER[[#This Row],[SERIE DE ALTERNADOR]])</f>
        <v>MARCA: GENERAC
SERIE: 106304910</v>
      </c>
      <c r="AU688" s="5" t="str">
        <f>CONCATENATE("HORAS: ",BDEGENER[[#This Row],[HORAS]],"
KW-HR: ",BDEGENER[[#This Row],[KW-HORA]],"
VOLT.BATERIA: ",BDEGENER[[#This Row],[VOLTAJE DE BATERIA]],"
TEMPERATURA: ",BDEGENER[[#This Row],[TEMPERATURA DE AGUA]],"
PRES. ACEITE: ",BDEGENER[[#This Row],[PRESION DE ACEITE]])</f>
        <v>HORAS: 197,9
KW-HR: 
VOLT.BATERIA: 13.7 V
TEMPERATURA: 198 °F
PRES. ACEITE: 61 PSI</v>
      </c>
      <c r="AV688" s="761">
        <f>COUNTIFS(Q688:Q2688,"MANTENIMIENTO CORRECTIVO",Y688:Y2688,BDEGENER[[#This Row],[SERIE]])</f>
        <v>1</v>
      </c>
      <c r="AW688" s="761">
        <f>COUNTIFS(Q688:Q2688,"MANTENIMIENTO PREVENTIVO",Y688:Y2688,BDEGENER[[#This Row],[SERIE]])</f>
        <v>1</v>
      </c>
      <c r="AX68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88" s="29">
        <f>COUNTIFS(BDEGENER[SERIE],BDEGENER[[#This Row],[SERIE]],BDEGENER[TIPO DE SERVICIO],"MANTENIMIENTO PREVENTIVO")</f>
        <v>3</v>
      </c>
      <c r="AZ688" s="29" t="str">
        <f>CONCATENATE("MANTENIMIENTO PREVENTIVO N°",BDEGENER[[#This Row],[GA1]])</f>
        <v>MANTENIMIENTO PREVENTIVO N°3</v>
      </c>
      <c r="BA688" s="325" t="str">
        <f>IF(BDEGENER[[#This Row],[SERVICIO]]=BDEGENER[[#This Row],[GA2]],BDEGENER[[#This Row],[HORAS]],"0")</f>
        <v>0</v>
      </c>
      <c r="BB688" s="325">
        <f>SUMIF(BDEGENER[SERIE],BDEGENER[[#This Row],[SERIE]],BDEGENER[GA3])</f>
        <v>938</v>
      </c>
      <c r="BC688" s="761" t="str">
        <f>CONCATENATE("MANT",COUNTIF($Y$7:Y688,Y688))</f>
        <v>MANT6</v>
      </c>
      <c r="BD688" s="29" t="str">
        <f>CONCATENATE(BDEGENER[[#This Row],[SERIE]],BDEGENER[[#This Row],[GA5]])</f>
        <v>3004331707MANT6</v>
      </c>
      <c r="BE688" s="29" t="str">
        <f>CONCATENATE(BDEGENER[[#This Row],[CODIGO PATRIMONIAL]],BDEGENER[[#This Row],[GA5]])</f>
        <v xml:space="preserve"> MANT6</v>
      </c>
      <c r="BF688" s="16">
        <f>COUNTIF(BDEGENER[SERIE],BDEGENER[[#This Row],[SERIE]])</f>
        <v>8</v>
      </c>
      <c r="BG688" s="761" t="str">
        <f>CONCATENATE("F",COUNTIF($K$7:K688,K688))</f>
        <v>F5</v>
      </c>
      <c r="BH688" s="325" t="str">
        <f>CONCATENATE(BDEGENER[[#This Row],[FECHA DE SERVICIO]],BDEGENER[[#This Row],[N° DE REGISTROS DEL DIA]])</f>
        <v>43839F5</v>
      </c>
      <c r="BI688" s="324"/>
      <c r="BJ688" s="85" t="s">
        <v>1544</v>
      </c>
      <c r="BK688" s="326"/>
    </row>
    <row r="689" spans="2:63" ht="69" hidden="1" x14ac:dyDescent="0.3">
      <c r="B689" s="223"/>
      <c r="C689" s="223"/>
      <c r="D689" s="223"/>
      <c r="E689" s="223"/>
      <c r="F689" s="223"/>
      <c r="G689" s="223"/>
      <c r="H689" s="223"/>
      <c r="I689" s="223"/>
      <c r="J689" s="223"/>
      <c r="K689" s="723">
        <v>43838</v>
      </c>
      <c r="L689" s="15" t="s">
        <v>181</v>
      </c>
      <c r="M689" s="14" t="s">
        <v>189</v>
      </c>
      <c r="N689" s="14" t="s">
        <v>946</v>
      </c>
      <c r="O689" s="8" t="s">
        <v>159</v>
      </c>
      <c r="P689" s="200" t="s">
        <v>171</v>
      </c>
      <c r="Q689" s="14" t="s">
        <v>37</v>
      </c>
      <c r="R689" s="85" t="s">
        <v>1782</v>
      </c>
      <c r="S689" s="5" t="s">
        <v>1801</v>
      </c>
      <c r="T689" s="85" t="s">
        <v>1782</v>
      </c>
      <c r="U689" s="14" t="s">
        <v>117</v>
      </c>
      <c r="V689" s="14" t="s">
        <v>148</v>
      </c>
      <c r="W689" s="85" t="s">
        <v>914</v>
      </c>
      <c r="X689" s="85" t="s">
        <v>918</v>
      </c>
      <c r="Y689" s="15">
        <v>3004331709</v>
      </c>
      <c r="Z689" s="14"/>
      <c r="AA689" s="14" t="s">
        <v>33</v>
      </c>
      <c r="AB689" s="85" t="s">
        <v>34</v>
      </c>
      <c r="AC689" s="14" t="s">
        <v>230</v>
      </c>
      <c r="AD689" s="16" t="s">
        <v>1110</v>
      </c>
      <c r="AE689" s="16">
        <v>60</v>
      </c>
      <c r="AF689" s="12">
        <v>1001.9</v>
      </c>
      <c r="AG689" s="16" t="s">
        <v>243</v>
      </c>
      <c r="AH689" s="16" t="s">
        <v>220</v>
      </c>
      <c r="AI689" s="16" t="s">
        <v>33</v>
      </c>
      <c r="AJ689" s="16"/>
      <c r="AK689" s="16" t="s">
        <v>33</v>
      </c>
      <c r="AL689" s="85">
        <v>106302870</v>
      </c>
      <c r="AM689" s="16" t="s">
        <v>1094</v>
      </c>
      <c r="AN689" s="16" t="s">
        <v>1122</v>
      </c>
      <c r="AO689" s="16" t="s">
        <v>1318</v>
      </c>
      <c r="AP689" s="14" t="s">
        <v>240</v>
      </c>
      <c r="AQ689" s="200" t="str">
        <f>CONCATENATE("REG-",BDEGENER[[#This Row],[FECHA DE SERVICIO]],"-",BDEGENER[[#This Row],[SERIE]],"-",BDEGENER[[#This Row],[HORAS]])</f>
        <v>REG-43838-3004331709-1001,9</v>
      </c>
      <c r="AR689" s="5" t="str">
        <f>CONCATENATE("MARCA: ",BDEGENER[[#This Row],[MARCA]],"
 MODELO: ",BDEGENER[[#This Row],[MODELO]])</f>
        <v>MARCA: GENERAC
 MODELO: PG090</v>
      </c>
      <c r="AS689" s="5" t="str">
        <f>CONCATENATE("MARCA: ",BDEGENER[[#This Row],[MARCA DE MOTOR]],"
SERIE: ",BDEGENER[[#This Row],[SERIE DE MOTOR]])</f>
        <v xml:space="preserve">MARCA: GENERAC
SERIE: </v>
      </c>
      <c r="AT689" s="5" t="str">
        <f>CONCATENATE("MARCA: ",BDEGENER[[#This Row],[MARCA ALTERNADOR ]],"
SERIE: ",BDEGENER[[#This Row],[SERIE DE ALTERNADOR]])</f>
        <v>MARCA: GENERAC
SERIE: 106302870</v>
      </c>
      <c r="AU689" s="5" t="str">
        <f>CONCATENATE("HORAS: ",BDEGENER[[#This Row],[HORAS]],"
KW-HR: ",BDEGENER[[#This Row],[KW-HORA]],"
VOLT.BATERIA: ",BDEGENER[[#This Row],[VOLTAJE DE BATERIA]],"
TEMPERATURA: ",BDEGENER[[#This Row],[TEMPERATURA DE AGUA]],"
PRES. ACEITE: ",BDEGENER[[#This Row],[PRESION DE ACEITE]])</f>
        <v>HORAS: 1001,9
KW-HR: 
VOLT.BATERIA: 13.5 V
TEMPERATURA: 195 °F
PRES. ACEITE: 58 PSI</v>
      </c>
      <c r="AV689" s="683">
        <f>COUNTIFS(Q689:Q2689,"MANTENIMIENTO CORRECTIVO",Y689:Y2689,BDEGENER[[#This Row],[SERIE]])</f>
        <v>1</v>
      </c>
      <c r="AW689" s="683">
        <f>COUNTIFS(Q689:Q2689,"MANTENIMIENTO PREVENTIVO",Y689:Y2689,BDEGENER[[#This Row],[SERIE]])</f>
        <v>3</v>
      </c>
      <c r="AX68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89" s="29">
        <f>COUNTIFS(BDEGENER[SERIE],BDEGENER[[#This Row],[SERIE]],BDEGENER[TIPO DE SERVICIO],"MANTENIMIENTO PREVENTIVO")</f>
        <v>7</v>
      </c>
      <c r="AZ689" s="29" t="str">
        <f>CONCATENATE("MANTENIMIENTO PREVENTIVO N°",BDEGENER[[#This Row],[GA1]])</f>
        <v>MANTENIMIENTO PREVENTIVO N°7</v>
      </c>
      <c r="BA689" s="325" t="str">
        <f>IF(BDEGENER[[#This Row],[SERVICIO]]=BDEGENER[[#This Row],[GA2]],BDEGENER[[#This Row],[HORAS]],"0")</f>
        <v>0</v>
      </c>
      <c r="BB689" s="325">
        <f>SUMIF(BDEGENER[SERIE],BDEGENER[[#This Row],[SERIE]],BDEGENER[GA3])</f>
        <v>2248.5</v>
      </c>
      <c r="BC689" s="683" t="str">
        <f>CONCATENATE("MANT",COUNTIF($Y$7:Y689,Y689))</f>
        <v>MANT7</v>
      </c>
      <c r="BD689" s="29" t="str">
        <f>CONCATENATE(BDEGENER[[#This Row],[SERIE]],BDEGENER[[#This Row],[GA5]])</f>
        <v>3004331709MANT7</v>
      </c>
      <c r="BE689" s="29" t="str">
        <f>CONCATENATE(BDEGENER[[#This Row],[CODIGO PATRIMONIAL]],BDEGENER[[#This Row],[GA5]])</f>
        <v>MANT7</v>
      </c>
      <c r="BF689" s="16">
        <f>COUNTIF(BDEGENER[SERIE],BDEGENER[[#This Row],[SERIE]])</f>
        <v>11</v>
      </c>
      <c r="BG689" s="683" t="str">
        <f>CONCATENATE("F",COUNTIF($K$7:K689,K689))</f>
        <v>F1</v>
      </c>
      <c r="BH689" s="325" t="str">
        <f>CONCATENATE(BDEGENER[[#This Row],[FECHA DE SERVICIO]],BDEGENER[[#This Row],[N° DE REGISTROS DEL DIA]])</f>
        <v>43838F1</v>
      </c>
      <c r="BI689" s="324"/>
      <c r="BJ689" s="85" t="s">
        <v>1544</v>
      </c>
      <c r="BK689" s="326"/>
    </row>
    <row r="690" spans="2:63" ht="69" hidden="1" x14ac:dyDescent="0.3">
      <c r="B690" s="223"/>
      <c r="C690" s="223"/>
      <c r="D690" s="223"/>
      <c r="E690" s="223"/>
      <c r="F690" s="223"/>
      <c r="G690" s="223"/>
      <c r="H690" s="223"/>
      <c r="I690" s="223"/>
      <c r="J690" s="223"/>
      <c r="K690" s="723">
        <v>43838</v>
      </c>
      <c r="L690" s="15" t="s">
        <v>181</v>
      </c>
      <c r="M690" s="14" t="s">
        <v>189</v>
      </c>
      <c r="N690" s="14" t="s">
        <v>946</v>
      </c>
      <c r="O690" s="8" t="s">
        <v>159</v>
      </c>
      <c r="P690" s="200" t="s">
        <v>171</v>
      </c>
      <c r="Q690" s="14" t="s">
        <v>37</v>
      </c>
      <c r="R690" s="85" t="s">
        <v>1782</v>
      </c>
      <c r="S690" s="5" t="s">
        <v>2013</v>
      </c>
      <c r="T690" s="85" t="s">
        <v>1782</v>
      </c>
      <c r="U690" s="14" t="s">
        <v>2014</v>
      </c>
      <c r="V690" s="14" t="s">
        <v>148</v>
      </c>
      <c r="W690" s="85" t="s">
        <v>914</v>
      </c>
      <c r="X690" s="85" t="s">
        <v>918</v>
      </c>
      <c r="Y690" s="15">
        <v>3004331705</v>
      </c>
      <c r="Z690" s="14"/>
      <c r="AA690" s="14" t="s">
        <v>33</v>
      </c>
      <c r="AB690" s="85" t="s">
        <v>34</v>
      </c>
      <c r="AC690" s="14" t="s">
        <v>230</v>
      </c>
      <c r="AD690" s="16" t="s">
        <v>1110</v>
      </c>
      <c r="AE690" s="16">
        <v>60</v>
      </c>
      <c r="AF690" s="12">
        <v>1018.1</v>
      </c>
      <c r="AG690" s="16" t="s">
        <v>243</v>
      </c>
      <c r="AH690" s="16" t="s">
        <v>220</v>
      </c>
      <c r="AI690" s="16" t="s">
        <v>33</v>
      </c>
      <c r="AJ690" s="85">
        <v>3004333867</v>
      </c>
      <c r="AK690" s="16" t="s">
        <v>33</v>
      </c>
      <c r="AL690" s="16"/>
      <c r="AM690" s="16" t="s">
        <v>1121</v>
      </c>
      <c r="AN690" s="16" t="s">
        <v>1352</v>
      </c>
      <c r="AO690" s="16" t="s">
        <v>1144</v>
      </c>
      <c r="AP690" s="14" t="s">
        <v>240</v>
      </c>
      <c r="AQ690" s="200" t="str">
        <f>CONCATENATE("REG-",BDEGENER[[#This Row],[FECHA DE SERVICIO]],"-",BDEGENER[[#This Row],[SERIE]],"-",BDEGENER[[#This Row],[HORAS]])</f>
        <v>REG-43838-3004331705-1018,1</v>
      </c>
      <c r="AR690" s="5" t="str">
        <f>CONCATENATE("MARCA: ",BDEGENER[[#This Row],[MARCA]],"
 MODELO: ",BDEGENER[[#This Row],[MODELO]])</f>
        <v>MARCA: GENERAC
 MODELO: PG090</v>
      </c>
      <c r="AS690" s="5" t="str">
        <f>CONCATENATE("MARCA: ",BDEGENER[[#This Row],[MARCA DE MOTOR]],"
SERIE: ",BDEGENER[[#This Row],[SERIE DE MOTOR]])</f>
        <v>MARCA: GENERAC
SERIE: 3004333867</v>
      </c>
      <c r="AT690" s="5" t="str">
        <f>CONCATENATE("MARCA: ",BDEGENER[[#This Row],[MARCA ALTERNADOR ]],"
SERIE: ",BDEGENER[[#This Row],[SERIE DE ALTERNADOR]])</f>
        <v xml:space="preserve">MARCA: GENERAC
SERIE: </v>
      </c>
      <c r="AU690" s="5" t="str">
        <f>CONCATENATE("HORAS: ",BDEGENER[[#This Row],[HORAS]],"
KW-HR: ",BDEGENER[[#This Row],[KW-HORA]],"
VOLT.BATERIA: ",BDEGENER[[#This Row],[VOLTAJE DE BATERIA]],"
TEMPERATURA: ",BDEGENER[[#This Row],[TEMPERATURA DE AGUA]],"
PRES. ACEITE: ",BDEGENER[[#This Row],[PRESION DE ACEITE]])</f>
        <v>HORAS: 1018,1
KW-HR: 
VOLT.BATERIA: 13.7 V
TEMPERATURA: 196 °F
PRES. ACEITE: 59 PSI</v>
      </c>
      <c r="AV690" s="683">
        <f>COUNTIFS(Q690:Q2690,"MANTENIMIENTO CORRECTIVO",Y690:Y2690,BDEGENER[[#This Row],[SERIE]])</f>
        <v>1</v>
      </c>
      <c r="AW690" s="683">
        <f>COUNTIFS(Q690:Q2690,"MANTENIMIENTO PREVENTIVO",Y690:Y2690,BDEGENER[[#This Row],[SERIE]])</f>
        <v>3</v>
      </c>
      <c r="AX69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690" s="29">
        <f>COUNTIFS(BDEGENER[SERIE],BDEGENER[[#This Row],[SERIE]],BDEGENER[TIPO DE SERVICIO],"MANTENIMIENTO PREVENTIVO")</f>
        <v>8</v>
      </c>
      <c r="AZ690" s="29" t="str">
        <f>CONCATENATE("MANTENIMIENTO PREVENTIVO N°",BDEGENER[[#This Row],[GA1]])</f>
        <v>MANTENIMIENTO PREVENTIVO N°8</v>
      </c>
      <c r="BA690" s="325" t="str">
        <f>IF(BDEGENER[[#This Row],[SERVICIO]]=BDEGENER[[#This Row],[GA2]],BDEGENER[[#This Row],[HORAS]],"0")</f>
        <v>0</v>
      </c>
      <c r="BB690" s="325">
        <f>SUMIF(BDEGENER[SERIE],BDEGENER[[#This Row],[SERIE]],BDEGENER[GA3])</f>
        <v>2381.3000000000002</v>
      </c>
      <c r="BC690" s="683" t="str">
        <f>CONCATENATE("MANT",COUNTIF($Y$7:Y690,Y690))</f>
        <v>MANT6</v>
      </c>
      <c r="BD690" s="29" t="str">
        <f>CONCATENATE(BDEGENER[[#This Row],[SERIE]],BDEGENER[[#This Row],[GA5]])</f>
        <v>3004331705MANT6</v>
      </c>
      <c r="BE690" s="29" t="str">
        <f>CONCATENATE(BDEGENER[[#This Row],[CODIGO PATRIMONIAL]],BDEGENER[[#This Row],[GA5]])</f>
        <v>MANT6</v>
      </c>
      <c r="BF690" s="16">
        <f>COUNTIF(BDEGENER[SERIE],BDEGENER[[#This Row],[SERIE]])</f>
        <v>10</v>
      </c>
      <c r="BG690" s="683" t="str">
        <f>CONCATENATE("F",COUNTIF($K$7:K690,K690))</f>
        <v>F2</v>
      </c>
      <c r="BH690" s="325" t="str">
        <f>CONCATENATE(BDEGENER[[#This Row],[FECHA DE SERVICIO]],BDEGENER[[#This Row],[N° DE REGISTROS DEL DIA]])</f>
        <v>43838F2</v>
      </c>
      <c r="BI690" s="324"/>
      <c r="BJ690" s="85" t="s">
        <v>1544</v>
      </c>
      <c r="BK690" s="326"/>
    </row>
    <row r="691" spans="2:63" ht="69" hidden="1" x14ac:dyDescent="0.3">
      <c r="B691" s="32"/>
      <c r="C691" s="32"/>
      <c r="D691" s="32"/>
      <c r="E691" s="32"/>
      <c r="F691" s="32"/>
      <c r="G691" s="32"/>
      <c r="H691" s="32"/>
      <c r="I691" s="32"/>
      <c r="J691" s="32"/>
      <c r="K691" s="36">
        <v>43838</v>
      </c>
      <c r="L691" s="18" t="s">
        <v>248</v>
      </c>
      <c r="M691" s="22" t="s">
        <v>249</v>
      </c>
      <c r="N691" s="22" t="s">
        <v>250</v>
      </c>
      <c r="O691" s="22" t="s">
        <v>159</v>
      </c>
      <c r="P691" s="200" t="s">
        <v>306</v>
      </c>
      <c r="Q691" s="22" t="s">
        <v>37</v>
      </c>
      <c r="R691" s="85" t="s">
        <v>1782</v>
      </c>
      <c r="S691" s="5" t="s">
        <v>1818</v>
      </c>
      <c r="T691" s="85" t="s">
        <v>1782</v>
      </c>
      <c r="U691" s="24" t="s">
        <v>1819</v>
      </c>
      <c r="V691" s="24" t="s">
        <v>148</v>
      </c>
      <c r="W691" s="85" t="s">
        <v>914</v>
      </c>
      <c r="X691" s="85" t="s">
        <v>918</v>
      </c>
      <c r="Y691" s="31">
        <v>3005005010</v>
      </c>
      <c r="Z691" s="85">
        <v>24547</v>
      </c>
      <c r="AA691" s="16" t="s">
        <v>33</v>
      </c>
      <c r="AB691" s="85" t="s">
        <v>34</v>
      </c>
      <c r="AC691" s="22" t="s">
        <v>230</v>
      </c>
      <c r="AD691" s="16" t="s">
        <v>1123</v>
      </c>
      <c r="AE691" s="16">
        <v>60</v>
      </c>
      <c r="AF691" s="26">
        <v>396.1</v>
      </c>
      <c r="AG691" s="85" t="s">
        <v>243</v>
      </c>
      <c r="AH691" s="85" t="s">
        <v>220</v>
      </c>
      <c r="AI691" s="16" t="s">
        <v>33</v>
      </c>
      <c r="AJ691" s="16">
        <v>3005065416</v>
      </c>
      <c r="AK691" s="16" t="s">
        <v>33</v>
      </c>
      <c r="AL691" s="16"/>
      <c r="AM691" s="16" t="s">
        <v>245</v>
      </c>
      <c r="AN691" s="16" t="s">
        <v>1122</v>
      </c>
      <c r="AO691" s="16" t="s">
        <v>1427</v>
      </c>
      <c r="AP691" s="22" t="s">
        <v>240</v>
      </c>
      <c r="AQ691" s="200" t="str">
        <f>CONCATENATE("REG-",BDEGENER[[#This Row],[FECHA DE SERVICIO]],"-",BDEGENER[[#This Row],[SERIE]],"-",BDEGENER[[#This Row],[HORAS]])</f>
        <v>REG-43838-3005005010-396,1</v>
      </c>
      <c r="AR691" s="5" t="str">
        <f>CONCATENATE("MARCA: ",BDEGENER[[#This Row],[MARCA]],"
 MODELO: ",BDEGENER[[#This Row],[MODELO]])</f>
        <v>MARCA: GENERAC
 MODELO: PG090</v>
      </c>
      <c r="AS691" s="5" t="str">
        <f>CONCATENATE("MARCA: ",BDEGENER[[#This Row],[MARCA DE MOTOR]],"
SERIE: ",BDEGENER[[#This Row],[SERIE DE MOTOR]])</f>
        <v>MARCA: GENERAC
SERIE: 3005065416</v>
      </c>
      <c r="AT691" s="5" t="str">
        <f>CONCATENATE("MARCA: ",BDEGENER[[#This Row],[MARCA ALTERNADOR ]],"
SERIE: ",BDEGENER[[#This Row],[SERIE DE ALTERNADOR]])</f>
        <v xml:space="preserve">MARCA: GENERAC
SERIE: </v>
      </c>
      <c r="AU691" s="5" t="str">
        <f>CONCATENATE("HORAS: ",BDEGENER[[#This Row],[HORAS]],"
KW-HR: ",BDEGENER[[#This Row],[KW-HORA]],"
VOLT.BATERIA: ",BDEGENER[[#This Row],[VOLTAJE DE BATERIA]],"
TEMPERATURA: ",BDEGENER[[#This Row],[TEMPERATURA DE AGUA]],"
PRES. ACEITE: ",BDEGENER[[#This Row],[PRESION DE ACEITE]])</f>
        <v>HORAS: 396,1
KW-HR: 22853
VOLT.BATERIA: 13.6 V
TEMPERATURA: 195 °F
PRES. ACEITE: 60 PSI</v>
      </c>
      <c r="AV691" s="761">
        <f>COUNTIFS(Q691:Q2691,"MANTENIMIENTO CORRECTIVO",Y691:Y2691,BDEGENER[[#This Row],[SERIE]])</f>
        <v>0</v>
      </c>
      <c r="AW691" s="761">
        <f>COUNTIFS(Q691:Q2691,"MANTENIMIENTO PREVENTIVO",Y691:Y2691,BDEGENER[[#This Row],[SERIE]])</f>
        <v>2</v>
      </c>
      <c r="AX69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91" s="325">
        <f>COUNTIFS(BDEGENER[SERIE],BDEGENER[[#This Row],[SERIE]],BDEGENER[TIPO DE SERVICIO],"MANTENIMIENTO PREVENTIVO")</f>
        <v>9</v>
      </c>
      <c r="AZ691" s="29" t="str">
        <f>CONCATENATE("MANTENIMIENTO PREVENTIVO N°",BDEGENER[[#This Row],[GA1]])</f>
        <v>MANTENIMIENTO PREVENTIVO N°9</v>
      </c>
      <c r="BA691" s="325" t="str">
        <f>IF(BDEGENER[[#This Row],[SERVICIO]]=BDEGENER[[#This Row],[GA2]],BDEGENER[[#This Row],[HORAS]],"0")</f>
        <v>0</v>
      </c>
      <c r="BB691" s="325">
        <f>SUMIF(BDEGENER[SERIE],BDEGENER[[#This Row],[SERIE]],BDEGENER[GA3])</f>
        <v>2557.3000000000002</v>
      </c>
      <c r="BC691" s="761" t="str">
        <f>CONCATENATE("MANT",COUNTIF($Y$7:Y691,Y691))</f>
        <v>MANT11</v>
      </c>
      <c r="BD691" s="29" t="str">
        <f>CONCATENATE(BDEGENER[[#This Row],[SERIE]],BDEGENER[[#This Row],[GA5]])</f>
        <v>3005005010MANT11</v>
      </c>
      <c r="BE691" s="29" t="str">
        <f>CONCATENATE(BDEGENER[[#This Row],[CODIGO PATRIMONIAL]],BDEGENER[[#This Row],[GA5]])</f>
        <v>24547MANT11</v>
      </c>
      <c r="BF691" s="16">
        <f>COUNTIF(BDEGENER[SERIE],BDEGENER[[#This Row],[SERIE]])</f>
        <v>14</v>
      </c>
      <c r="BG691" s="761" t="str">
        <f>CONCATENATE("F",COUNTIF($K$7:K691,K691))</f>
        <v>F3</v>
      </c>
      <c r="BH691" s="325" t="str">
        <f>CONCATENATE(BDEGENER[[#This Row],[FECHA DE SERVICIO]],BDEGENER[[#This Row],[N° DE REGISTROS DEL DIA]])</f>
        <v>43838F3</v>
      </c>
      <c r="BI691" s="326">
        <v>22853</v>
      </c>
      <c r="BJ691" s="325" t="s">
        <v>1544</v>
      </c>
      <c r="BK691" s="326"/>
    </row>
    <row r="692" spans="2:63" ht="69" hidden="1" x14ac:dyDescent="0.3">
      <c r="B692" s="223"/>
      <c r="C692" s="223"/>
      <c r="D692" s="223"/>
      <c r="E692" s="223"/>
      <c r="F692" s="223"/>
      <c r="G692" s="223"/>
      <c r="H692" s="223"/>
      <c r="I692" s="223"/>
      <c r="J692" s="223"/>
      <c r="K692" s="723">
        <v>43837</v>
      </c>
      <c r="L692" s="15" t="s">
        <v>181</v>
      </c>
      <c r="M692" s="85" t="s">
        <v>1388</v>
      </c>
      <c r="N692" s="14" t="s">
        <v>1538</v>
      </c>
      <c r="O692" s="8" t="s">
        <v>160</v>
      </c>
      <c r="P692" s="200" t="s">
        <v>172</v>
      </c>
      <c r="Q692" s="14" t="s">
        <v>37</v>
      </c>
      <c r="R692" s="85" t="s">
        <v>1782</v>
      </c>
      <c r="S692" s="145" t="s">
        <v>1820</v>
      </c>
      <c r="T692" s="85" t="s">
        <v>1782</v>
      </c>
      <c r="U692" s="14" t="s">
        <v>1148</v>
      </c>
      <c r="V692" s="14" t="s">
        <v>146</v>
      </c>
      <c r="W692" s="85" t="s">
        <v>914</v>
      </c>
      <c r="X692" s="85" t="s">
        <v>918</v>
      </c>
      <c r="Y692" s="15">
        <v>3004428523</v>
      </c>
      <c r="Z692" s="14"/>
      <c r="AA692" s="14" t="s">
        <v>33</v>
      </c>
      <c r="AB692" s="85" t="s">
        <v>34</v>
      </c>
      <c r="AC692" s="14" t="s">
        <v>230</v>
      </c>
      <c r="AD692" s="16" t="s">
        <v>1123</v>
      </c>
      <c r="AE692" s="16"/>
      <c r="AF692" s="12">
        <v>349.9</v>
      </c>
      <c r="AG692" s="16" t="s">
        <v>243</v>
      </c>
      <c r="AH692" s="16" t="s">
        <v>220</v>
      </c>
      <c r="AI692" s="16" t="s">
        <v>33</v>
      </c>
      <c r="AJ692" s="16">
        <v>3004426215</v>
      </c>
      <c r="AK692" s="16" t="s">
        <v>33</v>
      </c>
      <c r="AL692" s="16">
        <v>106301030</v>
      </c>
      <c r="AM692" s="16" t="s">
        <v>1094</v>
      </c>
      <c r="AN692" s="16" t="s">
        <v>1122</v>
      </c>
      <c r="AO692" s="16" t="s">
        <v>1149</v>
      </c>
      <c r="AP692" s="14" t="s">
        <v>240</v>
      </c>
      <c r="AQ692" s="200" t="str">
        <f>CONCATENATE("REG-",BDEGENER[[#This Row],[FECHA DE SERVICIO]],"-",BDEGENER[[#This Row],[SERIE]],"-",BDEGENER[[#This Row],[HORAS]])</f>
        <v>REG-43837-3004428523-349,9</v>
      </c>
      <c r="AR692" s="5" t="str">
        <f>CONCATENATE("MARCA: ",BDEGENER[[#This Row],[MARCA]],"
 MODELO: ",BDEGENER[[#This Row],[MODELO]])</f>
        <v>MARCA: GENERAC
 MODELO: PG090</v>
      </c>
      <c r="AS692" s="5" t="str">
        <f>CONCATENATE("MARCA: ",BDEGENER[[#This Row],[MARCA DE MOTOR]],"
SERIE: ",BDEGENER[[#This Row],[SERIE DE MOTOR]])</f>
        <v>MARCA: GENERAC
SERIE: 3004426215</v>
      </c>
      <c r="AT692" s="5" t="str">
        <f>CONCATENATE("MARCA: ",BDEGENER[[#This Row],[MARCA ALTERNADOR ]],"
SERIE: ",BDEGENER[[#This Row],[SERIE DE ALTERNADOR]])</f>
        <v>MARCA: GENERAC
SERIE: 106301030</v>
      </c>
      <c r="AU692" s="5" t="str">
        <f>CONCATENATE("HORAS: ",BDEGENER[[#This Row],[HORAS]],"
KW-HR: ",BDEGENER[[#This Row],[KW-HORA]],"
VOLT.BATERIA: ",BDEGENER[[#This Row],[VOLTAJE DE BATERIA]],"
TEMPERATURA: ",BDEGENER[[#This Row],[TEMPERATURA DE AGUA]],"
PRES. ACEITE: ",BDEGENER[[#This Row],[PRESION DE ACEITE]])</f>
        <v>HORAS: 349,9
KW-HR: 
VOLT.BATERIA: 13.5 V
TEMPERATURA: 195 °F
PRES. ACEITE: 61 PSI</v>
      </c>
      <c r="AV692" s="683">
        <f>COUNTIFS(Q692:Q2692,"MANTENIMIENTO CORRECTIVO",Y692:Y2692,BDEGENER[[#This Row],[SERIE]])</f>
        <v>1</v>
      </c>
      <c r="AW692" s="683">
        <f>COUNTIFS(Q692:Q2692,"MANTENIMIENTO PREVENTIVO",Y692:Y2692,BDEGENER[[#This Row],[SERIE]])</f>
        <v>2</v>
      </c>
      <c r="AX69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92" s="29">
        <f>COUNTIFS(BDEGENER[SERIE],BDEGENER[[#This Row],[SERIE]],BDEGENER[TIPO DE SERVICIO],"MANTENIMIENTO PREVENTIVO")</f>
        <v>9</v>
      </c>
      <c r="AZ692" s="29" t="str">
        <f>CONCATENATE("MANTENIMIENTO PREVENTIVO N°",BDEGENER[[#This Row],[GA1]])</f>
        <v>MANTENIMIENTO PREVENTIVO N°9</v>
      </c>
      <c r="BA692" s="325" t="str">
        <f>IF(BDEGENER[[#This Row],[SERVICIO]]=BDEGENER[[#This Row],[GA2]],BDEGENER[[#This Row],[HORAS]],"0")</f>
        <v>0</v>
      </c>
      <c r="BB692" s="325">
        <f>SUMIF(BDEGENER[SERIE],BDEGENER[[#This Row],[SERIE]],BDEGENER[GA3])</f>
        <v>2439.9</v>
      </c>
      <c r="BC692" s="683" t="str">
        <f>CONCATENATE("MANT",COUNTIF($Y$7:Y692,Y692))</f>
        <v>MANT10</v>
      </c>
      <c r="BD692" s="29" t="str">
        <f>CONCATENATE(BDEGENER[[#This Row],[SERIE]],BDEGENER[[#This Row],[GA5]])</f>
        <v>3004428523MANT10</v>
      </c>
      <c r="BE692" s="29" t="str">
        <f>CONCATENATE(BDEGENER[[#This Row],[CODIGO PATRIMONIAL]],BDEGENER[[#This Row],[GA5]])</f>
        <v>MANT10</v>
      </c>
      <c r="BF692" s="16">
        <f>COUNTIF(BDEGENER[SERIE],BDEGENER[[#This Row],[SERIE]])</f>
        <v>14</v>
      </c>
      <c r="BG692" s="683" t="str">
        <f>CONCATENATE("F",COUNTIF($K$7:K692,K692))</f>
        <v>F1</v>
      </c>
      <c r="BH692" s="325" t="str">
        <f>CONCATENATE(BDEGENER[[#This Row],[FECHA DE SERVICIO]],BDEGENER[[#This Row],[N° DE REGISTROS DEL DIA]])</f>
        <v>43837F1</v>
      </c>
      <c r="BI692" s="324"/>
      <c r="BJ692" s="325"/>
      <c r="BK692" s="326"/>
    </row>
    <row r="693" spans="2:63" ht="69" hidden="1" x14ac:dyDescent="0.3">
      <c r="B693" s="223"/>
      <c r="C693" s="223"/>
      <c r="D693" s="223"/>
      <c r="E693" s="223"/>
      <c r="F693" s="223"/>
      <c r="G693" s="223"/>
      <c r="H693" s="223"/>
      <c r="I693" s="223"/>
      <c r="J693" s="223"/>
      <c r="K693" s="723">
        <v>43834</v>
      </c>
      <c r="L693" s="15" t="s">
        <v>181</v>
      </c>
      <c r="M693" s="14" t="s">
        <v>188</v>
      </c>
      <c r="N693" s="14" t="s">
        <v>183</v>
      </c>
      <c r="O693" s="8">
        <v>4500848079</v>
      </c>
      <c r="P693" s="200" t="s">
        <v>173</v>
      </c>
      <c r="Q693" s="14" t="s">
        <v>37</v>
      </c>
      <c r="R693" s="85" t="s">
        <v>1782</v>
      </c>
      <c r="S693" s="5" t="s">
        <v>1822</v>
      </c>
      <c r="T693" s="14" t="s">
        <v>1821</v>
      </c>
      <c r="U693" s="14" t="s">
        <v>118</v>
      </c>
      <c r="V693" s="14" t="s">
        <v>146</v>
      </c>
      <c r="W693" s="85" t="s">
        <v>914</v>
      </c>
      <c r="X693" s="85" t="s">
        <v>918</v>
      </c>
      <c r="Y693" s="15">
        <v>3004381437</v>
      </c>
      <c r="Z693" s="14"/>
      <c r="AA693" s="14" t="s">
        <v>33</v>
      </c>
      <c r="AB693" s="85" t="s">
        <v>34</v>
      </c>
      <c r="AC693" s="14" t="s">
        <v>230</v>
      </c>
      <c r="AD693" s="16" t="s">
        <v>1110</v>
      </c>
      <c r="AE693" s="16">
        <v>60</v>
      </c>
      <c r="AF693" s="12">
        <v>115.4</v>
      </c>
      <c r="AG693" s="16" t="s">
        <v>243</v>
      </c>
      <c r="AH693" s="16" t="s">
        <v>220</v>
      </c>
      <c r="AI693" s="16" t="s">
        <v>33</v>
      </c>
      <c r="AJ693" s="16">
        <v>3004346804</v>
      </c>
      <c r="AK693" s="16" t="s">
        <v>33</v>
      </c>
      <c r="AL693" s="16">
        <v>106309630</v>
      </c>
      <c r="AM693" s="16" t="s">
        <v>245</v>
      </c>
      <c r="AN693" s="16" t="s">
        <v>1122</v>
      </c>
      <c r="AO693" s="16" t="s">
        <v>1383</v>
      </c>
      <c r="AP693" s="14" t="s">
        <v>240</v>
      </c>
      <c r="AQ693" s="200" t="str">
        <f>CONCATENATE("REG-",BDEGENER[[#This Row],[FECHA DE SERVICIO]],"-",BDEGENER[[#This Row],[SERIE]],"-",BDEGENER[[#This Row],[HORAS]])</f>
        <v>REG-43834-3004381437-115,4</v>
      </c>
      <c r="AR693" s="5" t="str">
        <f>CONCATENATE("MARCA: ",BDEGENER[[#This Row],[MARCA]],"
 MODELO: ",BDEGENER[[#This Row],[MODELO]])</f>
        <v>MARCA: GENERAC
 MODELO: PG090</v>
      </c>
      <c r="AS693" s="5" t="str">
        <f>CONCATENATE("MARCA: ",BDEGENER[[#This Row],[MARCA DE MOTOR]],"
SERIE: ",BDEGENER[[#This Row],[SERIE DE MOTOR]])</f>
        <v>MARCA: GENERAC
SERIE: 3004346804</v>
      </c>
      <c r="AT693" s="5" t="str">
        <f>CONCATENATE("MARCA: ",BDEGENER[[#This Row],[MARCA ALTERNADOR ]],"
SERIE: ",BDEGENER[[#This Row],[SERIE DE ALTERNADOR]])</f>
        <v>MARCA: GENERAC
SERIE: 106309630</v>
      </c>
      <c r="AU693" s="5" t="str">
        <f>CONCATENATE("HORAS: ",BDEGENER[[#This Row],[HORAS]],"
KW-HR: ",BDEGENER[[#This Row],[KW-HORA]],"
VOLT.BATERIA: ",BDEGENER[[#This Row],[VOLTAJE DE BATERIA]],"
TEMPERATURA: ",BDEGENER[[#This Row],[TEMPERATURA DE AGUA]],"
PRES. ACEITE: ",BDEGENER[[#This Row],[PRESION DE ACEITE]])</f>
        <v>HORAS: 115,4
KW-HR: 
VOLT.BATERIA: 13.6 V
TEMPERATURA: 195 °F
PRES. ACEITE: 68 PSI</v>
      </c>
      <c r="AV693" s="683">
        <f>COUNTIFS(Q693:Q2693,"MANTENIMIENTO CORRECTIVO",Y693:Y2693,BDEGENER[[#This Row],[SERIE]])</f>
        <v>1</v>
      </c>
      <c r="AW693" s="683">
        <f>COUNTIFS(Q693:Q2693,"MANTENIMIENTO PREVENTIVO",Y693:Y2693,BDEGENER[[#This Row],[SERIE]])</f>
        <v>1</v>
      </c>
      <c r="AX69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93" s="29">
        <f>COUNTIFS(BDEGENER[SERIE],BDEGENER[[#This Row],[SERIE]],BDEGENER[TIPO DE SERVICIO],"MANTENIMIENTO PREVENTIVO")</f>
        <v>8</v>
      </c>
      <c r="AZ693" s="29" t="str">
        <f>CONCATENATE("MANTENIMIENTO PREVENTIVO N°",BDEGENER[[#This Row],[GA1]])</f>
        <v>MANTENIMIENTO PREVENTIVO N°8</v>
      </c>
      <c r="BA693" s="325" t="str">
        <f>IF(BDEGENER[[#This Row],[SERVICIO]]=BDEGENER[[#This Row],[GA2]],BDEGENER[[#This Row],[HORAS]],"0")</f>
        <v>0</v>
      </c>
      <c r="BB693" s="325">
        <f>SUMIF(BDEGENER[SERIE],BDEGENER[[#This Row],[SERIE]],BDEGENER[GA3])</f>
        <v>2359.6</v>
      </c>
      <c r="BC693" s="683" t="str">
        <f>CONCATENATE("MANT",COUNTIF($Y$7:Y693,Y693))</f>
        <v>MANT10</v>
      </c>
      <c r="BD693" s="29" t="str">
        <f>CONCATENATE(BDEGENER[[#This Row],[SERIE]],BDEGENER[[#This Row],[GA5]])</f>
        <v>3004381437MANT10</v>
      </c>
      <c r="BE693" s="29" t="str">
        <f>CONCATENATE(BDEGENER[[#This Row],[CODIGO PATRIMONIAL]],BDEGENER[[#This Row],[GA5]])</f>
        <v>MANT10</v>
      </c>
      <c r="BF693" s="16">
        <f>COUNTIF(BDEGENER[SERIE],BDEGENER[[#This Row],[SERIE]])</f>
        <v>12</v>
      </c>
      <c r="BG693" s="683" t="str">
        <f>CONCATENATE("F",COUNTIF($K$7:K693,K693))</f>
        <v>F1</v>
      </c>
      <c r="BH693" s="325" t="str">
        <f>CONCATENATE(BDEGENER[[#This Row],[FECHA DE SERVICIO]],BDEGENER[[#This Row],[N° DE REGISTROS DEL DIA]])</f>
        <v>43834F1</v>
      </c>
      <c r="BI693" s="324"/>
      <c r="BJ693" s="85" t="s">
        <v>1544</v>
      </c>
      <c r="BK693" s="326"/>
    </row>
    <row r="694" spans="2:63" ht="69" hidden="1" x14ac:dyDescent="0.3">
      <c r="B694" s="223"/>
      <c r="C694" s="223"/>
      <c r="D694" s="223"/>
      <c r="E694" s="223"/>
      <c r="F694" s="223"/>
      <c r="G694" s="223"/>
      <c r="H694" s="223"/>
      <c r="I694" s="223"/>
      <c r="J694" s="223"/>
      <c r="K694" s="723">
        <v>43833</v>
      </c>
      <c r="L694" s="15" t="s">
        <v>181</v>
      </c>
      <c r="M694" s="14" t="s">
        <v>182</v>
      </c>
      <c r="N694" s="14" t="s">
        <v>183</v>
      </c>
      <c r="O694" s="8">
        <v>4500848079</v>
      </c>
      <c r="P694" s="200" t="s">
        <v>173</v>
      </c>
      <c r="Q694" s="14" t="s">
        <v>37</v>
      </c>
      <c r="R694" s="85" t="s">
        <v>1782</v>
      </c>
      <c r="S694" s="6" t="s">
        <v>1901</v>
      </c>
      <c r="T694" s="14" t="s">
        <v>87</v>
      </c>
      <c r="U694" s="14" t="s">
        <v>118</v>
      </c>
      <c r="V694" s="14" t="s">
        <v>146</v>
      </c>
      <c r="W694" s="85" t="s">
        <v>914</v>
      </c>
      <c r="X694" s="85" t="s">
        <v>918</v>
      </c>
      <c r="Y694" s="15">
        <v>3004402508</v>
      </c>
      <c r="Z694" s="14"/>
      <c r="AA694" s="14" t="s">
        <v>33</v>
      </c>
      <c r="AB694" s="85" t="s">
        <v>34</v>
      </c>
      <c r="AC694" s="14" t="s">
        <v>230</v>
      </c>
      <c r="AD694" s="16"/>
      <c r="AE694" s="16"/>
      <c r="AF694" s="12">
        <v>99.1</v>
      </c>
      <c r="AG694" s="16" t="s">
        <v>243</v>
      </c>
      <c r="AH694" s="16" t="s">
        <v>220</v>
      </c>
      <c r="AI694" s="16" t="s">
        <v>33</v>
      </c>
      <c r="AJ694" s="16">
        <v>3004425773</v>
      </c>
      <c r="AK694" s="16" t="s">
        <v>33</v>
      </c>
      <c r="AL694" s="16">
        <v>106310050</v>
      </c>
      <c r="AM694" s="16"/>
      <c r="AN694" s="16"/>
      <c r="AO694" s="16"/>
      <c r="AP694" s="14" t="s">
        <v>240</v>
      </c>
      <c r="AQ694" s="200" t="str">
        <f>CONCATENATE("REG-",BDEGENER[[#This Row],[FECHA DE SERVICIO]],"-",BDEGENER[[#This Row],[SERIE]],"-",BDEGENER[[#This Row],[HORAS]])</f>
        <v>REG-43833-3004402508-99,1</v>
      </c>
      <c r="AR694" s="5" t="str">
        <f>CONCATENATE("MARCA: ",BDEGENER[[#This Row],[MARCA]],"
 MODELO: ",BDEGENER[[#This Row],[MODELO]])</f>
        <v>MARCA: GENERAC
 MODELO: PG090</v>
      </c>
      <c r="AS694" s="5" t="str">
        <f>CONCATENATE("MARCA: ",BDEGENER[[#This Row],[MARCA DE MOTOR]],"
SERIE: ",BDEGENER[[#This Row],[SERIE DE MOTOR]])</f>
        <v>MARCA: GENERAC
SERIE: 3004425773</v>
      </c>
      <c r="AT694" s="5" t="str">
        <f>CONCATENATE("MARCA: ",BDEGENER[[#This Row],[MARCA ALTERNADOR ]],"
SERIE: ",BDEGENER[[#This Row],[SERIE DE ALTERNADOR]])</f>
        <v>MARCA: GENERAC
SERIE: 106310050</v>
      </c>
      <c r="AU694" s="5" t="str">
        <f>CONCATENATE("HORAS: ",BDEGENER[[#This Row],[HORAS]],"
KW-HR: ",BDEGENER[[#This Row],[KW-HORA]],"
VOLT.BATERIA: ",BDEGENER[[#This Row],[VOLTAJE DE BATERIA]],"
TEMPERATURA: ",BDEGENER[[#This Row],[TEMPERATURA DE AGUA]],"
PRES. ACEITE: ",BDEGENER[[#This Row],[PRESION DE ACEITE]])</f>
        <v xml:space="preserve">HORAS: 99,1
KW-HR: 
VOLT.BATERIA: 
TEMPERATURA: 
PRES. ACEITE: </v>
      </c>
      <c r="AV694" s="761">
        <f>COUNTIFS(Q694:Q2694,"MANTENIMIENTO CORRECTIVO",Y694:Y2694,BDEGENER[[#This Row],[SERIE]])</f>
        <v>2</v>
      </c>
      <c r="AW694" s="761">
        <f>COUNTIFS(Q694:Q2694,"MANTENIMIENTO PREVENTIVO",Y694:Y2694,BDEGENER[[#This Row],[SERIE]])</f>
        <v>1</v>
      </c>
      <c r="AX69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94" s="29">
        <f>COUNTIFS(BDEGENER[SERIE],BDEGENER[[#This Row],[SERIE]],BDEGENER[TIPO DE SERVICIO],"MANTENIMIENTO PREVENTIVO")</f>
        <v>8</v>
      </c>
      <c r="AZ694" s="29" t="str">
        <f>CONCATENATE("MANTENIMIENTO PREVENTIVO N°",BDEGENER[[#This Row],[GA1]])</f>
        <v>MANTENIMIENTO PREVENTIVO N°8</v>
      </c>
      <c r="BA694" s="325" t="str">
        <f>IF(BDEGENER[[#This Row],[SERVICIO]]=BDEGENER[[#This Row],[GA2]],BDEGENER[[#This Row],[HORAS]],"0")</f>
        <v>0</v>
      </c>
      <c r="BB694" s="325">
        <f>SUMIF(BDEGENER[SERIE],BDEGENER[[#This Row],[SERIE]],BDEGENER[GA3])</f>
        <v>2186.3000000000002</v>
      </c>
      <c r="BC694" s="761" t="str">
        <f>CONCATENATE("MANT",COUNTIF($Y$7:Y694,Y694))</f>
        <v>MANT12</v>
      </c>
      <c r="BD694" s="29" t="str">
        <f>CONCATENATE(BDEGENER[[#This Row],[SERIE]],BDEGENER[[#This Row],[GA5]])</f>
        <v>3004402508MANT12</v>
      </c>
      <c r="BE694" s="29" t="str">
        <f>CONCATENATE(BDEGENER[[#This Row],[CODIGO PATRIMONIAL]],BDEGENER[[#This Row],[GA5]])</f>
        <v>MANT12</v>
      </c>
      <c r="BF694" s="16">
        <f>COUNTIF(BDEGENER[SERIE],BDEGENER[[#This Row],[SERIE]])</f>
        <v>15</v>
      </c>
      <c r="BG694" s="761" t="str">
        <f>CONCATENATE("F",COUNTIF($K$7:K694,K694))</f>
        <v>F1</v>
      </c>
      <c r="BH694" s="325" t="str">
        <f>CONCATENATE(BDEGENER[[#This Row],[FECHA DE SERVICIO]],BDEGENER[[#This Row],[N° DE REGISTROS DEL DIA]])</f>
        <v>43833F1</v>
      </c>
      <c r="BI694" s="324"/>
      <c r="BJ694" s="85" t="s">
        <v>1544</v>
      </c>
      <c r="BK694" s="326"/>
    </row>
    <row r="695" spans="2:63" ht="69" hidden="1" x14ac:dyDescent="0.3">
      <c r="B695" s="223"/>
      <c r="C695" s="223"/>
      <c r="D695" s="223"/>
      <c r="E695" s="223"/>
      <c r="F695" s="223"/>
      <c r="G695" s="223"/>
      <c r="H695" s="223"/>
      <c r="I695" s="223"/>
      <c r="J695" s="223"/>
      <c r="K695" s="723">
        <v>43833</v>
      </c>
      <c r="L695" s="15" t="s">
        <v>181</v>
      </c>
      <c r="M695" s="14" t="s">
        <v>182</v>
      </c>
      <c r="N695" s="14" t="s">
        <v>183</v>
      </c>
      <c r="O695" s="8">
        <v>4500848079</v>
      </c>
      <c r="P695" s="200" t="s">
        <v>173</v>
      </c>
      <c r="Q695" s="14" t="s">
        <v>37</v>
      </c>
      <c r="R695" s="85" t="s">
        <v>1782</v>
      </c>
      <c r="S695" s="6" t="s">
        <v>1823</v>
      </c>
      <c r="T695" s="14" t="s">
        <v>1824</v>
      </c>
      <c r="U695" s="14" t="s">
        <v>118</v>
      </c>
      <c r="V695" s="14" t="s">
        <v>146</v>
      </c>
      <c r="W695" s="85" t="s">
        <v>914</v>
      </c>
      <c r="X695" s="85" t="s">
        <v>918</v>
      </c>
      <c r="Y695" s="15">
        <v>3004256777</v>
      </c>
      <c r="Z695" s="14"/>
      <c r="AA695" s="14" t="s">
        <v>33</v>
      </c>
      <c r="AB695" s="85" t="s">
        <v>34</v>
      </c>
      <c r="AC695" s="14" t="s">
        <v>230</v>
      </c>
      <c r="AD695" s="16" t="s">
        <v>1110</v>
      </c>
      <c r="AE695" s="16">
        <v>60</v>
      </c>
      <c r="AF695" s="12">
        <v>132.1</v>
      </c>
      <c r="AG695" s="16" t="s">
        <v>243</v>
      </c>
      <c r="AH695" s="16" t="s">
        <v>220</v>
      </c>
      <c r="AI695" s="16" t="s">
        <v>33</v>
      </c>
      <c r="AJ695" s="16"/>
      <c r="AK695" s="16" t="s">
        <v>33</v>
      </c>
      <c r="AL695" s="722"/>
      <c r="AM695" s="16" t="s">
        <v>1145</v>
      </c>
      <c r="AN695" s="16" t="s">
        <v>1122</v>
      </c>
      <c r="AO695" s="16" t="s">
        <v>1146</v>
      </c>
      <c r="AP695" s="14" t="s">
        <v>240</v>
      </c>
      <c r="AQ695" s="200" t="str">
        <f>CONCATENATE("REG-",BDEGENER[[#This Row],[FECHA DE SERVICIO]],"-",BDEGENER[[#This Row],[SERIE]],"-",BDEGENER[[#This Row],[HORAS]])</f>
        <v>REG-43833-3004256777-132,1</v>
      </c>
      <c r="AR695" s="5" t="str">
        <f>CONCATENATE("MARCA: ",BDEGENER[[#This Row],[MARCA]],"
 MODELO: ",BDEGENER[[#This Row],[MODELO]])</f>
        <v>MARCA: GENERAC
 MODELO: PG090</v>
      </c>
      <c r="AS695" s="5" t="str">
        <f>CONCATENATE("MARCA: ",BDEGENER[[#This Row],[MARCA DE MOTOR]],"
SERIE: ",BDEGENER[[#This Row],[SERIE DE MOTOR]])</f>
        <v xml:space="preserve">MARCA: GENERAC
SERIE: </v>
      </c>
      <c r="AT695" s="5" t="str">
        <f>CONCATENATE("MARCA: ",BDEGENER[[#This Row],[MARCA ALTERNADOR ]],"
SERIE: ",BDEGENER[[#This Row],[SERIE DE ALTERNADOR]])</f>
        <v xml:space="preserve">MARCA: GENERAC
SERIE: </v>
      </c>
      <c r="AU695" s="5" t="str">
        <f>CONCATENATE("HORAS: ",BDEGENER[[#This Row],[HORAS]],"
KW-HR: ",BDEGENER[[#This Row],[KW-HORA]],"
VOLT.BATERIA: ",BDEGENER[[#This Row],[VOLTAJE DE BATERIA]],"
TEMPERATURA: ",BDEGENER[[#This Row],[TEMPERATURA DE AGUA]],"
PRES. ACEITE: ",BDEGENER[[#This Row],[PRESION DE ACEITE]])</f>
        <v>HORAS: 132,1
KW-HR: 
VOLT.BATERIA: 13.4 V
TEMPERATURA: 195 °F
PRES. ACEITE: 62 PSI</v>
      </c>
      <c r="AV695" s="683">
        <f>COUNTIFS(Q695:Q2695,"MANTENIMIENTO CORRECTIVO",Y695:Y2695,BDEGENER[[#This Row],[SERIE]])</f>
        <v>1</v>
      </c>
      <c r="AW695" s="683">
        <f>COUNTIFS(Q695:Q2695,"MANTENIMIENTO PREVENTIVO",Y695:Y2695,BDEGENER[[#This Row],[SERIE]])</f>
        <v>1</v>
      </c>
      <c r="AX69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95" s="29">
        <f>COUNTIFS(BDEGENER[SERIE],BDEGENER[[#This Row],[SERIE]],BDEGENER[TIPO DE SERVICIO],"MANTENIMIENTO PREVENTIVO")</f>
        <v>9</v>
      </c>
      <c r="AZ695" s="29" t="str">
        <f>CONCATENATE("MANTENIMIENTO PREVENTIVO N°",BDEGENER[[#This Row],[GA1]])</f>
        <v>MANTENIMIENTO PREVENTIVO N°9</v>
      </c>
      <c r="BA695" s="325" t="str">
        <f>IF(BDEGENER[[#This Row],[SERVICIO]]=BDEGENER[[#This Row],[GA2]],BDEGENER[[#This Row],[HORAS]],"0")</f>
        <v>0</v>
      </c>
      <c r="BB695" s="325">
        <f>SUMIF(BDEGENER[SERIE],BDEGENER[[#This Row],[SERIE]],BDEGENER[GA3])</f>
        <v>2804.7</v>
      </c>
      <c r="BC695" s="683" t="str">
        <f>CONCATENATE("MANT",COUNTIF($Y$7:Y695,Y695))</f>
        <v>MANT14</v>
      </c>
      <c r="BD695" s="29" t="str">
        <f>CONCATENATE(BDEGENER[[#This Row],[SERIE]],BDEGENER[[#This Row],[GA5]])</f>
        <v>3004256777MANT14</v>
      </c>
      <c r="BE695" s="29" t="str">
        <f>CONCATENATE(BDEGENER[[#This Row],[CODIGO PATRIMONIAL]],BDEGENER[[#This Row],[GA5]])</f>
        <v>MANT14</v>
      </c>
      <c r="BF695" s="16">
        <f>COUNTIF(BDEGENER[SERIE],BDEGENER[[#This Row],[SERIE]])</f>
        <v>16</v>
      </c>
      <c r="BG695" s="683" t="str">
        <f>CONCATENATE("F",COUNTIF($K$7:K695,K695))</f>
        <v>F2</v>
      </c>
      <c r="BH695" s="325" t="str">
        <f>CONCATENATE(BDEGENER[[#This Row],[FECHA DE SERVICIO]],BDEGENER[[#This Row],[N° DE REGISTROS DEL DIA]])</f>
        <v>43833F2</v>
      </c>
      <c r="BI695" s="324"/>
      <c r="BJ695" s="85" t="s">
        <v>1544</v>
      </c>
      <c r="BK695" s="326"/>
    </row>
    <row r="696" spans="2:63" ht="69" hidden="1" x14ac:dyDescent="0.3">
      <c r="B696" s="223"/>
      <c r="C696" s="223"/>
      <c r="D696" s="223"/>
      <c r="E696" s="223"/>
      <c r="F696" s="223"/>
      <c r="G696" s="223"/>
      <c r="H696" s="223"/>
      <c r="I696" s="223"/>
      <c r="J696" s="223"/>
      <c r="K696" s="723">
        <v>43833</v>
      </c>
      <c r="L696" s="15" t="s">
        <v>181</v>
      </c>
      <c r="M696" s="14" t="s">
        <v>187</v>
      </c>
      <c r="N696" s="14" t="s">
        <v>183</v>
      </c>
      <c r="O696" s="8">
        <v>4500848079</v>
      </c>
      <c r="P696" s="200" t="s">
        <v>173</v>
      </c>
      <c r="Q696" s="14" t="s">
        <v>37</v>
      </c>
      <c r="R696" s="85" t="s">
        <v>1782</v>
      </c>
      <c r="S696" s="6" t="s">
        <v>1826</v>
      </c>
      <c r="T696" s="14" t="s">
        <v>1825</v>
      </c>
      <c r="U696" s="14" t="s">
        <v>118</v>
      </c>
      <c r="V696" s="14" t="s">
        <v>146</v>
      </c>
      <c r="W696" s="85" t="s">
        <v>914</v>
      </c>
      <c r="X696" s="85" t="s">
        <v>918</v>
      </c>
      <c r="Y696" s="15">
        <v>3004214491</v>
      </c>
      <c r="Z696" s="14"/>
      <c r="AA696" s="14" t="s">
        <v>33</v>
      </c>
      <c r="AB696" s="85" t="s">
        <v>34</v>
      </c>
      <c r="AC696" s="14" t="s">
        <v>230</v>
      </c>
      <c r="AD696" s="16"/>
      <c r="AE696" s="16"/>
      <c r="AF696" s="12">
        <v>192.5</v>
      </c>
      <c r="AG696" s="16" t="s">
        <v>243</v>
      </c>
      <c r="AH696" s="16" t="s">
        <v>244</v>
      </c>
      <c r="AI696" s="16" t="s">
        <v>33</v>
      </c>
      <c r="AJ696" s="683">
        <v>3004133600</v>
      </c>
      <c r="AK696" s="85" t="s">
        <v>33</v>
      </c>
      <c r="AL696" s="85">
        <v>1063014</v>
      </c>
      <c r="AM696" s="16" t="s">
        <v>245</v>
      </c>
      <c r="AN696" s="16" t="s">
        <v>1102</v>
      </c>
      <c r="AO696" s="16" t="s">
        <v>1141</v>
      </c>
      <c r="AP696" s="14" t="s">
        <v>240</v>
      </c>
      <c r="AQ696" s="200" t="str">
        <f>CONCATENATE("REG-",BDEGENER[[#This Row],[FECHA DE SERVICIO]],"-",BDEGENER[[#This Row],[SERIE]],"-",BDEGENER[[#This Row],[HORAS]])</f>
        <v>REG-43833-3004214491-192,5</v>
      </c>
      <c r="AR696" s="5" t="str">
        <f>CONCATENATE("MARCA: ",BDEGENER[[#This Row],[MARCA]],"
 MODELO: ",BDEGENER[[#This Row],[MODELO]])</f>
        <v>MARCA: GENERAC
 MODELO: PG090</v>
      </c>
      <c r="AS696" s="5" t="str">
        <f>CONCATENATE("MARCA: ",BDEGENER[[#This Row],[MARCA DE MOTOR]],"
SERIE: ",BDEGENER[[#This Row],[SERIE DE MOTOR]])</f>
        <v>MARCA: GENERAC
SERIE: 3004133600</v>
      </c>
      <c r="AT696" s="5" t="str">
        <f>CONCATENATE("MARCA: ",BDEGENER[[#This Row],[MARCA ALTERNADOR ]],"
SERIE: ",BDEGENER[[#This Row],[SERIE DE ALTERNADOR]])</f>
        <v>MARCA: GENERAC
SERIE: 1063014</v>
      </c>
      <c r="AU696" s="5" t="str">
        <f>CONCATENATE("HORAS: ",BDEGENER[[#This Row],[HORAS]],"
KW-HR: ",BDEGENER[[#This Row],[KW-HORA]],"
VOLT.BATERIA: ",BDEGENER[[#This Row],[VOLTAJE DE BATERIA]],"
TEMPERATURA: ",BDEGENER[[#This Row],[TEMPERATURA DE AGUA]],"
PRES. ACEITE: ",BDEGENER[[#This Row],[PRESION DE ACEITE]])</f>
        <v>HORAS: 192,5
KW-HR: 
VOLT.BATERIA: 13.6 V
TEMPERATURA: 199 °F
PRES. ACEITE: 33 PSI</v>
      </c>
      <c r="AV696" s="683">
        <f>COUNTIFS(Q696:Q2696,"MANTENIMIENTO CORRECTIVO",Y696:Y2696,BDEGENER[[#This Row],[SERIE]])</f>
        <v>1</v>
      </c>
      <c r="AW696" s="683">
        <f>COUNTIFS(Q696:Q2696,"MANTENIMIENTO PREVENTIVO",Y696:Y2696,BDEGENER[[#This Row],[SERIE]])</f>
        <v>1</v>
      </c>
      <c r="AX69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696" s="29">
        <f>COUNTIFS(BDEGENER[SERIE],BDEGENER[[#This Row],[SERIE]],BDEGENER[TIPO DE SERVICIO],"MANTENIMIENTO PREVENTIVO")</f>
        <v>9</v>
      </c>
      <c r="AZ696" s="29" t="str">
        <f>CONCATENATE("MANTENIMIENTO PREVENTIVO N°",BDEGENER[[#This Row],[GA1]])</f>
        <v>MANTENIMIENTO PREVENTIVO N°9</v>
      </c>
      <c r="BA696" s="325" t="str">
        <f>IF(BDEGENER[[#This Row],[SERVICIO]]=BDEGENER[[#This Row],[GA2]],BDEGENER[[#This Row],[HORAS]],"0")</f>
        <v>0</v>
      </c>
      <c r="BB696" s="325">
        <f>SUMIF(BDEGENER[SERIE],BDEGENER[[#This Row],[SERIE]],BDEGENER[GA3])</f>
        <v>2751</v>
      </c>
      <c r="BC696" s="683" t="str">
        <f>CONCATENATE("MANT",COUNTIF($Y$7:Y696,Y696))</f>
        <v>MANT16</v>
      </c>
      <c r="BD696" s="29" t="str">
        <f>CONCATENATE(BDEGENER[[#This Row],[SERIE]],BDEGENER[[#This Row],[GA5]])</f>
        <v>3004214491MANT16</v>
      </c>
      <c r="BE696" s="29" t="str">
        <f>CONCATENATE(BDEGENER[[#This Row],[CODIGO PATRIMONIAL]],BDEGENER[[#This Row],[GA5]])</f>
        <v>MANT16</v>
      </c>
      <c r="BF696" s="16">
        <f>COUNTIF(BDEGENER[SERIE],BDEGENER[[#This Row],[SERIE]])</f>
        <v>18</v>
      </c>
      <c r="BG696" s="683" t="str">
        <f>CONCATENATE("F",COUNTIF($K$7:K696,K696))</f>
        <v>F3</v>
      </c>
      <c r="BH696" s="325" t="str">
        <f>CONCATENATE(BDEGENER[[#This Row],[FECHA DE SERVICIO]],BDEGENER[[#This Row],[N° DE REGISTROS DEL DIA]])</f>
        <v>43833F3</v>
      </c>
      <c r="BI696" s="324"/>
      <c r="BJ696" s="85" t="s">
        <v>1544</v>
      </c>
      <c r="BK696" s="326"/>
    </row>
    <row r="697" spans="2:63" ht="69" hidden="1" x14ac:dyDescent="0.3">
      <c r="B697" s="223"/>
      <c r="C697" s="223"/>
      <c r="D697" s="223"/>
      <c r="E697" s="223"/>
      <c r="F697" s="223"/>
      <c r="G697" s="223"/>
      <c r="H697" s="223"/>
      <c r="I697" s="223"/>
      <c r="J697" s="223"/>
      <c r="K697" s="723">
        <v>43833</v>
      </c>
      <c r="L697" s="15" t="s">
        <v>181</v>
      </c>
      <c r="M697" s="14" t="s">
        <v>185</v>
      </c>
      <c r="N697" s="14" t="s">
        <v>183</v>
      </c>
      <c r="O697" s="8">
        <v>4500848079</v>
      </c>
      <c r="P697" s="200" t="s">
        <v>173</v>
      </c>
      <c r="Q697" s="14" t="s">
        <v>37</v>
      </c>
      <c r="R697" s="85" t="s">
        <v>1782</v>
      </c>
      <c r="S697" s="6" t="s">
        <v>1828</v>
      </c>
      <c r="T697" s="14" t="s">
        <v>1827</v>
      </c>
      <c r="U697" s="14" t="s">
        <v>118</v>
      </c>
      <c r="V697" s="14" t="s">
        <v>146</v>
      </c>
      <c r="W697" s="85" t="s">
        <v>914</v>
      </c>
      <c r="X697" s="85" t="s">
        <v>918</v>
      </c>
      <c r="Y697" s="15">
        <v>3004290366</v>
      </c>
      <c r="Z697" s="14"/>
      <c r="AA697" s="14" t="s">
        <v>33</v>
      </c>
      <c r="AB697" s="85" t="s">
        <v>34</v>
      </c>
      <c r="AC697" s="14" t="s">
        <v>230</v>
      </c>
      <c r="AD697" s="16">
        <v>450</v>
      </c>
      <c r="AE697" s="16">
        <v>60</v>
      </c>
      <c r="AF697" s="12">
        <v>778.1</v>
      </c>
      <c r="AG697" s="16" t="s">
        <v>243</v>
      </c>
      <c r="AH697" s="16" t="s">
        <v>220</v>
      </c>
      <c r="AI697" s="16" t="s">
        <v>33</v>
      </c>
      <c r="AJ697" s="85">
        <v>3004295604</v>
      </c>
      <c r="AK697" s="16" t="s">
        <v>33</v>
      </c>
      <c r="AL697" s="85">
        <v>1063129</v>
      </c>
      <c r="AM697" s="16" t="s">
        <v>245</v>
      </c>
      <c r="AN697" s="16" t="s">
        <v>1122</v>
      </c>
      <c r="AO697" s="16" t="s">
        <v>1144</v>
      </c>
      <c r="AP697" s="14" t="s">
        <v>240</v>
      </c>
      <c r="AQ697" s="200" t="str">
        <f>CONCATENATE("REG-",BDEGENER[[#This Row],[FECHA DE SERVICIO]],"-",BDEGENER[[#This Row],[SERIE]],"-",BDEGENER[[#This Row],[HORAS]])</f>
        <v>REG-43833-3004290366-778,1</v>
      </c>
      <c r="AR697" s="5" t="str">
        <f>CONCATENATE("MARCA: ",BDEGENER[[#This Row],[MARCA]],"
 MODELO: ",BDEGENER[[#This Row],[MODELO]])</f>
        <v>MARCA: GENERAC
 MODELO: PG090</v>
      </c>
      <c r="AS697" s="5" t="str">
        <f>CONCATENATE("MARCA: ",BDEGENER[[#This Row],[MARCA DE MOTOR]],"
SERIE: ",BDEGENER[[#This Row],[SERIE DE MOTOR]])</f>
        <v>MARCA: GENERAC
SERIE: 3004295604</v>
      </c>
      <c r="AT697" s="5" t="str">
        <f>CONCATENATE("MARCA: ",BDEGENER[[#This Row],[MARCA ALTERNADOR ]],"
SERIE: ",BDEGENER[[#This Row],[SERIE DE ALTERNADOR]])</f>
        <v>MARCA: GENERAC
SERIE: 1063129</v>
      </c>
      <c r="AU697" s="5" t="str">
        <f>CONCATENATE("HORAS: ",BDEGENER[[#This Row],[HORAS]],"
KW-HR: ",BDEGENER[[#This Row],[KW-HORA]],"
VOLT.BATERIA: ",BDEGENER[[#This Row],[VOLTAJE DE BATERIA]],"
TEMPERATURA: ",BDEGENER[[#This Row],[TEMPERATURA DE AGUA]],"
PRES. ACEITE: ",BDEGENER[[#This Row],[PRESION DE ACEITE]])</f>
        <v>HORAS: 778,1
KW-HR: 
VOLT.BATERIA: 13.6 V
TEMPERATURA: 195 °F
PRES. ACEITE: 59 PSI</v>
      </c>
      <c r="AV697" s="761">
        <f>COUNTIFS(Q697:Q2697,"MANTENIMIENTO CORRECTIVO",Y697:Y2697,BDEGENER[[#This Row],[SERIE]])</f>
        <v>1</v>
      </c>
      <c r="AW697" s="761">
        <f>COUNTIFS(Q697:Q2697,"MANTENIMIENTO PREVENTIVO",Y697:Y2697,BDEGENER[[#This Row],[SERIE]])</f>
        <v>2</v>
      </c>
      <c r="AX69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97" s="29">
        <f>COUNTIFS(BDEGENER[SERIE],BDEGENER[[#This Row],[SERIE]],BDEGENER[TIPO DE SERVICIO],"MANTENIMIENTO PREVENTIVO")</f>
        <v>7</v>
      </c>
      <c r="AZ697" s="29" t="str">
        <f>CONCATENATE("MANTENIMIENTO PREVENTIVO N°",BDEGENER[[#This Row],[GA1]])</f>
        <v>MANTENIMIENTO PREVENTIVO N°7</v>
      </c>
      <c r="BA697" s="325" t="str">
        <f>IF(BDEGENER[[#This Row],[SERVICIO]]=BDEGENER[[#This Row],[GA2]],BDEGENER[[#This Row],[HORAS]],"0")</f>
        <v>0</v>
      </c>
      <c r="BB697" s="325">
        <f>SUMIF(BDEGENER[SERIE],BDEGENER[[#This Row],[SERIE]],BDEGENER[GA3])</f>
        <v>2629.6</v>
      </c>
      <c r="BC697" s="761" t="str">
        <f>CONCATENATE("MANT",COUNTIF($Y$7:Y697,Y697))</f>
        <v>MANT11</v>
      </c>
      <c r="BD697" s="29" t="str">
        <f>CONCATENATE(BDEGENER[[#This Row],[SERIE]],BDEGENER[[#This Row],[GA5]])</f>
        <v>3004290366MANT11</v>
      </c>
      <c r="BE697" s="29" t="str">
        <f>CONCATENATE(BDEGENER[[#This Row],[CODIGO PATRIMONIAL]],BDEGENER[[#This Row],[GA5]])</f>
        <v>MANT11</v>
      </c>
      <c r="BF697" s="16">
        <f>COUNTIF(BDEGENER[SERIE],BDEGENER[[#This Row],[SERIE]])</f>
        <v>14</v>
      </c>
      <c r="BG697" s="761" t="str">
        <f>CONCATENATE("F",COUNTIF($K$7:K697,K697))</f>
        <v>F4</v>
      </c>
      <c r="BH697" s="325" t="str">
        <f>CONCATENATE(BDEGENER[[#This Row],[FECHA DE SERVICIO]],BDEGENER[[#This Row],[N° DE REGISTROS DEL DIA]])</f>
        <v>43833F4</v>
      </c>
      <c r="BI697" s="324"/>
      <c r="BJ697" s="85" t="s">
        <v>1544</v>
      </c>
      <c r="BK697" s="326"/>
    </row>
    <row r="698" spans="2:63" ht="69" hidden="1" x14ac:dyDescent="0.3">
      <c r="B698" s="223"/>
      <c r="C698" s="223"/>
      <c r="D698" s="223"/>
      <c r="E698" s="223"/>
      <c r="F698" s="223"/>
      <c r="G698" s="223"/>
      <c r="H698" s="223"/>
      <c r="I698" s="223"/>
      <c r="J698" s="223"/>
      <c r="K698" s="723">
        <v>43833</v>
      </c>
      <c r="L698" s="15" t="s">
        <v>181</v>
      </c>
      <c r="M698" s="14" t="s">
        <v>184</v>
      </c>
      <c r="N698" s="14" t="s">
        <v>183</v>
      </c>
      <c r="O698" s="8">
        <v>4500848079</v>
      </c>
      <c r="P698" s="200" t="s">
        <v>173</v>
      </c>
      <c r="Q698" s="14" t="s">
        <v>37</v>
      </c>
      <c r="R698" s="85" t="s">
        <v>1782</v>
      </c>
      <c r="S698" s="6" t="s">
        <v>1829</v>
      </c>
      <c r="T698" s="14" t="s">
        <v>1830</v>
      </c>
      <c r="U698" s="14" t="s">
        <v>118</v>
      </c>
      <c r="V698" s="14" t="s">
        <v>146</v>
      </c>
      <c r="W698" s="85" t="s">
        <v>914</v>
      </c>
      <c r="X698" s="85" t="s">
        <v>918</v>
      </c>
      <c r="Y698" s="15">
        <v>3004336197</v>
      </c>
      <c r="Z698" s="14"/>
      <c r="AA698" s="14" t="s">
        <v>33</v>
      </c>
      <c r="AB698" s="85" t="s">
        <v>34</v>
      </c>
      <c r="AC698" s="14" t="s">
        <v>230</v>
      </c>
      <c r="AD698" s="16" t="s">
        <v>1110</v>
      </c>
      <c r="AE698" s="16">
        <v>60</v>
      </c>
      <c r="AF698" s="12">
        <v>393.7</v>
      </c>
      <c r="AG698" s="16" t="s">
        <v>243</v>
      </c>
      <c r="AH698" s="16" t="s">
        <v>220</v>
      </c>
      <c r="AI698" s="16" t="s">
        <v>33</v>
      </c>
      <c r="AJ698" s="85">
        <v>3004309062</v>
      </c>
      <c r="AK698" s="16" t="s">
        <v>33</v>
      </c>
      <c r="AL698" s="85">
        <v>1065072</v>
      </c>
      <c r="AM698" s="16" t="s">
        <v>1142</v>
      </c>
      <c r="AN698" s="16" t="s">
        <v>1122</v>
      </c>
      <c r="AO698" s="16" t="s">
        <v>1103</v>
      </c>
      <c r="AP698" s="14" t="s">
        <v>240</v>
      </c>
      <c r="AQ698" s="200" t="str">
        <f>CONCATENATE("REG-",BDEGENER[[#This Row],[FECHA DE SERVICIO]],"-",BDEGENER[[#This Row],[SERIE]],"-",BDEGENER[[#This Row],[HORAS]])</f>
        <v>REG-43833-3004336197-393,7</v>
      </c>
      <c r="AR698" s="5" t="str">
        <f>CONCATENATE("MARCA: ",BDEGENER[[#This Row],[MARCA]],"
 MODELO: ",BDEGENER[[#This Row],[MODELO]])</f>
        <v>MARCA: GENERAC
 MODELO: PG090</v>
      </c>
      <c r="AS698" s="5" t="str">
        <f>CONCATENATE("MARCA: ",BDEGENER[[#This Row],[MARCA DE MOTOR]],"
SERIE: ",BDEGENER[[#This Row],[SERIE DE MOTOR]])</f>
        <v>MARCA: GENERAC
SERIE: 3004309062</v>
      </c>
      <c r="AT698" s="5" t="str">
        <f>CONCATENATE("MARCA: ",BDEGENER[[#This Row],[MARCA ALTERNADOR ]],"
SERIE: ",BDEGENER[[#This Row],[SERIE DE ALTERNADOR]])</f>
        <v>MARCA: GENERAC
SERIE: 1065072</v>
      </c>
      <c r="AU698" s="5" t="str">
        <f>CONCATENATE("HORAS: ",BDEGENER[[#This Row],[HORAS]],"
KW-HR: ",BDEGENER[[#This Row],[KW-HORA]],"
VOLT.BATERIA: ",BDEGENER[[#This Row],[VOLTAJE DE BATERIA]],"
TEMPERATURA: ",BDEGENER[[#This Row],[TEMPERATURA DE AGUA]],"
PRES. ACEITE: ",BDEGENER[[#This Row],[PRESION DE ACEITE]])</f>
        <v>HORAS: 393,7
KW-HR: 
VOLT.BATERIA: 14.4 V
TEMPERATURA: 195 °F
PRES. ACEITE: 52 PSI</v>
      </c>
      <c r="AV698" s="683">
        <f>COUNTIFS(Q698:Q2698,"MANTENIMIENTO CORRECTIVO",Y698:Y2698,BDEGENER[[#This Row],[SERIE]])</f>
        <v>1</v>
      </c>
      <c r="AW698" s="683">
        <f>COUNTIFS(Q698:Q2698,"MANTENIMIENTO PREVENTIVO",Y698:Y2698,BDEGENER[[#This Row],[SERIE]])</f>
        <v>2</v>
      </c>
      <c r="AX69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98" s="29">
        <f>COUNTIFS(BDEGENER[SERIE],BDEGENER[[#This Row],[SERIE]],BDEGENER[TIPO DE SERVICIO],"MANTENIMIENTO PREVENTIVO")</f>
        <v>9</v>
      </c>
      <c r="AZ698" s="29" t="str">
        <f>CONCATENATE("MANTENIMIENTO PREVENTIVO N°",BDEGENER[[#This Row],[GA1]])</f>
        <v>MANTENIMIENTO PREVENTIVO N°9</v>
      </c>
      <c r="BA698" s="325" t="str">
        <f>IF(BDEGENER[[#This Row],[SERVICIO]]=BDEGENER[[#This Row],[GA2]],BDEGENER[[#This Row],[HORAS]],"0")</f>
        <v>0</v>
      </c>
      <c r="BB698" s="325">
        <f>SUMIF(BDEGENER[SERIE],BDEGENER[[#This Row],[SERIE]],BDEGENER[GA3])</f>
        <v>2922.3</v>
      </c>
      <c r="BC698" s="683" t="str">
        <f>CONCATENATE("MANT",COUNTIF($Y$7:Y698,Y698))</f>
        <v>MANT14</v>
      </c>
      <c r="BD698" s="29" t="str">
        <f>CONCATENATE(BDEGENER[[#This Row],[SERIE]],BDEGENER[[#This Row],[GA5]])</f>
        <v>3004336197MANT14</v>
      </c>
      <c r="BE698" s="29" t="str">
        <f>CONCATENATE(BDEGENER[[#This Row],[CODIGO PATRIMONIAL]],BDEGENER[[#This Row],[GA5]])</f>
        <v>MANT14</v>
      </c>
      <c r="BF698" s="16">
        <f>COUNTIF(BDEGENER[SERIE],BDEGENER[[#This Row],[SERIE]])</f>
        <v>17</v>
      </c>
      <c r="BG698" s="683" t="str">
        <f>CONCATENATE("F",COUNTIF($K$7:K698,K698))</f>
        <v>F5</v>
      </c>
      <c r="BH698" s="325" t="str">
        <f>CONCATENATE(BDEGENER[[#This Row],[FECHA DE SERVICIO]],BDEGENER[[#This Row],[N° DE REGISTROS DEL DIA]])</f>
        <v>43833F5</v>
      </c>
      <c r="BI698" s="324"/>
      <c r="BJ698" s="85" t="s">
        <v>1544</v>
      </c>
      <c r="BK698" s="326"/>
    </row>
    <row r="699" spans="2:63" ht="82.8" hidden="1" x14ac:dyDescent="0.3">
      <c r="B699" s="223"/>
      <c r="C699" s="223"/>
      <c r="D699" s="223"/>
      <c r="E699" s="223"/>
      <c r="F699" s="223"/>
      <c r="G699" s="223"/>
      <c r="H699" s="223"/>
      <c r="I699" s="223"/>
      <c r="J699" s="223"/>
      <c r="K699" s="723">
        <v>43833</v>
      </c>
      <c r="L699" s="15" t="s">
        <v>181</v>
      </c>
      <c r="M699" s="14" t="s">
        <v>185</v>
      </c>
      <c r="N699" s="14" t="s">
        <v>183</v>
      </c>
      <c r="O699" s="8">
        <v>4500848079</v>
      </c>
      <c r="P699" s="200" t="s">
        <v>173</v>
      </c>
      <c r="Q699" s="14" t="s">
        <v>37</v>
      </c>
      <c r="R699" s="85" t="s">
        <v>1782</v>
      </c>
      <c r="S699" s="6" t="s">
        <v>2109</v>
      </c>
      <c r="T699" s="14" t="s">
        <v>88</v>
      </c>
      <c r="U699" s="14" t="s">
        <v>118</v>
      </c>
      <c r="V699" s="14" t="s">
        <v>146</v>
      </c>
      <c r="W699" s="85" t="s">
        <v>914</v>
      </c>
      <c r="X699" s="85" t="s">
        <v>918</v>
      </c>
      <c r="Y699" s="15">
        <v>3004402506</v>
      </c>
      <c r="Z699" s="14"/>
      <c r="AA699" s="14" t="s">
        <v>33</v>
      </c>
      <c r="AB699" s="85" t="s">
        <v>34</v>
      </c>
      <c r="AC699" s="14" t="s">
        <v>230</v>
      </c>
      <c r="AD699" s="16" t="s">
        <v>1110</v>
      </c>
      <c r="AE699" s="16">
        <v>60</v>
      </c>
      <c r="AF699" s="12">
        <v>844.8</v>
      </c>
      <c r="AG699" s="16" t="s">
        <v>243</v>
      </c>
      <c r="AH699" s="16" t="s">
        <v>220</v>
      </c>
      <c r="AI699" s="16" t="s">
        <v>33</v>
      </c>
      <c r="AJ699" s="85">
        <v>3004333866</v>
      </c>
      <c r="AK699" s="16" t="s">
        <v>33</v>
      </c>
      <c r="AL699" s="85">
        <v>1063100</v>
      </c>
      <c r="AM699" s="16" t="s">
        <v>1094</v>
      </c>
      <c r="AN699" s="16" t="s">
        <v>1122</v>
      </c>
      <c r="AO699" s="16" t="s">
        <v>1158</v>
      </c>
      <c r="AP699" s="14" t="s">
        <v>240</v>
      </c>
      <c r="AQ699" s="200" t="str">
        <f>CONCATENATE("REG-",BDEGENER[[#This Row],[FECHA DE SERVICIO]],"-",BDEGENER[[#This Row],[SERIE]],"-",BDEGENER[[#This Row],[HORAS]])</f>
        <v>REG-43833-3004402506-844,8</v>
      </c>
      <c r="AR699" s="5" t="str">
        <f>CONCATENATE("MARCA: ",BDEGENER[[#This Row],[MARCA]],"
 MODELO: ",BDEGENER[[#This Row],[MODELO]])</f>
        <v>MARCA: GENERAC
 MODELO: PG090</v>
      </c>
      <c r="AS699" s="5" t="str">
        <f>CONCATENATE("MARCA: ",BDEGENER[[#This Row],[MARCA DE MOTOR]],"
SERIE: ",BDEGENER[[#This Row],[SERIE DE MOTOR]])</f>
        <v>MARCA: GENERAC
SERIE: 3004333866</v>
      </c>
      <c r="AT699" s="5" t="str">
        <f>CONCATENATE("MARCA: ",BDEGENER[[#This Row],[MARCA ALTERNADOR ]],"
SERIE: ",BDEGENER[[#This Row],[SERIE DE ALTERNADOR]])</f>
        <v>MARCA: GENERAC
SERIE: 1063100</v>
      </c>
      <c r="AU699" s="5" t="str">
        <f>CONCATENATE("HORAS: ",BDEGENER[[#This Row],[HORAS]],"
KW-HR: ",BDEGENER[[#This Row],[KW-HORA]],"
VOLT.BATERIA: ",BDEGENER[[#This Row],[VOLTAJE DE BATERIA]],"
TEMPERATURA: ",BDEGENER[[#This Row],[TEMPERATURA DE AGUA]],"
PRES. ACEITE: ",BDEGENER[[#This Row],[PRESION DE ACEITE]])</f>
        <v>HORAS: 844,8
KW-HR: 
VOLT.BATERIA: 13.5 V
TEMPERATURA: 195 °F
PRES. ACEITE: 53 PSI</v>
      </c>
      <c r="AV699" s="683">
        <f>COUNTIFS(Q699:Q2699,"MANTENIMIENTO CORRECTIVO",Y699:Y2699,BDEGENER[[#This Row],[SERIE]])</f>
        <v>1</v>
      </c>
      <c r="AW699" s="683">
        <f>COUNTIFS(Q699:Q2699,"MANTENIMIENTO PREVENTIVO",Y699:Y2699,BDEGENER[[#This Row],[SERIE]])</f>
        <v>2</v>
      </c>
      <c r="AX69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699" s="29">
        <f>COUNTIFS(BDEGENER[SERIE],BDEGENER[[#This Row],[SERIE]],BDEGENER[TIPO DE SERVICIO],"MANTENIMIENTO PREVENTIVO")</f>
        <v>8</v>
      </c>
      <c r="AZ699" s="29" t="str">
        <f>CONCATENATE("MANTENIMIENTO PREVENTIVO N°",BDEGENER[[#This Row],[GA1]])</f>
        <v>MANTENIMIENTO PREVENTIVO N°8</v>
      </c>
      <c r="BA699" s="325" t="str">
        <f>IF(BDEGENER[[#This Row],[SERVICIO]]=BDEGENER[[#This Row],[GA2]],BDEGENER[[#This Row],[HORAS]],"0")</f>
        <v>0</v>
      </c>
      <c r="BB699" s="325">
        <f>SUMIF(BDEGENER[SERIE],BDEGENER[[#This Row],[SERIE]],BDEGENER[GA3])</f>
        <v>2907.9</v>
      </c>
      <c r="BC699" s="683" t="str">
        <f>CONCATENATE("MANT",COUNTIF($Y$7:Y699,Y699))</f>
        <v>MANT11</v>
      </c>
      <c r="BD699" s="29" t="str">
        <f>CONCATENATE(BDEGENER[[#This Row],[SERIE]],BDEGENER[[#This Row],[GA5]])</f>
        <v>3004402506MANT11</v>
      </c>
      <c r="BE699" s="29" t="str">
        <f>CONCATENATE(BDEGENER[[#This Row],[CODIGO PATRIMONIAL]],BDEGENER[[#This Row],[GA5]])</f>
        <v>MANT11</v>
      </c>
      <c r="BF699" s="16">
        <f>COUNTIF(BDEGENER[SERIE],BDEGENER[[#This Row],[SERIE]])</f>
        <v>14</v>
      </c>
      <c r="BG699" s="683" t="str">
        <f>CONCATENATE("F",COUNTIF($K$7:K699,K699))</f>
        <v>F6</v>
      </c>
      <c r="BH699" s="325" t="str">
        <f>CONCATENATE(BDEGENER[[#This Row],[FECHA DE SERVICIO]],BDEGENER[[#This Row],[N° DE REGISTROS DEL DIA]])</f>
        <v>43833F6</v>
      </c>
      <c r="BI699" s="324"/>
      <c r="BJ699" s="85" t="s">
        <v>1544</v>
      </c>
      <c r="BK699" s="326"/>
    </row>
    <row r="700" spans="2:63" ht="96.6" hidden="1" x14ac:dyDescent="0.3">
      <c r="B700" s="223"/>
      <c r="C700" s="223"/>
      <c r="D700" s="223"/>
      <c r="E700" s="223"/>
      <c r="F700" s="223"/>
      <c r="G700" s="223"/>
      <c r="H700" s="223"/>
      <c r="I700" s="223"/>
      <c r="J700" s="223"/>
      <c r="K700" s="723">
        <v>43832</v>
      </c>
      <c r="L700" s="15" t="s">
        <v>181</v>
      </c>
      <c r="M700" s="14" t="s">
        <v>187</v>
      </c>
      <c r="N700" s="14" t="s">
        <v>183</v>
      </c>
      <c r="O700" s="8" t="s">
        <v>159</v>
      </c>
      <c r="P700" s="200" t="s">
        <v>174</v>
      </c>
      <c r="Q700" s="14" t="s">
        <v>37</v>
      </c>
      <c r="R700" s="85" t="s">
        <v>1782</v>
      </c>
      <c r="S700" s="5" t="s">
        <v>38</v>
      </c>
      <c r="T700" s="14" t="s">
        <v>89</v>
      </c>
      <c r="U700" s="14" t="s">
        <v>119</v>
      </c>
      <c r="V700" s="14" t="s">
        <v>146</v>
      </c>
      <c r="W700" s="85" t="s">
        <v>914</v>
      </c>
      <c r="X700" s="85" t="s">
        <v>918</v>
      </c>
      <c r="Y700" s="15">
        <v>3004218547</v>
      </c>
      <c r="Z700" s="14" t="s">
        <v>192</v>
      </c>
      <c r="AA700" s="14" t="s">
        <v>33</v>
      </c>
      <c r="AB700" s="85" t="s">
        <v>34</v>
      </c>
      <c r="AC700" s="14" t="s">
        <v>230</v>
      </c>
      <c r="AD700" s="16" t="s">
        <v>1110</v>
      </c>
      <c r="AE700" s="16"/>
      <c r="AF700" s="12">
        <v>142.9</v>
      </c>
      <c r="AG700" s="16" t="s">
        <v>243</v>
      </c>
      <c r="AH700" s="16" t="s">
        <v>220</v>
      </c>
      <c r="AI700" s="16" t="s">
        <v>33</v>
      </c>
      <c r="AJ700" s="85">
        <v>3003966252</v>
      </c>
      <c r="AK700" s="16" t="s">
        <v>33</v>
      </c>
      <c r="AL700" s="85">
        <v>1063014</v>
      </c>
      <c r="AM700" s="16" t="s">
        <v>1094</v>
      </c>
      <c r="AN700" s="16"/>
      <c r="AO700" s="16"/>
      <c r="AP700" s="14" t="s">
        <v>240</v>
      </c>
      <c r="AQ700" s="200" t="str">
        <f>CONCATENATE("REG-",BDEGENER[[#This Row],[FECHA DE SERVICIO]],"-",BDEGENER[[#This Row],[SERIE]],"-",BDEGENER[[#This Row],[HORAS]])</f>
        <v>REG-43832-3004218547-142,9</v>
      </c>
      <c r="AR700" s="5" t="str">
        <f>CONCATENATE("MARCA: ",BDEGENER[[#This Row],[MARCA]],"
 MODELO: ",BDEGENER[[#This Row],[MODELO]])</f>
        <v>MARCA: GENERAC
 MODELO: PG090</v>
      </c>
      <c r="AS700" s="5" t="str">
        <f>CONCATENATE("MARCA: ",BDEGENER[[#This Row],[MARCA DE MOTOR]],"
SERIE: ",BDEGENER[[#This Row],[SERIE DE MOTOR]])</f>
        <v>MARCA: GENERAC
SERIE: 3003966252</v>
      </c>
      <c r="AT700" s="5" t="str">
        <f>CONCATENATE("MARCA: ",BDEGENER[[#This Row],[MARCA ALTERNADOR ]],"
SERIE: ",BDEGENER[[#This Row],[SERIE DE ALTERNADOR]])</f>
        <v>MARCA: GENERAC
SERIE: 1063014</v>
      </c>
      <c r="AU700" s="5" t="str">
        <f>CONCATENATE("HORAS: ",BDEGENER[[#This Row],[HORAS]],"
KW-HR: ",BDEGENER[[#This Row],[KW-HORA]],"
VOLT.BATERIA: ",BDEGENER[[#This Row],[VOLTAJE DE BATERIA]],"
TEMPERATURA: ",BDEGENER[[#This Row],[TEMPERATURA DE AGUA]],"
PRES. ACEITE: ",BDEGENER[[#This Row],[PRESION DE ACEITE]])</f>
        <v xml:space="preserve">HORAS: 142,9
KW-HR: 
VOLT.BATERIA: 13.5 V
TEMPERATURA: 
PRES. ACEITE: </v>
      </c>
      <c r="AV700" s="761">
        <f>COUNTIFS(Q700:Q2700,"MANTENIMIENTO CORRECTIVO",Y700:Y2700,BDEGENER[[#This Row],[SERIE]])</f>
        <v>1</v>
      </c>
      <c r="AW700" s="761">
        <f>COUNTIFS(Q700:Q2700,"MANTENIMIENTO PREVENTIVO",Y700:Y2700,BDEGENER[[#This Row],[SERIE]])</f>
        <v>1</v>
      </c>
      <c r="AX70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00" s="29">
        <f>COUNTIFS(BDEGENER[SERIE],BDEGENER[[#This Row],[SERIE]],BDEGENER[TIPO DE SERVICIO],"MANTENIMIENTO PREVENTIVO")</f>
        <v>7</v>
      </c>
      <c r="AZ700" s="29" t="str">
        <f>CONCATENATE("MANTENIMIENTO PREVENTIVO N°",BDEGENER[[#This Row],[GA1]])</f>
        <v>MANTENIMIENTO PREVENTIVO N°7</v>
      </c>
      <c r="BA700" s="325" t="str">
        <f>IF(BDEGENER[[#This Row],[SERVICIO]]=BDEGENER[[#This Row],[GA2]],BDEGENER[[#This Row],[HORAS]],"0")</f>
        <v>0</v>
      </c>
      <c r="BB700" s="325">
        <f>SUMIF(BDEGENER[SERIE],BDEGENER[[#This Row],[SERIE]],BDEGENER[GA3])</f>
        <v>2015.6</v>
      </c>
      <c r="BC700" s="761" t="str">
        <f>CONCATENATE("MANT",COUNTIF($Y$7:Y700,Y700))</f>
        <v>MANT10</v>
      </c>
      <c r="BD700" s="29" t="str">
        <f>CONCATENATE(BDEGENER[[#This Row],[SERIE]],BDEGENER[[#This Row],[GA5]])</f>
        <v>3004218547MANT10</v>
      </c>
      <c r="BE700" s="29" t="str">
        <f>CONCATENATE(BDEGENER[[#This Row],[CODIGO PATRIMONIAL]],BDEGENER[[#This Row],[GA5]])</f>
        <v xml:space="preserve"> MANT10</v>
      </c>
      <c r="BF700" s="16">
        <f>COUNTIF(BDEGENER[SERIE],BDEGENER[[#This Row],[SERIE]])</f>
        <v>12</v>
      </c>
      <c r="BG700" s="761" t="str">
        <f>CONCATENATE("F",COUNTIF($K$7:K700,K700))</f>
        <v>F1</v>
      </c>
      <c r="BH700" s="325" t="str">
        <f>CONCATENATE(BDEGENER[[#This Row],[FECHA DE SERVICIO]],BDEGENER[[#This Row],[N° DE REGISTROS DEL DIA]])</f>
        <v>43832F1</v>
      </c>
      <c r="BI700" s="324"/>
      <c r="BJ700" s="85" t="s">
        <v>1544</v>
      </c>
      <c r="BK700" s="326"/>
    </row>
    <row r="701" spans="2:63" ht="96.6" hidden="1" x14ac:dyDescent="0.3">
      <c r="B701" s="223"/>
      <c r="C701" s="223"/>
      <c r="D701" s="223"/>
      <c r="E701" s="223"/>
      <c r="F701" s="223"/>
      <c r="G701" s="223"/>
      <c r="H701" s="223"/>
      <c r="I701" s="223"/>
      <c r="J701" s="223"/>
      <c r="K701" s="723">
        <v>43832</v>
      </c>
      <c r="L701" s="15" t="s">
        <v>181</v>
      </c>
      <c r="M701" s="14" t="s">
        <v>187</v>
      </c>
      <c r="N701" s="14" t="s">
        <v>183</v>
      </c>
      <c r="O701" s="8" t="s">
        <v>159</v>
      </c>
      <c r="P701" s="200" t="s">
        <v>174</v>
      </c>
      <c r="Q701" s="14" t="s">
        <v>37</v>
      </c>
      <c r="R701" s="85" t="s">
        <v>1782</v>
      </c>
      <c r="S701" s="5" t="s">
        <v>38</v>
      </c>
      <c r="T701" s="14" t="s">
        <v>89</v>
      </c>
      <c r="U701" s="14" t="s">
        <v>119</v>
      </c>
      <c r="V701" s="14" t="s">
        <v>146</v>
      </c>
      <c r="W701" s="85" t="s">
        <v>914</v>
      </c>
      <c r="X701" s="85" t="s">
        <v>918</v>
      </c>
      <c r="Y701" s="15">
        <v>3004337428</v>
      </c>
      <c r="Z701" s="14" t="s">
        <v>192</v>
      </c>
      <c r="AA701" s="14" t="s">
        <v>33</v>
      </c>
      <c r="AB701" s="85" t="s">
        <v>34</v>
      </c>
      <c r="AC701" s="14" t="s">
        <v>230</v>
      </c>
      <c r="AD701" s="16" t="s">
        <v>1110</v>
      </c>
      <c r="AE701" s="16"/>
      <c r="AF701" s="12">
        <v>68</v>
      </c>
      <c r="AG701" s="16" t="s">
        <v>243</v>
      </c>
      <c r="AH701" s="16" t="s">
        <v>220</v>
      </c>
      <c r="AI701" s="16" t="s">
        <v>33</v>
      </c>
      <c r="AJ701" s="16"/>
      <c r="AK701" s="16" t="s">
        <v>33</v>
      </c>
      <c r="AL701" s="16"/>
      <c r="AM701" s="16" t="s">
        <v>245</v>
      </c>
      <c r="AN701" s="16"/>
      <c r="AO701" s="16"/>
      <c r="AP701" s="14" t="s">
        <v>240</v>
      </c>
      <c r="AQ701" s="200" t="str">
        <f>CONCATENATE("REG-",BDEGENER[[#This Row],[FECHA DE SERVICIO]],"-",BDEGENER[[#This Row],[SERIE]],"-",BDEGENER[[#This Row],[HORAS]])</f>
        <v>REG-43832-3004337428-68</v>
      </c>
      <c r="AR701" s="5" t="str">
        <f>CONCATENATE("MARCA: ",BDEGENER[[#This Row],[MARCA]],"
 MODELO: ",BDEGENER[[#This Row],[MODELO]])</f>
        <v>MARCA: GENERAC
 MODELO: PG090</v>
      </c>
      <c r="AS701" s="5" t="str">
        <f>CONCATENATE("MARCA: ",BDEGENER[[#This Row],[MARCA DE MOTOR]],"
SERIE: ",BDEGENER[[#This Row],[SERIE DE MOTOR]])</f>
        <v xml:space="preserve">MARCA: GENERAC
SERIE: </v>
      </c>
      <c r="AT701" s="5" t="str">
        <f>CONCATENATE("MARCA: ",BDEGENER[[#This Row],[MARCA ALTERNADOR ]],"
SERIE: ",BDEGENER[[#This Row],[SERIE DE ALTERNADOR]])</f>
        <v xml:space="preserve">MARCA: GENERAC
SERIE: </v>
      </c>
      <c r="AU701" s="5" t="str">
        <f>CONCATENATE("HORAS: ",BDEGENER[[#This Row],[HORAS]],"
KW-HR: ",BDEGENER[[#This Row],[KW-HORA]],"
VOLT.BATERIA: ",BDEGENER[[#This Row],[VOLTAJE DE BATERIA]],"
TEMPERATURA: ",BDEGENER[[#This Row],[TEMPERATURA DE AGUA]],"
PRES. ACEITE: ",BDEGENER[[#This Row],[PRESION DE ACEITE]])</f>
        <v xml:space="preserve">HORAS: 68
KW-HR: 
VOLT.BATERIA: 13.6 V
TEMPERATURA: 
PRES. ACEITE: </v>
      </c>
      <c r="AV701" s="683">
        <f>COUNTIFS(Q701:Q2701,"MANTENIMIENTO CORRECTIVO",Y701:Y2701,BDEGENER[[#This Row],[SERIE]])</f>
        <v>1</v>
      </c>
      <c r="AW701" s="683">
        <f>COUNTIFS(Q701:Q2701,"MANTENIMIENTO PREVENTIVO",Y701:Y2701,BDEGENER[[#This Row],[SERIE]])</f>
        <v>1</v>
      </c>
      <c r="AX70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01" s="29">
        <f>COUNTIFS(BDEGENER[SERIE],BDEGENER[[#This Row],[SERIE]],BDEGENER[TIPO DE SERVICIO],"MANTENIMIENTO PREVENTIVO")</f>
        <v>6</v>
      </c>
      <c r="AZ701" s="29" t="str">
        <f>CONCATENATE("MANTENIMIENTO PREVENTIVO N°",BDEGENER[[#This Row],[GA1]])</f>
        <v>MANTENIMIENTO PREVENTIVO N°6</v>
      </c>
      <c r="BA701" s="325" t="str">
        <f>IF(BDEGENER[[#This Row],[SERVICIO]]=BDEGENER[[#This Row],[GA2]],BDEGENER[[#This Row],[HORAS]],"0")</f>
        <v>0</v>
      </c>
      <c r="BB701" s="325">
        <f>SUMIF(BDEGENER[SERIE],BDEGENER[[#This Row],[SERIE]],BDEGENER[GA3])</f>
        <v>1586.2</v>
      </c>
      <c r="BC701" s="683" t="str">
        <f>CONCATENATE("MANT",COUNTIF($Y$7:Y701,Y701))</f>
        <v>MANT7</v>
      </c>
      <c r="BD701" s="29" t="str">
        <f>CONCATENATE(BDEGENER[[#This Row],[SERIE]],BDEGENER[[#This Row],[GA5]])</f>
        <v>3004337428MANT7</v>
      </c>
      <c r="BE701" s="29" t="str">
        <f>CONCATENATE(BDEGENER[[#This Row],[CODIGO PATRIMONIAL]],BDEGENER[[#This Row],[GA5]])</f>
        <v xml:space="preserve"> MANT7</v>
      </c>
      <c r="BF701" s="16">
        <f>COUNTIF(BDEGENER[SERIE],BDEGENER[[#This Row],[SERIE]])</f>
        <v>9</v>
      </c>
      <c r="BG701" s="683" t="str">
        <f>CONCATENATE("F",COUNTIF($K$7:K701,K701))</f>
        <v>F2</v>
      </c>
      <c r="BH701" s="325" t="str">
        <f>CONCATENATE(BDEGENER[[#This Row],[FECHA DE SERVICIO]],BDEGENER[[#This Row],[N° DE REGISTROS DEL DIA]])</f>
        <v>43832F2</v>
      </c>
      <c r="BI701" s="324"/>
      <c r="BJ701" s="85" t="s">
        <v>1544</v>
      </c>
      <c r="BK701" s="326"/>
    </row>
    <row r="702" spans="2:63" ht="82.8" hidden="1" x14ac:dyDescent="0.3">
      <c r="B702" s="223"/>
      <c r="C702" s="223"/>
      <c r="D702" s="223"/>
      <c r="E702" s="223"/>
      <c r="F702" s="223"/>
      <c r="G702" s="223"/>
      <c r="H702" s="223"/>
      <c r="I702" s="223"/>
      <c r="J702" s="223"/>
      <c r="K702" s="723">
        <v>43832</v>
      </c>
      <c r="L702" s="15" t="s">
        <v>181</v>
      </c>
      <c r="M702" s="14" t="s">
        <v>187</v>
      </c>
      <c r="N702" s="14" t="s">
        <v>183</v>
      </c>
      <c r="O702" s="8" t="s">
        <v>159</v>
      </c>
      <c r="P702" s="200" t="s">
        <v>174</v>
      </c>
      <c r="Q702" s="14" t="s">
        <v>37</v>
      </c>
      <c r="R702" s="85" t="s">
        <v>1782</v>
      </c>
      <c r="S702" s="5" t="s">
        <v>2379</v>
      </c>
      <c r="T702" s="14" t="s">
        <v>89</v>
      </c>
      <c r="U702" s="14" t="s">
        <v>119</v>
      </c>
      <c r="V702" s="14" t="s">
        <v>146</v>
      </c>
      <c r="W702" s="85" t="s">
        <v>914</v>
      </c>
      <c r="X702" s="85" t="s">
        <v>918</v>
      </c>
      <c r="Y702" s="15">
        <v>3004337430</v>
      </c>
      <c r="Z702" s="14" t="s">
        <v>192</v>
      </c>
      <c r="AA702" s="14" t="s">
        <v>33</v>
      </c>
      <c r="AB702" s="85" t="s">
        <v>34</v>
      </c>
      <c r="AC702" s="14" t="s">
        <v>230</v>
      </c>
      <c r="AD702" s="16" t="s">
        <v>1110</v>
      </c>
      <c r="AE702" s="16"/>
      <c r="AF702" s="12">
        <v>177.5</v>
      </c>
      <c r="AG702" s="85" t="s">
        <v>243</v>
      </c>
      <c r="AH702" s="85" t="s">
        <v>220</v>
      </c>
      <c r="AI702" s="85" t="s">
        <v>33</v>
      </c>
      <c r="AJ702" s="16"/>
      <c r="AK702" s="85" t="s">
        <v>33</v>
      </c>
      <c r="AL702" s="16"/>
      <c r="AM702" s="16" t="s">
        <v>245</v>
      </c>
      <c r="AN702" s="16"/>
      <c r="AO702" s="16"/>
      <c r="AP702" s="14" t="s">
        <v>240</v>
      </c>
      <c r="AQ702" s="200" t="str">
        <f>CONCATENATE("REG-",BDEGENER[[#This Row],[FECHA DE SERVICIO]],"-",BDEGENER[[#This Row],[SERIE]],"-",BDEGENER[[#This Row],[HORAS]])</f>
        <v>REG-43832-3004337430-177,5</v>
      </c>
      <c r="AR702" s="5" t="str">
        <f>CONCATENATE("MARCA: ",BDEGENER[[#This Row],[MARCA]],"
 MODELO: ",BDEGENER[[#This Row],[MODELO]])</f>
        <v>MARCA: GENERAC
 MODELO: PG090</v>
      </c>
      <c r="AS702" s="5" t="str">
        <f>CONCATENATE("MARCA: ",BDEGENER[[#This Row],[MARCA DE MOTOR]],"
SERIE: ",BDEGENER[[#This Row],[SERIE DE MOTOR]])</f>
        <v xml:space="preserve">MARCA: GENERAC
SERIE: </v>
      </c>
      <c r="AT702" s="5" t="str">
        <f>CONCATENATE("MARCA: ",BDEGENER[[#This Row],[MARCA ALTERNADOR ]],"
SERIE: ",BDEGENER[[#This Row],[SERIE DE ALTERNADOR]])</f>
        <v xml:space="preserve">MARCA: GENERAC
SERIE: </v>
      </c>
      <c r="AU702" s="5" t="str">
        <f>CONCATENATE("HORAS: ",BDEGENER[[#This Row],[HORAS]],"
KW-HR: ",BDEGENER[[#This Row],[KW-HORA]],"
VOLT.BATERIA: ",BDEGENER[[#This Row],[VOLTAJE DE BATERIA]],"
TEMPERATURA: ",BDEGENER[[#This Row],[TEMPERATURA DE AGUA]],"
PRES. ACEITE: ",BDEGENER[[#This Row],[PRESION DE ACEITE]])</f>
        <v xml:space="preserve">HORAS: 177,5
KW-HR: 
VOLT.BATERIA: 13.6 V
TEMPERATURA: 
PRES. ACEITE: </v>
      </c>
      <c r="AV702" s="683">
        <f>COUNTIFS(Q702:Q2702,"MANTENIMIENTO CORRECTIVO",Y702:Y2702,BDEGENER[[#This Row],[SERIE]])</f>
        <v>1</v>
      </c>
      <c r="AW702" s="683">
        <f>COUNTIFS(Q702:Q2702,"MANTENIMIENTO PREVENTIVO",Y702:Y2702,BDEGENER[[#This Row],[SERIE]])</f>
        <v>1</v>
      </c>
      <c r="AX70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02" s="29">
        <f>COUNTIFS(BDEGENER[SERIE],BDEGENER[[#This Row],[SERIE]],BDEGENER[TIPO DE SERVICIO],"MANTENIMIENTO PREVENTIVO")</f>
        <v>3</v>
      </c>
      <c r="AZ702" s="29" t="str">
        <f>CONCATENATE("MANTENIMIENTO PREVENTIVO N°",BDEGENER[[#This Row],[GA1]])</f>
        <v>MANTENIMIENTO PREVENTIVO N°3</v>
      </c>
      <c r="BA702" s="325" t="str">
        <f>IF(BDEGENER[[#This Row],[SERVICIO]]=BDEGENER[[#This Row],[GA2]],BDEGENER[[#This Row],[HORAS]],"0")</f>
        <v>0</v>
      </c>
      <c r="BB702" s="325">
        <f>SUMIF(BDEGENER[SERIE],BDEGENER[[#This Row],[SERIE]],BDEGENER[GA3])</f>
        <v>596.6</v>
      </c>
      <c r="BC702" s="683" t="str">
        <f>CONCATENATE("MANT",COUNTIF($Y$7:Y702,Y702))</f>
        <v>MANT9</v>
      </c>
      <c r="BD702" s="29" t="str">
        <f>CONCATENATE(BDEGENER[[#This Row],[SERIE]],BDEGENER[[#This Row],[GA5]])</f>
        <v>3004337430MANT9</v>
      </c>
      <c r="BE702" s="29" t="str">
        <f>CONCATENATE(BDEGENER[[#This Row],[CODIGO PATRIMONIAL]],BDEGENER[[#This Row],[GA5]])</f>
        <v xml:space="preserve"> MANT9</v>
      </c>
      <c r="BF702" s="16">
        <f>COUNTIF(BDEGENER[SERIE],BDEGENER[[#This Row],[SERIE]])</f>
        <v>11</v>
      </c>
      <c r="BG702" s="683" t="str">
        <f>CONCATENATE("F",COUNTIF($K$7:K702,K702))</f>
        <v>F3</v>
      </c>
      <c r="BH702" s="325" t="str">
        <f>CONCATENATE(BDEGENER[[#This Row],[FECHA DE SERVICIO]],BDEGENER[[#This Row],[N° DE REGISTROS DEL DIA]])</f>
        <v>43832F3</v>
      </c>
      <c r="BI702" s="324"/>
      <c r="BJ702" s="85" t="s">
        <v>1544</v>
      </c>
      <c r="BK702" s="326"/>
    </row>
    <row r="703" spans="2:63" ht="82.8" hidden="1" x14ac:dyDescent="0.3">
      <c r="B703" s="223"/>
      <c r="C703" s="223"/>
      <c r="D703" s="223"/>
      <c r="E703" s="223"/>
      <c r="F703" s="223"/>
      <c r="G703" s="223"/>
      <c r="H703" s="223"/>
      <c r="I703" s="223"/>
      <c r="J703" s="223"/>
      <c r="K703" s="723">
        <v>43832</v>
      </c>
      <c r="L703" s="15" t="s">
        <v>181</v>
      </c>
      <c r="M703" s="14" t="s">
        <v>187</v>
      </c>
      <c r="N703" s="14" t="s">
        <v>183</v>
      </c>
      <c r="O703" s="8" t="s">
        <v>159</v>
      </c>
      <c r="P703" s="200" t="s">
        <v>174</v>
      </c>
      <c r="Q703" s="14" t="s">
        <v>37</v>
      </c>
      <c r="R703" s="85" t="s">
        <v>1782</v>
      </c>
      <c r="S703" s="5" t="s">
        <v>2378</v>
      </c>
      <c r="T703" s="14" t="s">
        <v>89</v>
      </c>
      <c r="U703" s="14" t="s">
        <v>119</v>
      </c>
      <c r="V703" s="14" t="s">
        <v>146</v>
      </c>
      <c r="W703" s="85" t="s">
        <v>914</v>
      </c>
      <c r="X703" s="85" t="s">
        <v>918</v>
      </c>
      <c r="Y703" s="15">
        <v>3004327725</v>
      </c>
      <c r="Z703" s="14" t="s">
        <v>192</v>
      </c>
      <c r="AA703" s="14" t="s">
        <v>33</v>
      </c>
      <c r="AB703" s="85" t="s">
        <v>34</v>
      </c>
      <c r="AC703" s="14" t="s">
        <v>230</v>
      </c>
      <c r="AD703" s="16" t="s">
        <v>1110</v>
      </c>
      <c r="AE703" s="16"/>
      <c r="AF703" s="12">
        <v>50.6</v>
      </c>
      <c r="AG703" s="16" t="s">
        <v>243</v>
      </c>
      <c r="AH703" s="16" t="s">
        <v>220</v>
      </c>
      <c r="AI703" s="16" t="s">
        <v>33</v>
      </c>
      <c r="AJ703" s="85">
        <v>3004333865</v>
      </c>
      <c r="AK703" s="16" t="s">
        <v>33</v>
      </c>
      <c r="AL703" s="85">
        <v>1065020</v>
      </c>
      <c r="AM703" s="16" t="s">
        <v>1121</v>
      </c>
      <c r="AN703" s="16"/>
      <c r="AO703" s="16"/>
      <c r="AP703" s="14" t="s">
        <v>240</v>
      </c>
      <c r="AQ703" s="200" t="str">
        <f>CONCATENATE("REG-",BDEGENER[[#This Row],[FECHA DE SERVICIO]],"-",BDEGENER[[#This Row],[SERIE]],"-",BDEGENER[[#This Row],[HORAS]])</f>
        <v>REG-43832-3004327725-50,6</v>
      </c>
      <c r="AR703" s="5" t="str">
        <f>CONCATENATE("MARCA: ",BDEGENER[[#This Row],[MARCA]],"
 MODELO: ",BDEGENER[[#This Row],[MODELO]])</f>
        <v>MARCA: GENERAC
 MODELO: PG090</v>
      </c>
      <c r="AS703" s="5" t="str">
        <f>CONCATENATE("MARCA: ",BDEGENER[[#This Row],[MARCA DE MOTOR]],"
SERIE: ",BDEGENER[[#This Row],[SERIE DE MOTOR]])</f>
        <v>MARCA: GENERAC
SERIE: 3004333865</v>
      </c>
      <c r="AT703" s="5" t="str">
        <f>CONCATENATE("MARCA: ",BDEGENER[[#This Row],[MARCA ALTERNADOR ]],"
SERIE: ",BDEGENER[[#This Row],[SERIE DE ALTERNADOR]])</f>
        <v>MARCA: GENERAC
SERIE: 1065020</v>
      </c>
      <c r="AU703" s="5" t="str">
        <f>CONCATENATE("HORAS: ",BDEGENER[[#This Row],[HORAS]],"
KW-HR: ",BDEGENER[[#This Row],[KW-HORA]],"
VOLT.BATERIA: ",BDEGENER[[#This Row],[VOLTAJE DE BATERIA]],"
TEMPERATURA: ",BDEGENER[[#This Row],[TEMPERATURA DE AGUA]],"
PRES. ACEITE: ",BDEGENER[[#This Row],[PRESION DE ACEITE]])</f>
        <v xml:space="preserve">HORAS: 50,6
KW-HR: 
VOLT.BATERIA: 13.7 V
TEMPERATURA: 
PRES. ACEITE: </v>
      </c>
      <c r="AV703" s="761">
        <f>COUNTIFS(Q703:Q2703,"MANTENIMIENTO CORRECTIVO",Y703:Y2703,BDEGENER[[#This Row],[SERIE]])</f>
        <v>1</v>
      </c>
      <c r="AW703" s="761">
        <f>COUNTIFS(Q703:Q2703,"MANTENIMIENTO PREVENTIVO",Y703:Y2703,BDEGENER[[#This Row],[SERIE]])</f>
        <v>1</v>
      </c>
      <c r="AX70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03" s="29">
        <f>COUNTIFS(BDEGENER[SERIE],BDEGENER[[#This Row],[SERIE]],BDEGENER[TIPO DE SERVICIO],"MANTENIMIENTO PREVENTIVO")</f>
        <v>6</v>
      </c>
      <c r="AZ703" s="29" t="str">
        <f>CONCATENATE("MANTENIMIENTO PREVENTIVO N°",BDEGENER[[#This Row],[GA1]])</f>
        <v>MANTENIMIENTO PREVENTIVO N°6</v>
      </c>
      <c r="BA703" s="325" t="str">
        <f>IF(BDEGENER[[#This Row],[SERVICIO]]=BDEGENER[[#This Row],[GA2]],BDEGENER[[#This Row],[HORAS]],"0")</f>
        <v>0</v>
      </c>
      <c r="BB703" s="325">
        <f>SUMIF(BDEGENER[SERIE],BDEGENER[[#This Row],[SERIE]],BDEGENER[GA3])</f>
        <v>1599.8</v>
      </c>
      <c r="BC703" s="761" t="str">
        <f>CONCATENATE("MANT",COUNTIF($Y$7:Y703,Y703))</f>
        <v>MANT11</v>
      </c>
      <c r="BD703" s="29" t="str">
        <f>CONCATENATE(BDEGENER[[#This Row],[SERIE]],BDEGENER[[#This Row],[GA5]])</f>
        <v>3004327725MANT11</v>
      </c>
      <c r="BE703" s="29" t="str">
        <f>CONCATENATE(BDEGENER[[#This Row],[CODIGO PATRIMONIAL]],BDEGENER[[#This Row],[GA5]])</f>
        <v xml:space="preserve"> MANT11</v>
      </c>
      <c r="BF703" s="16">
        <f>COUNTIF(BDEGENER[SERIE],BDEGENER[[#This Row],[SERIE]])</f>
        <v>13</v>
      </c>
      <c r="BG703" s="761" t="str">
        <f>CONCATENATE("F",COUNTIF($K$7:K703,K703))</f>
        <v>F4</v>
      </c>
      <c r="BH703" s="325" t="str">
        <f>CONCATENATE(BDEGENER[[#This Row],[FECHA DE SERVICIO]],BDEGENER[[#This Row],[N° DE REGISTROS DEL DIA]])</f>
        <v>43832F4</v>
      </c>
      <c r="BI703" s="324"/>
      <c r="BJ703" s="85" t="s">
        <v>1544</v>
      </c>
      <c r="BK703" s="326"/>
    </row>
    <row r="704" spans="2:63" ht="69" hidden="1" x14ac:dyDescent="0.3">
      <c r="B704" s="129"/>
      <c r="C704" s="129"/>
      <c r="D704" s="129"/>
      <c r="E704" s="129"/>
      <c r="F704" s="129"/>
      <c r="G704" s="129"/>
      <c r="H704" s="129"/>
      <c r="I704" s="129"/>
      <c r="J704" s="129"/>
      <c r="K704" s="131">
        <v>43826</v>
      </c>
      <c r="L704" s="130" t="s">
        <v>1546</v>
      </c>
      <c r="M704" s="85" t="s">
        <v>1395</v>
      </c>
      <c r="N704" s="85" t="s">
        <v>1547</v>
      </c>
      <c r="O704" s="85"/>
      <c r="P704" s="85"/>
      <c r="Q704" s="85" t="s">
        <v>37</v>
      </c>
      <c r="R704" s="85" t="s">
        <v>1782</v>
      </c>
      <c r="S704" s="6" t="s">
        <v>1565</v>
      </c>
      <c r="T704" s="85" t="s">
        <v>1782</v>
      </c>
      <c r="U704" s="85" t="s">
        <v>1566</v>
      </c>
      <c r="V704" s="85" t="s">
        <v>922</v>
      </c>
      <c r="W704" s="85" t="s">
        <v>915</v>
      </c>
      <c r="X704" s="85" t="s">
        <v>917</v>
      </c>
      <c r="Y704" s="15">
        <v>1603597</v>
      </c>
      <c r="Z704" s="85"/>
      <c r="AA704" s="85" t="s">
        <v>33</v>
      </c>
      <c r="AB704" s="85" t="s">
        <v>1120</v>
      </c>
      <c r="AC704" s="85" t="s">
        <v>231</v>
      </c>
      <c r="AD704" s="85"/>
      <c r="AE704" s="85"/>
      <c r="AF704" s="132">
        <v>1468</v>
      </c>
      <c r="AG704" s="85" t="s">
        <v>243</v>
      </c>
      <c r="AH704" s="85" t="s">
        <v>1088</v>
      </c>
      <c r="AI704" s="85" t="s">
        <v>868</v>
      </c>
      <c r="AJ704" s="85" t="s">
        <v>1564</v>
      </c>
      <c r="AK704" s="85" t="s">
        <v>33</v>
      </c>
      <c r="AL704" s="85"/>
      <c r="AM704" s="85"/>
      <c r="AN704" s="85"/>
      <c r="AO704" s="85"/>
      <c r="AP704" s="85" t="s">
        <v>240</v>
      </c>
      <c r="AQ704" s="85" t="str">
        <f>CONCATENATE("REG-",BDEGENER[[#This Row],[FECHA DE SERVICIO]],"-",BDEGENER[[#This Row],[SERIE]],"-",BDEGENER[[#This Row],[HORAS]])</f>
        <v>REG-43826-1603597-1468</v>
      </c>
      <c r="AR704" s="85" t="str">
        <f>CONCATENATE("MARCA: ",BDEGENER[[#This Row],[MARCA]],"
 MODELO: ",BDEGENER[[#This Row],[MODELO]])</f>
        <v>MARCA: GENERAC
 MODELO: VT8 K3</v>
      </c>
      <c r="AS704" s="85" t="str">
        <f>CONCATENATE("MARCA: ",BDEGENER[[#This Row],[MARCA DE MOTOR]],"
SERIE: ",BDEGENER[[#This Row],[SERIE DE MOTOR]])</f>
        <v>MARCA: KUBOTA
SERIE: 1GL0716</v>
      </c>
      <c r="AT704" s="85" t="str">
        <f>CONCATENATE("MARCA: ",BDEGENER[[#This Row],[MARCA ALTERNADOR ]],"
SERIE: ",BDEGENER[[#This Row],[SERIE DE ALTERNADOR]])</f>
        <v xml:space="preserve">MARCA: GENERAC
SERIE: </v>
      </c>
      <c r="AU704" s="85" t="str">
        <f>CONCATENATE("HORAS: ",BDEGENER[[#This Row],[HORAS]],"
KW-HR: ",BDEGENER[[#This Row],[KW-HORA]],"
VOLT.BATERIA: ",BDEGENER[[#This Row],[VOLTAJE DE BATERIA]],"
TEMPERATURA: ",BDEGENER[[#This Row],[TEMPERATURA DE AGUA]],"
PRES. ACEITE: ",BDEGENER[[#This Row],[PRESION DE ACEITE]])</f>
        <v xml:space="preserve">HORAS: 1468
KW-HR: 
VOLT.BATERIA: 
TEMPERATURA: 
PRES. ACEITE: </v>
      </c>
      <c r="AV704" s="683">
        <f>COUNTIFS(Q704:Q2704,"MANTENIMIENTO CORRECTIVO",Y704:Y2704,BDEGENER[[#This Row],[SERIE]])</f>
        <v>1</v>
      </c>
      <c r="AW704" s="683">
        <f>COUNTIFS(Q704:Q2704,"MANTENIMIENTO PREVENTIVO",Y704:Y2704,BDEGENER[[#This Row],[SERIE]])</f>
        <v>2</v>
      </c>
      <c r="AX70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04" s="85">
        <f>COUNTIFS(BDEGENER[SERIE],BDEGENER[[#This Row],[SERIE]],BDEGENER[TIPO DE SERVICIO],"MANTENIMIENTO PREVENTIVO")</f>
        <v>2</v>
      </c>
      <c r="AZ704" s="85" t="str">
        <f>CONCATENATE("MANTENIMIENTO PREVENTIVO N°",BDEGENER[[#This Row],[GA1]])</f>
        <v>MANTENIMIENTO PREVENTIVO N°2</v>
      </c>
      <c r="BA704" s="85">
        <f>IF(BDEGENER[[#This Row],[SERVICIO]]=BDEGENER[[#This Row],[GA2]],BDEGENER[[#This Row],[HORAS]],"0")</f>
        <v>1468</v>
      </c>
      <c r="BB704" s="85">
        <f>SUMIF(BDEGENER[SERIE],BDEGENER[[#This Row],[SERIE]],BDEGENER[GA3])</f>
        <v>1468</v>
      </c>
      <c r="BC704" s="683" t="str">
        <f>CONCATENATE("MANT",COUNTIF($Y$7:Y704,Y704))</f>
        <v>MANT1</v>
      </c>
      <c r="BD704" s="85" t="str">
        <f>CONCATENATE(BDEGENER[[#This Row],[SERIE]],BDEGENER[[#This Row],[GA5]])</f>
        <v>1603597MANT1</v>
      </c>
      <c r="BE704" s="85" t="str">
        <f>CONCATENATE(BDEGENER[[#This Row],[CODIGO PATRIMONIAL]],BDEGENER[[#This Row],[GA5]])</f>
        <v>MANT1</v>
      </c>
      <c r="BF704" s="85">
        <f>COUNTIF(BDEGENER[SERIE],BDEGENER[[#This Row],[SERIE]])</f>
        <v>3</v>
      </c>
      <c r="BG704" s="683" t="str">
        <f>CONCATENATE("F",COUNTIF($K$7:K704,K704))</f>
        <v>F1</v>
      </c>
      <c r="BH704" s="85" t="str">
        <f>CONCATENATE(BDEGENER[[#This Row],[FECHA DE SERVICIO]],BDEGENER[[#This Row],[N° DE REGISTROS DEL DIA]])</f>
        <v>43826F1</v>
      </c>
      <c r="BI704" s="132"/>
      <c r="BJ704" s="85" t="s">
        <v>1545</v>
      </c>
      <c r="BK704" s="326"/>
    </row>
    <row r="705" spans="2:63" ht="69" hidden="1" x14ac:dyDescent="0.3">
      <c r="B705" s="129"/>
      <c r="C705" s="129"/>
      <c r="D705" s="129"/>
      <c r="E705" s="129"/>
      <c r="F705" s="129"/>
      <c r="G705" s="129"/>
      <c r="H705" s="129"/>
      <c r="I705" s="129"/>
      <c r="J705" s="129"/>
      <c r="K705" s="131">
        <v>43825</v>
      </c>
      <c r="L705" s="130" t="s">
        <v>181</v>
      </c>
      <c r="M705" s="85" t="s">
        <v>1395</v>
      </c>
      <c r="N705" s="85" t="s">
        <v>1547</v>
      </c>
      <c r="O705" s="85"/>
      <c r="P705" s="85" t="s">
        <v>2216</v>
      </c>
      <c r="Q705" s="85" t="s">
        <v>2021</v>
      </c>
      <c r="R705" s="85" t="s">
        <v>2217</v>
      </c>
      <c r="S705" s="6" t="s">
        <v>2218</v>
      </c>
      <c r="T705" s="85" t="s">
        <v>2219</v>
      </c>
      <c r="U705" s="85" t="s">
        <v>2220</v>
      </c>
      <c r="V705" s="85" t="s">
        <v>479</v>
      </c>
      <c r="W705" s="85" t="s">
        <v>914</v>
      </c>
      <c r="X705" s="85" t="s">
        <v>918</v>
      </c>
      <c r="Y705" s="15">
        <v>3005167425</v>
      </c>
      <c r="Z705" s="85" t="s">
        <v>159</v>
      </c>
      <c r="AA705" s="85" t="s">
        <v>33</v>
      </c>
      <c r="AB705" s="85" t="s">
        <v>2174</v>
      </c>
      <c r="AC705" s="85" t="s">
        <v>2175</v>
      </c>
      <c r="AD705" s="85"/>
      <c r="AE705" s="85"/>
      <c r="AF705" s="132">
        <v>0</v>
      </c>
      <c r="AG705" s="85" t="s">
        <v>243</v>
      </c>
      <c r="AH705" s="85" t="s">
        <v>220</v>
      </c>
      <c r="AI705" s="85" t="s">
        <v>33</v>
      </c>
      <c r="AJ705" s="85" t="s">
        <v>2222</v>
      </c>
      <c r="AK705" s="85" t="s">
        <v>33</v>
      </c>
      <c r="AL705" s="85">
        <v>147951510</v>
      </c>
      <c r="AM705" s="85" t="s">
        <v>2221</v>
      </c>
      <c r="AN705" s="85"/>
      <c r="AO705" s="85"/>
      <c r="AP705" s="85" t="s">
        <v>240</v>
      </c>
      <c r="AQ705" s="9" t="str">
        <f>CONCATENATE("REG-",BDEGENER[[#This Row],[FECHA DE SERVICIO]],"-",BDEGENER[[#This Row],[SERIE]],"-",BDEGENER[[#This Row],[HORAS]])</f>
        <v>REG-43825-3005167425-0</v>
      </c>
      <c r="AR705" s="85" t="str">
        <f>CONCATENATE("MARCA: ",BDEGENER[[#This Row],[MARCA]],"
 MODELO: ",BDEGENER[[#This Row],[MODELO]])</f>
        <v>MARCA: GENERAC
 MODELO: SG070</v>
      </c>
      <c r="AS705" s="85" t="str">
        <f>CONCATENATE("MARCA: ",BDEGENER[[#This Row],[MARCA DE MOTOR]],"
SERIE: ",BDEGENER[[#This Row],[SERIE DE MOTOR]])</f>
        <v>MARCA: GENERAC
SERIE: GP680AA-EH2A 250618</v>
      </c>
      <c r="AT705" s="85" t="str">
        <f>CONCATENATE("MARCA: ",BDEGENER[[#This Row],[MARCA ALTERNADOR ]],"
SERIE: ",BDEGENER[[#This Row],[SERIE DE ALTERNADOR]])</f>
        <v>MARCA: GENERAC
SERIE: 147951510</v>
      </c>
      <c r="AU705" s="85" t="str">
        <f>CONCATENATE("HORAS: ",BDEGENER[[#This Row],[HORAS]],"
KW-HR: ",BDEGENER[[#This Row],[KW-HORA]],"
VOLT.BATERIA: ",BDEGENER[[#This Row],[VOLTAJE DE BATERIA]],"
TEMPERATURA: ",BDEGENER[[#This Row],[TEMPERATURA DE AGUA]],"
PRES. ACEITE: ",BDEGENER[[#This Row],[PRESION DE ACEITE]])</f>
        <v xml:space="preserve">HORAS: 0
KW-HR: 
VOLT.BATERIA: 12 V
TEMPERATURA: 
PRES. ACEITE: </v>
      </c>
      <c r="AV705" s="683">
        <f>COUNTIFS(Q705:Q2705,"MANTENIMIENTO CORRECTIVO",Y705:Y2705,BDEGENER[[#This Row],[SERIE]])</f>
        <v>0</v>
      </c>
      <c r="AW705" s="683">
        <f>COUNTIFS(Q705:Q2705,"MANTENIMIENTO PREVENTIVO",Y705:Y2705,BDEGENER[[#This Row],[SERIE]])</f>
        <v>0</v>
      </c>
      <c r="AX70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705" s="85">
        <f>COUNTIFS(BDEGENER[SERIE],BDEGENER[[#This Row],[SERIE]],BDEGENER[TIPO DE SERVICIO],"MANTENIMIENTO PREVENTIVO")</f>
        <v>6</v>
      </c>
      <c r="AZ705" s="85" t="str">
        <f>CONCATENATE("MANTENIMIENTO PREVENTIVO N°",BDEGENER[[#This Row],[GA1]])</f>
        <v>MANTENIMIENTO PREVENTIVO N°6</v>
      </c>
      <c r="BA705" s="85" t="str">
        <f>IF(BDEGENER[[#This Row],[SERVICIO]]=BDEGENER[[#This Row],[GA2]],BDEGENER[[#This Row],[HORAS]],"0")</f>
        <v>0</v>
      </c>
      <c r="BB705" s="85">
        <f>SUMIF(BDEGENER[SERIE],BDEGENER[[#This Row],[SERIE]],BDEGENER[GA3])</f>
        <v>1939.8</v>
      </c>
      <c r="BC705" s="683" t="str">
        <f>CONCATENATE("MANT",COUNTIF($Y$7:Y705,Y705))</f>
        <v>MANT7</v>
      </c>
      <c r="BD705" s="85" t="str">
        <f>CONCATENATE(BDEGENER[[#This Row],[SERIE]],BDEGENER[[#This Row],[GA5]])</f>
        <v>3005167425MANT7</v>
      </c>
      <c r="BE705" s="85" t="str">
        <f>CONCATENATE(BDEGENER[[#This Row],[CODIGO PATRIMONIAL]],BDEGENER[[#This Row],[GA5]])</f>
        <v>MANT7</v>
      </c>
      <c r="BF705" s="85">
        <f>COUNTIF(BDEGENER[SERIE],BDEGENER[[#This Row],[SERIE]])</f>
        <v>7</v>
      </c>
      <c r="BG705" s="683" t="str">
        <f>CONCATENATE("F",COUNTIF($K$7:K705,K705))</f>
        <v>F1</v>
      </c>
      <c r="BH705" s="85" t="str">
        <f>CONCATENATE(BDEGENER[[#This Row],[FECHA DE SERVICIO]],BDEGENER[[#This Row],[N° DE REGISTROS DEL DIA]])</f>
        <v>43825F1</v>
      </c>
      <c r="BI705" s="132"/>
      <c r="BJ705" s="85" t="s">
        <v>1544</v>
      </c>
      <c r="BK705" s="680"/>
    </row>
    <row r="706" spans="2:63" ht="69" hidden="1" x14ac:dyDescent="0.3">
      <c r="B706" s="129"/>
      <c r="C706" s="129"/>
      <c r="D706" s="129"/>
      <c r="E706" s="129"/>
      <c r="F706" s="129"/>
      <c r="G706" s="129"/>
      <c r="H706" s="129"/>
      <c r="I706" s="129"/>
      <c r="J706" s="129"/>
      <c r="K706" s="131">
        <v>43825</v>
      </c>
      <c r="L706" s="130" t="s">
        <v>181</v>
      </c>
      <c r="M706" s="85" t="s">
        <v>1395</v>
      </c>
      <c r="N706" s="85" t="s">
        <v>1547</v>
      </c>
      <c r="O706" s="85"/>
      <c r="P706" s="85" t="s">
        <v>2216</v>
      </c>
      <c r="Q706" s="85" t="s">
        <v>2021</v>
      </c>
      <c r="R706" s="85" t="s">
        <v>2217</v>
      </c>
      <c r="S706" s="6" t="s">
        <v>2218</v>
      </c>
      <c r="T706" s="85" t="s">
        <v>2219</v>
      </c>
      <c r="U706" s="85" t="s">
        <v>2220</v>
      </c>
      <c r="V706" s="85" t="s">
        <v>479</v>
      </c>
      <c r="W706" s="85" t="s">
        <v>914</v>
      </c>
      <c r="X706" s="85" t="s">
        <v>918</v>
      </c>
      <c r="Y706" s="15">
        <v>3005167422</v>
      </c>
      <c r="Z706" s="85" t="s">
        <v>159</v>
      </c>
      <c r="AA706" s="85" t="s">
        <v>33</v>
      </c>
      <c r="AB706" s="85" t="s">
        <v>2174</v>
      </c>
      <c r="AC706" s="85" t="s">
        <v>2175</v>
      </c>
      <c r="AD706" s="85"/>
      <c r="AE706" s="85"/>
      <c r="AF706" s="132">
        <v>0</v>
      </c>
      <c r="AG706" s="85" t="s">
        <v>243</v>
      </c>
      <c r="AH706" s="85" t="s">
        <v>220</v>
      </c>
      <c r="AI706" s="85" t="s">
        <v>33</v>
      </c>
      <c r="AJ706" s="85" t="s">
        <v>2176</v>
      </c>
      <c r="AK706" s="85" t="s">
        <v>33</v>
      </c>
      <c r="AL706" s="85">
        <v>147951510</v>
      </c>
      <c r="AM706" s="85" t="s">
        <v>2221</v>
      </c>
      <c r="AN706" s="85"/>
      <c r="AO706" s="85"/>
      <c r="AP706" s="85" t="s">
        <v>240</v>
      </c>
      <c r="AQ706" s="9" t="str">
        <f>CONCATENATE("REG-",BDEGENER[[#This Row],[FECHA DE SERVICIO]],"-",BDEGENER[[#This Row],[SERIE]],"-",BDEGENER[[#This Row],[HORAS]])</f>
        <v>REG-43825-3005167422-0</v>
      </c>
      <c r="AR706" s="85" t="str">
        <f>CONCATENATE("MARCA: ",BDEGENER[[#This Row],[MARCA]],"
 MODELO: ",BDEGENER[[#This Row],[MODELO]])</f>
        <v>MARCA: GENERAC
 MODELO: SG070</v>
      </c>
      <c r="AS706" s="85" t="str">
        <f>CONCATENATE("MARCA: ",BDEGENER[[#This Row],[MARCA DE MOTOR]],"
SERIE: ",BDEGENER[[#This Row],[SERIE DE MOTOR]])</f>
        <v>MARCA: GENERAC
SERIE: GP680AA-EH2A 250619</v>
      </c>
      <c r="AT706" s="85" t="str">
        <f>CONCATENATE("MARCA: ",BDEGENER[[#This Row],[MARCA ALTERNADOR ]],"
SERIE: ",BDEGENER[[#This Row],[SERIE DE ALTERNADOR]])</f>
        <v>MARCA: GENERAC
SERIE: 147951510</v>
      </c>
      <c r="AU706" s="85" t="str">
        <f>CONCATENATE("HORAS: ",BDEGENER[[#This Row],[HORAS]],"
KW-HR: ",BDEGENER[[#This Row],[KW-HORA]],"
VOLT.BATERIA: ",BDEGENER[[#This Row],[VOLTAJE DE BATERIA]],"
TEMPERATURA: ",BDEGENER[[#This Row],[TEMPERATURA DE AGUA]],"
PRES. ACEITE: ",BDEGENER[[#This Row],[PRESION DE ACEITE]])</f>
        <v xml:space="preserve">HORAS: 0
KW-HR: 
VOLT.BATERIA: 12 V
TEMPERATURA: 
PRES. ACEITE: </v>
      </c>
      <c r="AV706" s="761">
        <f>COUNTIFS(Q706:Q2706,"MANTENIMIENTO CORRECTIVO",Y706:Y2706,BDEGENER[[#This Row],[SERIE]])</f>
        <v>0</v>
      </c>
      <c r="AW706" s="761">
        <f>COUNTIFS(Q706:Q2706,"MANTENIMIENTO PREVENTIVO",Y706:Y2706,BDEGENER[[#This Row],[SERIE]])</f>
        <v>0</v>
      </c>
      <c r="AX70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TRASLADO</v>
      </c>
      <c r="AY706" s="85">
        <f>COUNTIFS(BDEGENER[SERIE],BDEGENER[[#This Row],[SERIE]],BDEGENER[TIPO DE SERVICIO],"MANTENIMIENTO PREVENTIVO")</f>
        <v>6</v>
      </c>
      <c r="AZ706" s="85" t="str">
        <f>CONCATENATE("MANTENIMIENTO PREVENTIVO N°",BDEGENER[[#This Row],[GA1]])</f>
        <v>MANTENIMIENTO PREVENTIVO N°6</v>
      </c>
      <c r="BA706" s="85" t="str">
        <f>IF(BDEGENER[[#This Row],[SERVICIO]]=BDEGENER[[#This Row],[GA2]],BDEGENER[[#This Row],[HORAS]],"0")</f>
        <v>0</v>
      </c>
      <c r="BB706" s="85">
        <f>SUMIF(BDEGENER[SERIE],BDEGENER[[#This Row],[SERIE]],BDEGENER[GA3])</f>
        <v>1906.8</v>
      </c>
      <c r="BC706" s="761" t="str">
        <f>CONCATENATE("MANT",COUNTIF($Y$7:Y706,Y706))</f>
        <v>MANT7</v>
      </c>
      <c r="BD706" s="85" t="str">
        <f>CONCATENATE(BDEGENER[[#This Row],[SERIE]],BDEGENER[[#This Row],[GA5]])</f>
        <v>3005167422MANT7</v>
      </c>
      <c r="BE706" s="85" t="str">
        <f>CONCATENATE(BDEGENER[[#This Row],[CODIGO PATRIMONIAL]],BDEGENER[[#This Row],[GA5]])</f>
        <v>MANT7</v>
      </c>
      <c r="BF706" s="85">
        <f>COUNTIF(BDEGENER[SERIE],BDEGENER[[#This Row],[SERIE]])</f>
        <v>7</v>
      </c>
      <c r="BG706" s="761" t="str">
        <f>CONCATENATE("F",COUNTIF($K$7:K706,K706))</f>
        <v>F2</v>
      </c>
      <c r="BH706" s="85" t="str">
        <f>CONCATENATE(BDEGENER[[#This Row],[FECHA DE SERVICIO]],BDEGENER[[#This Row],[N° DE REGISTROS DEL DIA]])</f>
        <v>43825F2</v>
      </c>
      <c r="BI706" s="132"/>
      <c r="BJ706" s="85" t="s">
        <v>1544</v>
      </c>
      <c r="BK706" s="680"/>
    </row>
    <row r="707" spans="2:63" ht="69" hidden="1" x14ac:dyDescent="0.3">
      <c r="B707" s="34"/>
      <c r="C707" s="34"/>
      <c r="D707" s="34"/>
      <c r="E707" s="34"/>
      <c r="F707" s="34"/>
      <c r="G707" s="34"/>
      <c r="H707" s="34"/>
      <c r="I707" s="34"/>
      <c r="J707" s="34"/>
      <c r="K707" s="37">
        <v>43822</v>
      </c>
      <c r="L707" s="30" t="s">
        <v>561</v>
      </c>
      <c r="M707" s="19" t="s">
        <v>562</v>
      </c>
      <c r="N707" s="19" t="s">
        <v>563</v>
      </c>
      <c r="O707" s="19"/>
      <c r="P707" s="31" t="s">
        <v>591</v>
      </c>
      <c r="Q707" s="19" t="s">
        <v>107</v>
      </c>
      <c r="R707" s="85" t="s">
        <v>1782</v>
      </c>
      <c r="S707" s="19" t="s">
        <v>592</v>
      </c>
      <c r="T707" s="85" t="s">
        <v>1782</v>
      </c>
      <c r="U707" s="19" t="s">
        <v>667</v>
      </c>
      <c r="V707" s="19" t="s">
        <v>149</v>
      </c>
      <c r="W707" s="85" t="s">
        <v>913</v>
      </c>
      <c r="X707" s="85" t="s">
        <v>918</v>
      </c>
      <c r="Y707" s="31">
        <v>3004555914</v>
      </c>
      <c r="Z707" s="85" t="s">
        <v>2611</v>
      </c>
      <c r="AA707" s="19" t="s">
        <v>33</v>
      </c>
      <c r="AB707" s="19" t="s">
        <v>217</v>
      </c>
      <c r="AC707" s="19" t="s">
        <v>749</v>
      </c>
      <c r="AD707" s="16" t="s">
        <v>1123</v>
      </c>
      <c r="AE707" s="16"/>
      <c r="AF707" s="146">
        <v>852</v>
      </c>
      <c r="AG707" s="16"/>
      <c r="AH707" s="16"/>
      <c r="AI707" s="16"/>
      <c r="AJ707" s="16"/>
      <c r="AK707" s="16"/>
      <c r="AL707" s="16"/>
      <c r="AM707" s="16" t="s">
        <v>1126</v>
      </c>
      <c r="AN707" s="16" t="s">
        <v>1127</v>
      </c>
      <c r="AO707" s="16"/>
      <c r="AP707" s="19" t="s">
        <v>240</v>
      </c>
      <c r="AQ707" s="200" t="str">
        <f>CONCATENATE("REG-",BDEGENER[[#This Row],[FECHA DE SERVICIO]],"-",BDEGENER[[#This Row],[SERIE]],"-",BDEGENER[[#This Row],[HORAS]])</f>
        <v>REG-43822-3004555914-852</v>
      </c>
      <c r="AR707" s="6" t="str">
        <f>CONCATENATE("MARCA: ",BDEGENER[[#This Row],[MARCA]],"
 MODELO: ",BDEGENER[[#This Row],[MODELO]])</f>
        <v>MARCA: GENERAC
 MODELO: RG022</v>
      </c>
      <c r="AS707" s="5" t="str">
        <f>CONCATENATE("MARCA: ",BDEGENER[[#This Row],[MARCA DE MOTOR]],"
SERIE: ",BDEGENER[[#This Row],[SERIE DE MOTOR]])</f>
        <v xml:space="preserve">MARCA: 
SERIE: </v>
      </c>
      <c r="AT707" s="5" t="str">
        <f>CONCATENATE("MARCA: ",BDEGENER[[#This Row],[MARCA ALTERNADOR ]],"
SERIE: ",BDEGENER[[#This Row],[SERIE DE ALTERNADOR]])</f>
        <v xml:space="preserve">MARCA: 
SERIE: </v>
      </c>
      <c r="AU707" s="29" t="str">
        <f>CONCATENATE("HORAS: ",BDEGENER[[#This Row],[HORAS]],"
KW-HR: ",BDEGENER[[#This Row],[KW-HORA]],"
VOLT.BATERIA: ",BDEGENER[[#This Row],[VOLTAJE DE BATERIA]],"
TEMPERATURA: ",BDEGENER[[#This Row],[TEMPERATURA DE AGUA]],"
PRES. ACEITE: ",BDEGENER[[#This Row],[PRESION DE ACEITE]])</f>
        <v xml:space="preserve">HORAS: 852
KW-HR: 
VOLT.BATERIA: 13 V
TEMPERATURA: 50 °C
PRES. ACEITE: </v>
      </c>
      <c r="AV707" s="683">
        <f>COUNTIFS(Q707:Q2707,"MANTENIMIENTO CORRECTIVO",Y707:Y2707,BDEGENER[[#This Row],[SERIE]])</f>
        <v>1</v>
      </c>
      <c r="AW707" s="683">
        <f>COUNTIFS(Q707:Q2707,"MANTENIMIENTO PREVENTIVO",Y707:Y2707,BDEGENER[[#This Row],[SERIE]])</f>
        <v>1</v>
      </c>
      <c r="AX70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07" s="29">
        <f>COUNTIFS(BDEGENER[SERIE],BDEGENER[[#This Row],[SERIE]],BDEGENER[TIPO DE SERVICIO],"MANTENIMIENTO PREVENTIVO")</f>
        <v>5</v>
      </c>
      <c r="AZ707" s="29" t="str">
        <f>CONCATENATE("MANTENIMIENTO PREVENTIVO N°",BDEGENER[[#This Row],[GA1]])</f>
        <v>MANTENIMIENTO PREVENTIVO N°5</v>
      </c>
      <c r="BA707" s="325" t="str">
        <f>IF(BDEGENER[[#This Row],[SERVICIO]]=BDEGENER[[#This Row],[GA2]],BDEGENER[[#This Row],[HORAS]],"0")</f>
        <v>0</v>
      </c>
      <c r="BB707" s="325">
        <f>SUMIF(BDEGENER[SERIE],BDEGENER[[#This Row],[SERIE]],BDEGENER[GA3])</f>
        <v>2894.4</v>
      </c>
      <c r="BC707" s="683" t="str">
        <f>CONCATENATE("MANT",COUNTIF($Y$7:Y707,Y707))</f>
        <v>MANT7</v>
      </c>
      <c r="BD707" s="29" t="str">
        <f>CONCATENATE(BDEGENER[[#This Row],[SERIE]],BDEGENER[[#This Row],[GA5]])</f>
        <v>3004555914MANT7</v>
      </c>
      <c r="BE707" s="29" t="str">
        <f>CONCATENATE(BDEGENER[[#This Row],[CODIGO PATRIMONIAL]],BDEGENER[[#This Row],[GA5]])</f>
        <v>SUR-GEG-0023MANT7</v>
      </c>
      <c r="BF707" s="16">
        <f>COUNTIF(BDEGENER[SERIE],BDEGENER[[#This Row],[SERIE]])</f>
        <v>11</v>
      </c>
      <c r="BG707" s="683" t="str">
        <f>CONCATENATE("F",COUNTIF($K$7:K707,K707))</f>
        <v>F1</v>
      </c>
      <c r="BH707" s="325" t="str">
        <f>CONCATENATE(BDEGENER[[#This Row],[FECHA DE SERVICIO]],BDEGENER[[#This Row],[N° DE REGISTROS DEL DIA]])</f>
        <v>43822F1</v>
      </c>
      <c r="BI707" s="324"/>
      <c r="BJ707" s="325"/>
      <c r="BK707" s="326"/>
    </row>
    <row r="708" spans="2:63" ht="69" hidden="1" x14ac:dyDescent="0.3">
      <c r="B708" s="129"/>
      <c r="C708" s="129"/>
      <c r="D708" s="129"/>
      <c r="E708" s="129"/>
      <c r="F708" s="129"/>
      <c r="G708" s="129"/>
      <c r="H708" s="129"/>
      <c r="I708" s="129"/>
      <c r="J708" s="129"/>
      <c r="K708" s="131">
        <v>43815</v>
      </c>
      <c r="L708" s="130" t="s">
        <v>181</v>
      </c>
      <c r="M708" s="85" t="s">
        <v>184</v>
      </c>
      <c r="N708" s="85" t="s">
        <v>183</v>
      </c>
      <c r="O708" s="85"/>
      <c r="P708" s="85"/>
      <c r="Q708" s="85" t="s">
        <v>107</v>
      </c>
      <c r="R708" s="85" t="s">
        <v>1263</v>
      </c>
      <c r="S708" s="6" t="s">
        <v>1667</v>
      </c>
      <c r="T708" s="85" t="s">
        <v>1782</v>
      </c>
      <c r="U708" s="85" t="s">
        <v>1668</v>
      </c>
      <c r="V708" s="85" t="s">
        <v>149</v>
      </c>
      <c r="W708" s="85" t="s">
        <v>914</v>
      </c>
      <c r="X708" s="85" t="s">
        <v>918</v>
      </c>
      <c r="Y708" s="15">
        <v>3004418791</v>
      </c>
      <c r="Z708" s="85"/>
      <c r="AA708" s="85" t="s">
        <v>33</v>
      </c>
      <c r="AB708" s="85" t="s">
        <v>34</v>
      </c>
      <c r="AC708" s="85" t="s">
        <v>230</v>
      </c>
      <c r="AD708" s="85"/>
      <c r="AE708" s="85"/>
      <c r="AF708" s="132">
        <v>512</v>
      </c>
      <c r="AG708" s="85" t="s">
        <v>243</v>
      </c>
      <c r="AH708" s="85" t="s">
        <v>220</v>
      </c>
      <c r="AI708" s="85" t="s">
        <v>33</v>
      </c>
      <c r="AJ708" s="85">
        <v>3004426135</v>
      </c>
      <c r="AK708" s="85" t="s">
        <v>33</v>
      </c>
      <c r="AL708" s="85">
        <v>107745330</v>
      </c>
      <c r="AM708" s="85"/>
      <c r="AN708" s="85"/>
      <c r="AO708" s="85"/>
      <c r="AP708" s="85" t="s">
        <v>240</v>
      </c>
      <c r="AQ708" s="85" t="str">
        <f>CONCATENATE("REG-",BDEGENER[[#This Row],[FECHA DE SERVICIO]],"-",BDEGENER[[#This Row],[SERIE]],"-",BDEGENER[[#This Row],[HORAS]])</f>
        <v>REG-43815-3004418791-512</v>
      </c>
      <c r="AR708" s="85" t="str">
        <f>CONCATENATE("MARCA: ",BDEGENER[[#This Row],[MARCA]],"
 MODELO: ",BDEGENER[[#This Row],[MODELO]])</f>
        <v>MARCA: GENERAC
 MODELO: PG090</v>
      </c>
      <c r="AS708" s="85" t="str">
        <f>CONCATENATE("MARCA: ",BDEGENER[[#This Row],[MARCA DE MOTOR]],"
SERIE: ",BDEGENER[[#This Row],[SERIE DE MOTOR]])</f>
        <v>MARCA: GENERAC
SERIE: 3004426135</v>
      </c>
      <c r="AT708" s="85" t="str">
        <f>CONCATENATE("MARCA: ",BDEGENER[[#This Row],[MARCA ALTERNADOR ]],"
SERIE: ",BDEGENER[[#This Row],[SERIE DE ALTERNADOR]])</f>
        <v>MARCA: GENERAC
SERIE: 107745330</v>
      </c>
      <c r="AU708" s="85" t="str">
        <f>CONCATENATE("HORAS: ",BDEGENER[[#This Row],[HORAS]],"
KW-HR: ",BDEGENER[[#This Row],[KW-HORA]],"
VOLT.BATERIA: ",BDEGENER[[#This Row],[VOLTAJE DE BATERIA]],"
TEMPERATURA: ",BDEGENER[[#This Row],[TEMPERATURA DE AGUA]],"
PRES. ACEITE: ",BDEGENER[[#This Row],[PRESION DE ACEITE]])</f>
        <v xml:space="preserve">HORAS: 512
KW-HR: 
VOLT.BATERIA: 
TEMPERATURA: 
PRES. ACEITE: </v>
      </c>
      <c r="AV708" s="683">
        <f>COUNTIFS(Q708:Q2708,"MANTENIMIENTO CORRECTIVO",Y708:Y2708,BDEGENER[[#This Row],[SERIE]])</f>
        <v>5</v>
      </c>
      <c r="AW708" s="683">
        <f>COUNTIFS(Q708:Q2708,"MANTENIMIENTO PREVENTIVO",Y708:Y2708,BDEGENER[[#This Row],[SERIE]])</f>
        <v>2</v>
      </c>
      <c r="AX708"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N°5</v>
      </c>
      <c r="AY708" s="85">
        <f>COUNTIFS(BDEGENER[SERIE],BDEGENER[[#This Row],[SERIE]],BDEGENER[TIPO DE SERVICIO],"MANTENIMIENTO PREVENTIVO")</f>
        <v>7</v>
      </c>
      <c r="AZ708" s="85" t="str">
        <f>CONCATENATE("MANTENIMIENTO PREVENTIVO N°",BDEGENER[[#This Row],[GA1]])</f>
        <v>MANTENIMIENTO PREVENTIVO N°7</v>
      </c>
      <c r="BA708" s="85" t="str">
        <f>IF(BDEGENER[[#This Row],[SERVICIO]]=BDEGENER[[#This Row],[GA2]],BDEGENER[[#This Row],[HORAS]],"0")</f>
        <v>0</v>
      </c>
      <c r="BB708" s="85">
        <f>SUMIF(BDEGENER[SERIE],BDEGENER[[#This Row],[SERIE]],BDEGENER[GA3])</f>
        <v>2074.3000000000002</v>
      </c>
      <c r="BC708" s="683" t="str">
        <f>CONCATENATE("MANT",COUNTIF($Y$7:Y708,Y708))</f>
        <v>MANT9</v>
      </c>
      <c r="BD708" s="85" t="str">
        <f>CONCATENATE(BDEGENER[[#This Row],[SERIE]],BDEGENER[[#This Row],[GA5]])</f>
        <v>3004418791MANT9</v>
      </c>
      <c r="BE708" s="85" t="str">
        <f>CONCATENATE(BDEGENER[[#This Row],[CODIGO PATRIMONIAL]],BDEGENER[[#This Row],[GA5]])</f>
        <v>MANT9</v>
      </c>
      <c r="BF708" s="85">
        <f>COUNTIF(BDEGENER[SERIE],BDEGENER[[#This Row],[SERIE]])</f>
        <v>16</v>
      </c>
      <c r="BG708" s="683" t="str">
        <f>CONCATENATE("F",COUNTIF($K$7:K708,K708))</f>
        <v>F1</v>
      </c>
      <c r="BH708" s="85" t="str">
        <f>CONCATENATE(BDEGENER[[#This Row],[FECHA DE SERVICIO]],BDEGENER[[#This Row],[N° DE REGISTROS DEL DIA]])</f>
        <v>43815F1</v>
      </c>
      <c r="BI708" s="132"/>
      <c r="BJ708" s="85" t="s">
        <v>1544</v>
      </c>
      <c r="BK708" s="326"/>
    </row>
    <row r="709" spans="2:63" ht="69" hidden="1" x14ac:dyDescent="0.3">
      <c r="B709" s="129"/>
      <c r="C709" s="129"/>
      <c r="D709" s="129"/>
      <c r="E709" s="129"/>
      <c r="F709" s="129"/>
      <c r="G709" s="129"/>
      <c r="H709" s="129"/>
      <c r="I709" s="129"/>
      <c r="J709" s="129"/>
      <c r="K709" s="131">
        <v>43811</v>
      </c>
      <c r="L709" s="85" t="s">
        <v>181</v>
      </c>
      <c r="M709" s="85" t="s">
        <v>185</v>
      </c>
      <c r="N709" s="85" t="s">
        <v>183</v>
      </c>
      <c r="O709" s="85"/>
      <c r="P709" s="85"/>
      <c r="Q709" s="85" t="s">
        <v>107</v>
      </c>
      <c r="R709" s="85" t="s">
        <v>1782</v>
      </c>
      <c r="S709" s="6" t="s">
        <v>2794</v>
      </c>
      <c r="T709" s="85" t="s">
        <v>2795</v>
      </c>
      <c r="U709" s="85" t="s">
        <v>2796</v>
      </c>
      <c r="V709" s="85" t="s">
        <v>149</v>
      </c>
      <c r="W709" s="85" t="s">
        <v>914</v>
      </c>
      <c r="X709" s="85" t="s">
        <v>918</v>
      </c>
      <c r="Y709" s="15">
        <v>3004290365</v>
      </c>
      <c r="Z709" s="85"/>
      <c r="AA709" s="85" t="s">
        <v>33</v>
      </c>
      <c r="AB709" s="85" t="s">
        <v>34</v>
      </c>
      <c r="AC709" s="85" t="s">
        <v>230</v>
      </c>
      <c r="AD709" s="85" t="s">
        <v>1894</v>
      </c>
      <c r="AE709" s="85">
        <v>60</v>
      </c>
      <c r="AF709" s="132">
        <v>234.1</v>
      </c>
      <c r="AG709" s="85" t="s">
        <v>243</v>
      </c>
      <c r="AH709" s="85" t="s">
        <v>220</v>
      </c>
      <c r="AI709" s="85" t="s">
        <v>33</v>
      </c>
      <c r="AJ709" s="683">
        <v>3004301039</v>
      </c>
      <c r="AK709" s="85" t="s">
        <v>33</v>
      </c>
      <c r="AL709" s="683">
        <v>1063018</v>
      </c>
      <c r="AM709" s="85"/>
      <c r="AN709" s="85"/>
      <c r="AO709" s="85"/>
      <c r="AP709" s="85" t="s">
        <v>240</v>
      </c>
      <c r="AQ709" s="85" t="str">
        <f>CONCATENATE("REG-",BDEGENER[[#This Row],[FECHA DE SERVICIO]],"-",BDEGENER[[#This Row],[SERIE]],"-",BDEGENER[[#This Row],[HORAS]])</f>
        <v>REG-43811-3004290365-234,1</v>
      </c>
      <c r="AR709" s="85" t="str">
        <f>CONCATENATE("MARCA: ",BDEGENER[[#This Row],[MARCA]],"
 MODELO: ",BDEGENER[[#This Row],[MODELO]])</f>
        <v>MARCA: GENERAC
 MODELO: PG090</v>
      </c>
      <c r="AS709" s="85" t="str">
        <f>CONCATENATE("MARCA: ",BDEGENER[[#This Row],[MARCA DE MOTOR]],"
SERIE: ",BDEGENER[[#This Row],[SERIE DE MOTOR]])</f>
        <v>MARCA: GENERAC
SERIE: 3004301039</v>
      </c>
      <c r="AT709" s="85" t="str">
        <f>CONCATENATE("MARCA: ",BDEGENER[[#This Row],[MARCA ALTERNADOR ]],"
SERIE: ",BDEGENER[[#This Row],[SERIE DE ALTERNADOR]])</f>
        <v>MARCA: GENERAC
SERIE: 1063018</v>
      </c>
      <c r="AU709" s="85" t="str">
        <f>CONCATENATE("HORAS: ",BDEGENER[[#This Row],[HORAS]],"
KW-HR: ",BDEGENER[[#This Row],[KW-HORA]],"
VOLT.BATERIA: ",BDEGENER[[#This Row],[VOLTAJE DE BATERIA]],"
TEMPERATURA: ",BDEGENER[[#This Row],[TEMPERATURA DE AGUA]],"
PRES. ACEITE: ",BDEGENER[[#This Row],[PRESION DE ACEITE]])</f>
        <v xml:space="preserve">HORAS: 234,1
KW-HR: 
VOLT.BATERIA: 
TEMPERATURA: 
PRES. ACEITE: </v>
      </c>
      <c r="AV709" s="761">
        <f>COUNTIFS(Q709:Q2709,"MANTENIMIENTO CORRECTIVO",Y709:Y2709,BDEGENER[[#This Row],[SERIE]])</f>
        <v>2</v>
      </c>
      <c r="AW709" s="761">
        <f>COUNTIFS(Q709:Q2709,"MANTENIMIENTO PREVENTIVO",Y709:Y2709,BDEGENER[[#This Row],[SERIE]])</f>
        <v>1</v>
      </c>
      <c r="AX70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709" s="85">
        <f>COUNTIFS(BDEGENER[SERIE],BDEGENER[[#This Row],[SERIE]],BDEGENER[TIPO DE SERVICIO],"MANTENIMIENTO PREVENTIVO")</f>
        <v>5</v>
      </c>
      <c r="AZ709" s="85" t="str">
        <f>CONCATENATE("MANTENIMIENTO PREVENTIVO N°",BDEGENER[[#This Row],[GA1]])</f>
        <v>MANTENIMIENTO PREVENTIVO N°5</v>
      </c>
      <c r="BA709" s="85" t="str">
        <f>IF(BDEGENER[[#This Row],[SERVICIO]]=BDEGENER[[#This Row],[GA2]],BDEGENER[[#This Row],[HORAS]],"0")</f>
        <v>0</v>
      </c>
      <c r="BB709" s="85">
        <f>SUMIF(BDEGENER[SERIE],BDEGENER[[#This Row],[SERIE]],BDEGENER[GA3])</f>
        <v>1700.2</v>
      </c>
      <c r="BC709" s="761" t="str">
        <f>CONCATENATE("MANT",COUNTIF($Y$7:Y709,Y709))</f>
        <v>MANT12</v>
      </c>
      <c r="BD709" s="85" t="str">
        <f>CONCATENATE(BDEGENER[[#This Row],[SERIE]],BDEGENER[[#This Row],[GA5]])</f>
        <v>3004290365MANT12</v>
      </c>
      <c r="BE709" s="85" t="str">
        <f>CONCATENATE(BDEGENER[[#This Row],[CODIGO PATRIMONIAL]],BDEGENER[[#This Row],[GA5]])</f>
        <v>MANT12</v>
      </c>
      <c r="BF709" s="85">
        <f>COUNTIF(BDEGENER[SERIE],BDEGENER[[#This Row],[SERIE]])</f>
        <v>15</v>
      </c>
      <c r="BG709" s="761" t="str">
        <f>CONCATENATE("F",COUNTIF($K$7:K709,K709))</f>
        <v>F1</v>
      </c>
      <c r="BH709" s="85" t="str">
        <f>CONCATENATE(BDEGENER[[#This Row],[FECHA DE SERVICIO]],BDEGENER[[#This Row],[N° DE REGISTROS DEL DIA]])</f>
        <v>43811F1</v>
      </c>
      <c r="BI709" s="132"/>
      <c r="BJ709" s="85" t="s">
        <v>1544</v>
      </c>
      <c r="BK709" s="680"/>
    </row>
    <row r="710" spans="2:63" ht="69" hidden="1" x14ac:dyDescent="0.3">
      <c r="B710" s="223"/>
      <c r="C710" s="223"/>
      <c r="D710" s="223"/>
      <c r="E710" s="223"/>
      <c r="F710" s="223"/>
      <c r="G710" s="223"/>
      <c r="H710" s="223"/>
      <c r="I710" s="223"/>
      <c r="J710" s="223"/>
      <c r="K710" s="723">
        <v>43810</v>
      </c>
      <c r="L710" s="15" t="s">
        <v>181</v>
      </c>
      <c r="M710" s="14" t="s">
        <v>186</v>
      </c>
      <c r="N710" s="14" t="s">
        <v>946</v>
      </c>
      <c r="O710" s="8" t="s">
        <v>159</v>
      </c>
      <c r="P710" s="15" t="s">
        <v>159</v>
      </c>
      <c r="Q710" s="14" t="s">
        <v>107</v>
      </c>
      <c r="R710" s="85" t="s">
        <v>1782</v>
      </c>
      <c r="S710" s="5" t="s">
        <v>39</v>
      </c>
      <c r="T710" s="85" t="s">
        <v>1782</v>
      </c>
      <c r="U710" s="14"/>
      <c r="V710" s="14" t="s">
        <v>146</v>
      </c>
      <c r="W710" s="683" t="s">
        <v>914</v>
      </c>
      <c r="X710" s="691" t="s">
        <v>918</v>
      </c>
      <c r="Y710" s="15">
        <v>3004327724</v>
      </c>
      <c r="Z710" s="779"/>
      <c r="AA710" s="14" t="s">
        <v>33</v>
      </c>
      <c r="AB710" s="85" t="s">
        <v>34</v>
      </c>
      <c r="AC710" s="14" t="s">
        <v>230</v>
      </c>
      <c r="AD710" s="16"/>
      <c r="AE710" s="16"/>
      <c r="AF710" s="12">
        <v>861.8</v>
      </c>
      <c r="AG710" s="16" t="s">
        <v>243</v>
      </c>
      <c r="AH710" s="16" t="s">
        <v>220</v>
      </c>
      <c r="AI710" s="16" t="s">
        <v>33</v>
      </c>
      <c r="AJ710" s="16">
        <v>3004333872</v>
      </c>
      <c r="AK710" s="16" t="s">
        <v>33</v>
      </c>
      <c r="AL710" s="16"/>
      <c r="AM710" s="16"/>
      <c r="AN710" s="16"/>
      <c r="AO710" s="16"/>
      <c r="AP710" s="14" t="s">
        <v>240</v>
      </c>
      <c r="AQ710" s="6" t="str">
        <f>CONCATENATE("REG-",BDEGENER[[#This Row],[FECHA DE SERVICIO]],"-",BDEGENER[[#This Row],[SERIE]],"-",BDEGENER[[#This Row],[HORAS]])</f>
        <v>REG-43810-3004327724-861,8</v>
      </c>
      <c r="AR710" s="5" t="str">
        <f>CONCATENATE("MARCA: ",BDEGENER[[#This Row],[MARCA]],"
 MODELO: ",BDEGENER[[#This Row],[MODELO]])</f>
        <v>MARCA: GENERAC
 MODELO: PG090</v>
      </c>
      <c r="AS710" s="5" t="str">
        <f>CONCATENATE("MARCA: ",BDEGENER[[#This Row],[MARCA DE MOTOR]],"
SERIE: ",BDEGENER[[#This Row],[SERIE DE MOTOR]])</f>
        <v>MARCA: GENERAC
SERIE: 3004333872</v>
      </c>
      <c r="AT710" s="5" t="str">
        <f>CONCATENATE("MARCA: ",BDEGENER[[#This Row],[MARCA ALTERNADOR ]],"
SERIE: ",BDEGENER[[#This Row],[SERIE DE ALTERNADOR]])</f>
        <v xml:space="preserve">MARCA: GENERAC
SERIE: </v>
      </c>
      <c r="AU710" s="5" t="str">
        <f>CONCATENATE("HORAS: ",BDEGENER[[#This Row],[HORAS]],"
KW-HR: ",BDEGENER[[#This Row],[KW-HORA]],"
VOLT.BATERIA: ",BDEGENER[[#This Row],[VOLTAJE DE BATERIA]],"
TEMPERATURA: ",BDEGENER[[#This Row],[TEMPERATURA DE AGUA]],"
PRES. ACEITE: ",BDEGENER[[#This Row],[PRESION DE ACEITE]])</f>
        <v xml:space="preserve">HORAS: 861,8
KW-HR: 
VOLT.BATERIA: 
TEMPERATURA: 
PRES. ACEITE: </v>
      </c>
      <c r="AV710" s="683">
        <f>COUNTIFS(Q710:Q2710,"MANTENIMIENTO CORRECTIVO",Y710:Y2710,BDEGENER[[#This Row],[SERIE]])</f>
        <v>4</v>
      </c>
      <c r="AW710" s="683">
        <f>COUNTIFS(Q710:Q2710,"MANTENIMIENTO PREVENTIVO",Y710:Y2710,BDEGENER[[#This Row],[SERIE]])</f>
        <v>2</v>
      </c>
      <c r="AX71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710" s="29">
        <f>COUNTIFS(BDEGENER[SERIE],BDEGENER[[#This Row],[SERIE]],BDEGENER[TIPO DE SERVICIO],"MANTENIMIENTO PREVENTIVO")</f>
        <v>8</v>
      </c>
      <c r="AZ710" s="29" t="str">
        <f>CONCATENATE("MANTENIMIENTO PREVENTIVO N°",BDEGENER[[#This Row],[GA1]])</f>
        <v>MANTENIMIENTO PREVENTIVO N°8</v>
      </c>
      <c r="BA710" s="325" t="str">
        <f>IF(BDEGENER[[#This Row],[SERVICIO]]=BDEGENER[[#This Row],[GA2]],BDEGENER[[#This Row],[HORAS]],"0")</f>
        <v>0</v>
      </c>
      <c r="BB710" s="325">
        <f>SUMIF(BDEGENER[SERIE],BDEGENER[[#This Row],[SERIE]],BDEGENER[GA3])</f>
        <v>2271.8000000000002</v>
      </c>
      <c r="BC710" s="683" t="str">
        <f>CONCATENATE("MANT",COUNTIF($Y$7:Y710,Y710))</f>
        <v>MANT11</v>
      </c>
      <c r="BD710" s="29" t="str">
        <f>CONCATENATE(BDEGENER[[#This Row],[SERIE]],BDEGENER[[#This Row],[GA5]])</f>
        <v>3004327724MANT11</v>
      </c>
      <c r="BE710" s="29" t="str">
        <f>CONCATENATE(BDEGENER[[#This Row],[CODIGO PATRIMONIAL]],BDEGENER[[#This Row],[GA5]])</f>
        <v>MANT11</v>
      </c>
      <c r="BF710" s="16">
        <f>COUNTIF(BDEGENER[SERIE],BDEGENER[[#This Row],[SERIE]])</f>
        <v>17</v>
      </c>
      <c r="BG710" s="683" t="str">
        <f>CONCATENATE("F",COUNTIF($K$7:K710,K710))</f>
        <v>F1</v>
      </c>
      <c r="BH710" s="325" t="str">
        <f>CONCATENATE(BDEGENER[[#This Row],[FECHA DE SERVICIO]],BDEGENER[[#This Row],[N° DE REGISTROS DEL DIA]])</f>
        <v>43810F1</v>
      </c>
      <c r="BI710" s="324"/>
      <c r="BJ710" s="85" t="s">
        <v>1544</v>
      </c>
      <c r="BK710" s="326"/>
    </row>
    <row r="711" spans="2:63" ht="69" hidden="1" x14ac:dyDescent="0.3">
      <c r="B711" s="223"/>
      <c r="C711" s="223"/>
      <c r="D711" s="223"/>
      <c r="E711" s="223"/>
      <c r="F711" s="223"/>
      <c r="G711" s="223"/>
      <c r="H711" s="223"/>
      <c r="I711" s="223"/>
      <c r="J711" s="223"/>
      <c r="K711" s="723">
        <v>43810</v>
      </c>
      <c r="L711" s="15" t="s">
        <v>181</v>
      </c>
      <c r="M711" s="14" t="s">
        <v>189</v>
      </c>
      <c r="N711" s="14" t="s">
        <v>946</v>
      </c>
      <c r="O711" s="8"/>
      <c r="P711" s="10"/>
      <c r="Q711" s="14" t="s">
        <v>107</v>
      </c>
      <c r="R711" s="85" t="s">
        <v>1782</v>
      </c>
      <c r="S711" s="5" t="s">
        <v>39</v>
      </c>
      <c r="T711" s="85" t="s">
        <v>1782</v>
      </c>
      <c r="U711" s="14"/>
      <c r="V711" s="14" t="s">
        <v>146</v>
      </c>
      <c r="W711" s="85" t="s">
        <v>914</v>
      </c>
      <c r="X711" s="85" t="s">
        <v>918</v>
      </c>
      <c r="Y711" s="15">
        <v>3004331708</v>
      </c>
      <c r="Z711" s="14"/>
      <c r="AA711" s="14" t="s">
        <v>33</v>
      </c>
      <c r="AB711" s="85" t="s">
        <v>34</v>
      </c>
      <c r="AC711" s="14" t="s">
        <v>230</v>
      </c>
      <c r="AD711" s="16"/>
      <c r="AE711" s="16"/>
      <c r="AF711" s="12">
        <v>610.4</v>
      </c>
      <c r="AG711" s="85" t="s">
        <v>243</v>
      </c>
      <c r="AH711" s="85" t="s">
        <v>220</v>
      </c>
      <c r="AI711" s="85" t="s">
        <v>33</v>
      </c>
      <c r="AJ711" s="85">
        <v>3004309058</v>
      </c>
      <c r="AK711" s="85" t="s">
        <v>33</v>
      </c>
      <c r="AL711" s="16"/>
      <c r="AM711" s="16"/>
      <c r="AN711" s="16"/>
      <c r="AO711" s="16"/>
      <c r="AP711" s="19" t="s">
        <v>240</v>
      </c>
      <c r="AQ711" s="6" t="str">
        <f>CONCATENATE("REG-",BDEGENER[[#This Row],[FECHA DE SERVICIO]],"-",BDEGENER[[#This Row],[SERIE]],"-",BDEGENER[[#This Row],[HORAS]])</f>
        <v>REG-43810-3004331708-610,4</v>
      </c>
      <c r="AR711" s="5" t="str">
        <f>CONCATENATE("MARCA: ",BDEGENER[[#This Row],[MARCA]],"
 MODELO: ",BDEGENER[[#This Row],[MODELO]])</f>
        <v>MARCA: GENERAC
 MODELO: PG090</v>
      </c>
      <c r="AS711" s="5" t="str">
        <f>CONCATENATE("MARCA: ",BDEGENER[[#This Row],[MARCA DE MOTOR]],"
SERIE: ",BDEGENER[[#This Row],[SERIE DE MOTOR]])</f>
        <v>MARCA: GENERAC
SERIE: 3004309058</v>
      </c>
      <c r="AT711" s="5" t="str">
        <f>CONCATENATE("MARCA: ",BDEGENER[[#This Row],[MARCA ALTERNADOR ]],"
SERIE: ",BDEGENER[[#This Row],[SERIE DE ALTERNADOR]])</f>
        <v xml:space="preserve">MARCA: GENERAC
SERIE: </v>
      </c>
      <c r="AU711" s="5" t="str">
        <f>CONCATENATE("HORAS: ",BDEGENER[[#This Row],[HORAS]],"
KW-HR: ",BDEGENER[[#This Row],[KW-HORA]],"
VOLT.BATERIA: ",BDEGENER[[#This Row],[VOLTAJE DE BATERIA]],"
TEMPERATURA: ",BDEGENER[[#This Row],[TEMPERATURA DE AGUA]],"
PRES. ACEITE: ",BDEGENER[[#This Row],[PRESION DE ACEITE]])</f>
        <v xml:space="preserve">HORAS: 610,4
KW-HR: 
VOLT.BATERIA: 
TEMPERATURA: 
PRES. ACEITE: </v>
      </c>
      <c r="AV711" s="683">
        <f>COUNTIFS(Q711:Q2711,"MANTENIMIENTO CORRECTIVO",Y711:Y2711,BDEGENER[[#This Row],[SERIE]])</f>
        <v>1</v>
      </c>
      <c r="AW711" s="683">
        <f>COUNTIFS(Q711:Q2711,"MANTENIMIENTO PREVENTIVO",Y711:Y2711,BDEGENER[[#This Row],[SERIE]])</f>
        <v>2</v>
      </c>
      <c r="AX71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11" s="29">
        <f>COUNTIFS(BDEGENER[SERIE],BDEGENER[[#This Row],[SERIE]],BDEGENER[TIPO DE SERVICIO],"MANTENIMIENTO PREVENTIVO")</f>
        <v>6</v>
      </c>
      <c r="AZ711" s="29" t="str">
        <f>CONCATENATE("MANTENIMIENTO PREVENTIVO N°",BDEGENER[[#This Row],[GA1]])</f>
        <v>MANTENIMIENTO PREVENTIVO N°6</v>
      </c>
      <c r="BA711" s="325" t="str">
        <f>IF(BDEGENER[[#This Row],[SERVICIO]]=BDEGENER[[#This Row],[GA2]],BDEGENER[[#This Row],[HORAS]],"0")</f>
        <v>0</v>
      </c>
      <c r="BB711" s="325">
        <f>SUMIF(BDEGENER[SERIE],BDEGENER[[#This Row],[SERIE]],BDEGENER[GA3])</f>
        <v>1635.5</v>
      </c>
      <c r="BC711" s="683" t="str">
        <f>CONCATENATE("MANT",COUNTIF($Y$7:Y711,Y711))</f>
        <v>MANT10</v>
      </c>
      <c r="BD711" s="29" t="str">
        <f>CONCATENATE(BDEGENER[[#This Row],[SERIE]],BDEGENER[[#This Row],[GA5]])</f>
        <v>3004331708MANT10</v>
      </c>
      <c r="BE711" s="29" t="str">
        <f>CONCATENATE(BDEGENER[[#This Row],[CODIGO PATRIMONIAL]],BDEGENER[[#This Row],[GA5]])</f>
        <v>MANT10</v>
      </c>
      <c r="BF711" s="16">
        <f>COUNTIF(BDEGENER[SERIE],BDEGENER[[#This Row],[SERIE]])</f>
        <v>13</v>
      </c>
      <c r="BG711" s="683" t="str">
        <f>CONCATENATE("F",COUNTIF($K$7:K711,K711))</f>
        <v>F2</v>
      </c>
      <c r="BH711" s="325" t="str">
        <f>CONCATENATE(BDEGENER[[#This Row],[FECHA DE SERVICIO]],BDEGENER[[#This Row],[N° DE REGISTROS DEL DIA]])</f>
        <v>43810F2</v>
      </c>
      <c r="BI711" s="324"/>
      <c r="BJ711" s="85" t="s">
        <v>1544</v>
      </c>
      <c r="BK711" s="326"/>
    </row>
    <row r="712" spans="2:63" ht="69" hidden="1" x14ac:dyDescent="0.3">
      <c r="B712" s="223"/>
      <c r="C712" s="223"/>
      <c r="D712" s="223"/>
      <c r="E712" s="223"/>
      <c r="F712" s="223"/>
      <c r="G712" s="223"/>
      <c r="H712" s="223"/>
      <c r="I712" s="223"/>
      <c r="J712" s="223"/>
      <c r="K712" s="723">
        <v>43810</v>
      </c>
      <c r="L712" s="15" t="s">
        <v>181</v>
      </c>
      <c r="M712" s="14" t="s">
        <v>189</v>
      </c>
      <c r="N712" s="14" t="s">
        <v>946</v>
      </c>
      <c r="O712" s="8"/>
      <c r="P712" s="10"/>
      <c r="Q712" s="14" t="s">
        <v>107</v>
      </c>
      <c r="R712" s="85" t="s">
        <v>1782</v>
      </c>
      <c r="S712" s="5" t="s">
        <v>39</v>
      </c>
      <c r="T712" s="85" t="s">
        <v>1782</v>
      </c>
      <c r="U712" s="14"/>
      <c r="V712" s="14" t="s">
        <v>146</v>
      </c>
      <c r="W712" s="85" t="s">
        <v>914</v>
      </c>
      <c r="X712" s="85" t="s">
        <v>918</v>
      </c>
      <c r="Y712" s="15">
        <v>3004327723</v>
      </c>
      <c r="Z712" s="14"/>
      <c r="AA712" s="14" t="s">
        <v>33</v>
      </c>
      <c r="AB712" s="85" t="s">
        <v>34</v>
      </c>
      <c r="AC712" s="14" t="s">
        <v>230</v>
      </c>
      <c r="AD712" s="16"/>
      <c r="AE712" s="16"/>
      <c r="AF712" s="12">
        <v>609</v>
      </c>
      <c r="AG712" s="85" t="s">
        <v>243</v>
      </c>
      <c r="AH712" s="85" t="s">
        <v>220</v>
      </c>
      <c r="AI712" s="85" t="s">
        <v>33</v>
      </c>
      <c r="AJ712" s="85">
        <v>3004346813</v>
      </c>
      <c r="AK712" s="85" t="s">
        <v>33</v>
      </c>
      <c r="AL712" s="85">
        <v>106302070</v>
      </c>
      <c r="AM712" s="16"/>
      <c r="AN712" s="16"/>
      <c r="AO712" s="16"/>
      <c r="AP712" s="19" t="s">
        <v>240</v>
      </c>
      <c r="AQ712" s="6" t="str">
        <f>CONCATENATE("REG-",BDEGENER[[#This Row],[FECHA DE SERVICIO]],"-",BDEGENER[[#This Row],[SERIE]],"-",BDEGENER[[#This Row],[HORAS]])</f>
        <v>REG-43810-3004327723-609</v>
      </c>
      <c r="AR712" s="5" t="str">
        <f>CONCATENATE("MARCA: ",BDEGENER[[#This Row],[MARCA]],"
 MODELO: ",BDEGENER[[#This Row],[MODELO]])</f>
        <v>MARCA: GENERAC
 MODELO: PG090</v>
      </c>
      <c r="AS712" s="5" t="str">
        <f>CONCATENATE("MARCA: ",BDEGENER[[#This Row],[MARCA DE MOTOR]],"
SERIE: ",BDEGENER[[#This Row],[SERIE DE MOTOR]])</f>
        <v>MARCA: GENERAC
SERIE: 3004346813</v>
      </c>
      <c r="AT712" s="5" t="str">
        <f>CONCATENATE("MARCA: ",BDEGENER[[#This Row],[MARCA ALTERNADOR ]],"
SERIE: ",BDEGENER[[#This Row],[SERIE DE ALTERNADOR]])</f>
        <v>MARCA: GENERAC
SERIE: 106302070</v>
      </c>
      <c r="AU712" s="5" t="str">
        <f>CONCATENATE("HORAS: ",BDEGENER[[#This Row],[HORAS]],"
KW-HR: ",BDEGENER[[#This Row],[KW-HORA]],"
VOLT.BATERIA: ",BDEGENER[[#This Row],[VOLTAJE DE BATERIA]],"
TEMPERATURA: ",BDEGENER[[#This Row],[TEMPERATURA DE AGUA]],"
PRES. ACEITE: ",BDEGENER[[#This Row],[PRESION DE ACEITE]])</f>
        <v xml:space="preserve">HORAS: 609
KW-HR: 
VOLT.BATERIA: 
TEMPERATURA: 
PRES. ACEITE: </v>
      </c>
      <c r="AV712" s="761">
        <f>COUNTIFS(Q712:Q2712,"MANTENIMIENTO CORRECTIVO",Y712:Y2712,BDEGENER[[#This Row],[SERIE]])</f>
        <v>1</v>
      </c>
      <c r="AW712" s="761">
        <f>COUNTIFS(Q712:Q2712,"MANTENIMIENTO PREVENTIVO",Y712:Y2712,BDEGENER[[#This Row],[SERIE]])</f>
        <v>2</v>
      </c>
      <c r="AX71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12" s="29">
        <f>COUNTIFS(BDEGENER[SERIE],BDEGENER[[#This Row],[SERIE]],BDEGENER[TIPO DE SERVICIO],"MANTENIMIENTO PREVENTIVO")</f>
        <v>8</v>
      </c>
      <c r="AZ712" s="29" t="str">
        <f>CONCATENATE("MANTENIMIENTO PREVENTIVO N°",BDEGENER[[#This Row],[GA1]])</f>
        <v>MANTENIMIENTO PREVENTIVO N°8</v>
      </c>
      <c r="BA712" s="325" t="str">
        <f>IF(BDEGENER[[#This Row],[SERVICIO]]=BDEGENER[[#This Row],[GA2]],BDEGENER[[#This Row],[HORAS]],"0")</f>
        <v>0</v>
      </c>
      <c r="BB712" s="325">
        <f>SUMIF(BDEGENER[SERIE],BDEGENER[[#This Row],[SERIE]],BDEGENER[GA3])</f>
        <v>6883.3</v>
      </c>
      <c r="BC712" s="761" t="str">
        <f>CONCATENATE("MANT",COUNTIF($Y$7:Y712,Y712))</f>
        <v>MANT8</v>
      </c>
      <c r="BD712" s="29" t="str">
        <f>CONCATENATE(BDEGENER[[#This Row],[SERIE]],BDEGENER[[#This Row],[GA5]])</f>
        <v>3004327723MANT8</v>
      </c>
      <c r="BE712" s="29" t="str">
        <f>CONCATENATE(BDEGENER[[#This Row],[CODIGO PATRIMONIAL]],BDEGENER[[#This Row],[GA5]])</f>
        <v>MANT8</v>
      </c>
      <c r="BF712" s="16">
        <f>COUNTIF(BDEGENER[SERIE],BDEGENER[[#This Row],[SERIE]])</f>
        <v>11</v>
      </c>
      <c r="BG712" s="761" t="str">
        <f>CONCATENATE("F",COUNTIF($K$7:K712,K712))</f>
        <v>F3</v>
      </c>
      <c r="BH712" s="325" t="str">
        <f>CONCATENATE(BDEGENER[[#This Row],[FECHA DE SERVICIO]],BDEGENER[[#This Row],[N° DE REGISTROS DEL DIA]])</f>
        <v>43810F3</v>
      </c>
      <c r="BI712" s="324"/>
      <c r="BJ712" s="85" t="s">
        <v>1544</v>
      </c>
      <c r="BK712" s="326"/>
    </row>
    <row r="713" spans="2:63" ht="69" hidden="1" x14ac:dyDescent="0.3">
      <c r="B713" s="223"/>
      <c r="C713" s="223"/>
      <c r="D713" s="223"/>
      <c r="E713" s="223"/>
      <c r="F713" s="223"/>
      <c r="G713" s="223"/>
      <c r="H713" s="223"/>
      <c r="I713" s="223"/>
      <c r="J713" s="223"/>
      <c r="K713" s="723">
        <v>43810</v>
      </c>
      <c r="L713" s="15" t="s">
        <v>181</v>
      </c>
      <c r="M713" s="14" t="s">
        <v>186</v>
      </c>
      <c r="N713" s="14" t="s">
        <v>946</v>
      </c>
      <c r="O713" s="8"/>
      <c r="P713" s="10"/>
      <c r="Q713" s="14" t="s">
        <v>107</v>
      </c>
      <c r="R713" s="85" t="s">
        <v>1782</v>
      </c>
      <c r="S713" s="5" t="s">
        <v>39</v>
      </c>
      <c r="T713" s="85" t="s">
        <v>1782</v>
      </c>
      <c r="U713" s="14"/>
      <c r="V713" s="14" t="s">
        <v>146</v>
      </c>
      <c r="W713" s="85" t="s">
        <v>914</v>
      </c>
      <c r="X713" s="85" t="s">
        <v>918</v>
      </c>
      <c r="Y713" s="15">
        <v>3004327721</v>
      </c>
      <c r="Z713" s="14"/>
      <c r="AA713" s="14" t="s">
        <v>33</v>
      </c>
      <c r="AB713" s="85" t="s">
        <v>34</v>
      </c>
      <c r="AC713" s="14" t="s">
        <v>230</v>
      </c>
      <c r="AD713" s="16"/>
      <c r="AE713" s="16"/>
      <c r="AF713" s="12">
        <v>711.7</v>
      </c>
      <c r="AG713" s="16" t="s">
        <v>243</v>
      </c>
      <c r="AH713" s="16" t="s">
        <v>244</v>
      </c>
      <c r="AI713" s="16" t="s">
        <v>33</v>
      </c>
      <c r="AJ713" s="16">
        <v>3004346806</v>
      </c>
      <c r="AK713" s="16" t="s">
        <v>33</v>
      </c>
      <c r="AL713" s="16"/>
      <c r="AM713" s="16"/>
      <c r="AN713" s="16"/>
      <c r="AO713" s="16"/>
      <c r="AP713" s="19" t="s">
        <v>240</v>
      </c>
      <c r="AQ713" s="200" t="str">
        <f>CONCATENATE("REG-",BDEGENER[[#This Row],[FECHA DE SERVICIO]],"-",BDEGENER[[#This Row],[SERIE]],"-",BDEGENER[[#This Row],[HORAS]])</f>
        <v>REG-43810-3004327721-711,7</v>
      </c>
      <c r="AR713" s="5" t="str">
        <f>CONCATENATE("MARCA: ",BDEGENER[[#This Row],[MARCA]],"
 MODELO: ",BDEGENER[[#This Row],[MODELO]])</f>
        <v>MARCA: GENERAC
 MODELO: PG090</v>
      </c>
      <c r="AS713" s="5" t="str">
        <f>CONCATENATE("MARCA: ",BDEGENER[[#This Row],[MARCA DE MOTOR]],"
SERIE: ",BDEGENER[[#This Row],[SERIE DE MOTOR]])</f>
        <v>MARCA: GENERAC
SERIE: 3004346806</v>
      </c>
      <c r="AT713" s="5" t="str">
        <f>CONCATENATE("MARCA: ",BDEGENER[[#This Row],[MARCA ALTERNADOR ]],"
SERIE: ",BDEGENER[[#This Row],[SERIE DE ALTERNADOR]])</f>
        <v xml:space="preserve">MARCA: GENERAC
SERIE: </v>
      </c>
      <c r="AU713" s="5" t="str">
        <f>CONCATENATE("HORAS: ",BDEGENER[[#This Row],[HORAS]],"
KW-HR: ",BDEGENER[[#This Row],[KW-HORA]],"
VOLT.BATERIA: ",BDEGENER[[#This Row],[VOLTAJE DE BATERIA]],"
TEMPERATURA: ",BDEGENER[[#This Row],[TEMPERATURA DE AGUA]],"
PRES. ACEITE: ",BDEGENER[[#This Row],[PRESION DE ACEITE]])</f>
        <v xml:space="preserve">HORAS: 711,7
KW-HR: 
VOLT.BATERIA: 
TEMPERATURA: 
PRES. ACEITE: </v>
      </c>
      <c r="AV713" s="683">
        <f>COUNTIFS(Q713:Q2713,"MANTENIMIENTO CORRECTIVO",Y713:Y2713,BDEGENER[[#This Row],[SERIE]])</f>
        <v>1</v>
      </c>
      <c r="AW713" s="683">
        <f>COUNTIFS(Q713:Q2713,"MANTENIMIENTO PREVENTIVO",Y713:Y2713,BDEGENER[[#This Row],[SERIE]])</f>
        <v>2</v>
      </c>
      <c r="AX71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13" s="29">
        <f>COUNTIFS(BDEGENER[SERIE],BDEGENER[[#This Row],[SERIE]],BDEGENER[TIPO DE SERVICIO],"MANTENIMIENTO PREVENTIVO")</f>
        <v>7</v>
      </c>
      <c r="AZ713" s="29" t="str">
        <f>CONCATENATE("MANTENIMIENTO PREVENTIVO N°",BDEGENER[[#This Row],[GA1]])</f>
        <v>MANTENIMIENTO PREVENTIVO N°7</v>
      </c>
      <c r="BA713" s="325" t="str">
        <f>IF(BDEGENER[[#This Row],[SERVICIO]]=BDEGENER[[#This Row],[GA2]],BDEGENER[[#This Row],[HORAS]],"0")</f>
        <v>0</v>
      </c>
      <c r="BB713" s="325">
        <f>SUMIF(BDEGENER[SERIE],BDEGENER[[#This Row],[SERIE]],BDEGENER[GA3])</f>
        <v>2098.4</v>
      </c>
      <c r="BC713" s="683" t="str">
        <f>CONCATENATE("MANT",COUNTIF($Y$7:Y713,Y713))</f>
        <v>MANT8</v>
      </c>
      <c r="BD713" s="29" t="str">
        <f>CONCATENATE(BDEGENER[[#This Row],[SERIE]],BDEGENER[[#This Row],[GA5]])</f>
        <v>3004327721MANT8</v>
      </c>
      <c r="BE713" s="29" t="str">
        <f>CONCATENATE(BDEGENER[[#This Row],[CODIGO PATRIMONIAL]],BDEGENER[[#This Row],[GA5]])</f>
        <v>MANT8</v>
      </c>
      <c r="BF713" s="16">
        <f>COUNTIF(BDEGENER[SERIE],BDEGENER[[#This Row],[SERIE]])</f>
        <v>11</v>
      </c>
      <c r="BG713" s="683" t="str">
        <f>CONCATENATE("F",COUNTIF($K$7:K713,K713))</f>
        <v>F4</v>
      </c>
      <c r="BH713" s="325" t="str">
        <f>CONCATENATE(BDEGENER[[#This Row],[FECHA DE SERVICIO]],BDEGENER[[#This Row],[N° DE REGISTROS DEL DIA]])</f>
        <v>43810F4</v>
      </c>
      <c r="BI713" s="324"/>
      <c r="BJ713" s="85" t="s">
        <v>1544</v>
      </c>
      <c r="BK713" s="326"/>
    </row>
    <row r="714" spans="2:63" ht="69" hidden="1" x14ac:dyDescent="0.3">
      <c r="B714" s="223"/>
      <c r="C714" s="223"/>
      <c r="D714" s="223"/>
      <c r="E714" s="223"/>
      <c r="F714" s="223"/>
      <c r="G714" s="223"/>
      <c r="H714" s="223"/>
      <c r="I714" s="223"/>
      <c r="J714" s="223"/>
      <c r="K714" s="723">
        <v>43810</v>
      </c>
      <c r="L714" s="15" t="s">
        <v>181</v>
      </c>
      <c r="M714" s="14" t="s">
        <v>186</v>
      </c>
      <c r="N714" s="14" t="s">
        <v>946</v>
      </c>
      <c r="O714" s="8" t="s">
        <v>159</v>
      </c>
      <c r="P714" s="15" t="s">
        <v>159</v>
      </c>
      <c r="Q714" s="14" t="s">
        <v>107</v>
      </c>
      <c r="R714" s="85" t="s">
        <v>1782</v>
      </c>
      <c r="S714" s="5" t="s">
        <v>39</v>
      </c>
      <c r="T714" s="85" t="s">
        <v>1782</v>
      </c>
      <c r="U714" s="14"/>
      <c r="V714" s="14" t="s">
        <v>146</v>
      </c>
      <c r="W714" s="85" t="s">
        <v>914</v>
      </c>
      <c r="X714" s="85" t="s">
        <v>918</v>
      </c>
      <c r="Y714" s="15">
        <v>3004327722</v>
      </c>
      <c r="Z714" s="14"/>
      <c r="AA714" s="14" t="s">
        <v>33</v>
      </c>
      <c r="AB714" s="85" t="s">
        <v>34</v>
      </c>
      <c r="AC714" s="14" t="s">
        <v>230</v>
      </c>
      <c r="AD714" s="16"/>
      <c r="AE714" s="16"/>
      <c r="AF714" s="12">
        <v>573</v>
      </c>
      <c r="AG714" s="16" t="s">
        <v>243</v>
      </c>
      <c r="AH714" s="16" t="s">
        <v>220</v>
      </c>
      <c r="AI714" s="16" t="s">
        <v>33</v>
      </c>
      <c r="AJ714" s="16">
        <v>3004346816</v>
      </c>
      <c r="AK714" s="16" t="s">
        <v>33</v>
      </c>
      <c r="AL714" s="16"/>
      <c r="AM714" s="16"/>
      <c r="AN714" s="16"/>
      <c r="AO714" s="16"/>
      <c r="AP714" s="14" t="s">
        <v>240</v>
      </c>
      <c r="AQ714" s="6" t="str">
        <f>CONCATENATE("REG-",BDEGENER[[#This Row],[FECHA DE SERVICIO]],"-",BDEGENER[[#This Row],[SERIE]],"-",BDEGENER[[#This Row],[HORAS]])</f>
        <v>REG-43810-3004327722-573</v>
      </c>
      <c r="AR714" s="6" t="str">
        <f>CONCATENATE("MARCA: ",BDEGENER[[#This Row],[MARCA]],"
 MODELO: ",BDEGENER[[#This Row],[MODELO]])</f>
        <v>MARCA: GENERAC
 MODELO: PG090</v>
      </c>
      <c r="AS714" s="6" t="str">
        <f>CONCATENATE("MARCA: ",BDEGENER[[#This Row],[MARCA DE MOTOR]],"
SERIE: ",BDEGENER[[#This Row],[SERIE DE MOTOR]])</f>
        <v>MARCA: GENERAC
SERIE: 3004346816</v>
      </c>
      <c r="AT714" s="6" t="str">
        <f>CONCATENATE("MARCA: ",BDEGENER[[#This Row],[MARCA ALTERNADOR ]],"
SERIE: ",BDEGENER[[#This Row],[SERIE DE ALTERNADOR]])</f>
        <v xml:space="preserve">MARCA: GENERAC
SERIE: </v>
      </c>
      <c r="AU714" s="6" t="str">
        <f>CONCATENATE("HORAS: ",BDEGENER[[#This Row],[HORAS]],"
KW-HR: ",BDEGENER[[#This Row],[KW-HORA]],"
VOLT.BATERIA: ",BDEGENER[[#This Row],[VOLTAJE DE BATERIA]],"
TEMPERATURA: ",BDEGENER[[#This Row],[TEMPERATURA DE AGUA]],"
PRES. ACEITE: ",BDEGENER[[#This Row],[PRESION DE ACEITE]])</f>
        <v xml:space="preserve">HORAS: 573
KW-HR: 
VOLT.BATERIA: 
TEMPERATURA: 
PRES. ACEITE: </v>
      </c>
      <c r="AV714" s="683">
        <f>COUNTIFS(Q714:Q2714,"MANTENIMIENTO CORRECTIVO",Y714:Y2714,BDEGENER[[#This Row],[SERIE]])</f>
        <v>1</v>
      </c>
      <c r="AW714" s="683">
        <f>COUNTIFS(Q714:Q2714,"MANTENIMIENTO PREVENTIVO",Y714:Y2714,BDEGENER[[#This Row],[SERIE]])</f>
        <v>2</v>
      </c>
      <c r="AX714"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14" s="325">
        <f>COUNTIFS(BDEGENER[SERIE],BDEGENER[[#This Row],[SERIE]],BDEGENER[TIPO DE SERVICIO],"MANTENIMIENTO PREVENTIVO")</f>
        <v>8</v>
      </c>
      <c r="AZ714" s="325" t="str">
        <f>CONCATENATE("MANTENIMIENTO PREVENTIVO N°",BDEGENER[[#This Row],[GA1]])</f>
        <v>MANTENIMIENTO PREVENTIVO N°8</v>
      </c>
      <c r="BA714" s="325" t="str">
        <f>IF(BDEGENER[[#This Row],[SERVICIO]]=BDEGENER[[#This Row],[GA2]],BDEGENER[[#This Row],[HORAS]],"0")</f>
        <v>0</v>
      </c>
      <c r="BB714" s="325">
        <f>SUMIF(BDEGENER[SERIE],BDEGENER[[#This Row],[SERIE]],BDEGENER[GA3])</f>
        <v>2102.5</v>
      </c>
      <c r="BC714" s="683" t="str">
        <f>CONCATENATE("MANT",COUNTIF($Y$7:Y714,Y714))</f>
        <v>MANT7</v>
      </c>
      <c r="BD714" s="325" t="str">
        <f>CONCATENATE(BDEGENER[[#This Row],[SERIE]],BDEGENER[[#This Row],[GA5]])</f>
        <v>3004327722MANT7</v>
      </c>
      <c r="BE714" s="325" t="str">
        <f>CONCATENATE(BDEGENER[[#This Row],[CODIGO PATRIMONIAL]],BDEGENER[[#This Row],[GA5]])</f>
        <v>MANT7</v>
      </c>
      <c r="BF714" s="16">
        <f>COUNTIF(BDEGENER[SERIE],BDEGENER[[#This Row],[SERIE]])</f>
        <v>10</v>
      </c>
      <c r="BG714" s="683" t="str">
        <f>CONCATENATE("F",COUNTIF($K$7:K714,K714))</f>
        <v>F5</v>
      </c>
      <c r="BH714" s="325" t="str">
        <f>CONCATENATE(BDEGENER[[#This Row],[FECHA DE SERVICIO]],BDEGENER[[#This Row],[N° DE REGISTROS DEL DIA]])</f>
        <v>43810F5</v>
      </c>
      <c r="BI714" s="326"/>
      <c r="BJ714" s="85" t="s">
        <v>1544</v>
      </c>
      <c r="BK714" s="326"/>
    </row>
    <row r="715" spans="2:63" ht="69" x14ac:dyDescent="0.3">
      <c r="B715" s="223"/>
      <c r="C715" s="223"/>
      <c r="D715" s="223"/>
      <c r="E715" s="223"/>
      <c r="F715" s="223"/>
      <c r="G715" s="223"/>
      <c r="H715" s="223"/>
      <c r="I715" s="223"/>
      <c r="J715" s="223"/>
      <c r="K715" s="723">
        <v>43810</v>
      </c>
      <c r="L715" s="15" t="s">
        <v>181</v>
      </c>
      <c r="M715" s="14" t="s">
        <v>186</v>
      </c>
      <c r="N715" s="14" t="s">
        <v>946</v>
      </c>
      <c r="O715" s="8" t="s">
        <v>159</v>
      </c>
      <c r="P715" s="15" t="s">
        <v>159</v>
      </c>
      <c r="Q715" s="14" t="s">
        <v>107</v>
      </c>
      <c r="R715" s="85" t="s">
        <v>1782</v>
      </c>
      <c r="S715" s="5" t="s">
        <v>39</v>
      </c>
      <c r="T715" s="85" t="s">
        <v>1782</v>
      </c>
      <c r="U715" s="14"/>
      <c r="V715" s="14" t="s">
        <v>146</v>
      </c>
      <c r="W715" s="85" t="s">
        <v>914</v>
      </c>
      <c r="X715" s="85" t="s">
        <v>918</v>
      </c>
      <c r="Y715" s="15">
        <v>3004336198</v>
      </c>
      <c r="Z715" s="14"/>
      <c r="AA715" s="14" t="s">
        <v>33</v>
      </c>
      <c r="AB715" s="85" t="s">
        <v>34</v>
      </c>
      <c r="AC715" s="14" t="s">
        <v>230</v>
      </c>
      <c r="AD715" s="16"/>
      <c r="AE715" s="16"/>
      <c r="AF715" s="12">
        <v>747.9</v>
      </c>
      <c r="AG715" s="16" t="s">
        <v>243</v>
      </c>
      <c r="AH715" s="16" t="s">
        <v>220</v>
      </c>
      <c r="AI715" s="16" t="s">
        <v>33</v>
      </c>
      <c r="AJ715" s="16">
        <v>3004345803</v>
      </c>
      <c r="AK715" s="16" t="s">
        <v>33</v>
      </c>
      <c r="AL715" s="16"/>
      <c r="AM715" s="16"/>
      <c r="AN715" s="16"/>
      <c r="AO715" s="16"/>
      <c r="AP715" s="14" t="s">
        <v>240</v>
      </c>
      <c r="AQ715" s="6" t="str">
        <f>CONCATENATE("REG-",BDEGENER[[#This Row],[FECHA DE SERVICIO]],"-",BDEGENER[[#This Row],[SERIE]],"-",BDEGENER[[#This Row],[HORAS]])</f>
        <v>REG-43810-3004336198-747,9</v>
      </c>
      <c r="AR715" s="5" t="str">
        <f>CONCATENATE("MARCA: ",BDEGENER[[#This Row],[MARCA]],"
 MODELO: ",BDEGENER[[#This Row],[MODELO]])</f>
        <v>MARCA: GENERAC
 MODELO: PG090</v>
      </c>
      <c r="AS715" s="5" t="str">
        <f>CONCATENATE("MARCA: ",BDEGENER[[#This Row],[MARCA DE MOTOR]],"
SERIE: ",BDEGENER[[#This Row],[SERIE DE MOTOR]])</f>
        <v>MARCA: GENERAC
SERIE: 3004345803</v>
      </c>
      <c r="AT715" s="5" t="str">
        <f>CONCATENATE("MARCA: ",BDEGENER[[#This Row],[MARCA ALTERNADOR ]],"
SERIE: ",BDEGENER[[#This Row],[SERIE DE ALTERNADOR]])</f>
        <v xml:space="preserve">MARCA: GENERAC
SERIE: </v>
      </c>
      <c r="AU715" s="5" t="str">
        <f>CONCATENATE("HORAS: ",BDEGENER[[#This Row],[HORAS]],"
KW-HR: ",BDEGENER[[#This Row],[KW-HORA]],"
VOLT.BATERIA: ",BDEGENER[[#This Row],[VOLTAJE DE BATERIA]],"
TEMPERATURA: ",BDEGENER[[#This Row],[TEMPERATURA DE AGUA]],"
PRES. ACEITE: ",BDEGENER[[#This Row],[PRESION DE ACEITE]])</f>
        <v xml:space="preserve">HORAS: 747,9
KW-HR: 
VOLT.BATERIA: 
TEMPERATURA: 
PRES. ACEITE: </v>
      </c>
      <c r="AV715" s="761">
        <f>COUNTIFS(Q715:Q2715,"MANTENIMIENTO CORRECTIVO",Y715:Y2715,BDEGENER[[#This Row],[SERIE]])</f>
        <v>1</v>
      </c>
      <c r="AW715" s="761">
        <f>COUNTIFS(Q715:Q2715,"MANTENIMIENTO PREVENTIVO",Y715:Y2715,BDEGENER[[#This Row],[SERIE]])</f>
        <v>2</v>
      </c>
      <c r="AX71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15" s="29">
        <f>COUNTIFS(BDEGENER[SERIE],BDEGENER[[#This Row],[SERIE]],BDEGENER[TIPO DE SERVICIO],"MANTENIMIENTO PREVENTIVO")</f>
        <v>7</v>
      </c>
      <c r="AZ715" s="29" t="str">
        <f>CONCATENATE("MANTENIMIENTO PREVENTIVO N°",BDEGENER[[#This Row],[GA1]])</f>
        <v>MANTENIMIENTO PREVENTIVO N°7</v>
      </c>
      <c r="BA715" s="325" t="str">
        <f>IF(BDEGENER[[#This Row],[SERVICIO]]=BDEGENER[[#This Row],[GA2]],BDEGENER[[#This Row],[HORAS]],"0")</f>
        <v>0</v>
      </c>
      <c r="BB715" s="325">
        <f>SUMIF(BDEGENER[SERIE],BDEGENER[[#This Row],[SERIE]],BDEGENER[GA3])</f>
        <v>2049.3000000000002</v>
      </c>
      <c r="BC715" s="761" t="str">
        <f>CONCATENATE("MANT",COUNTIF($Y$7:Y715,Y715))</f>
        <v>MANT9</v>
      </c>
      <c r="BD715" s="29" t="str">
        <f>CONCATENATE(BDEGENER[[#This Row],[SERIE]],BDEGENER[[#This Row],[GA5]])</f>
        <v>3004336198MANT9</v>
      </c>
      <c r="BE715" s="29" t="str">
        <f>CONCATENATE(BDEGENER[[#This Row],[CODIGO PATRIMONIAL]],BDEGENER[[#This Row],[GA5]])</f>
        <v>MANT9</v>
      </c>
      <c r="BF715" s="16">
        <f>COUNTIF(BDEGENER[SERIE],BDEGENER[[#This Row],[SERIE]])</f>
        <v>12</v>
      </c>
      <c r="BG715" s="761" t="str">
        <f>CONCATENATE("F",COUNTIF($K$7:K715,K715))</f>
        <v>F6</v>
      </c>
      <c r="BH715" s="325" t="str">
        <f>CONCATENATE(BDEGENER[[#This Row],[FECHA DE SERVICIO]],BDEGENER[[#This Row],[N° DE REGISTROS DEL DIA]])</f>
        <v>43810F6</v>
      </c>
      <c r="BI715" s="324"/>
      <c r="BJ715" s="85" t="s">
        <v>1544</v>
      </c>
      <c r="BK715" s="326"/>
    </row>
    <row r="716" spans="2:63" ht="69" hidden="1" x14ac:dyDescent="0.3">
      <c r="B716" s="223"/>
      <c r="C716" s="223"/>
      <c r="D716" s="223"/>
      <c r="E716" s="223"/>
      <c r="F716" s="223"/>
      <c r="G716" s="223"/>
      <c r="H716" s="223"/>
      <c r="I716" s="223"/>
      <c r="J716" s="223"/>
      <c r="K716" s="723">
        <v>43810</v>
      </c>
      <c r="L716" s="15" t="s">
        <v>181</v>
      </c>
      <c r="M716" s="14" t="s">
        <v>189</v>
      </c>
      <c r="N716" s="14" t="s">
        <v>946</v>
      </c>
      <c r="O716" s="8"/>
      <c r="P716" s="10"/>
      <c r="Q716" s="14" t="s">
        <v>107</v>
      </c>
      <c r="R716" s="85" t="s">
        <v>1782</v>
      </c>
      <c r="S716" s="5" t="s">
        <v>39</v>
      </c>
      <c r="T716" s="85" t="s">
        <v>1782</v>
      </c>
      <c r="U716" s="14"/>
      <c r="V716" s="14" t="s">
        <v>146</v>
      </c>
      <c r="W716" s="85" t="s">
        <v>914</v>
      </c>
      <c r="X716" s="85" t="s">
        <v>918</v>
      </c>
      <c r="Y716" s="15">
        <v>3004331705</v>
      </c>
      <c r="Z716" s="14"/>
      <c r="AA716" s="14" t="s">
        <v>33</v>
      </c>
      <c r="AB716" s="85" t="s">
        <v>34</v>
      </c>
      <c r="AC716" s="14" t="s">
        <v>230</v>
      </c>
      <c r="AD716" s="16"/>
      <c r="AE716" s="16"/>
      <c r="AF716" s="12">
        <v>823.6</v>
      </c>
      <c r="AG716" s="16" t="s">
        <v>243</v>
      </c>
      <c r="AH716" s="16" t="s">
        <v>220</v>
      </c>
      <c r="AI716" s="16" t="s">
        <v>33</v>
      </c>
      <c r="AJ716" s="85">
        <v>3004333867</v>
      </c>
      <c r="AK716" s="16" t="s">
        <v>33</v>
      </c>
      <c r="AL716" s="16"/>
      <c r="AM716" s="16"/>
      <c r="AN716" s="16"/>
      <c r="AO716" s="16"/>
      <c r="AP716" s="14" t="s">
        <v>240</v>
      </c>
      <c r="AQ716" s="6" t="str">
        <f>CONCATENATE("REG-",BDEGENER[[#This Row],[FECHA DE SERVICIO]],"-",BDEGENER[[#This Row],[SERIE]],"-",BDEGENER[[#This Row],[HORAS]])</f>
        <v>REG-43810-3004331705-823,6</v>
      </c>
      <c r="AR716" s="5" t="str">
        <f>CONCATENATE("MARCA: ",BDEGENER[[#This Row],[MARCA]],"
 MODELO: ",BDEGENER[[#This Row],[MODELO]])</f>
        <v>MARCA: GENERAC
 MODELO: PG090</v>
      </c>
      <c r="AS716" s="5" t="str">
        <f>CONCATENATE("MARCA: ",BDEGENER[[#This Row],[MARCA DE MOTOR]],"
SERIE: ",BDEGENER[[#This Row],[SERIE DE MOTOR]])</f>
        <v>MARCA: GENERAC
SERIE: 3004333867</v>
      </c>
      <c r="AT716" s="5" t="str">
        <f>CONCATENATE("MARCA: ",BDEGENER[[#This Row],[MARCA ALTERNADOR ]],"
SERIE: ",BDEGENER[[#This Row],[SERIE DE ALTERNADOR]])</f>
        <v xml:space="preserve">MARCA: GENERAC
SERIE: </v>
      </c>
      <c r="AU716" s="5" t="str">
        <f>CONCATENATE("HORAS: ",BDEGENER[[#This Row],[HORAS]],"
KW-HR: ",BDEGENER[[#This Row],[KW-HORA]],"
VOLT.BATERIA: ",BDEGENER[[#This Row],[VOLTAJE DE BATERIA]],"
TEMPERATURA: ",BDEGENER[[#This Row],[TEMPERATURA DE AGUA]],"
PRES. ACEITE: ",BDEGENER[[#This Row],[PRESION DE ACEITE]])</f>
        <v xml:space="preserve">HORAS: 823,6
KW-HR: 
VOLT.BATERIA: 
TEMPERATURA: 
PRES. ACEITE: </v>
      </c>
      <c r="AV716" s="683">
        <f>COUNTIFS(Q716:Q2716,"MANTENIMIENTO CORRECTIVO",Y716:Y2716,BDEGENER[[#This Row],[SERIE]])</f>
        <v>1</v>
      </c>
      <c r="AW716" s="683">
        <f>COUNTIFS(Q716:Q2716,"MANTENIMIENTO PREVENTIVO",Y716:Y2716,BDEGENER[[#This Row],[SERIE]])</f>
        <v>2</v>
      </c>
      <c r="AX71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16" s="29">
        <f>COUNTIFS(BDEGENER[SERIE],BDEGENER[[#This Row],[SERIE]],BDEGENER[TIPO DE SERVICIO],"MANTENIMIENTO PREVENTIVO")</f>
        <v>8</v>
      </c>
      <c r="AZ716" s="29" t="str">
        <f>CONCATENATE("MANTENIMIENTO PREVENTIVO N°",BDEGENER[[#This Row],[GA1]])</f>
        <v>MANTENIMIENTO PREVENTIVO N°8</v>
      </c>
      <c r="BA716" s="325" t="str">
        <f>IF(BDEGENER[[#This Row],[SERVICIO]]=BDEGENER[[#This Row],[GA2]],BDEGENER[[#This Row],[HORAS]],"0")</f>
        <v>0</v>
      </c>
      <c r="BB716" s="325">
        <f>SUMIF(BDEGENER[SERIE],BDEGENER[[#This Row],[SERIE]],BDEGENER[GA3])</f>
        <v>2381.3000000000002</v>
      </c>
      <c r="BC716" s="683" t="str">
        <f>CONCATENATE("MANT",COUNTIF($Y$7:Y716,Y716))</f>
        <v>MANT7</v>
      </c>
      <c r="BD716" s="29" t="str">
        <f>CONCATENATE(BDEGENER[[#This Row],[SERIE]],BDEGENER[[#This Row],[GA5]])</f>
        <v>3004331705MANT7</v>
      </c>
      <c r="BE716" s="29" t="str">
        <f>CONCATENATE(BDEGENER[[#This Row],[CODIGO PATRIMONIAL]],BDEGENER[[#This Row],[GA5]])</f>
        <v>MANT7</v>
      </c>
      <c r="BF716" s="16">
        <f>COUNTIF(BDEGENER[SERIE],BDEGENER[[#This Row],[SERIE]])</f>
        <v>10</v>
      </c>
      <c r="BG716" s="683" t="str">
        <f>CONCATENATE("F",COUNTIF($K$7:K716,K716))</f>
        <v>F7</v>
      </c>
      <c r="BH716" s="325" t="str">
        <f>CONCATENATE(BDEGENER[[#This Row],[FECHA DE SERVICIO]],BDEGENER[[#This Row],[N° DE REGISTROS DEL DIA]])</f>
        <v>43810F7</v>
      </c>
      <c r="BI716" s="324"/>
      <c r="BJ716" s="85" t="s">
        <v>1544</v>
      </c>
      <c r="BK716" s="326"/>
    </row>
    <row r="717" spans="2:63" ht="69" hidden="1" x14ac:dyDescent="0.3">
      <c r="B717" s="223"/>
      <c r="C717" s="223"/>
      <c r="D717" s="223"/>
      <c r="E717" s="223"/>
      <c r="F717" s="223"/>
      <c r="G717" s="223"/>
      <c r="H717" s="223"/>
      <c r="I717" s="223"/>
      <c r="J717" s="223"/>
      <c r="K717" s="723">
        <v>43810</v>
      </c>
      <c r="L717" s="15" t="s">
        <v>181</v>
      </c>
      <c r="M717" s="14" t="s">
        <v>189</v>
      </c>
      <c r="N717" s="14" t="s">
        <v>946</v>
      </c>
      <c r="O717" s="8"/>
      <c r="P717" s="10"/>
      <c r="Q717" s="14" t="s">
        <v>107</v>
      </c>
      <c r="R717" s="85" t="s">
        <v>1782</v>
      </c>
      <c r="S717" s="5" t="s">
        <v>39</v>
      </c>
      <c r="T717" s="85" t="s">
        <v>1782</v>
      </c>
      <c r="U717" s="14"/>
      <c r="V717" s="14" t="s">
        <v>146</v>
      </c>
      <c r="W717" s="85" t="s">
        <v>914</v>
      </c>
      <c r="X717" s="85" t="s">
        <v>918</v>
      </c>
      <c r="Y717" s="15">
        <v>3004331709</v>
      </c>
      <c r="Z717" s="14"/>
      <c r="AA717" s="14" t="s">
        <v>33</v>
      </c>
      <c r="AB717" s="85" t="s">
        <v>34</v>
      </c>
      <c r="AC717" s="14" t="s">
        <v>230</v>
      </c>
      <c r="AD717" s="16"/>
      <c r="AE717" s="16"/>
      <c r="AF717" s="12">
        <v>850</v>
      </c>
      <c r="AG717" s="16" t="s">
        <v>243</v>
      </c>
      <c r="AH717" s="16" t="s">
        <v>220</v>
      </c>
      <c r="AI717" s="16" t="s">
        <v>33</v>
      </c>
      <c r="AJ717" s="16"/>
      <c r="AK717" s="16" t="s">
        <v>33</v>
      </c>
      <c r="AL717" s="85">
        <v>106302870</v>
      </c>
      <c r="AM717" s="16"/>
      <c r="AN717" s="16"/>
      <c r="AO717" s="16"/>
      <c r="AP717" s="14" t="s">
        <v>240</v>
      </c>
      <c r="AQ717" s="200" t="str">
        <f>CONCATENATE("REG-",BDEGENER[[#This Row],[FECHA DE SERVICIO]],"-",BDEGENER[[#This Row],[SERIE]],"-",BDEGENER[[#This Row],[HORAS]])</f>
        <v>REG-43810-3004331709-850</v>
      </c>
      <c r="AR717" s="5" t="str">
        <f>CONCATENATE("MARCA: ",BDEGENER[[#This Row],[MARCA]],"
 MODELO: ",BDEGENER[[#This Row],[MODELO]])</f>
        <v>MARCA: GENERAC
 MODELO: PG090</v>
      </c>
      <c r="AS717" s="5" t="str">
        <f>CONCATENATE("MARCA: ",BDEGENER[[#This Row],[MARCA DE MOTOR]],"
SERIE: ",BDEGENER[[#This Row],[SERIE DE MOTOR]])</f>
        <v xml:space="preserve">MARCA: GENERAC
SERIE: </v>
      </c>
      <c r="AT717" s="5" t="str">
        <f>CONCATENATE("MARCA: ",BDEGENER[[#This Row],[MARCA ALTERNADOR ]],"
SERIE: ",BDEGENER[[#This Row],[SERIE DE ALTERNADOR]])</f>
        <v>MARCA: GENERAC
SERIE: 106302870</v>
      </c>
      <c r="AU717" s="5" t="str">
        <f>CONCATENATE("HORAS: ",BDEGENER[[#This Row],[HORAS]],"
KW-HR: ",BDEGENER[[#This Row],[KW-HORA]],"
VOLT.BATERIA: ",BDEGENER[[#This Row],[VOLTAJE DE BATERIA]],"
TEMPERATURA: ",BDEGENER[[#This Row],[TEMPERATURA DE AGUA]],"
PRES. ACEITE: ",BDEGENER[[#This Row],[PRESION DE ACEITE]])</f>
        <v xml:space="preserve">HORAS: 850
KW-HR: 
VOLT.BATERIA: 
TEMPERATURA: 
PRES. ACEITE: </v>
      </c>
      <c r="AV717" s="683">
        <f>COUNTIFS(Q717:Q2717,"MANTENIMIENTO CORRECTIVO",Y717:Y2717,BDEGENER[[#This Row],[SERIE]])</f>
        <v>1</v>
      </c>
      <c r="AW717" s="683">
        <f>COUNTIFS(Q717:Q2717,"MANTENIMIENTO PREVENTIVO",Y717:Y2717,BDEGENER[[#This Row],[SERIE]])</f>
        <v>2</v>
      </c>
      <c r="AX71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17" s="29">
        <f>COUNTIFS(BDEGENER[SERIE],BDEGENER[[#This Row],[SERIE]],BDEGENER[TIPO DE SERVICIO],"MANTENIMIENTO PREVENTIVO")</f>
        <v>7</v>
      </c>
      <c r="AZ717" s="29" t="str">
        <f>CONCATENATE("MANTENIMIENTO PREVENTIVO N°",BDEGENER[[#This Row],[GA1]])</f>
        <v>MANTENIMIENTO PREVENTIVO N°7</v>
      </c>
      <c r="BA717" s="325" t="str">
        <f>IF(BDEGENER[[#This Row],[SERVICIO]]=BDEGENER[[#This Row],[GA2]],BDEGENER[[#This Row],[HORAS]],"0")</f>
        <v>0</v>
      </c>
      <c r="BB717" s="325">
        <f>SUMIF(BDEGENER[SERIE],BDEGENER[[#This Row],[SERIE]],BDEGENER[GA3])</f>
        <v>2248.5</v>
      </c>
      <c r="BC717" s="683" t="str">
        <f>CONCATENATE("MANT",COUNTIF($Y$7:Y717,Y717))</f>
        <v>MANT8</v>
      </c>
      <c r="BD717" s="29" t="str">
        <f>CONCATENATE(BDEGENER[[#This Row],[SERIE]],BDEGENER[[#This Row],[GA5]])</f>
        <v>3004331709MANT8</v>
      </c>
      <c r="BE717" s="29" t="str">
        <f>CONCATENATE(BDEGENER[[#This Row],[CODIGO PATRIMONIAL]],BDEGENER[[#This Row],[GA5]])</f>
        <v>MANT8</v>
      </c>
      <c r="BF717" s="16">
        <f>COUNTIF(BDEGENER[SERIE],BDEGENER[[#This Row],[SERIE]])</f>
        <v>11</v>
      </c>
      <c r="BG717" s="683" t="str">
        <f>CONCATENATE("F",COUNTIF($K$7:K717,K717))</f>
        <v>F8</v>
      </c>
      <c r="BH717" s="325" t="str">
        <f>CONCATENATE(BDEGENER[[#This Row],[FECHA DE SERVICIO]],BDEGENER[[#This Row],[N° DE REGISTROS DEL DIA]])</f>
        <v>43810F8</v>
      </c>
      <c r="BI717" s="324"/>
      <c r="BJ717" s="85" t="s">
        <v>1544</v>
      </c>
      <c r="BK717" s="326"/>
    </row>
    <row r="718" spans="2:63" ht="69" hidden="1" x14ac:dyDescent="0.3">
      <c r="B718" s="32"/>
      <c r="C718" s="32"/>
      <c r="D718" s="32"/>
      <c r="E718" s="32"/>
      <c r="F718" s="32"/>
      <c r="G718" s="32"/>
      <c r="H718" s="32"/>
      <c r="I718" s="32"/>
      <c r="J718" s="32"/>
      <c r="K718" s="36">
        <v>43810</v>
      </c>
      <c r="L718" s="18" t="s">
        <v>248</v>
      </c>
      <c r="M718" s="85" t="s">
        <v>1224</v>
      </c>
      <c r="N718" s="23" t="s">
        <v>251</v>
      </c>
      <c r="O718" s="22"/>
      <c r="P718" s="40"/>
      <c r="Q718" s="22" t="s">
        <v>37</v>
      </c>
      <c r="R718" s="85" t="s">
        <v>1782</v>
      </c>
      <c r="S718" s="22" t="s">
        <v>1124</v>
      </c>
      <c r="T718" s="22" t="s">
        <v>1125</v>
      </c>
      <c r="U718" s="22" t="s">
        <v>309</v>
      </c>
      <c r="V718" s="22" t="s">
        <v>153</v>
      </c>
      <c r="W718" s="22" t="s">
        <v>914</v>
      </c>
      <c r="X718" s="22" t="s">
        <v>918</v>
      </c>
      <c r="Y718" s="135">
        <v>3004999911</v>
      </c>
      <c r="Z718" s="85">
        <v>24543</v>
      </c>
      <c r="AA718" s="16" t="s">
        <v>33</v>
      </c>
      <c r="AB718" s="85" t="s">
        <v>1728</v>
      </c>
      <c r="AC718" s="22" t="s">
        <v>528</v>
      </c>
      <c r="AD718" s="16" t="s">
        <v>1123</v>
      </c>
      <c r="AE718" s="16">
        <v>60.1</v>
      </c>
      <c r="AF718" s="26">
        <v>122</v>
      </c>
      <c r="AG718" s="85" t="s">
        <v>243</v>
      </c>
      <c r="AH718" s="85" t="s">
        <v>220</v>
      </c>
      <c r="AI718" s="85" t="s">
        <v>1495</v>
      </c>
      <c r="AJ718" s="85" t="s">
        <v>1496</v>
      </c>
      <c r="AK718" s="85" t="s">
        <v>33</v>
      </c>
      <c r="AL718" s="85">
        <v>1395462</v>
      </c>
      <c r="AM718" s="16" t="s">
        <v>1121</v>
      </c>
      <c r="AN718" s="16" t="s">
        <v>1122</v>
      </c>
      <c r="AO718" s="16" t="s">
        <v>247</v>
      </c>
      <c r="AP718" s="22" t="s">
        <v>240</v>
      </c>
      <c r="AQ718" s="200" t="str">
        <f>CONCATENATE("REG-",BDEGENER[[#This Row],[FECHA DE SERVICIO]],"-",BDEGENER[[#This Row],[SERIE]],"-",BDEGENER[[#This Row],[HORAS]])</f>
        <v>REG-43810-3004999911-122</v>
      </c>
      <c r="AR718" s="6" t="str">
        <f>CONCATENATE("MARCA: ",BDEGENER[[#This Row],[MARCA]],"
 MODELO: ",BDEGENER[[#This Row],[MODELO]])</f>
        <v>MARCA: GENERAC
 MODELO: PG054</v>
      </c>
      <c r="AS718" s="6" t="str">
        <f>CONCATENATE("MARCA: ",BDEGENER[[#This Row],[MARCA DE MOTOR]],"
SERIE: ",BDEGENER[[#This Row],[SERIE DE MOTOR]])</f>
        <v>MARCA: FORD
SERIE: GP680AA</v>
      </c>
      <c r="AT718" s="6" t="str">
        <f>CONCATENATE("MARCA: ",BDEGENER[[#This Row],[MARCA ALTERNADOR ]],"
SERIE: ",BDEGENER[[#This Row],[SERIE DE ALTERNADOR]])</f>
        <v>MARCA: GENERAC
SERIE: 1395462</v>
      </c>
      <c r="AU718" s="6" t="str">
        <f>CONCATENATE("HORAS: ",BDEGENER[[#This Row],[HORAS]],"
KW-HR: ",BDEGENER[[#This Row],[KW-HORA]],"
VOLT.BATERIA: ",BDEGENER[[#This Row],[VOLTAJE DE BATERIA]],"
TEMPERATURA: ",BDEGENER[[#This Row],[TEMPERATURA DE AGUA]],"
PRES. ACEITE: ",BDEGENER[[#This Row],[PRESION DE ACEITE]])</f>
        <v>HORAS: 122
KW-HR: 
VOLT.BATERIA: 13.7 V
TEMPERATURA: 195 °F
PRES. ACEITE: 55 PSI</v>
      </c>
      <c r="AV718" s="761">
        <f>COUNTIFS(Q718:Q2718,"MANTENIMIENTO CORRECTIVO",Y718:Y2718,BDEGENER[[#This Row],[SERIE]])</f>
        <v>0</v>
      </c>
      <c r="AW718" s="761">
        <f>COUNTIFS(Q718:Q2718,"MANTENIMIENTO PREVENTIVO",Y718:Y2718,BDEGENER[[#This Row],[SERIE]])</f>
        <v>1</v>
      </c>
      <c r="AX718"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18" s="325">
        <f>COUNTIFS(BDEGENER[SERIE],BDEGENER[[#This Row],[SERIE]],BDEGENER[TIPO DE SERVICIO],"MANTENIMIENTO PREVENTIVO")</f>
        <v>12</v>
      </c>
      <c r="AZ718" s="325" t="str">
        <f>CONCATENATE("MANTENIMIENTO PREVENTIVO N°",BDEGENER[[#This Row],[GA1]])</f>
        <v>MANTENIMIENTO PREVENTIVO N°12</v>
      </c>
      <c r="BA718" s="325" t="str">
        <f>IF(BDEGENER[[#This Row],[SERVICIO]]=BDEGENER[[#This Row],[GA2]],BDEGENER[[#This Row],[HORAS]],"0")</f>
        <v>0</v>
      </c>
      <c r="BB718" s="325">
        <f>SUMIF(BDEGENER[SERIE],BDEGENER[[#This Row],[SERIE]],BDEGENER[GA3])</f>
        <v>3510.8</v>
      </c>
      <c r="BC718" s="761" t="str">
        <f>CONCATENATE("MANT",COUNTIF($Y$7:Y718,Y718))</f>
        <v>MANT12</v>
      </c>
      <c r="BD718" s="325" t="str">
        <f>CONCATENATE(BDEGENER[[#This Row],[SERIE]],BDEGENER[[#This Row],[GA5]])</f>
        <v>3004999911MANT12</v>
      </c>
      <c r="BE718" s="325" t="str">
        <f>CONCATENATE(BDEGENER[[#This Row],[CODIGO PATRIMONIAL]],BDEGENER[[#This Row],[GA5]])</f>
        <v>24543MANT12</v>
      </c>
      <c r="BF718" s="16">
        <f>COUNTIF(BDEGENER[SERIE],BDEGENER[[#This Row],[SERIE]])</f>
        <v>14</v>
      </c>
      <c r="BG718" s="761" t="str">
        <f>CONCATENATE("F",COUNTIF($K$7:K718,K718))</f>
        <v>F9</v>
      </c>
      <c r="BH718" s="325" t="str">
        <f>CONCATENATE(BDEGENER[[#This Row],[FECHA DE SERVICIO]],BDEGENER[[#This Row],[N° DE REGISTROS DEL DIA]])</f>
        <v>43810F9</v>
      </c>
      <c r="BI718" s="326"/>
      <c r="BJ718" s="325" t="s">
        <v>1544</v>
      </c>
      <c r="BK718" s="326"/>
    </row>
    <row r="719" spans="2:63" ht="69" hidden="1" x14ac:dyDescent="0.3">
      <c r="B719" s="129"/>
      <c r="C719" s="129"/>
      <c r="D719" s="129"/>
      <c r="E719" s="129"/>
      <c r="F719" s="129"/>
      <c r="G719" s="129"/>
      <c r="H719" s="129"/>
      <c r="I719" s="129"/>
      <c r="J719" s="129"/>
      <c r="K719" s="131">
        <v>43808</v>
      </c>
      <c r="L719" s="130" t="s">
        <v>1546</v>
      </c>
      <c r="M719" s="85" t="s">
        <v>1395</v>
      </c>
      <c r="N719" s="85" t="s">
        <v>1547</v>
      </c>
      <c r="O719" s="85"/>
      <c r="P719" s="85"/>
      <c r="Q719" s="85" t="s">
        <v>37</v>
      </c>
      <c r="R719" s="85" t="s">
        <v>1782</v>
      </c>
      <c r="S719" s="6" t="s">
        <v>1580</v>
      </c>
      <c r="T719" s="85" t="s">
        <v>1581</v>
      </c>
      <c r="U719" s="85" t="s">
        <v>1582</v>
      </c>
      <c r="V719" s="85" t="s">
        <v>146</v>
      </c>
      <c r="W719" s="85" t="s">
        <v>915</v>
      </c>
      <c r="X719" s="85" t="s">
        <v>917</v>
      </c>
      <c r="Y719" s="15">
        <v>1603596</v>
      </c>
      <c r="Z719" s="85" t="s">
        <v>159</v>
      </c>
      <c r="AA719" s="85" t="s">
        <v>33</v>
      </c>
      <c r="AB719" s="85" t="s">
        <v>1120</v>
      </c>
      <c r="AC719" s="85" t="s">
        <v>231</v>
      </c>
      <c r="AD719" s="85" t="s">
        <v>1087</v>
      </c>
      <c r="AE719" s="85"/>
      <c r="AF719" s="132">
        <v>1411.57</v>
      </c>
      <c r="AG719" s="85" t="s">
        <v>243</v>
      </c>
      <c r="AH719" s="85" t="s">
        <v>1578</v>
      </c>
      <c r="AI719" s="85" t="s">
        <v>868</v>
      </c>
      <c r="AJ719" s="683" t="s">
        <v>1579</v>
      </c>
      <c r="AK719" s="85" t="s">
        <v>33</v>
      </c>
      <c r="AL719" s="85" t="s">
        <v>159</v>
      </c>
      <c r="AM719" s="85" t="s">
        <v>1201</v>
      </c>
      <c r="AN719" s="85"/>
      <c r="AO719" s="85"/>
      <c r="AP719" s="85" t="s">
        <v>240</v>
      </c>
      <c r="AQ719" s="9" t="str">
        <f>CONCATENATE("REG-",BDEGENER[[#This Row],[FECHA DE SERVICIO]],"-",BDEGENER[[#This Row],[SERIE]],"-",BDEGENER[[#This Row],[HORAS]])</f>
        <v>REG-43808-1603596-1411,57</v>
      </c>
      <c r="AR719" s="85" t="str">
        <f>CONCATENATE("MARCA: ",BDEGENER[[#This Row],[MARCA]],"
 MODELO: ",BDEGENER[[#This Row],[MODELO]])</f>
        <v>MARCA: GENERAC
 MODELO: VT8 K3</v>
      </c>
      <c r="AS719" s="85" t="str">
        <f>CONCATENATE("MARCA: ",BDEGENER[[#This Row],[MARCA DE MOTOR]],"
SERIE: ",BDEGENER[[#This Row],[SERIE DE MOTOR]])</f>
        <v>MARCA: KUBOTA
SERIE: 1GL1486</v>
      </c>
      <c r="AT719" s="85" t="str">
        <f>CONCATENATE("MARCA: ",BDEGENER[[#This Row],[MARCA ALTERNADOR ]],"
SERIE: ",BDEGENER[[#This Row],[SERIE DE ALTERNADOR]])</f>
        <v xml:space="preserve">MARCA: GENERAC
SERIE: </v>
      </c>
      <c r="AU719" s="85" t="str">
        <f>CONCATENATE("HORAS: ",BDEGENER[[#This Row],[HORAS]],"
KW-HR: ",BDEGENER[[#This Row],[KW-HORA]],"
VOLT.BATERIA: ",BDEGENER[[#This Row],[VOLTAJE DE BATERIA]],"
TEMPERATURA: ",BDEGENER[[#This Row],[TEMPERATURA DE AGUA]],"
PRES. ACEITE: ",BDEGENER[[#This Row],[PRESION DE ACEITE]])</f>
        <v xml:space="preserve">HORAS: 1411,57
KW-HR: 
VOLT.BATERIA: 14.2 V
TEMPERATURA: 
PRES. ACEITE: </v>
      </c>
      <c r="AV719" s="683">
        <f>COUNTIFS(Q719:Q2719,"MANTENIMIENTO CORRECTIVO",Y719:Y2719,BDEGENER[[#This Row],[SERIE]])</f>
        <v>0</v>
      </c>
      <c r="AW719" s="683">
        <f>COUNTIFS(Q719:Q2719,"MANTENIMIENTO PREVENTIVO",Y719:Y2719,BDEGENER[[#This Row],[SERIE]])</f>
        <v>3</v>
      </c>
      <c r="AX71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719" s="85">
        <f>COUNTIFS(BDEGENER[SERIE],BDEGENER[[#This Row],[SERIE]],BDEGENER[TIPO DE SERVICIO],"MANTENIMIENTO PREVENTIVO")</f>
        <v>4</v>
      </c>
      <c r="AZ719" s="85" t="str">
        <f>CONCATENATE("MANTENIMIENTO PREVENTIVO N°",BDEGENER[[#This Row],[GA1]])</f>
        <v>MANTENIMIENTO PREVENTIVO N°4</v>
      </c>
      <c r="BA719" s="85" t="str">
        <f>IF(BDEGENER[[#This Row],[SERVICIO]]=BDEGENER[[#This Row],[GA2]],BDEGENER[[#This Row],[HORAS]],"0")</f>
        <v>0</v>
      </c>
      <c r="BB719" s="85">
        <f>SUMIF(BDEGENER[SERIE],BDEGENER[[#This Row],[SERIE]],BDEGENER[GA3])</f>
        <v>1817.8</v>
      </c>
      <c r="BC719" s="683" t="str">
        <f>CONCATENATE("MANT",COUNTIF($Y$7:Y719,Y719))</f>
        <v>MANT4</v>
      </c>
      <c r="BD719" s="85" t="str">
        <f>CONCATENATE(BDEGENER[[#This Row],[SERIE]],BDEGENER[[#This Row],[GA5]])</f>
        <v>1603596MANT4</v>
      </c>
      <c r="BE719" s="85" t="str">
        <f>CONCATENATE(BDEGENER[[#This Row],[CODIGO PATRIMONIAL]],BDEGENER[[#This Row],[GA5]])</f>
        <v>MANT4</v>
      </c>
      <c r="BF719" s="85">
        <f>COUNTIF(BDEGENER[SERIE],BDEGENER[[#This Row],[SERIE]])</f>
        <v>6</v>
      </c>
      <c r="BG719" s="683" t="str">
        <f>CONCATENATE("F",COUNTIF($K$7:K719,K719))</f>
        <v>F1</v>
      </c>
      <c r="BH719" s="85" t="str">
        <f>CONCATENATE(BDEGENER[[#This Row],[FECHA DE SERVICIO]],BDEGENER[[#This Row],[N° DE REGISTROS DEL DIA]])</f>
        <v>43808F1</v>
      </c>
      <c r="BI719" s="132"/>
      <c r="BJ719" s="85" t="s">
        <v>1545</v>
      </c>
      <c r="BK719" s="326"/>
    </row>
    <row r="720" spans="2:63" ht="69" hidden="1" x14ac:dyDescent="0.3">
      <c r="B720" s="129"/>
      <c r="C720" s="129"/>
      <c r="D720" s="129"/>
      <c r="E720" s="129"/>
      <c r="F720" s="129"/>
      <c r="G720" s="129"/>
      <c r="H720" s="129"/>
      <c r="I720" s="129"/>
      <c r="J720" s="129"/>
      <c r="K720" s="131">
        <v>43808</v>
      </c>
      <c r="L720" s="130" t="s">
        <v>796</v>
      </c>
      <c r="M720" s="85" t="s">
        <v>1395</v>
      </c>
      <c r="N720" s="85" t="s">
        <v>1547</v>
      </c>
      <c r="O720" s="85"/>
      <c r="P720" s="85"/>
      <c r="Q720" s="85" t="s">
        <v>37</v>
      </c>
      <c r="R720" s="85" t="s">
        <v>1782</v>
      </c>
      <c r="S720" s="6" t="s">
        <v>1587</v>
      </c>
      <c r="T720" s="85" t="s">
        <v>1782</v>
      </c>
      <c r="U720" s="85" t="s">
        <v>1588</v>
      </c>
      <c r="V720" s="85" t="s">
        <v>149</v>
      </c>
      <c r="W720" s="85" t="s">
        <v>915</v>
      </c>
      <c r="X720" s="85" t="s">
        <v>917</v>
      </c>
      <c r="Y720" s="130">
        <v>1603587</v>
      </c>
      <c r="Z720" s="85"/>
      <c r="AA720" s="85" t="s">
        <v>33</v>
      </c>
      <c r="AB720" s="85" t="s">
        <v>1120</v>
      </c>
      <c r="AC720" s="85" t="s">
        <v>231</v>
      </c>
      <c r="AD720" s="85"/>
      <c r="AE720" s="85"/>
      <c r="AF720" s="132">
        <v>1411.11</v>
      </c>
      <c r="AG720" s="85" t="s">
        <v>243</v>
      </c>
      <c r="AH720" s="85" t="s">
        <v>1088</v>
      </c>
      <c r="AI720" s="85" t="s">
        <v>868</v>
      </c>
      <c r="AJ720" s="85" t="s">
        <v>1591</v>
      </c>
      <c r="AK720" s="85" t="s">
        <v>1572</v>
      </c>
      <c r="AL720" s="683"/>
      <c r="AM720" s="85" t="s">
        <v>1201</v>
      </c>
      <c r="AN720" s="85"/>
      <c r="AO720" s="85"/>
      <c r="AP720" s="85" t="s">
        <v>240</v>
      </c>
      <c r="AQ720" s="200" t="str">
        <f>CONCATENATE("REG-",BDEGENER[[#This Row],[FECHA DE SERVICIO]],"-",BDEGENER[[#This Row],[SERIE]],"-",BDEGENER[[#This Row],[HORAS]])</f>
        <v>REG-43808-1603587-1411,11</v>
      </c>
      <c r="AR720" s="85" t="str">
        <f>CONCATENATE("MARCA: ",BDEGENER[[#This Row],[MARCA]],"
 MODELO: ",BDEGENER[[#This Row],[MODELO]])</f>
        <v>MARCA: GENERAC
 MODELO: VT8 K3</v>
      </c>
      <c r="AS720" s="85" t="str">
        <f>CONCATENATE("MARCA: ",BDEGENER[[#This Row],[MARCA DE MOTOR]],"
SERIE: ",BDEGENER[[#This Row],[SERIE DE MOTOR]])</f>
        <v>MARCA: KUBOTA
SERIE: 1GL1188</v>
      </c>
      <c r="AT720" s="85" t="str">
        <f>CONCATENATE("MARCA: ",BDEGENER[[#This Row],[MARCA ALTERNADOR ]],"
SERIE: ",BDEGENER[[#This Row],[SERIE DE ALTERNADOR]])</f>
        <v xml:space="preserve">MARCA: LINZ
SERIE: </v>
      </c>
      <c r="AU720" s="85" t="str">
        <f>CONCATENATE("HORAS: ",BDEGENER[[#This Row],[HORAS]],"
KW-HR: ",BDEGENER[[#This Row],[KW-HORA]],"
VOLT.BATERIA: ",BDEGENER[[#This Row],[VOLTAJE DE BATERIA]],"
TEMPERATURA: ",BDEGENER[[#This Row],[TEMPERATURA DE AGUA]],"
PRES. ACEITE: ",BDEGENER[[#This Row],[PRESION DE ACEITE]])</f>
        <v xml:space="preserve">HORAS: 1411,11
KW-HR: 
VOLT.BATERIA: 14.2 V
TEMPERATURA: 
PRES. ACEITE: </v>
      </c>
      <c r="AV720" s="683">
        <f>COUNTIFS(Q720:Q2720,"MANTENIMIENTO CORRECTIVO",Y720:Y2720,BDEGENER[[#This Row],[SERIE]])</f>
        <v>0</v>
      </c>
      <c r="AW720" s="683">
        <f>COUNTIFS(Q720:Q2720,"MANTENIMIENTO PREVENTIVO",Y720:Y2720,BDEGENER[[#This Row],[SERIE]])</f>
        <v>4</v>
      </c>
      <c r="AX72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720" s="85">
        <f>COUNTIFS(BDEGENER[SERIE],BDEGENER[[#This Row],[SERIE]],BDEGENER[TIPO DE SERVICIO],"MANTENIMIENTO PREVENTIVO")</f>
        <v>5</v>
      </c>
      <c r="AZ720" s="85" t="str">
        <f>CONCATENATE("MANTENIMIENTO PREVENTIVO N°",BDEGENER[[#This Row],[GA1]])</f>
        <v>MANTENIMIENTO PREVENTIVO N°5</v>
      </c>
      <c r="BA720" s="85" t="str">
        <f>IF(BDEGENER[[#This Row],[SERVICIO]]=BDEGENER[[#This Row],[GA2]],BDEGENER[[#This Row],[HORAS]],"0")</f>
        <v>0</v>
      </c>
      <c r="BB720" s="85">
        <f>SUMIF(BDEGENER[SERIE],BDEGENER[[#This Row],[SERIE]],BDEGENER[GA3])</f>
        <v>1781.5</v>
      </c>
      <c r="BC720" s="683" t="str">
        <f>CONCATENATE("MANT",COUNTIF($Y$7:Y720,Y720))</f>
        <v>MANT3</v>
      </c>
      <c r="BD720" s="85" t="str">
        <f>CONCATENATE(BDEGENER[[#This Row],[SERIE]],BDEGENER[[#This Row],[GA5]])</f>
        <v>1603587MANT3</v>
      </c>
      <c r="BE720" s="85" t="str">
        <f>CONCATENATE(BDEGENER[[#This Row],[CODIGO PATRIMONIAL]],BDEGENER[[#This Row],[GA5]])</f>
        <v>MANT3</v>
      </c>
      <c r="BF720" s="129">
        <f>COUNTIF(BDEGENER[SERIE],BDEGENER[[#This Row],[SERIE]])</f>
        <v>6</v>
      </c>
      <c r="BG720" s="683" t="str">
        <f>CONCATENATE("F",COUNTIF($K$7:K720,K720))</f>
        <v>F2</v>
      </c>
      <c r="BH720" s="325" t="str">
        <f>CONCATENATE(BDEGENER[[#This Row],[FECHA DE SERVICIO]],BDEGENER[[#This Row],[N° DE REGISTROS DEL DIA]])</f>
        <v>43808F2</v>
      </c>
      <c r="BI720" s="324"/>
      <c r="BJ720" s="85" t="s">
        <v>1545</v>
      </c>
      <c r="BK720" s="326"/>
    </row>
    <row r="721" spans="2:63" ht="69" hidden="1" x14ac:dyDescent="0.3">
      <c r="B721" s="129"/>
      <c r="C721" s="129"/>
      <c r="D721" s="129"/>
      <c r="E721" s="129"/>
      <c r="F721" s="129"/>
      <c r="G721" s="129"/>
      <c r="H721" s="129"/>
      <c r="I721" s="129"/>
      <c r="J721" s="129"/>
      <c r="K721" s="131">
        <v>43805</v>
      </c>
      <c r="L721" s="130" t="s">
        <v>181</v>
      </c>
      <c r="M721" s="85" t="s">
        <v>186</v>
      </c>
      <c r="N721" s="85" t="s">
        <v>946</v>
      </c>
      <c r="O721" s="85"/>
      <c r="P721" s="85"/>
      <c r="Q721" s="85" t="s">
        <v>107</v>
      </c>
      <c r="R721" s="85" t="s">
        <v>1263</v>
      </c>
      <c r="S721" s="6" t="s">
        <v>1673</v>
      </c>
      <c r="T721" s="85" t="s">
        <v>1672</v>
      </c>
      <c r="U721" s="85" t="s">
        <v>1262</v>
      </c>
      <c r="V721" s="85" t="s">
        <v>149</v>
      </c>
      <c r="W721" s="85" t="s">
        <v>914</v>
      </c>
      <c r="X721" s="85" t="s">
        <v>918</v>
      </c>
      <c r="Y721" s="15">
        <v>3004327724</v>
      </c>
      <c r="Z721" s="85"/>
      <c r="AA721" s="85" t="s">
        <v>33</v>
      </c>
      <c r="AB721" s="85" t="s">
        <v>34</v>
      </c>
      <c r="AC721" s="85" t="s">
        <v>230</v>
      </c>
      <c r="AD721" s="85"/>
      <c r="AE721" s="85"/>
      <c r="AF721" s="132">
        <v>850</v>
      </c>
      <c r="AG721" s="85" t="s">
        <v>243</v>
      </c>
      <c r="AH721" s="85" t="s">
        <v>220</v>
      </c>
      <c r="AI721" s="85" t="s">
        <v>33</v>
      </c>
      <c r="AJ721" s="85">
        <v>3004333872</v>
      </c>
      <c r="AK721" s="85" t="s">
        <v>33</v>
      </c>
      <c r="AL721" s="85"/>
      <c r="AM721" s="85"/>
      <c r="AN721" s="85"/>
      <c r="AO721" s="85"/>
      <c r="AP721" s="85" t="s">
        <v>240</v>
      </c>
      <c r="AQ721" s="85" t="str">
        <f>CONCATENATE("REG-",BDEGENER[[#This Row],[FECHA DE SERVICIO]],"-",BDEGENER[[#This Row],[SERIE]],"-",BDEGENER[[#This Row],[HORAS]])</f>
        <v>REG-43805-3004327724-850</v>
      </c>
      <c r="AR721" s="85" t="str">
        <f>CONCATENATE("MARCA: ",BDEGENER[[#This Row],[MARCA]],"
 MODELO: ",BDEGENER[[#This Row],[MODELO]])</f>
        <v>MARCA: GENERAC
 MODELO: PG090</v>
      </c>
      <c r="AS721" s="85" t="str">
        <f>CONCATENATE("MARCA: ",BDEGENER[[#This Row],[MARCA DE MOTOR]],"
SERIE: ",BDEGENER[[#This Row],[SERIE DE MOTOR]])</f>
        <v>MARCA: GENERAC
SERIE: 3004333872</v>
      </c>
      <c r="AT721" s="85" t="str">
        <f>CONCATENATE("MARCA: ",BDEGENER[[#This Row],[MARCA ALTERNADOR ]],"
SERIE: ",BDEGENER[[#This Row],[SERIE DE ALTERNADOR]])</f>
        <v xml:space="preserve">MARCA: GENERAC
SERIE: </v>
      </c>
      <c r="AU721" s="85" t="str">
        <f>CONCATENATE("HORAS: ",BDEGENER[[#This Row],[HORAS]],"
KW-HR: ",BDEGENER[[#This Row],[KW-HORA]],"
VOLT.BATERIA: ",BDEGENER[[#This Row],[VOLTAJE DE BATERIA]],"
TEMPERATURA: ",BDEGENER[[#This Row],[TEMPERATURA DE AGUA]],"
PRES. ACEITE: ",BDEGENER[[#This Row],[PRESION DE ACEITE]])</f>
        <v xml:space="preserve">HORAS: 850
KW-HR: 
VOLT.BATERIA: 
TEMPERATURA: 
PRES. ACEITE: </v>
      </c>
      <c r="AV721" s="761">
        <f>COUNTIFS(Q721:Q2721,"MANTENIMIENTO CORRECTIVO",Y721:Y2721,BDEGENER[[#This Row],[SERIE]])</f>
        <v>3</v>
      </c>
      <c r="AW721" s="761">
        <f>COUNTIFS(Q721:Q2721,"MANTENIMIENTO PREVENTIVO",Y721:Y2721,BDEGENER[[#This Row],[SERIE]])</f>
        <v>2</v>
      </c>
      <c r="AX72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721" s="85">
        <f>COUNTIFS(BDEGENER[SERIE],BDEGENER[[#This Row],[SERIE]],BDEGENER[TIPO DE SERVICIO],"MANTENIMIENTO PREVENTIVO")</f>
        <v>8</v>
      </c>
      <c r="AZ721" s="85" t="str">
        <f>CONCATENATE("MANTENIMIENTO PREVENTIVO N°",BDEGENER[[#This Row],[GA1]])</f>
        <v>MANTENIMIENTO PREVENTIVO N°8</v>
      </c>
      <c r="BA721" s="85" t="str">
        <f>IF(BDEGENER[[#This Row],[SERVICIO]]=BDEGENER[[#This Row],[GA2]],BDEGENER[[#This Row],[HORAS]],"0")</f>
        <v>0</v>
      </c>
      <c r="BB721" s="85">
        <f>SUMIF(BDEGENER[SERIE],BDEGENER[[#This Row],[SERIE]],BDEGENER[GA3])</f>
        <v>2271.8000000000002</v>
      </c>
      <c r="BC721" s="761" t="str">
        <f>CONCATENATE("MANT",COUNTIF($Y$7:Y721,Y721))</f>
        <v>MANT12</v>
      </c>
      <c r="BD721" s="85" t="str">
        <f>CONCATENATE(BDEGENER[[#This Row],[SERIE]],BDEGENER[[#This Row],[GA5]])</f>
        <v>3004327724MANT12</v>
      </c>
      <c r="BE721" s="85" t="str">
        <f>CONCATENATE(BDEGENER[[#This Row],[CODIGO PATRIMONIAL]],BDEGENER[[#This Row],[GA5]])</f>
        <v>MANT12</v>
      </c>
      <c r="BF721" s="85">
        <f>COUNTIF(BDEGENER[SERIE],BDEGENER[[#This Row],[SERIE]])</f>
        <v>17</v>
      </c>
      <c r="BG721" s="761" t="str">
        <f>CONCATENATE("F",COUNTIF($K$7:K721,K721))</f>
        <v>F1</v>
      </c>
      <c r="BH721" s="85" t="str">
        <f>CONCATENATE(BDEGENER[[#This Row],[FECHA DE SERVICIO]],BDEGENER[[#This Row],[N° DE REGISTROS DEL DIA]])</f>
        <v>43805F1</v>
      </c>
      <c r="BI721" s="132"/>
      <c r="BJ721" s="85" t="s">
        <v>1544</v>
      </c>
      <c r="BK721" s="326"/>
    </row>
    <row r="722" spans="2:63" ht="69" hidden="1" x14ac:dyDescent="0.3">
      <c r="B722" s="129"/>
      <c r="C722" s="129"/>
      <c r="D722" s="129"/>
      <c r="E722" s="129"/>
      <c r="F722" s="129"/>
      <c r="G722" s="129"/>
      <c r="H722" s="129"/>
      <c r="I722" s="129"/>
      <c r="J722" s="129"/>
      <c r="K722" s="131">
        <v>43803</v>
      </c>
      <c r="L722" s="130" t="s">
        <v>796</v>
      </c>
      <c r="M722" s="85" t="s">
        <v>796</v>
      </c>
      <c r="N722" s="85" t="s">
        <v>1083</v>
      </c>
      <c r="O722" s="85"/>
      <c r="P722" s="85"/>
      <c r="Q722" s="85" t="s">
        <v>37</v>
      </c>
      <c r="R722" s="85" t="s">
        <v>1782</v>
      </c>
      <c r="S722" s="6" t="s">
        <v>1119</v>
      </c>
      <c r="T722" s="85" t="s">
        <v>1782</v>
      </c>
      <c r="U722" s="85" t="s">
        <v>112</v>
      </c>
      <c r="V722" s="85" t="s">
        <v>149</v>
      </c>
      <c r="W722" s="85" t="s">
        <v>915</v>
      </c>
      <c r="X722" s="85" t="s">
        <v>917</v>
      </c>
      <c r="Y722" s="130">
        <v>1603600</v>
      </c>
      <c r="Z722" s="85"/>
      <c r="AA722" s="85" t="s">
        <v>33</v>
      </c>
      <c r="AB722" s="85" t="s">
        <v>1120</v>
      </c>
      <c r="AC722" s="85" t="s">
        <v>231</v>
      </c>
      <c r="AD722" s="85"/>
      <c r="AE722" s="85"/>
      <c r="AF722" s="132">
        <v>1493</v>
      </c>
      <c r="AG722" s="85" t="s">
        <v>243</v>
      </c>
      <c r="AH722" s="85" t="s">
        <v>1578</v>
      </c>
      <c r="AI722" s="85" t="s">
        <v>868</v>
      </c>
      <c r="AJ722" s="85" t="s">
        <v>1592</v>
      </c>
      <c r="AK722" s="85" t="s">
        <v>1572</v>
      </c>
      <c r="AL722" s="85"/>
      <c r="AM722" s="85"/>
      <c r="AN722" s="85"/>
      <c r="AO722" s="85"/>
      <c r="AP722" s="85" t="s">
        <v>240</v>
      </c>
      <c r="AQ722" s="200" t="str">
        <f>CONCATENATE("REG-",BDEGENER[[#This Row],[FECHA DE SERVICIO]],"-",BDEGENER[[#This Row],[SERIE]],"-",BDEGENER[[#This Row],[HORAS]])</f>
        <v>REG-43803-1603600-1493</v>
      </c>
      <c r="AR722" s="85" t="str">
        <f>CONCATENATE("MARCA: ",BDEGENER[[#This Row],[MARCA]],"
 MODELO: ",BDEGENER[[#This Row],[MODELO]])</f>
        <v>MARCA: GENERAC
 MODELO: VT8 K3</v>
      </c>
      <c r="AS722" s="85" t="str">
        <f>CONCATENATE("MARCA: ",BDEGENER[[#This Row],[MARCA DE MOTOR]],"
SERIE: ",BDEGENER[[#This Row],[SERIE DE MOTOR]])</f>
        <v>MARCA: KUBOTA
SERIE: 1GL1631</v>
      </c>
      <c r="AT722" s="85" t="str">
        <f>CONCATENATE("MARCA: ",BDEGENER[[#This Row],[MARCA ALTERNADOR ]],"
SERIE: ",BDEGENER[[#This Row],[SERIE DE ALTERNADOR]])</f>
        <v xml:space="preserve">MARCA: LINZ
SERIE: </v>
      </c>
      <c r="AU722" s="85" t="str">
        <f>CONCATENATE("HORAS: ",BDEGENER[[#This Row],[HORAS]],"
KW-HR: ",BDEGENER[[#This Row],[KW-HORA]],"
VOLT.BATERIA: ",BDEGENER[[#This Row],[VOLTAJE DE BATERIA]],"
TEMPERATURA: ",BDEGENER[[#This Row],[TEMPERATURA DE AGUA]],"
PRES. ACEITE: ",BDEGENER[[#This Row],[PRESION DE ACEITE]])</f>
        <v xml:space="preserve">HORAS: 1493
KW-HR: 
VOLT.BATERIA: 
TEMPERATURA: 
PRES. ACEITE: </v>
      </c>
      <c r="AV722" s="683">
        <f>COUNTIFS(Q722:Q2722,"MANTENIMIENTO CORRECTIVO",Y722:Y2722,BDEGENER[[#This Row],[SERIE]])</f>
        <v>0</v>
      </c>
      <c r="AW722" s="683">
        <f>COUNTIFS(Q722:Q2722,"MANTENIMIENTO PREVENTIVO",Y722:Y2722,BDEGENER[[#This Row],[SERIE]])</f>
        <v>4</v>
      </c>
      <c r="AX722"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722" s="85">
        <f>COUNTIFS(BDEGENER[SERIE],BDEGENER[[#This Row],[SERIE]],BDEGENER[TIPO DE SERVICIO],"MANTENIMIENTO PREVENTIVO")</f>
        <v>4</v>
      </c>
      <c r="AZ722" s="85" t="str">
        <f>CONCATENATE("MANTENIMIENTO PREVENTIVO N°",BDEGENER[[#This Row],[GA1]])</f>
        <v>MANTENIMIENTO PREVENTIVO N°4</v>
      </c>
      <c r="BA722" s="85">
        <f>IF(BDEGENER[[#This Row],[SERVICIO]]=BDEGENER[[#This Row],[GA2]],BDEGENER[[#This Row],[HORAS]],"0")</f>
        <v>1493</v>
      </c>
      <c r="BB722" s="85">
        <f>SUMIF(BDEGENER[SERIE],BDEGENER[[#This Row],[SERIE]],BDEGENER[GA3])</f>
        <v>1493</v>
      </c>
      <c r="BC722" s="683" t="str">
        <f>CONCATENATE("MANT",COUNTIF($Y$7:Y722,Y722))</f>
        <v>MANT1</v>
      </c>
      <c r="BD722" s="85" t="str">
        <f>CONCATENATE(BDEGENER[[#This Row],[SERIE]],BDEGENER[[#This Row],[GA5]])</f>
        <v>1603600MANT1</v>
      </c>
      <c r="BE722" s="85" t="str">
        <f>CONCATENATE(BDEGENER[[#This Row],[CODIGO PATRIMONIAL]],BDEGENER[[#This Row],[GA5]])</f>
        <v>MANT1</v>
      </c>
      <c r="BF722" s="129">
        <f>COUNTIF(BDEGENER[SERIE],BDEGENER[[#This Row],[SERIE]])</f>
        <v>4</v>
      </c>
      <c r="BG722" s="683" t="str">
        <f>CONCATENATE("F",COUNTIF($K$7:K722,K722))</f>
        <v>F1</v>
      </c>
      <c r="BH722" s="325" t="str">
        <f>CONCATENATE(BDEGENER[[#This Row],[FECHA DE SERVICIO]],BDEGENER[[#This Row],[N° DE REGISTROS DEL DIA]])</f>
        <v>43803F1</v>
      </c>
      <c r="BI722" s="324"/>
      <c r="BJ722" s="85" t="s">
        <v>1545</v>
      </c>
      <c r="BK722" s="326"/>
    </row>
    <row r="723" spans="2:63" ht="69" hidden="1" x14ac:dyDescent="0.3">
      <c r="B723" s="33"/>
      <c r="C723" s="33"/>
      <c r="D723" s="33"/>
      <c r="E723" s="33"/>
      <c r="F723" s="33"/>
      <c r="G723" s="33"/>
      <c r="H723" s="33"/>
      <c r="I723" s="33"/>
      <c r="J723" s="33"/>
      <c r="K723" s="38">
        <v>43803</v>
      </c>
      <c r="L723" s="18" t="s">
        <v>248</v>
      </c>
      <c r="M723" s="22" t="s">
        <v>249</v>
      </c>
      <c r="N723" s="23" t="s">
        <v>250</v>
      </c>
      <c r="O723" s="23"/>
      <c r="P723" s="21"/>
      <c r="Q723" s="23" t="s">
        <v>108</v>
      </c>
      <c r="R723" s="85" t="s">
        <v>1782</v>
      </c>
      <c r="S723" s="25" t="s">
        <v>310</v>
      </c>
      <c r="T723" s="25" t="s">
        <v>311</v>
      </c>
      <c r="U723" s="25"/>
      <c r="V723" s="25" t="s">
        <v>150</v>
      </c>
      <c r="W723" s="85" t="s">
        <v>914</v>
      </c>
      <c r="X723" s="85" t="s">
        <v>918</v>
      </c>
      <c r="Y723" s="31">
        <v>3005005010</v>
      </c>
      <c r="Z723" s="85">
        <v>24547</v>
      </c>
      <c r="AA723" s="16" t="s">
        <v>33</v>
      </c>
      <c r="AB723" s="85" t="s">
        <v>34</v>
      </c>
      <c r="AC723" s="22" t="s">
        <v>230</v>
      </c>
      <c r="AD723" s="16" t="s">
        <v>1123</v>
      </c>
      <c r="AE723" s="16">
        <v>60</v>
      </c>
      <c r="AF723" s="27">
        <v>109.9</v>
      </c>
      <c r="AG723" s="85" t="s">
        <v>243</v>
      </c>
      <c r="AH723" s="85" t="s">
        <v>220</v>
      </c>
      <c r="AI723" s="16" t="s">
        <v>33</v>
      </c>
      <c r="AJ723" s="16">
        <v>3005065416</v>
      </c>
      <c r="AK723" s="16" t="s">
        <v>33</v>
      </c>
      <c r="AL723" s="16"/>
      <c r="AM723" s="16"/>
      <c r="AN723" s="16"/>
      <c r="AO723" s="16"/>
      <c r="AP723" s="23" t="s">
        <v>240</v>
      </c>
      <c r="AQ723" s="200" t="str">
        <f>CONCATENATE("REG-",BDEGENER[[#This Row],[FECHA DE SERVICIO]],"-",BDEGENER[[#This Row],[SERIE]],"-",BDEGENER[[#This Row],[HORAS]])</f>
        <v>REG-43803-3005005010-109,9</v>
      </c>
      <c r="AR723" s="5" t="str">
        <f>CONCATENATE("MARCA: ",BDEGENER[[#This Row],[MARCA]],"
 MODELO: ",BDEGENER[[#This Row],[MODELO]])</f>
        <v>MARCA: GENERAC
 MODELO: PG090</v>
      </c>
      <c r="AS723" s="5" t="str">
        <f>CONCATENATE("MARCA: ",BDEGENER[[#This Row],[MARCA DE MOTOR]],"
SERIE: ",BDEGENER[[#This Row],[SERIE DE MOTOR]])</f>
        <v>MARCA: GENERAC
SERIE: 3005065416</v>
      </c>
      <c r="AT723" s="5" t="str">
        <f>CONCATENATE("MARCA: ",BDEGENER[[#This Row],[MARCA ALTERNADOR ]],"
SERIE: ",BDEGENER[[#This Row],[SERIE DE ALTERNADOR]])</f>
        <v xml:space="preserve">MARCA: GENERAC
SERIE: </v>
      </c>
      <c r="AU723" s="5" t="str">
        <f>CONCATENATE("HORAS: ",BDEGENER[[#This Row],[HORAS]],"
KW-HR: ",BDEGENER[[#This Row],[KW-HORA]],"
VOLT.BATERIA: ",BDEGENER[[#This Row],[VOLTAJE DE BATERIA]],"
TEMPERATURA: ",BDEGENER[[#This Row],[TEMPERATURA DE AGUA]],"
PRES. ACEITE: ",BDEGENER[[#This Row],[PRESION DE ACEITE]])</f>
        <v xml:space="preserve">HORAS: 109,9
KW-HR: 22853
VOLT.BATERIA: 
TEMPERATURA: 
PRES. ACEITE: </v>
      </c>
      <c r="AV723" s="683">
        <f>COUNTIFS(Q723:Q2723,"MANTENIMIENTO CORRECTIVO",Y723:Y2723,BDEGENER[[#This Row],[SERIE]])</f>
        <v>0</v>
      </c>
      <c r="AW723" s="683">
        <f>COUNTIFS(Q723:Q2723,"MANTENIMIENTO PREVENTIVO",Y723:Y2723,BDEGENER[[#This Row],[SERIE]])</f>
        <v>1</v>
      </c>
      <c r="AX72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723" s="325">
        <f>COUNTIFS(BDEGENER[SERIE],BDEGENER[[#This Row],[SERIE]],BDEGENER[TIPO DE SERVICIO],"MANTENIMIENTO PREVENTIVO")</f>
        <v>9</v>
      </c>
      <c r="AZ723" s="29" t="str">
        <f>CONCATENATE("MANTENIMIENTO PREVENTIVO N°",BDEGENER[[#This Row],[GA1]])</f>
        <v>MANTENIMIENTO PREVENTIVO N°9</v>
      </c>
      <c r="BA723" s="325" t="str">
        <f>IF(BDEGENER[[#This Row],[SERVICIO]]=BDEGENER[[#This Row],[GA2]],BDEGENER[[#This Row],[HORAS]],"0")</f>
        <v>0</v>
      </c>
      <c r="BB723" s="325">
        <f>SUMIF(BDEGENER[SERIE],BDEGENER[[#This Row],[SERIE]],BDEGENER[GA3])</f>
        <v>2557.3000000000002</v>
      </c>
      <c r="BC723" s="683" t="str">
        <f>CONCATENATE("MANT",COUNTIF($Y$7:Y723,Y723))</f>
        <v>MANT12</v>
      </c>
      <c r="BD723" s="29" t="str">
        <f>CONCATENATE(BDEGENER[[#This Row],[SERIE]],BDEGENER[[#This Row],[GA5]])</f>
        <v>3005005010MANT12</v>
      </c>
      <c r="BE723" s="29" t="str">
        <f>CONCATENATE(BDEGENER[[#This Row],[CODIGO PATRIMONIAL]],BDEGENER[[#This Row],[GA5]])</f>
        <v>24547MANT12</v>
      </c>
      <c r="BF723" s="16">
        <f>COUNTIF(BDEGENER[SERIE],BDEGENER[[#This Row],[SERIE]])</f>
        <v>14</v>
      </c>
      <c r="BG723" s="683" t="str">
        <f>CONCATENATE("F",COUNTIF($K$7:K723,K723))</f>
        <v>F2</v>
      </c>
      <c r="BH723" s="325" t="str">
        <f>CONCATENATE(BDEGENER[[#This Row],[FECHA DE SERVICIO]],BDEGENER[[#This Row],[N° DE REGISTROS DEL DIA]])</f>
        <v>43803F2</v>
      </c>
      <c r="BI723" s="326">
        <v>22853</v>
      </c>
      <c r="BJ723" s="325" t="s">
        <v>1544</v>
      </c>
      <c r="BK723" s="326"/>
    </row>
    <row r="724" spans="2:63" ht="82.8" hidden="1" x14ac:dyDescent="0.3">
      <c r="B724" s="33"/>
      <c r="C724" s="33"/>
      <c r="D724" s="33"/>
      <c r="E724" s="33"/>
      <c r="F724" s="33"/>
      <c r="G724" s="33"/>
      <c r="H724" s="33"/>
      <c r="I724" s="33"/>
      <c r="J724" s="33"/>
      <c r="K724" s="38">
        <v>43803</v>
      </c>
      <c r="L724" s="18" t="s">
        <v>248</v>
      </c>
      <c r="M724" s="85" t="s">
        <v>1315</v>
      </c>
      <c r="N724" s="85" t="s">
        <v>1319</v>
      </c>
      <c r="O724" s="23"/>
      <c r="P724" s="21"/>
      <c r="Q724" s="23" t="s">
        <v>108</v>
      </c>
      <c r="R724" s="85" t="s">
        <v>1782</v>
      </c>
      <c r="S724" s="25" t="s">
        <v>312</v>
      </c>
      <c r="T724" s="25" t="s">
        <v>313</v>
      </c>
      <c r="U724" s="25"/>
      <c r="V724" s="25" t="s">
        <v>150</v>
      </c>
      <c r="W724" s="85" t="s">
        <v>914</v>
      </c>
      <c r="X724" s="85" t="s">
        <v>918</v>
      </c>
      <c r="Y724" s="31">
        <v>3005005007</v>
      </c>
      <c r="Z724" s="85">
        <v>24546</v>
      </c>
      <c r="AA724" s="16" t="s">
        <v>33</v>
      </c>
      <c r="AB724" s="85" t="s">
        <v>34</v>
      </c>
      <c r="AC724" s="22" t="s">
        <v>230</v>
      </c>
      <c r="AD724" s="16" t="s">
        <v>1416</v>
      </c>
      <c r="AE724" s="16">
        <v>60</v>
      </c>
      <c r="AF724" s="27">
        <v>109.3</v>
      </c>
      <c r="AG724" s="85" t="s">
        <v>243</v>
      </c>
      <c r="AH724" s="85" t="s">
        <v>220</v>
      </c>
      <c r="AI724" s="85" t="s">
        <v>33</v>
      </c>
      <c r="AJ724" s="85">
        <v>3005065920</v>
      </c>
      <c r="AK724" s="85" t="s">
        <v>33</v>
      </c>
      <c r="AL724" s="16"/>
      <c r="AM724" s="16"/>
      <c r="AN724" s="16"/>
      <c r="AO724" s="16"/>
      <c r="AP724" s="23" t="s">
        <v>240</v>
      </c>
      <c r="AQ724" s="200" t="str">
        <f>CONCATENATE("REG-",BDEGENER[[#This Row],[FECHA DE SERVICIO]],"-",BDEGENER[[#This Row],[SERIE]],"-",BDEGENER[[#This Row],[HORAS]])</f>
        <v>REG-43803-3005005007-109,3</v>
      </c>
      <c r="AR724" s="5" t="str">
        <f>CONCATENATE("MARCA: ",BDEGENER[[#This Row],[MARCA]],"
 MODELO: ",BDEGENER[[#This Row],[MODELO]])</f>
        <v>MARCA: GENERAC
 MODELO: PG090</v>
      </c>
      <c r="AS724" s="5" t="str">
        <f>CONCATENATE("MARCA: ",BDEGENER[[#This Row],[MARCA DE MOTOR]],"
SERIE: ",BDEGENER[[#This Row],[SERIE DE MOTOR]])</f>
        <v>MARCA: GENERAC
SERIE: 3005065920</v>
      </c>
      <c r="AT724" s="5" t="str">
        <f>CONCATENATE("MARCA: ",BDEGENER[[#This Row],[MARCA ALTERNADOR ]],"
SERIE: ",BDEGENER[[#This Row],[SERIE DE ALTERNADOR]])</f>
        <v xml:space="preserve">MARCA: GENERAC
SERIE: </v>
      </c>
      <c r="AU724" s="5" t="str">
        <f>CONCATENATE("HORAS: ",BDEGENER[[#This Row],[HORAS]],"
KW-HR: ",BDEGENER[[#This Row],[KW-HORA]],"
VOLT.BATERIA: ",BDEGENER[[#This Row],[VOLTAJE DE BATERIA]],"
TEMPERATURA: ",BDEGENER[[#This Row],[TEMPERATURA DE AGUA]],"
PRES. ACEITE: ",BDEGENER[[#This Row],[PRESION DE ACEITE]])</f>
        <v xml:space="preserve">HORAS: 109,3
KW-HR: 
VOLT.BATERIA: 
TEMPERATURA: 
PRES. ACEITE: </v>
      </c>
      <c r="AV724" s="761">
        <f>COUNTIFS(Q724:Q2724,"MANTENIMIENTO CORRECTIVO",Y724:Y2724,BDEGENER[[#This Row],[SERIE]])</f>
        <v>0</v>
      </c>
      <c r="AW724" s="761">
        <f>COUNTIFS(Q724:Q2724,"MANTENIMIENTO PREVENTIVO",Y724:Y2724,BDEGENER[[#This Row],[SERIE]])</f>
        <v>1</v>
      </c>
      <c r="AX72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724" s="29">
        <f>COUNTIFS(BDEGENER[SERIE],BDEGENER[[#This Row],[SERIE]],BDEGENER[TIPO DE SERVICIO],"MANTENIMIENTO PREVENTIVO")</f>
        <v>7</v>
      </c>
      <c r="AZ724" s="29" t="str">
        <f>CONCATENATE("MANTENIMIENTO PREVENTIVO N°",BDEGENER[[#This Row],[GA1]])</f>
        <v>MANTENIMIENTO PREVENTIVO N°7</v>
      </c>
      <c r="BA724" s="325" t="str">
        <f>IF(BDEGENER[[#This Row],[SERVICIO]]=BDEGENER[[#This Row],[GA2]],BDEGENER[[#This Row],[HORAS]],"0")</f>
        <v>0</v>
      </c>
      <c r="BB724" s="325">
        <f>SUMIF(BDEGENER[SERIE],BDEGENER[[#This Row],[SERIE]],BDEGENER[GA3])</f>
        <v>2333.3000000000002</v>
      </c>
      <c r="BC724" s="761" t="str">
        <f>CONCATENATE("MANT",COUNTIF($Y$7:Y724,Y724))</f>
        <v>MANT9</v>
      </c>
      <c r="BD724" s="29" t="str">
        <f>CONCATENATE(BDEGENER[[#This Row],[SERIE]],BDEGENER[[#This Row],[GA5]])</f>
        <v>3005005007MANT9</v>
      </c>
      <c r="BE724" s="29" t="str">
        <f>CONCATENATE(BDEGENER[[#This Row],[CODIGO PATRIMONIAL]],BDEGENER[[#This Row],[GA5]])</f>
        <v>24546MANT9</v>
      </c>
      <c r="BF724" s="16">
        <f>COUNTIF(BDEGENER[SERIE],BDEGENER[[#This Row],[SERIE]])</f>
        <v>11</v>
      </c>
      <c r="BG724" s="761" t="str">
        <f>CONCATENATE("F",COUNTIF($K$7:K724,K724))</f>
        <v>F3</v>
      </c>
      <c r="BH724" s="325" t="str">
        <f>CONCATENATE(BDEGENER[[#This Row],[FECHA DE SERVICIO]],BDEGENER[[#This Row],[N° DE REGISTROS DEL DIA]])</f>
        <v>43803F3</v>
      </c>
      <c r="BI724" s="324"/>
      <c r="BJ724" s="325"/>
      <c r="BK724" s="326"/>
    </row>
    <row r="725" spans="2:63" ht="69" hidden="1" x14ac:dyDescent="0.3">
      <c r="B725" s="33"/>
      <c r="C725" s="33"/>
      <c r="D725" s="33"/>
      <c r="E725" s="33"/>
      <c r="F725" s="33"/>
      <c r="G725" s="33"/>
      <c r="H725" s="33"/>
      <c r="I725" s="33"/>
      <c r="J725" s="33"/>
      <c r="K725" s="38">
        <v>43803</v>
      </c>
      <c r="L725" s="18" t="s">
        <v>248</v>
      </c>
      <c r="M725" s="85" t="s">
        <v>1224</v>
      </c>
      <c r="N725" s="23" t="s">
        <v>251</v>
      </c>
      <c r="O725" s="23"/>
      <c r="P725" s="21"/>
      <c r="Q725" s="23" t="s">
        <v>108</v>
      </c>
      <c r="R725" s="85" t="s">
        <v>1782</v>
      </c>
      <c r="S725" s="23" t="s">
        <v>314</v>
      </c>
      <c r="T725" s="23" t="s">
        <v>315</v>
      </c>
      <c r="U725" s="23"/>
      <c r="V725" s="23" t="s">
        <v>150</v>
      </c>
      <c r="W725" s="22" t="s">
        <v>914</v>
      </c>
      <c r="X725" s="22" t="s">
        <v>918</v>
      </c>
      <c r="Y725" s="135">
        <v>3004999911</v>
      </c>
      <c r="Z725" s="85">
        <v>24543</v>
      </c>
      <c r="AA725" s="16" t="s">
        <v>33</v>
      </c>
      <c r="AB725" s="85" t="s">
        <v>1728</v>
      </c>
      <c r="AC725" s="22" t="s">
        <v>528</v>
      </c>
      <c r="AD725" s="16"/>
      <c r="AE725" s="16"/>
      <c r="AF725" s="27">
        <v>27.4</v>
      </c>
      <c r="AG725" s="85" t="s">
        <v>243</v>
      </c>
      <c r="AH725" s="85" t="s">
        <v>220</v>
      </c>
      <c r="AI725" s="85" t="s">
        <v>1495</v>
      </c>
      <c r="AJ725" s="85" t="s">
        <v>1496</v>
      </c>
      <c r="AK725" s="85" t="s">
        <v>33</v>
      </c>
      <c r="AL725" s="85">
        <v>1395462</v>
      </c>
      <c r="AM725" s="16"/>
      <c r="AN725" s="16"/>
      <c r="AO725" s="16"/>
      <c r="AP725" s="23" t="s">
        <v>240</v>
      </c>
      <c r="AQ725" s="200" t="str">
        <f>CONCATENATE("REG-",BDEGENER[[#This Row],[FECHA DE SERVICIO]],"-",BDEGENER[[#This Row],[SERIE]],"-",BDEGENER[[#This Row],[HORAS]])</f>
        <v>REG-43803-3004999911-27,4</v>
      </c>
      <c r="AR725" s="6" t="str">
        <f>CONCATENATE("MARCA: ",BDEGENER[[#This Row],[MARCA]],"
 MODELO: ",BDEGENER[[#This Row],[MODELO]])</f>
        <v>MARCA: GENERAC
 MODELO: PG054</v>
      </c>
      <c r="AS725" s="6" t="str">
        <f>CONCATENATE("MARCA: ",BDEGENER[[#This Row],[MARCA DE MOTOR]],"
SERIE: ",BDEGENER[[#This Row],[SERIE DE MOTOR]])</f>
        <v>MARCA: FORD
SERIE: GP680AA</v>
      </c>
      <c r="AT725" s="6" t="str">
        <f>CONCATENATE("MARCA: ",BDEGENER[[#This Row],[MARCA ALTERNADOR ]],"
SERIE: ",BDEGENER[[#This Row],[SERIE DE ALTERNADOR]])</f>
        <v>MARCA: GENERAC
SERIE: 1395462</v>
      </c>
      <c r="AU725" s="6" t="str">
        <f>CONCATENATE("HORAS: ",BDEGENER[[#This Row],[HORAS]],"
KW-HR: ",BDEGENER[[#This Row],[KW-HORA]],"
VOLT.BATERIA: ",BDEGENER[[#This Row],[VOLTAJE DE BATERIA]],"
TEMPERATURA: ",BDEGENER[[#This Row],[TEMPERATURA DE AGUA]],"
PRES. ACEITE: ",BDEGENER[[#This Row],[PRESION DE ACEITE]])</f>
        <v xml:space="preserve">HORAS: 27,4
KW-HR: 
VOLT.BATERIA: 
TEMPERATURA: 
PRES. ACEITE: </v>
      </c>
      <c r="AV725" s="683">
        <f>COUNTIFS(Q725:Q2725,"MANTENIMIENTO CORRECTIVO",Y725:Y2725,BDEGENER[[#This Row],[SERIE]])</f>
        <v>0</v>
      </c>
      <c r="AW725" s="683">
        <f>COUNTIFS(Q725:Q2725,"MANTENIMIENTO PREVENTIVO",Y725:Y2725,BDEGENER[[#This Row],[SERIE]])</f>
        <v>0</v>
      </c>
      <c r="AX725"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725" s="325">
        <f>COUNTIFS(BDEGENER[SERIE],BDEGENER[[#This Row],[SERIE]],BDEGENER[TIPO DE SERVICIO],"MANTENIMIENTO PREVENTIVO")</f>
        <v>12</v>
      </c>
      <c r="AZ725" s="325" t="str">
        <f>CONCATENATE("MANTENIMIENTO PREVENTIVO N°",BDEGENER[[#This Row],[GA1]])</f>
        <v>MANTENIMIENTO PREVENTIVO N°12</v>
      </c>
      <c r="BA725" s="325" t="str">
        <f>IF(BDEGENER[[#This Row],[SERVICIO]]=BDEGENER[[#This Row],[GA2]],BDEGENER[[#This Row],[HORAS]],"0")</f>
        <v>0</v>
      </c>
      <c r="BB725" s="325">
        <f>SUMIF(BDEGENER[SERIE],BDEGENER[[#This Row],[SERIE]],BDEGENER[GA3])</f>
        <v>3510.8</v>
      </c>
      <c r="BC725" s="683" t="str">
        <f>CONCATENATE("MANT",COUNTIF($Y$7:Y725,Y725))</f>
        <v>MANT13</v>
      </c>
      <c r="BD725" s="325" t="str">
        <f>CONCATENATE(BDEGENER[[#This Row],[SERIE]],BDEGENER[[#This Row],[GA5]])</f>
        <v>3004999911MANT13</v>
      </c>
      <c r="BE725" s="325" t="str">
        <f>CONCATENATE(BDEGENER[[#This Row],[CODIGO PATRIMONIAL]],BDEGENER[[#This Row],[GA5]])</f>
        <v>24543MANT13</v>
      </c>
      <c r="BF725" s="16">
        <f>COUNTIF(BDEGENER[SERIE],BDEGENER[[#This Row],[SERIE]])</f>
        <v>14</v>
      </c>
      <c r="BG725" s="683" t="str">
        <f>CONCATENATE("F",COUNTIF($K$7:K725,K725))</f>
        <v>F4</v>
      </c>
      <c r="BH725" s="325" t="str">
        <f>CONCATENATE(BDEGENER[[#This Row],[FECHA DE SERVICIO]],BDEGENER[[#This Row],[N° DE REGISTROS DEL DIA]])</f>
        <v>43803F4</v>
      </c>
      <c r="BI725" s="326"/>
      <c r="BJ725" s="325" t="s">
        <v>1544</v>
      </c>
      <c r="BK725" s="326"/>
    </row>
    <row r="726" spans="2:63" ht="69" hidden="1" x14ac:dyDescent="0.3">
      <c r="B726" s="223"/>
      <c r="C726" s="223"/>
      <c r="D726" s="223"/>
      <c r="E726" s="223"/>
      <c r="F726" s="223"/>
      <c r="G726" s="223"/>
      <c r="H726" s="223"/>
      <c r="I726" s="223"/>
      <c r="J726" s="223"/>
      <c r="K726" s="723">
        <v>43798</v>
      </c>
      <c r="L726" s="15" t="s">
        <v>181</v>
      </c>
      <c r="M726" s="14" t="s">
        <v>184</v>
      </c>
      <c r="N726" s="14" t="s">
        <v>183</v>
      </c>
      <c r="O726" s="8" t="s">
        <v>161</v>
      </c>
      <c r="P726" s="10"/>
      <c r="Q726" s="14" t="s">
        <v>37</v>
      </c>
      <c r="R726" s="85" t="s">
        <v>1782</v>
      </c>
      <c r="S726" s="5" t="s">
        <v>40</v>
      </c>
      <c r="T726" s="14" t="s">
        <v>86</v>
      </c>
      <c r="U726" s="14" t="s">
        <v>118</v>
      </c>
      <c r="V726" s="14" t="s">
        <v>146</v>
      </c>
      <c r="W726" s="85" t="s">
        <v>914</v>
      </c>
      <c r="X726" s="85" t="s">
        <v>918</v>
      </c>
      <c r="Y726" s="15">
        <v>3004337388</v>
      </c>
      <c r="Z726" s="14"/>
      <c r="AA726" s="14" t="s">
        <v>33</v>
      </c>
      <c r="AB726" s="85" t="s">
        <v>34</v>
      </c>
      <c r="AC726" s="14" t="s">
        <v>230</v>
      </c>
      <c r="AD726" s="16"/>
      <c r="AE726" s="16"/>
      <c r="AF726" s="12">
        <v>390</v>
      </c>
      <c r="AG726" s="85" t="s">
        <v>243</v>
      </c>
      <c r="AH726" s="85" t="s">
        <v>220</v>
      </c>
      <c r="AI726" s="85" t="s">
        <v>33</v>
      </c>
      <c r="AJ726" s="16">
        <v>3004346829</v>
      </c>
      <c r="AK726" s="85" t="s">
        <v>33</v>
      </c>
      <c r="AL726" s="16">
        <v>106308710</v>
      </c>
      <c r="AM726" s="16"/>
      <c r="AN726" s="16"/>
      <c r="AO726" s="16"/>
      <c r="AP726" s="14" t="s">
        <v>240</v>
      </c>
      <c r="AQ726" s="200" t="str">
        <f>CONCATENATE("REG-",BDEGENER[[#This Row],[FECHA DE SERVICIO]],"-",BDEGENER[[#This Row],[SERIE]],"-",BDEGENER[[#This Row],[HORAS]])</f>
        <v>REG-43798-3004337388-390</v>
      </c>
      <c r="AR726" s="5" t="str">
        <f>CONCATENATE("MARCA: ",BDEGENER[[#This Row],[MARCA]],"
 MODELO: ",BDEGENER[[#This Row],[MODELO]])</f>
        <v>MARCA: GENERAC
 MODELO: PG090</v>
      </c>
      <c r="AS726" s="5" t="str">
        <f>CONCATENATE("MARCA: ",BDEGENER[[#This Row],[MARCA DE MOTOR]],"
SERIE: ",BDEGENER[[#This Row],[SERIE DE MOTOR]])</f>
        <v>MARCA: GENERAC
SERIE: 3004346829</v>
      </c>
      <c r="AT726" s="5" t="str">
        <f>CONCATENATE("MARCA: ",BDEGENER[[#This Row],[MARCA ALTERNADOR ]],"
SERIE: ",BDEGENER[[#This Row],[SERIE DE ALTERNADOR]])</f>
        <v>MARCA: GENERAC
SERIE: 106308710</v>
      </c>
      <c r="AU726" s="5" t="str">
        <f>CONCATENATE("HORAS: ",BDEGENER[[#This Row],[HORAS]],"
KW-HR: ",BDEGENER[[#This Row],[KW-HORA]],"
VOLT.BATERIA: ",BDEGENER[[#This Row],[VOLTAJE DE BATERIA]],"
TEMPERATURA: ",BDEGENER[[#This Row],[TEMPERATURA DE AGUA]],"
PRES. ACEITE: ",BDEGENER[[#This Row],[PRESION DE ACEITE]])</f>
        <v xml:space="preserve">HORAS: 390
KW-HR: 
VOLT.BATERIA: 
TEMPERATURA: 
PRES. ACEITE: </v>
      </c>
      <c r="AV726" s="683">
        <f>COUNTIFS(Q726:Q2726,"MANTENIMIENTO CORRECTIVO",Y726:Y2726,BDEGENER[[#This Row],[SERIE]])</f>
        <v>1</v>
      </c>
      <c r="AW726" s="683">
        <f>COUNTIFS(Q726:Q2726,"MANTENIMIENTO PREVENTIVO",Y726:Y2726,BDEGENER[[#This Row],[SERIE]])</f>
        <v>2</v>
      </c>
      <c r="AX72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26" s="29">
        <f>COUNTIFS(BDEGENER[SERIE],BDEGENER[[#This Row],[SERIE]],BDEGENER[TIPO DE SERVICIO],"MANTENIMIENTO PREVENTIVO")</f>
        <v>7</v>
      </c>
      <c r="AZ726" s="29" t="str">
        <f>CONCATENATE("MANTENIMIENTO PREVENTIVO N°",BDEGENER[[#This Row],[GA1]])</f>
        <v>MANTENIMIENTO PREVENTIVO N°7</v>
      </c>
      <c r="BA726" s="325" t="str">
        <f>IF(BDEGENER[[#This Row],[SERVICIO]]=BDEGENER[[#This Row],[GA2]],BDEGENER[[#This Row],[HORAS]],"0")</f>
        <v>0</v>
      </c>
      <c r="BB726" s="325">
        <f>SUMIF(BDEGENER[SERIE],BDEGENER[[#This Row],[SERIE]],BDEGENER[GA3])</f>
        <v>2129.8000000000002</v>
      </c>
      <c r="BC726" s="683" t="str">
        <f>CONCATENATE("MANT",COUNTIF($Y$7:Y726,Y726))</f>
        <v>MANT11</v>
      </c>
      <c r="BD726" s="29" t="str">
        <f>CONCATENATE(BDEGENER[[#This Row],[SERIE]],BDEGENER[[#This Row],[GA5]])</f>
        <v>3004337388MANT11</v>
      </c>
      <c r="BE726" s="29" t="str">
        <f>CONCATENATE(BDEGENER[[#This Row],[CODIGO PATRIMONIAL]],BDEGENER[[#This Row],[GA5]])</f>
        <v>MANT11</v>
      </c>
      <c r="BF726" s="16">
        <f>COUNTIF(BDEGENER[SERIE],BDEGENER[[#This Row],[SERIE]])</f>
        <v>14</v>
      </c>
      <c r="BG726" s="683" t="str">
        <f>CONCATENATE("F",COUNTIF($K$7:K726,K726))</f>
        <v>F1</v>
      </c>
      <c r="BH726" s="325" t="str">
        <f>CONCATENATE(BDEGENER[[#This Row],[FECHA DE SERVICIO]],BDEGENER[[#This Row],[N° DE REGISTROS DEL DIA]])</f>
        <v>43798F1</v>
      </c>
      <c r="BI726" s="324"/>
      <c r="BJ726" s="85" t="s">
        <v>1544</v>
      </c>
      <c r="BK726" s="326"/>
    </row>
    <row r="727" spans="2:63" ht="69" hidden="1" x14ac:dyDescent="0.3">
      <c r="B727" s="33"/>
      <c r="C727" s="33"/>
      <c r="D727" s="33"/>
      <c r="E727" s="33"/>
      <c r="F727" s="33"/>
      <c r="G727" s="33"/>
      <c r="H727" s="33"/>
      <c r="I727" s="33"/>
      <c r="J727" s="33"/>
      <c r="K727" s="38">
        <v>43798</v>
      </c>
      <c r="L727" s="18" t="s">
        <v>248</v>
      </c>
      <c r="M727" s="85" t="s">
        <v>1315</v>
      </c>
      <c r="N727" s="85" t="s">
        <v>1319</v>
      </c>
      <c r="O727" s="23"/>
      <c r="P727" s="21"/>
      <c r="Q727" s="22" t="s">
        <v>37</v>
      </c>
      <c r="R727" s="85" t="s">
        <v>1782</v>
      </c>
      <c r="S727" s="25" t="s">
        <v>1832</v>
      </c>
      <c r="T727" s="85" t="s">
        <v>1782</v>
      </c>
      <c r="U727" s="25" t="s">
        <v>316</v>
      </c>
      <c r="V727" s="25" t="s">
        <v>150</v>
      </c>
      <c r="W727" s="85" t="s">
        <v>914</v>
      </c>
      <c r="X727" s="85" t="s">
        <v>918</v>
      </c>
      <c r="Y727" s="31">
        <v>3005005007</v>
      </c>
      <c r="Z727" s="85">
        <v>24546</v>
      </c>
      <c r="AA727" s="16" t="s">
        <v>33</v>
      </c>
      <c r="AB727" s="85" t="s">
        <v>34</v>
      </c>
      <c r="AC727" s="22" t="s">
        <v>230</v>
      </c>
      <c r="AD727" s="16" t="s">
        <v>1416</v>
      </c>
      <c r="AE727" s="16">
        <v>60</v>
      </c>
      <c r="AF727" s="27">
        <v>56</v>
      </c>
      <c r="AG727" s="85" t="s">
        <v>243</v>
      </c>
      <c r="AH727" s="85" t="s">
        <v>220</v>
      </c>
      <c r="AI727" s="85" t="s">
        <v>33</v>
      </c>
      <c r="AJ727" s="85">
        <v>3005065920</v>
      </c>
      <c r="AK727" s="85" t="s">
        <v>33</v>
      </c>
      <c r="AL727" s="16"/>
      <c r="AM727" s="16" t="s">
        <v>1347</v>
      </c>
      <c r="AN727" s="16" t="s">
        <v>1834</v>
      </c>
      <c r="AO727" s="16" t="s">
        <v>1318</v>
      </c>
      <c r="AP727" s="22" t="s">
        <v>240</v>
      </c>
      <c r="AQ727" s="200" t="str">
        <f>CONCATENATE("REG-",BDEGENER[[#This Row],[FECHA DE SERVICIO]],"-",BDEGENER[[#This Row],[SERIE]],"-",BDEGENER[[#This Row],[HORAS]])</f>
        <v>REG-43798-3005005007-56</v>
      </c>
      <c r="AR727" s="5" t="str">
        <f>CONCATENATE("MARCA: ",BDEGENER[[#This Row],[MARCA]],"
 MODELO: ",BDEGENER[[#This Row],[MODELO]])</f>
        <v>MARCA: GENERAC
 MODELO: PG090</v>
      </c>
      <c r="AS727" s="5" t="str">
        <f>CONCATENATE("MARCA: ",BDEGENER[[#This Row],[MARCA DE MOTOR]],"
SERIE: ",BDEGENER[[#This Row],[SERIE DE MOTOR]])</f>
        <v>MARCA: GENERAC
SERIE: 3005065920</v>
      </c>
      <c r="AT727" s="5" t="str">
        <f>CONCATENATE("MARCA: ",BDEGENER[[#This Row],[MARCA ALTERNADOR ]],"
SERIE: ",BDEGENER[[#This Row],[SERIE DE ALTERNADOR]])</f>
        <v xml:space="preserve">MARCA: GENERAC
SERIE: </v>
      </c>
      <c r="AU727" s="5" t="str">
        <f>CONCATENATE("HORAS: ",BDEGENER[[#This Row],[HORAS]],"
KW-HR: ",BDEGENER[[#This Row],[KW-HORA]],"
VOLT.BATERIA: ",BDEGENER[[#This Row],[VOLTAJE DE BATERIA]],"
TEMPERATURA: ",BDEGENER[[#This Row],[TEMPERATURA DE AGUA]],"
PRES. ACEITE: ",BDEGENER[[#This Row],[PRESION DE ACEITE]])</f>
        <v>HORAS: 56
KW-HR: 
VOLT.BATERIA: 13.3 V
TEMPERATURA: 215 °F
PRES. ACEITE: 58 PSI</v>
      </c>
      <c r="AV727" s="761">
        <f>COUNTIFS(Q727:Q2727,"MANTENIMIENTO CORRECTIVO",Y727:Y2727,BDEGENER[[#This Row],[SERIE]])</f>
        <v>0</v>
      </c>
      <c r="AW727" s="761">
        <f>COUNTIFS(Q727:Q2727,"MANTENIMIENTO PREVENTIVO",Y727:Y2727,BDEGENER[[#This Row],[SERIE]])</f>
        <v>1</v>
      </c>
      <c r="AX72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27" s="29">
        <f>COUNTIFS(BDEGENER[SERIE],BDEGENER[[#This Row],[SERIE]],BDEGENER[TIPO DE SERVICIO],"MANTENIMIENTO PREVENTIVO")</f>
        <v>7</v>
      </c>
      <c r="AZ727" s="29" t="str">
        <f>CONCATENATE("MANTENIMIENTO PREVENTIVO N°",BDEGENER[[#This Row],[GA1]])</f>
        <v>MANTENIMIENTO PREVENTIVO N°7</v>
      </c>
      <c r="BA727" s="325" t="str">
        <f>IF(BDEGENER[[#This Row],[SERVICIO]]=BDEGENER[[#This Row],[GA2]],BDEGENER[[#This Row],[HORAS]],"0")</f>
        <v>0</v>
      </c>
      <c r="BB727" s="325">
        <f>SUMIF(BDEGENER[SERIE],BDEGENER[[#This Row],[SERIE]],BDEGENER[GA3])</f>
        <v>2333.3000000000002</v>
      </c>
      <c r="BC727" s="761" t="str">
        <f>CONCATENATE("MANT",COUNTIF($Y$7:Y727,Y727))</f>
        <v>MANT10</v>
      </c>
      <c r="BD727" s="29" t="str">
        <f>CONCATENATE(BDEGENER[[#This Row],[SERIE]],BDEGENER[[#This Row],[GA5]])</f>
        <v>3005005007MANT10</v>
      </c>
      <c r="BE727" s="29" t="str">
        <f>CONCATENATE(BDEGENER[[#This Row],[CODIGO PATRIMONIAL]],BDEGENER[[#This Row],[GA5]])</f>
        <v>24546MANT10</v>
      </c>
      <c r="BF727" s="16">
        <f>COUNTIF(BDEGENER[SERIE],BDEGENER[[#This Row],[SERIE]])</f>
        <v>11</v>
      </c>
      <c r="BG727" s="761" t="str">
        <f>CONCATENATE("F",COUNTIF($K$7:K727,K727))</f>
        <v>F2</v>
      </c>
      <c r="BH727" s="325" t="str">
        <f>CONCATENATE(BDEGENER[[#This Row],[FECHA DE SERVICIO]],BDEGENER[[#This Row],[N° DE REGISTROS DEL DIA]])</f>
        <v>43798F2</v>
      </c>
      <c r="BI727" s="324"/>
      <c r="BJ727" s="325"/>
      <c r="BK727" s="326"/>
    </row>
    <row r="728" spans="2:63" ht="69" hidden="1" x14ac:dyDescent="0.3">
      <c r="B728" s="33"/>
      <c r="C728" s="33"/>
      <c r="D728" s="33"/>
      <c r="E728" s="33"/>
      <c r="F728" s="33"/>
      <c r="G728" s="33"/>
      <c r="H728" s="33"/>
      <c r="I728" s="33"/>
      <c r="J728" s="33"/>
      <c r="K728" s="38">
        <v>43798</v>
      </c>
      <c r="L728" s="18" t="s">
        <v>248</v>
      </c>
      <c r="M728" s="22" t="s">
        <v>249</v>
      </c>
      <c r="N728" s="23" t="s">
        <v>252</v>
      </c>
      <c r="O728" s="23"/>
      <c r="P728" s="21"/>
      <c r="Q728" s="22" t="s">
        <v>37</v>
      </c>
      <c r="R728" s="85" t="s">
        <v>1782</v>
      </c>
      <c r="S728" s="25" t="s">
        <v>1832</v>
      </c>
      <c r="T728" s="85" t="s">
        <v>1782</v>
      </c>
      <c r="U728" s="25" t="s">
        <v>316</v>
      </c>
      <c r="V728" s="25" t="s">
        <v>150</v>
      </c>
      <c r="W728" s="85" t="s">
        <v>914</v>
      </c>
      <c r="X728" s="85" t="s">
        <v>918</v>
      </c>
      <c r="Y728" s="31">
        <v>3005005010</v>
      </c>
      <c r="Z728" s="85">
        <v>24547</v>
      </c>
      <c r="AA728" s="16" t="s">
        <v>33</v>
      </c>
      <c r="AB728" s="85" t="s">
        <v>34</v>
      </c>
      <c r="AC728" s="22" t="s">
        <v>230</v>
      </c>
      <c r="AD728" s="16" t="s">
        <v>1123</v>
      </c>
      <c r="AE728" s="16">
        <v>60</v>
      </c>
      <c r="AF728" s="27">
        <v>38.9</v>
      </c>
      <c r="AG728" s="85" t="s">
        <v>243</v>
      </c>
      <c r="AH728" s="85" t="s">
        <v>220</v>
      </c>
      <c r="AI728" s="16" t="s">
        <v>33</v>
      </c>
      <c r="AJ728" s="16">
        <v>3005065416</v>
      </c>
      <c r="AK728" s="16" t="s">
        <v>33</v>
      </c>
      <c r="AL728" s="16"/>
      <c r="AM728" s="16" t="s">
        <v>245</v>
      </c>
      <c r="AN728" s="16" t="s">
        <v>1833</v>
      </c>
      <c r="AO728" s="16" t="s">
        <v>1354</v>
      </c>
      <c r="AP728" s="22" t="s">
        <v>240</v>
      </c>
      <c r="AQ728" s="200" t="str">
        <f>CONCATENATE("REG-",BDEGENER[[#This Row],[FECHA DE SERVICIO]],"-",BDEGENER[[#This Row],[SERIE]],"-",BDEGENER[[#This Row],[HORAS]])</f>
        <v>REG-43798-3005005010-38,9</v>
      </c>
      <c r="AR728" s="5" t="str">
        <f>CONCATENATE("MARCA: ",BDEGENER[[#This Row],[MARCA]],"
 MODELO: ",BDEGENER[[#This Row],[MODELO]])</f>
        <v>MARCA: GENERAC
 MODELO: PG090</v>
      </c>
      <c r="AS728" s="5" t="str">
        <f>CONCATENATE("MARCA: ",BDEGENER[[#This Row],[MARCA DE MOTOR]],"
SERIE: ",BDEGENER[[#This Row],[SERIE DE MOTOR]])</f>
        <v>MARCA: GENERAC
SERIE: 3005065416</v>
      </c>
      <c r="AT728" s="5" t="str">
        <f>CONCATENATE("MARCA: ",BDEGENER[[#This Row],[MARCA ALTERNADOR ]],"
SERIE: ",BDEGENER[[#This Row],[SERIE DE ALTERNADOR]])</f>
        <v xml:space="preserve">MARCA: GENERAC
SERIE: </v>
      </c>
      <c r="AU728" s="5" t="str">
        <f>CONCATENATE("HORAS: ",BDEGENER[[#This Row],[HORAS]],"
KW-HR: ",BDEGENER[[#This Row],[KW-HORA]],"
VOLT.BATERIA: ",BDEGENER[[#This Row],[VOLTAJE DE BATERIA]],"
TEMPERATURA: ",BDEGENER[[#This Row],[TEMPERATURA DE AGUA]],"
PRES. ACEITE: ",BDEGENER[[#This Row],[PRESION DE ACEITE]])</f>
        <v>HORAS: 38,9
KW-HR: 22853
VOLT.BATERIA: 13.6 V
TEMPERATURA: 177 °F
PRES. ACEITE: 63 PSI</v>
      </c>
      <c r="AV728" s="683">
        <f>COUNTIFS(Q728:Q2728,"MANTENIMIENTO CORRECTIVO",Y728:Y2728,BDEGENER[[#This Row],[SERIE]])</f>
        <v>0</v>
      </c>
      <c r="AW728" s="683">
        <f>COUNTIFS(Q728:Q2728,"MANTENIMIENTO PREVENTIVO",Y728:Y2728,BDEGENER[[#This Row],[SERIE]])</f>
        <v>1</v>
      </c>
      <c r="AX72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28" s="325">
        <f>COUNTIFS(BDEGENER[SERIE],BDEGENER[[#This Row],[SERIE]],BDEGENER[TIPO DE SERVICIO],"MANTENIMIENTO PREVENTIVO")</f>
        <v>9</v>
      </c>
      <c r="AZ728" s="29" t="str">
        <f>CONCATENATE("MANTENIMIENTO PREVENTIVO N°",BDEGENER[[#This Row],[GA1]])</f>
        <v>MANTENIMIENTO PREVENTIVO N°9</v>
      </c>
      <c r="BA728" s="325" t="str">
        <f>IF(BDEGENER[[#This Row],[SERVICIO]]=BDEGENER[[#This Row],[GA2]],BDEGENER[[#This Row],[HORAS]],"0")</f>
        <v>0</v>
      </c>
      <c r="BB728" s="325">
        <f>SUMIF(BDEGENER[SERIE],BDEGENER[[#This Row],[SERIE]],BDEGENER[GA3])</f>
        <v>2557.3000000000002</v>
      </c>
      <c r="BC728" s="683" t="str">
        <f>CONCATENATE("MANT",COUNTIF($Y$7:Y728,Y728))</f>
        <v>MANT13</v>
      </c>
      <c r="BD728" s="29" t="str">
        <f>CONCATENATE(BDEGENER[[#This Row],[SERIE]],BDEGENER[[#This Row],[GA5]])</f>
        <v>3005005010MANT13</v>
      </c>
      <c r="BE728" s="29" t="str">
        <f>CONCATENATE(BDEGENER[[#This Row],[CODIGO PATRIMONIAL]],BDEGENER[[#This Row],[GA5]])</f>
        <v>24547MANT13</v>
      </c>
      <c r="BF728" s="16">
        <f>COUNTIF(BDEGENER[SERIE],BDEGENER[[#This Row],[SERIE]])</f>
        <v>14</v>
      </c>
      <c r="BG728" s="683" t="str">
        <f>CONCATENATE("F",COUNTIF($K$7:K728,K728))</f>
        <v>F3</v>
      </c>
      <c r="BH728" s="325" t="str">
        <f>CONCATENATE(BDEGENER[[#This Row],[FECHA DE SERVICIO]],BDEGENER[[#This Row],[N° DE REGISTROS DEL DIA]])</f>
        <v>43798F3</v>
      </c>
      <c r="BI728" s="326">
        <v>22853</v>
      </c>
      <c r="BJ728" s="325" t="s">
        <v>1544</v>
      </c>
      <c r="BK728" s="326"/>
    </row>
    <row r="729" spans="2:63" ht="69" hidden="1" x14ac:dyDescent="0.3">
      <c r="B729" s="33"/>
      <c r="C729" s="33"/>
      <c r="D729" s="33"/>
      <c r="E729" s="33"/>
      <c r="F729" s="33"/>
      <c r="G729" s="33"/>
      <c r="H729" s="33"/>
      <c r="I729" s="33"/>
      <c r="J729" s="33"/>
      <c r="K729" s="38">
        <v>43798</v>
      </c>
      <c r="L729" s="18" t="s">
        <v>248</v>
      </c>
      <c r="M729" s="23" t="s">
        <v>253</v>
      </c>
      <c r="N729" s="23" t="s">
        <v>254</v>
      </c>
      <c r="O729" s="23"/>
      <c r="P729" s="21"/>
      <c r="Q729" s="22" t="s">
        <v>107</v>
      </c>
      <c r="R729" s="85" t="s">
        <v>1782</v>
      </c>
      <c r="S729" s="25" t="s">
        <v>1133</v>
      </c>
      <c r="T729" s="25" t="s">
        <v>1134</v>
      </c>
      <c r="U729" s="25"/>
      <c r="V729" s="25" t="s">
        <v>149</v>
      </c>
      <c r="W729" s="85" t="s">
        <v>911</v>
      </c>
      <c r="X729" s="85" t="s">
        <v>917</v>
      </c>
      <c r="Y729" s="31">
        <v>3003932013</v>
      </c>
      <c r="Z729" s="16">
        <v>22986</v>
      </c>
      <c r="AA729" s="16" t="s">
        <v>33</v>
      </c>
      <c r="AB729" s="85" t="s">
        <v>1205</v>
      </c>
      <c r="AC729" s="23" t="s">
        <v>529</v>
      </c>
      <c r="AD729" s="16"/>
      <c r="AE729" s="16"/>
      <c r="AF729" s="27">
        <v>1332.4</v>
      </c>
      <c r="AG729" s="16"/>
      <c r="AH729" s="16"/>
      <c r="AI729" s="16" t="s">
        <v>523</v>
      </c>
      <c r="AJ729" s="16"/>
      <c r="AK729" s="16"/>
      <c r="AL729" s="16"/>
      <c r="AM729" s="16"/>
      <c r="AN729" s="16"/>
      <c r="AO729" s="16"/>
      <c r="AP729" s="22" t="s">
        <v>240</v>
      </c>
      <c r="AQ729" s="200" t="str">
        <f>CONCATENATE("REG-",BDEGENER[[#This Row],[FECHA DE SERVICIO]],"-",BDEGENER[[#This Row],[SERIE]],"-",BDEGENER[[#This Row],[HORAS]])</f>
        <v>REG-43798-3003932013-1332,4</v>
      </c>
      <c r="AR729" s="5" t="str">
        <f>CONCATENATE("MARCA: ",BDEGENER[[#This Row],[MARCA]],"
 MODELO: ",BDEGENER[[#This Row],[MODELO]])</f>
        <v>MARCA: GENERAC
 MODELO: XD5000E</v>
      </c>
      <c r="AS729" s="5" t="str">
        <f>CONCATENATE("MARCA: ",BDEGENER[[#This Row],[MARCA DE MOTOR]],"
SERIE: ",BDEGENER[[#This Row],[SERIE DE MOTOR]])</f>
        <v xml:space="preserve">MARCA: YANMAR
SERIE: </v>
      </c>
      <c r="AT729" s="5" t="str">
        <f>CONCATENATE("MARCA: ",BDEGENER[[#This Row],[MARCA ALTERNADOR ]],"
SERIE: ",BDEGENER[[#This Row],[SERIE DE ALTERNADOR]])</f>
        <v xml:space="preserve">MARCA: 
SERIE: </v>
      </c>
      <c r="AU729" s="5" t="str">
        <f>CONCATENATE("HORAS: ",BDEGENER[[#This Row],[HORAS]],"
KW-HR: ",BDEGENER[[#This Row],[KW-HORA]],"
VOLT.BATERIA: ",BDEGENER[[#This Row],[VOLTAJE DE BATERIA]],"
TEMPERATURA: ",BDEGENER[[#This Row],[TEMPERATURA DE AGUA]],"
PRES. ACEITE: ",BDEGENER[[#This Row],[PRESION DE ACEITE]])</f>
        <v xml:space="preserve">HORAS: 1332,4
KW-HR: 
VOLT.BATERIA: 
TEMPERATURA: 
PRES. ACEITE: </v>
      </c>
      <c r="AV729" s="683">
        <f>COUNTIFS(Q729:Q2729,"MANTENIMIENTO CORRECTIVO",Y729:Y2729,BDEGENER[[#This Row],[SERIE]])</f>
        <v>1</v>
      </c>
      <c r="AW729" s="683">
        <f>COUNTIFS(Q729:Q2729,"MANTENIMIENTO PREVENTIVO",Y729:Y2729,BDEGENER[[#This Row],[SERIE]])</f>
        <v>1</v>
      </c>
      <c r="AX72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29" s="29">
        <f>COUNTIFS(BDEGENER[SERIE],BDEGENER[[#This Row],[SERIE]],BDEGENER[TIPO DE SERVICIO],"MANTENIMIENTO PREVENTIVO")</f>
        <v>1</v>
      </c>
      <c r="AZ729" s="29" t="str">
        <f>CONCATENATE("MANTENIMIENTO PREVENTIVO N°",BDEGENER[[#This Row],[GA1]])</f>
        <v>MANTENIMIENTO PREVENTIVO N°1</v>
      </c>
      <c r="BA729" s="325" t="str">
        <f>IF(BDEGENER[[#This Row],[SERVICIO]]=BDEGENER[[#This Row],[GA2]],BDEGENER[[#This Row],[HORAS]],"0")</f>
        <v>0</v>
      </c>
      <c r="BB729" s="325">
        <f>SUMIF(BDEGENER[SERIE],BDEGENER[[#This Row],[SERIE]],BDEGENER[GA3])</f>
        <v>89.6</v>
      </c>
      <c r="BC729" s="683" t="str">
        <f>CONCATENATE("MANT",COUNTIF($Y$7:Y729,Y729))</f>
        <v>MANT1</v>
      </c>
      <c r="BD729" s="29" t="str">
        <f>CONCATENATE(BDEGENER[[#This Row],[SERIE]],BDEGENER[[#This Row],[GA5]])</f>
        <v>3003932013MANT1</v>
      </c>
      <c r="BE729" s="29" t="str">
        <f>CONCATENATE(BDEGENER[[#This Row],[CODIGO PATRIMONIAL]],BDEGENER[[#This Row],[GA5]])</f>
        <v>22986MANT1</v>
      </c>
      <c r="BF729" s="16">
        <f>COUNTIF(BDEGENER[SERIE],BDEGENER[[#This Row],[SERIE]])</f>
        <v>5</v>
      </c>
      <c r="BG729" s="683" t="str">
        <f>CONCATENATE("F",COUNTIF($K$7:K729,K729))</f>
        <v>F4</v>
      </c>
      <c r="BH729" s="325" t="str">
        <f>CONCATENATE(BDEGENER[[#This Row],[FECHA DE SERVICIO]],BDEGENER[[#This Row],[N° DE REGISTROS DEL DIA]])</f>
        <v>43798F4</v>
      </c>
      <c r="BI729" s="324"/>
      <c r="BJ729" s="325"/>
      <c r="BK729" s="326"/>
    </row>
    <row r="730" spans="2:63" ht="69" hidden="1" x14ac:dyDescent="0.3">
      <c r="B730" s="223"/>
      <c r="C730" s="223"/>
      <c r="D730" s="223"/>
      <c r="E730" s="223"/>
      <c r="F730" s="223"/>
      <c r="G730" s="223"/>
      <c r="H730" s="223"/>
      <c r="I730" s="223"/>
      <c r="J730" s="223"/>
      <c r="K730" s="723">
        <v>43797</v>
      </c>
      <c r="L730" s="15" t="s">
        <v>181</v>
      </c>
      <c r="M730" s="14" t="s">
        <v>184</v>
      </c>
      <c r="N730" s="14" t="s">
        <v>183</v>
      </c>
      <c r="O730" s="8">
        <v>4500825670</v>
      </c>
      <c r="P730" s="15" t="s">
        <v>159</v>
      </c>
      <c r="Q730" s="14" t="s">
        <v>37</v>
      </c>
      <c r="R730" s="85" t="s">
        <v>1782</v>
      </c>
      <c r="S730" s="5" t="s">
        <v>41</v>
      </c>
      <c r="T730" s="14" t="s">
        <v>90</v>
      </c>
      <c r="U730" s="14" t="s">
        <v>120</v>
      </c>
      <c r="V730" s="14" t="s">
        <v>146</v>
      </c>
      <c r="W730" s="85" t="s">
        <v>914</v>
      </c>
      <c r="X730" s="85" t="s">
        <v>918</v>
      </c>
      <c r="Y730" s="15">
        <v>3004418791</v>
      </c>
      <c r="Z730" s="14"/>
      <c r="AA730" s="14" t="s">
        <v>33</v>
      </c>
      <c r="AB730" s="85" t="s">
        <v>34</v>
      </c>
      <c r="AC730" s="14" t="s">
        <v>230</v>
      </c>
      <c r="AD730" s="16"/>
      <c r="AE730" s="16"/>
      <c r="AF730" s="12">
        <v>427.6</v>
      </c>
      <c r="AG730" s="16" t="s">
        <v>243</v>
      </c>
      <c r="AH730" s="16" t="s">
        <v>220</v>
      </c>
      <c r="AI730" s="16" t="s">
        <v>33</v>
      </c>
      <c r="AJ730" s="16">
        <v>3004426135</v>
      </c>
      <c r="AK730" s="16" t="s">
        <v>33</v>
      </c>
      <c r="AL730" s="16">
        <v>107745330</v>
      </c>
      <c r="AM730" s="16"/>
      <c r="AN730" s="16"/>
      <c r="AO730" s="16"/>
      <c r="AP730" s="14" t="s">
        <v>240</v>
      </c>
      <c r="AQ730" s="200" t="str">
        <f>CONCATENATE("REG-",BDEGENER[[#This Row],[FECHA DE SERVICIO]],"-",BDEGENER[[#This Row],[SERIE]],"-",BDEGENER[[#This Row],[HORAS]])</f>
        <v>REG-43797-3004418791-427,6</v>
      </c>
      <c r="AR730" s="5" t="str">
        <f>CONCATENATE("MARCA: ",BDEGENER[[#This Row],[MARCA]],"
 MODELO: ",BDEGENER[[#This Row],[MODELO]])</f>
        <v>MARCA: GENERAC
 MODELO: PG090</v>
      </c>
      <c r="AS730" s="5" t="str">
        <f>CONCATENATE("MARCA: ",BDEGENER[[#This Row],[MARCA DE MOTOR]],"
SERIE: ",BDEGENER[[#This Row],[SERIE DE MOTOR]])</f>
        <v>MARCA: GENERAC
SERIE: 3004426135</v>
      </c>
      <c r="AT730" s="5" t="str">
        <f>CONCATENATE("MARCA: ",BDEGENER[[#This Row],[MARCA ALTERNADOR ]],"
SERIE: ",BDEGENER[[#This Row],[SERIE DE ALTERNADOR]])</f>
        <v>MARCA: GENERAC
SERIE: 107745330</v>
      </c>
      <c r="AU730" s="5" t="str">
        <f>CONCATENATE("HORAS: ",BDEGENER[[#This Row],[HORAS]],"
KW-HR: ",BDEGENER[[#This Row],[KW-HORA]],"
VOLT.BATERIA: ",BDEGENER[[#This Row],[VOLTAJE DE BATERIA]],"
TEMPERATURA: ",BDEGENER[[#This Row],[TEMPERATURA DE AGUA]],"
PRES. ACEITE: ",BDEGENER[[#This Row],[PRESION DE ACEITE]])</f>
        <v xml:space="preserve">HORAS: 427,6
KW-HR: 
VOLT.BATERIA: 
TEMPERATURA: 
PRES. ACEITE: </v>
      </c>
      <c r="AV730" s="761">
        <f>COUNTIFS(Q730:Q2730,"MANTENIMIENTO CORRECTIVO",Y730:Y2730,BDEGENER[[#This Row],[SERIE]])</f>
        <v>4</v>
      </c>
      <c r="AW730" s="761">
        <f>COUNTIFS(Q730:Q2730,"MANTENIMIENTO PREVENTIVO",Y730:Y2730,BDEGENER[[#This Row],[SERIE]])</f>
        <v>2</v>
      </c>
      <c r="AX73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30" s="29">
        <f>COUNTIFS(BDEGENER[SERIE],BDEGENER[[#This Row],[SERIE]],BDEGENER[TIPO DE SERVICIO],"MANTENIMIENTO PREVENTIVO")</f>
        <v>7</v>
      </c>
      <c r="AZ730" s="29" t="str">
        <f>CONCATENATE("MANTENIMIENTO PREVENTIVO N°",BDEGENER[[#This Row],[GA1]])</f>
        <v>MANTENIMIENTO PREVENTIVO N°7</v>
      </c>
      <c r="BA730" s="325" t="str">
        <f>IF(BDEGENER[[#This Row],[SERVICIO]]=BDEGENER[[#This Row],[GA2]],BDEGENER[[#This Row],[HORAS]],"0")</f>
        <v>0</v>
      </c>
      <c r="BB730" s="325">
        <f>SUMIF(BDEGENER[SERIE],BDEGENER[[#This Row],[SERIE]],BDEGENER[GA3])</f>
        <v>2074.3000000000002</v>
      </c>
      <c r="BC730" s="761" t="str">
        <f>CONCATENATE("MANT",COUNTIF($Y$7:Y730,Y730))</f>
        <v>MANT10</v>
      </c>
      <c r="BD730" s="29" t="str">
        <f>CONCATENATE(BDEGENER[[#This Row],[SERIE]],BDEGENER[[#This Row],[GA5]])</f>
        <v>3004418791MANT10</v>
      </c>
      <c r="BE730" s="29" t="str">
        <f>CONCATENATE(BDEGENER[[#This Row],[CODIGO PATRIMONIAL]],BDEGENER[[#This Row],[GA5]])</f>
        <v>MANT10</v>
      </c>
      <c r="BF730" s="16">
        <f>COUNTIF(BDEGENER[SERIE],BDEGENER[[#This Row],[SERIE]])</f>
        <v>16</v>
      </c>
      <c r="BG730" s="761" t="str">
        <f>CONCATENATE("F",COUNTIF($K$7:K730,K730))</f>
        <v>F1</v>
      </c>
      <c r="BH730" s="325" t="str">
        <f>CONCATENATE(BDEGENER[[#This Row],[FECHA DE SERVICIO]],BDEGENER[[#This Row],[N° DE REGISTROS DEL DIA]])</f>
        <v>43797F1</v>
      </c>
      <c r="BI730" s="324"/>
      <c r="BJ730" s="85" t="s">
        <v>1544</v>
      </c>
      <c r="BK730" s="326"/>
    </row>
    <row r="731" spans="2:63" ht="69" hidden="1" x14ac:dyDescent="0.3">
      <c r="B731" s="34"/>
      <c r="C731" s="34"/>
      <c r="D731" s="34"/>
      <c r="E731" s="34"/>
      <c r="F731" s="34"/>
      <c r="G731" s="34"/>
      <c r="H731" s="34"/>
      <c r="I731" s="34"/>
      <c r="J731" s="34"/>
      <c r="K731" s="37">
        <v>43797</v>
      </c>
      <c r="L731" s="30" t="s">
        <v>561</v>
      </c>
      <c r="M731" s="19" t="s">
        <v>562</v>
      </c>
      <c r="N731" s="19" t="s">
        <v>563</v>
      </c>
      <c r="O731" s="19"/>
      <c r="P731" s="19"/>
      <c r="Q731" s="19" t="s">
        <v>108</v>
      </c>
      <c r="R731" s="85" t="s">
        <v>1782</v>
      </c>
      <c r="S731" s="19" t="s">
        <v>593</v>
      </c>
      <c r="T731" s="85" t="s">
        <v>1782</v>
      </c>
      <c r="U731" s="19"/>
      <c r="V731" s="19" t="s">
        <v>148</v>
      </c>
      <c r="W731" s="85" t="s">
        <v>913</v>
      </c>
      <c r="X731" s="85" t="s">
        <v>918</v>
      </c>
      <c r="Y731" s="31">
        <v>3004555914</v>
      </c>
      <c r="Z731" s="85" t="s">
        <v>2611</v>
      </c>
      <c r="AA731" s="19" t="s">
        <v>33</v>
      </c>
      <c r="AB731" s="19" t="s">
        <v>217</v>
      </c>
      <c r="AC731" s="19" t="s">
        <v>749</v>
      </c>
      <c r="AD731" s="16"/>
      <c r="AE731" s="16"/>
      <c r="AF731" s="146">
        <v>851.8</v>
      </c>
      <c r="AG731" s="16"/>
      <c r="AH731" s="16"/>
      <c r="AI731" s="16"/>
      <c r="AJ731" s="16"/>
      <c r="AK731" s="16"/>
      <c r="AL731" s="16"/>
      <c r="AM731" s="16"/>
      <c r="AN731" s="16"/>
      <c r="AO731" s="16"/>
      <c r="AP731" s="19" t="s">
        <v>240</v>
      </c>
      <c r="AQ731" s="200" t="str">
        <f>CONCATENATE("REG-",BDEGENER[[#This Row],[FECHA DE SERVICIO]],"-",BDEGENER[[#This Row],[SERIE]],"-",BDEGENER[[#This Row],[HORAS]])</f>
        <v>REG-43797-3004555914-851,8</v>
      </c>
      <c r="AR731" s="5" t="str">
        <f>CONCATENATE("MARCA: ",BDEGENER[[#This Row],[MARCA]],"
 MODELO: ",BDEGENER[[#This Row],[MODELO]])</f>
        <v>MARCA: GENERAC
 MODELO: RG022</v>
      </c>
      <c r="AS731" s="5" t="str">
        <f>CONCATENATE("MARCA: ",BDEGENER[[#This Row],[MARCA DE MOTOR]],"
SERIE: ",BDEGENER[[#This Row],[SERIE DE MOTOR]])</f>
        <v xml:space="preserve">MARCA: 
SERIE: </v>
      </c>
      <c r="AT731" s="5" t="str">
        <f>CONCATENATE("MARCA: ",BDEGENER[[#This Row],[MARCA ALTERNADOR ]],"
SERIE: ",BDEGENER[[#This Row],[SERIE DE ALTERNADOR]])</f>
        <v xml:space="preserve">MARCA: 
SERIE: </v>
      </c>
      <c r="AU731" s="29" t="str">
        <f>CONCATENATE("HORAS: ",BDEGENER[[#This Row],[HORAS]],"
KW-HR: ",BDEGENER[[#This Row],[KW-HORA]],"
VOLT.BATERIA: ",BDEGENER[[#This Row],[VOLTAJE DE BATERIA]],"
TEMPERATURA: ",BDEGENER[[#This Row],[TEMPERATURA DE AGUA]],"
PRES. ACEITE: ",BDEGENER[[#This Row],[PRESION DE ACEITE]])</f>
        <v xml:space="preserve">HORAS: 851,8
KW-HR: 
VOLT.BATERIA: 
TEMPERATURA: 
PRES. ACEITE: </v>
      </c>
      <c r="AV731" s="683">
        <f>COUNTIFS(Q731:Q2731,"MANTENIMIENTO CORRECTIVO",Y731:Y2731,BDEGENER[[#This Row],[SERIE]])</f>
        <v>0</v>
      </c>
      <c r="AW731" s="683">
        <f>COUNTIFS(Q731:Q2731,"MANTENIMIENTO PREVENTIVO",Y731:Y2731,BDEGENER[[#This Row],[SERIE]])</f>
        <v>1</v>
      </c>
      <c r="AX73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731" s="29">
        <f>COUNTIFS(BDEGENER[SERIE],BDEGENER[[#This Row],[SERIE]],BDEGENER[TIPO DE SERVICIO],"MANTENIMIENTO PREVENTIVO")</f>
        <v>5</v>
      </c>
      <c r="AZ731" s="29" t="str">
        <f>CONCATENATE("MANTENIMIENTO PREVENTIVO N°",BDEGENER[[#This Row],[GA1]])</f>
        <v>MANTENIMIENTO PREVENTIVO N°5</v>
      </c>
      <c r="BA731" s="325" t="str">
        <f>IF(BDEGENER[[#This Row],[SERVICIO]]=BDEGENER[[#This Row],[GA2]],BDEGENER[[#This Row],[HORAS]],"0")</f>
        <v>0</v>
      </c>
      <c r="BB731" s="325">
        <f>SUMIF(BDEGENER[SERIE],BDEGENER[[#This Row],[SERIE]],BDEGENER[GA3])</f>
        <v>2894.4</v>
      </c>
      <c r="BC731" s="683" t="str">
        <f>CONCATENATE("MANT",COUNTIF($Y$7:Y731,Y731))</f>
        <v>MANT8</v>
      </c>
      <c r="BD731" s="29" t="str">
        <f>CONCATENATE(BDEGENER[[#This Row],[SERIE]],BDEGENER[[#This Row],[GA5]])</f>
        <v>3004555914MANT8</v>
      </c>
      <c r="BE731" s="29" t="str">
        <f>CONCATENATE(BDEGENER[[#This Row],[CODIGO PATRIMONIAL]],BDEGENER[[#This Row],[GA5]])</f>
        <v>SUR-GEG-0023MANT8</v>
      </c>
      <c r="BF731" s="16">
        <f>COUNTIF(BDEGENER[SERIE],BDEGENER[[#This Row],[SERIE]])</f>
        <v>11</v>
      </c>
      <c r="BG731" s="683" t="str">
        <f>CONCATENATE("F",COUNTIF($K$7:K731,K731))</f>
        <v>F2</v>
      </c>
      <c r="BH731" s="325" t="str">
        <f>CONCATENATE(BDEGENER[[#This Row],[FECHA DE SERVICIO]],BDEGENER[[#This Row],[N° DE REGISTROS DEL DIA]])</f>
        <v>43797F2</v>
      </c>
      <c r="BI731" s="324"/>
      <c r="BJ731" s="325"/>
      <c r="BK731" s="326"/>
    </row>
    <row r="732" spans="2:63" ht="69" hidden="1" x14ac:dyDescent="0.3">
      <c r="B732" s="223"/>
      <c r="C732" s="223"/>
      <c r="D732" s="223"/>
      <c r="E732" s="223"/>
      <c r="F732" s="223"/>
      <c r="G732" s="223"/>
      <c r="H732" s="223"/>
      <c r="I732" s="223"/>
      <c r="J732" s="223"/>
      <c r="K732" s="723">
        <v>43797</v>
      </c>
      <c r="L732" s="15" t="s">
        <v>181</v>
      </c>
      <c r="M732" s="14" t="s">
        <v>184</v>
      </c>
      <c r="N732" s="14" t="s">
        <v>183</v>
      </c>
      <c r="O732" s="8"/>
      <c r="P732" s="10"/>
      <c r="Q732" s="14" t="s">
        <v>37</v>
      </c>
      <c r="R732" s="85" t="s">
        <v>1782</v>
      </c>
      <c r="S732" s="5" t="s">
        <v>42</v>
      </c>
      <c r="T732" s="14" t="s">
        <v>86</v>
      </c>
      <c r="U732" s="14" t="s">
        <v>118</v>
      </c>
      <c r="V732" s="14" t="s">
        <v>149</v>
      </c>
      <c r="W732" s="85" t="s">
        <v>914</v>
      </c>
      <c r="X732" s="85" t="s">
        <v>918</v>
      </c>
      <c r="Y732" s="15">
        <v>3004402507</v>
      </c>
      <c r="Z732" s="14"/>
      <c r="AA732" s="14" t="s">
        <v>33</v>
      </c>
      <c r="AB732" s="85" t="s">
        <v>34</v>
      </c>
      <c r="AC732" s="14" t="s">
        <v>230</v>
      </c>
      <c r="AD732" s="16"/>
      <c r="AE732" s="16"/>
      <c r="AF732" s="12">
        <v>482.8</v>
      </c>
      <c r="AG732" s="16" t="s">
        <v>243</v>
      </c>
      <c r="AH732" s="16" t="s">
        <v>220</v>
      </c>
      <c r="AI732" s="16" t="s">
        <v>33</v>
      </c>
      <c r="AJ732" s="16">
        <v>3004425772</v>
      </c>
      <c r="AK732" s="16" t="s">
        <v>33</v>
      </c>
      <c r="AL732" s="16">
        <v>106310030</v>
      </c>
      <c r="AM732" s="16"/>
      <c r="AN732" s="16"/>
      <c r="AO732" s="16"/>
      <c r="AP732" s="14" t="s">
        <v>240</v>
      </c>
      <c r="AQ732" s="200" t="str">
        <f>CONCATENATE("REG-",BDEGENER[[#This Row],[FECHA DE SERVICIO]],"-",BDEGENER[[#This Row],[SERIE]],"-",BDEGENER[[#This Row],[HORAS]])</f>
        <v>REG-43797-3004402507-482,8</v>
      </c>
      <c r="AR732" s="5" t="str">
        <f>CONCATENATE("MARCA: ",BDEGENER[[#This Row],[MARCA]],"
 MODELO: ",BDEGENER[[#This Row],[MODELO]])</f>
        <v>MARCA: GENERAC
 MODELO: PG090</v>
      </c>
      <c r="AS732" s="5" t="str">
        <f>CONCATENATE("MARCA: ",BDEGENER[[#This Row],[MARCA DE MOTOR]],"
SERIE: ",BDEGENER[[#This Row],[SERIE DE MOTOR]])</f>
        <v>MARCA: GENERAC
SERIE: 3004425772</v>
      </c>
      <c r="AT732" s="5" t="str">
        <f>CONCATENATE("MARCA: ",BDEGENER[[#This Row],[MARCA ALTERNADOR ]],"
SERIE: ",BDEGENER[[#This Row],[SERIE DE ALTERNADOR]])</f>
        <v>MARCA: GENERAC
SERIE: 106310030</v>
      </c>
      <c r="AU732" s="5" t="str">
        <f>CONCATENATE("HORAS: ",BDEGENER[[#This Row],[HORAS]],"
KW-HR: ",BDEGENER[[#This Row],[KW-HORA]],"
VOLT.BATERIA: ",BDEGENER[[#This Row],[VOLTAJE DE BATERIA]],"
TEMPERATURA: ",BDEGENER[[#This Row],[TEMPERATURA DE AGUA]],"
PRES. ACEITE: ",BDEGENER[[#This Row],[PRESION DE ACEITE]])</f>
        <v xml:space="preserve">HORAS: 482,8
KW-HR: 
VOLT.BATERIA: 
TEMPERATURA: 
PRES. ACEITE: </v>
      </c>
      <c r="AV732" s="683">
        <f>COUNTIFS(Q732:Q2732,"MANTENIMIENTO CORRECTIVO",Y732:Y2732,BDEGENER[[#This Row],[SERIE]])</f>
        <v>1</v>
      </c>
      <c r="AW732" s="683">
        <f>COUNTIFS(Q732:Q2732,"MANTENIMIENTO PREVENTIVO",Y732:Y2732,BDEGENER[[#This Row],[SERIE]])</f>
        <v>2</v>
      </c>
      <c r="AX73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32" s="29">
        <f>COUNTIFS(BDEGENER[SERIE],BDEGENER[[#This Row],[SERIE]],BDEGENER[TIPO DE SERVICIO],"MANTENIMIENTO PREVENTIVO")</f>
        <v>7</v>
      </c>
      <c r="AZ732" s="29" t="str">
        <f>CONCATENATE("MANTENIMIENTO PREVENTIVO N°",BDEGENER[[#This Row],[GA1]])</f>
        <v>MANTENIMIENTO PREVENTIVO N°7</v>
      </c>
      <c r="BA732" s="325" t="str">
        <f>IF(BDEGENER[[#This Row],[SERVICIO]]=BDEGENER[[#This Row],[GA2]],BDEGENER[[#This Row],[HORAS]],"0")</f>
        <v>0</v>
      </c>
      <c r="BB732" s="325">
        <f>SUMIF(BDEGENER[SERIE],BDEGENER[[#This Row],[SERIE]],BDEGENER[GA3])</f>
        <v>2134</v>
      </c>
      <c r="BC732" s="683" t="str">
        <f>CONCATENATE("MANT",COUNTIF($Y$7:Y732,Y732))</f>
        <v>MANT13</v>
      </c>
      <c r="BD732" s="29" t="str">
        <f>CONCATENATE(BDEGENER[[#This Row],[SERIE]],BDEGENER[[#This Row],[GA5]])</f>
        <v>3004402507MANT13</v>
      </c>
      <c r="BE732" s="29" t="str">
        <f>CONCATENATE(BDEGENER[[#This Row],[CODIGO PATRIMONIAL]],BDEGENER[[#This Row],[GA5]])</f>
        <v>MANT13</v>
      </c>
      <c r="BF732" s="16">
        <f>COUNTIF(BDEGENER[SERIE],BDEGENER[[#This Row],[SERIE]])</f>
        <v>16</v>
      </c>
      <c r="BG732" s="683" t="str">
        <f>CONCATENATE("F",COUNTIF($K$7:K732,K732))</f>
        <v>F3</v>
      </c>
      <c r="BH732" s="325" t="str">
        <f>CONCATENATE(BDEGENER[[#This Row],[FECHA DE SERVICIO]],BDEGENER[[#This Row],[N° DE REGISTROS DEL DIA]])</f>
        <v>43797F3</v>
      </c>
      <c r="BI732" s="324"/>
      <c r="BJ732" s="85" t="s">
        <v>1544</v>
      </c>
      <c r="BK732" s="326"/>
    </row>
    <row r="733" spans="2:63" ht="69" hidden="1" x14ac:dyDescent="0.3">
      <c r="B733" s="223"/>
      <c r="C733" s="223"/>
      <c r="D733" s="223"/>
      <c r="E733" s="223"/>
      <c r="F733" s="223"/>
      <c r="G733" s="223"/>
      <c r="H733" s="223"/>
      <c r="I733" s="223"/>
      <c r="J733" s="223"/>
      <c r="K733" s="723">
        <v>43797</v>
      </c>
      <c r="L733" s="15" t="s">
        <v>181</v>
      </c>
      <c r="M733" s="14" t="s">
        <v>184</v>
      </c>
      <c r="N733" s="14" t="s">
        <v>183</v>
      </c>
      <c r="O733" s="8"/>
      <c r="P733" s="10"/>
      <c r="Q733" s="14" t="s">
        <v>37</v>
      </c>
      <c r="R733" s="85" t="s">
        <v>1782</v>
      </c>
      <c r="S733" s="5" t="s">
        <v>42</v>
      </c>
      <c r="T733" s="14" t="s">
        <v>86</v>
      </c>
      <c r="U733" s="14" t="s">
        <v>118</v>
      </c>
      <c r="V733" s="14" t="s">
        <v>146</v>
      </c>
      <c r="W733" s="683" t="s">
        <v>914</v>
      </c>
      <c r="X733" s="691" t="s">
        <v>918</v>
      </c>
      <c r="Y733" s="15">
        <v>3004416580</v>
      </c>
      <c r="Z733" s="779"/>
      <c r="AA733" s="14" t="s">
        <v>33</v>
      </c>
      <c r="AB733" s="85" t="s">
        <v>34</v>
      </c>
      <c r="AC733" s="14" t="s">
        <v>230</v>
      </c>
      <c r="AD733" s="16"/>
      <c r="AE733" s="16"/>
      <c r="AF733" s="12">
        <v>522.29999999999995</v>
      </c>
      <c r="AG733" s="16" t="s">
        <v>243</v>
      </c>
      <c r="AH733" s="16" t="s">
        <v>220</v>
      </c>
      <c r="AI733" s="16" t="s">
        <v>33</v>
      </c>
      <c r="AJ733" s="16">
        <v>3004426061</v>
      </c>
      <c r="AK733" s="16" t="s">
        <v>33</v>
      </c>
      <c r="AL733" s="16">
        <v>107746810</v>
      </c>
      <c r="AM733" s="16"/>
      <c r="AN733" s="16"/>
      <c r="AO733" s="16"/>
      <c r="AP733" s="14" t="s">
        <v>240</v>
      </c>
      <c r="AQ733" s="200" t="str">
        <f>CONCATENATE("REG-",BDEGENER[[#This Row],[FECHA DE SERVICIO]],"-",BDEGENER[[#This Row],[SERIE]],"-",BDEGENER[[#This Row],[HORAS]])</f>
        <v>REG-43797-3004416580-522,3</v>
      </c>
      <c r="AR733" s="5" t="str">
        <f>CONCATENATE("MARCA: ",BDEGENER[[#This Row],[MARCA]],"
 MODELO: ",BDEGENER[[#This Row],[MODELO]])</f>
        <v>MARCA: GENERAC
 MODELO: PG090</v>
      </c>
      <c r="AS733" s="5" t="str">
        <f>CONCATENATE("MARCA: ",BDEGENER[[#This Row],[MARCA DE MOTOR]],"
SERIE: ",BDEGENER[[#This Row],[SERIE DE MOTOR]])</f>
        <v>MARCA: GENERAC
SERIE: 3004426061</v>
      </c>
      <c r="AT733" s="5" t="str">
        <f>CONCATENATE("MARCA: ",BDEGENER[[#This Row],[MARCA ALTERNADOR ]],"
SERIE: ",BDEGENER[[#This Row],[SERIE DE ALTERNADOR]])</f>
        <v>MARCA: GENERAC
SERIE: 107746810</v>
      </c>
      <c r="AU733" s="5" t="str">
        <f>CONCATENATE("HORAS: ",BDEGENER[[#This Row],[HORAS]],"
KW-HR: ",BDEGENER[[#This Row],[KW-HORA]],"
VOLT.BATERIA: ",BDEGENER[[#This Row],[VOLTAJE DE BATERIA]],"
TEMPERATURA: ",BDEGENER[[#This Row],[TEMPERATURA DE AGUA]],"
PRES. ACEITE: ",BDEGENER[[#This Row],[PRESION DE ACEITE]])</f>
        <v xml:space="preserve">HORAS: 522,3
KW-HR: 
VOLT.BATERIA: 
TEMPERATURA: 
PRES. ACEITE: </v>
      </c>
      <c r="AV733" s="761">
        <f>COUNTIFS(Q733:Q2733,"MANTENIMIENTO CORRECTIVO",Y733:Y2733,BDEGENER[[#This Row],[SERIE]])</f>
        <v>1</v>
      </c>
      <c r="AW733" s="761">
        <f>COUNTIFS(Q733:Q2733,"MANTENIMIENTO PREVENTIVO",Y733:Y2733,BDEGENER[[#This Row],[SERIE]])</f>
        <v>2</v>
      </c>
      <c r="AX73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33" s="29">
        <f>COUNTIFS(BDEGENER[SERIE],BDEGENER[[#This Row],[SERIE]],BDEGENER[TIPO DE SERVICIO],"MANTENIMIENTO PREVENTIVO")</f>
        <v>8</v>
      </c>
      <c r="AZ733" s="29" t="str">
        <f>CONCATENATE("MANTENIMIENTO PREVENTIVO N°",BDEGENER[[#This Row],[GA1]])</f>
        <v>MANTENIMIENTO PREVENTIVO N°8</v>
      </c>
      <c r="BA733" s="325" t="str">
        <f>IF(BDEGENER[[#This Row],[SERVICIO]]=BDEGENER[[#This Row],[GA2]],BDEGENER[[#This Row],[HORAS]],"0")</f>
        <v>0</v>
      </c>
      <c r="BB733" s="325">
        <f>SUMIF(BDEGENER[SERIE],BDEGENER[[#This Row],[SERIE]],BDEGENER[GA3])</f>
        <v>3113.9</v>
      </c>
      <c r="BC733" s="761" t="str">
        <f>CONCATENATE("MANT",COUNTIF($Y$7:Y733,Y733))</f>
        <v>MANT11</v>
      </c>
      <c r="BD733" s="29" t="str">
        <f>CONCATENATE(BDEGENER[[#This Row],[SERIE]],BDEGENER[[#This Row],[GA5]])</f>
        <v>3004416580MANT11</v>
      </c>
      <c r="BE733" s="29" t="str">
        <f>CONCATENATE(BDEGENER[[#This Row],[CODIGO PATRIMONIAL]],BDEGENER[[#This Row],[GA5]])</f>
        <v>MANT11</v>
      </c>
      <c r="BF733" s="16">
        <f>COUNTIF(BDEGENER[SERIE],BDEGENER[[#This Row],[SERIE]])</f>
        <v>14</v>
      </c>
      <c r="BG733" s="761" t="str">
        <f>CONCATENATE("F",COUNTIF($K$7:K733,K733))</f>
        <v>F4</v>
      </c>
      <c r="BH733" s="325" t="str">
        <f>CONCATENATE(BDEGENER[[#This Row],[FECHA DE SERVICIO]],BDEGENER[[#This Row],[N° DE REGISTROS DEL DIA]])</f>
        <v>43797F4</v>
      </c>
      <c r="BI733" s="324"/>
      <c r="BJ733" s="85" t="s">
        <v>1544</v>
      </c>
      <c r="BK733" s="326"/>
    </row>
    <row r="734" spans="2:63" ht="69" hidden="1" x14ac:dyDescent="0.3">
      <c r="B734" s="223"/>
      <c r="C734" s="223"/>
      <c r="D734" s="223"/>
      <c r="E734" s="223"/>
      <c r="F734" s="223"/>
      <c r="G734" s="223"/>
      <c r="H734" s="223"/>
      <c r="I734" s="223"/>
      <c r="J734" s="223"/>
      <c r="K734" s="723">
        <v>43796</v>
      </c>
      <c r="L734" s="15" t="s">
        <v>181</v>
      </c>
      <c r="M734" s="14" t="s">
        <v>190</v>
      </c>
      <c r="N734" s="14" t="s">
        <v>191</v>
      </c>
      <c r="O734" s="8" t="s">
        <v>159</v>
      </c>
      <c r="P734" s="15" t="s">
        <v>159</v>
      </c>
      <c r="Q734" s="14" t="s">
        <v>37</v>
      </c>
      <c r="R734" s="85" t="s">
        <v>1782</v>
      </c>
      <c r="S734" s="5" t="s">
        <v>41</v>
      </c>
      <c r="T734" s="14" t="s">
        <v>90</v>
      </c>
      <c r="U734" s="14" t="s">
        <v>121</v>
      </c>
      <c r="V734" s="14" t="s">
        <v>146</v>
      </c>
      <c r="W734" s="85" t="s">
        <v>914</v>
      </c>
      <c r="X734" s="85" t="s">
        <v>918</v>
      </c>
      <c r="Y734" s="15">
        <v>3004381438</v>
      </c>
      <c r="Z734" s="14"/>
      <c r="AA734" s="14" t="s">
        <v>33</v>
      </c>
      <c r="AB734" s="85" t="s">
        <v>34</v>
      </c>
      <c r="AC734" s="14" t="s">
        <v>230</v>
      </c>
      <c r="AD734" s="16"/>
      <c r="AE734" s="16"/>
      <c r="AF734" s="12">
        <v>535.9</v>
      </c>
      <c r="AG734" s="16" t="s">
        <v>243</v>
      </c>
      <c r="AH734" s="16" t="s">
        <v>220</v>
      </c>
      <c r="AI734" s="16" t="s">
        <v>33</v>
      </c>
      <c r="AJ734" s="16">
        <v>3004333873</v>
      </c>
      <c r="AK734" s="16" t="s">
        <v>33</v>
      </c>
      <c r="AL734" s="16">
        <v>106309650</v>
      </c>
      <c r="AM734" s="16"/>
      <c r="AN734" s="16"/>
      <c r="AO734" s="16"/>
      <c r="AP734" s="14" t="s">
        <v>240</v>
      </c>
      <c r="AQ734" s="200" t="str">
        <f>CONCATENATE("REG-",BDEGENER[[#This Row],[FECHA DE SERVICIO]],"-",BDEGENER[[#This Row],[SERIE]],"-",BDEGENER[[#This Row],[HORAS]])</f>
        <v>REG-43796-3004381438-535,9</v>
      </c>
      <c r="AR734" s="5" t="str">
        <f>CONCATENATE("MARCA: ",BDEGENER[[#This Row],[MARCA]],"
 MODELO: ",BDEGENER[[#This Row],[MODELO]])</f>
        <v>MARCA: GENERAC
 MODELO: PG090</v>
      </c>
      <c r="AS734" s="5" t="str">
        <f>CONCATENATE("MARCA: ",BDEGENER[[#This Row],[MARCA DE MOTOR]],"
SERIE: ",BDEGENER[[#This Row],[SERIE DE MOTOR]])</f>
        <v>MARCA: GENERAC
SERIE: 3004333873</v>
      </c>
      <c r="AT734" s="5" t="str">
        <f>CONCATENATE("MARCA: ",BDEGENER[[#This Row],[MARCA ALTERNADOR ]],"
SERIE: ",BDEGENER[[#This Row],[SERIE DE ALTERNADOR]])</f>
        <v>MARCA: GENERAC
SERIE: 106309650</v>
      </c>
      <c r="AU734" s="5" t="str">
        <f>CONCATENATE("HORAS: ",BDEGENER[[#This Row],[HORAS]],"
KW-HR: ",BDEGENER[[#This Row],[KW-HORA]],"
VOLT.BATERIA: ",BDEGENER[[#This Row],[VOLTAJE DE BATERIA]],"
TEMPERATURA: ",BDEGENER[[#This Row],[TEMPERATURA DE AGUA]],"
PRES. ACEITE: ",BDEGENER[[#This Row],[PRESION DE ACEITE]])</f>
        <v xml:space="preserve">HORAS: 535,9
KW-HR: 
VOLT.BATERIA: 
TEMPERATURA: 
PRES. ACEITE: </v>
      </c>
      <c r="AV734" s="683">
        <f>COUNTIFS(Q734:Q2734,"MANTENIMIENTO CORRECTIVO",Y734:Y2734,BDEGENER[[#This Row],[SERIE]])</f>
        <v>1</v>
      </c>
      <c r="AW734" s="683">
        <f>COUNTIFS(Q734:Q2734,"MANTENIMIENTO PREVENTIVO",Y734:Y2734,BDEGENER[[#This Row],[SERIE]])</f>
        <v>2</v>
      </c>
      <c r="AX73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34" s="29">
        <f>COUNTIFS(BDEGENER[SERIE],BDEGENER[[#This Row],[SERIE]],BDEGENER[TIPO DE SERVICIO],"MANTENIMIENTO PREVENTIVO")</f>
        <v>10</v>
      </c>
      <c r="AZ734" s="29" t="str">
        <f>CONCATENATE("MANTENIMIENTO PREVENTIVO N°",BDEGENER[[#This Row],[GA1]])</f>
        <v>MANTENIMIENTO PREVENTIVO N°10</v>
      </c>
      <c r="BA734" s="325" t="str">
        <f>IF(BDEGENER[[#This Row],[SERVICIO]]=BDEGENER[[#This Row],[GA2]],BDEGENER[[#This Row],[HORAS]],"0")</f>
        <v>0</v>
      </c>
      <c r="BB734" s="325">
        <f>SUMIF(BDEGENER[SERIE],BDEGENER[[#This Row],[SERIE]],BDEGENER[GA3])</f>
        <v>3227.9</v>
      </c>
      <c r="BC734" s="683" t="str">
        <f>CONCATENATE("MANT",COUNTIF($Y$7:Y734,Y734))</f>
        <v>MANT10</v>
      </c>
      <c r="BD734" s="29" t="str">
        <f>CONCATENATE(BDEGENER[[#This Row],[SERIE]],BDEGENER[[#This Row],[GA5]])</f>
        <v>3004381438MANT10</v>
      </c>
      <c r="BE734" s="29" t="str">
        <f>CONCATENATE(BDEGENER[[#This Row],[CODIGO PATRIMONIAL]],BDEGENER[[#This Row],[GA5]])</f>
        <v>MANT10</v>
      </c>
      <c r="BF734" s="16">
        <f>COUNTIF(BDEGENER[SERIE],BDEGENER[[#This Row],[SERIE]])</f>
        <v>13</v>
      </c>
      <c r="BG734" s="683" t="str">
        <f>CONCATENATE("F",COUNTIF($K$7:K734,K734))</f>
        <v>F1</v>
      </c>
      <c r="BH734" s="325" t="str">
        <f>CONCATENATE(BDEGENER[[#This Row],[FECHA DE SERVICIO]],BDEGENER[[#This Row],[N° DE REGISTROS DEL DIA]])</f>
        <v>43796F1</v>
      </c>
      <c r="BI734" s="324"/>
      <c r="BJ734" s="85" t="s">
        <v>1544</v>
      </c>
      <c r="BK734" s="326"/>
    </row>
    <row r="735" spans="2:63" ht="69" hidden="1" x14ac:dyDescent="0.3">
      <c r="B735" s="223"/>
      <c r="C735" s="223"/>
      <c r="D735" s="223"/>
      <c r="E735" s="223"/>
      <c r="F735" s="223"/>
      <c r="G735" s="223"/>
      <c r="H735" s="223"/>
      <c r="I735" s="223"/>
      <c r="J735" s="223"/>
      <c r="K735" s="723">
        <v>43796</v>
      </c>
      <c r="L735" s="15" t="s">
        <v>181</v>
      </c>
      <c r="M735" s="14" t="s">
        <v>190</v>
      </c>
      <c r="N735" s="14" t="s">
        <v>191</v>
      </c>
      <c r="O735" s="8"/>
      <c r="P735" s="10"/>
      <c r="Q735" s="14" t="s">
        <v>37</v>
      </c>
      <c r="R735" s="85" t="s">
        <v>1782</v>
      </c>
      <c r="S735" s="5" t="s">
        <v>43</v>
      </c>
      <c r="T735" s="14" t="s">
        <v>86</v>
      </c>
      <c r="U735" s="14" t="s">
        <v>118</v>
      </c>
      <c r="V735" s="14" t="s">
        <v>146</v>
      </c>
      <c r="W735" s="85" t="s">
        <v>914</v>
      </c>
      <c r="X735" s="85" t="s">
        <v>918</v>
      </c>
      <c r="Y735" s="15">
        <v>3004416581</v>
      </c>
      <c r="Z735" s="14"/>
      <c r="AA735" s="14" t="s">
        <v>33</v>
      </c>
      <c r="AB735" s="85" t="s">
        <v>34</v>
      </c>
      <c r="AC735" s="14" t="s">
        <v>230</v>
      </c>
      <c r="AD735" s="16"/>
      <c r="AE735" s="16"/>
      <c r="AF735" s="12">
        <v>540.6</v>
      </c>
      <c r="AG735" s="85" t="s">
        <v>243</v>
      </c>
      <c r="AH735" s="85" t="s">
        <v>220</v>
      </c>
      <c r="AI735" s="85" t="s">
        <v>33</v>
      </c>
      <c r="AJ735" s="16">
        <v>3004309056</v>
      </c>
      <c r="AK735" s="85" t="s">
        <v>33</v>
      </c>
      <c r="AL735" s="16">
        <v>107748810</v>
      </c>
      <c r="AM735" s="16"/>
      <c r="AN735" s="16"/>
      <c r="AO735" s="16"/>
      <c r="AP735" s="14" t="s">
        <v>240</v>
      </c>
      <c r="AQ735" s="200" t="str">
        <f>CONCATENATE("REG-",BDEGENER[[#This Row],[FECHA DE SERVICIO]],"-",BDEGENER[[#This Row],[SERIE]],"-",BDEGENER[[#This Row],[HORAS]])</f>
        <v>REG-43796-3004416581-540,6</v>
      </c>
      <c r="AR735" s="5" t="str">
        <f>CONCATENATE("MARCA: ",BDEGENER[[#This Row],[MARCA]],"
 MODELO: ",BDEGENER[[#This Row],[MODELO]])</f>
        <v>MARCA: GENERAC
 MODELO: PG090</v>
      </c>
      <c r="AS735" s="5" t="str">
        <f>CONCATENATE("MARCA: ",BDEGENER[[#This Row],[MARCA DE MOTOR]],"
SERIE: ",BDEGENER[[#This Row],[SERIE DE MOTOR]])</f>
        <v>MARCA: GENERAC
SERIE: 3004309056</v>
      </c>
      <c r="AT735" s="5" t="str">
        <f>CONCATENATE("MARCA: ",BDEGENER[[#This Row],[MARCA ALTERNADOR ]],"
SERIE: ",BDEGENER[[#This Row],[SERIE DE ALTERNADOR]])</f>
        <v>MARCA: GENERAC
SERIE: 107748810</v>
      </c>
      <c r="AU735" s="5" t="str">
        <f>CONCATENATE("HORAS: ",BDEGENER[[#This Row],[HORAS]],"
KW-HR: ",BDEGENER[[#This Row],[KW-HORA]],"
VOLT.BATERIA: ",BDEGENER[[#This Row],[VOLTAJE DE BATERIA]],"
TEMPERATURA: ",BDEGENER[[#This Row],[TEMPERATURA DE AGUA]],"
PRES. ACEITE: ",BDEGENER[[#This Row],[PRESION DE ACEITE]])</f>
        <v xml:space="preserve">HORAS: 540,6
KW-HR: 
VOLT.BATERIA: 
TEMPERATURA: 
PRES. ACEITE: </v>
      </c>
      <c r="AV735" s="683">
        <f>COUNTIFS(Q735:Q2735,"MANTENIMIENTO CORRECTIVO",Y735:Y2735,BDEGENER[[#This Row],[SERIE]])</f>
        <v>1</v>
      </c>
      <c r="AW735" s="683">
        <f>COUNTIFS(Q735:Q2735,"MANTENIMIENTO PREVENTIVO",Y735:Y2735,BDEGENER[[#This Row],[SERIE]])</f>
        <v>2</v>
      </c>
      <c r="AX73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35" s="29">
        <f>COUNTIFS(BDEGENER[SERIE],BDEGENER[[#This Row],[SERIE]],BDEGENER[TIPO DE SERVICIO],"MANTENIMIENTO PREVENTIVO")</f>
        <v>6</v>
      </c>
      <c r="AZ735" s="29" t="str">
        <f>CONCATENATE("MANTENIMIENTO PREVENTIVO N°",BDEGENER[[#This Row],[GA1]])</f>
        <v>MANTENIMIENTO PREVENTIVO N°6</v>
      </c>
      <c r="BA735" s="325" t="str">
        <f>IF(BDEGENER[[#This Row],[SERVICIO]]=BDEGENER[[#This Row],[GA2]],BDEGENER[[#This Row],[HORAS]],"0")</f>
        <v>0</v>
      </c>
      <c r="BB735" s="325">
        <f>SUMIF(BDEGENER[SERIE],BDEGENER[[#This Row],[SERIE]],BDEGENER[GA3])</f>
        <v>1659.1</v>
      </c>
      <c r="BC735" s="683" t="str">
        <f>CONCATENATE("MANT",COUNTIF($Y$7:Y735,Y735))</f>
        <v>MANT8</v>
      </c>
      <c r="BD735" s="29" t="str">
        <f>CONCATENATE(BDEGENER[[#This Row],[SERIE]],BDEGENER[[#This Row],[GA5]])</f>
        <v>3004416581MANT8</v>
      </c>
      <c r="BE735" s="29" t="str">
        <f>CONCATENATE(BDEGENER[[#This Row],[CODIGO PATRIMONIAL]],BDEGENER[[#This Row],[GA5]])</f>
        <v>MANT8</v>
      </c>
      <c r="BF735" s="16">
        <f>COUNTIF(BDEGENER[SERIE],BDEGENER[[#This Row],[SERIE]])</f>
        <v>11</v>
      </c>
      <c r="BG735" s="683" t="str">
        <f>CONCATENATE("F",COUNTIF($K$7:K735,K735))</f>
        <v>F2</v>
      </c>
      <c r="BH735" s="325" t="str">
        <f>CONCATENATE(BDEGENER[[#This Row],[FECHA DE SERVICIO]],BDEGENER[[#This Row],[N° DE REGISTROS DEL DIA]])</f>
        <v>43796F2</v>
      </c>
      <c r="BI735" s="324"/>
      <c r="BJ735" s="85" t="s">
        <v>1544</v>
      </c>
      <c r="BK735" s="326"/>
    </row>
    <row r="736" spans="2:63" ht="69" hidden="1" x14ac:dyDescent="0.3">
      <c r="B736" s="223"/>
      <c r="C736" s="223"/>
      <c r="D736" s="223"/>
      <c r="E736" s="223"/>
      <c r="F736" s="223"/>
      <c r="G736" s="223"/>
      <c r="H736" s="223"/>
      <c r="I736" s="223"/>
      <c r="J736" s="223"/>
      <c r="K736" s="723">
        <v>43796</v>
      </c>
      <c r="L736" s="15" t="s">
        <v>181</v>
      </c>
      <c r="M736" s="14" t="s">
        <v>190</v>
      </c>
      <c r="N736" s="14" t="s">
        <v>191</v>
      </c>
      <c r="O736" s="8"/>
      <c r="P736" s="10"/>
      <c r="Q736" s="14" t="s">
        <v>37</v>
      </c>
      <c r="R736" s="85" t="s">
        <v>1782</v>
      </c>
      <c r="S736" s="5" t="s">
        <v>43</v>
      </c>
      <c r="T736" s="14" t="s">
        <v>86</v>
      </c>
      <c r="U736" s="14" t="s">
        <v>118</v>
      </c>
      <c r="V736" s="14" t="s">
        <v>146</v>
      </c>
      <c r="W736" s="85" t="s">
        <v>914</v>
      </c>
      <c r="X736" s="85" t="s">
        <v>918</v>
      </c>
      <c r="Y736" s="15">
        <v>3004416582</v>
      </c>
      <c r="Z736" s="14"/>
      <c r="AA736" s="14" t="s">
        <v>33</v>
      </c>
      <c r="AB736" s="85" t="s">
        <v>34</v>
      </c>
      <c r="AC736" s="14" t="s">
        <v>230</v>
      </c>
      <c r="AD736" s="16"/>
      <c r="AE736" s="16"/>
      <c r="AF736" s="12">
        <v>517.6</v>
      </c>
      <c r="AG736" s="16" t="s">
        <v>243</v>
      </c>
      <c r="AH736" s="16" t="s">
        <v>220</v>
      </c>
      <c r="AI736" s="16" t="s">
        <v>33</v>
      </c>
      <c r="AJ736" s="16">
        <v>3004309061</v>
      </c>
      <c r="AK736" s="16" t="s">
        <v>33</v>
      </c>
      <c r="AL736" s="16">
        <v>107748830</v>
      </c>
      <c r="AM736" s="16"/>
      <c r="AN736" s="16"/>
      <c r="AO736" s="16"/>
      <c r="AP736" s="14" t="s">
        <v>240</v>
      </c>
      <c r="AQ736" s="200" t="str">
        <f>CONCATENATE("REG-",BDEGENER[[#This Row],[FECHA DE SERVICIO]],"-",BDEGENER[[#This Row],[SERIE]],"-",BDEGENER[[#This Row],[HORAS]])</f>
        <v>REG-43796-3004416582-517,6</v>
      </c>
      <c r="AR736" s="5" t="str">
        <f>CONCATENATE("MARCA: ",BDEGENER[[#This Row],[MARCA]],"
 MODELO: ",BDEGENER[[#This Row],[MODELO]])</f>
        <v>MARCA: GENERAC
 MODELO: PG090</v>
      </c>
      <c r="AS736" s="5" t="str">
        <f>CONCATENATE("MARCA: ",BDEGENER[[#This Row],[MARCA DE MOTOR]],"
SERIE: ",BDEGENER[[#This Row],[SERIE DE MOTOR]])</f>
        <v>MARCA: GENERAC
SERIE: 3004309061</v>
      </c>
      <c r="AT736" s="5" t="str">
        <f>CONCATENATE("MARCA: ",BDEGENER[[#This Row],[MARCA ALTERNADOR ]],"
SERIE: ",BDEGENER[[#This Row],[SERIE DE ALTERNADOR]])</f>
        <v>MARCA: GENERAC
SERIE: 107748830</v>
      </c>
      <c r="AU736" s="5" t="str">
        <f>CONCATENATE("HORAS: ",BDEGENER[[#This Row],[HORAS]],"
KW-HR: ",BDEGENER[[#This Row],[KW-HORA]],"
VOLT.BATERIA: ",BDEGENER[[#This Row],[VOLTAJE DE BATERIA]],"
TEMPERATURA: ",BDEGENER[[#This Row],[TEMPERATURA DE AGUA]],"
PRES. ACEITE: ",BDEGENER[[#This Row],[PRESION DE ACEITE]])</f>
        <v xml:space="preserve">HORAS: 517,6
KW-HR: 
VOLT.BATERIA: 
TEMPERATURA: 
PRES. ACEITE: </v>
      </c>
      <c r="AV736" s="761">
        <f>COUNTIFS(Q736:Q2736,"MANTENIMIENTO CORRECTIVO",Y736:Y2736,BDEGENER[[#This Row],[SERIE]])</f>
        <v>1</v>
      </c>
      <c r="AW736" s="761">
        <f>COUNTIFS(Q736:Q2736,"MANTENIMIENTO PREVENTIVO",Y736:Y2736,BDEGENER[[#This Row],[SERIE]])</f>
        <v>2</v>
      </c>
      <c r="AX73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36" s="29">
        <f>COUNTIFS(BDEGENER[SERIE],BDEGENER[[#This Row],[SERIE]],BDEGENER[TIPO DE SERVICIO],"MANTENIMIENTO PREVENTIVO")</f>
        <v>7</v>
      </c>
      <c r="AZ736" s="29" t="str">
        <f>CONCATENATE("MANTENIMIENTO PREVENTIVO N°",BDEGENER[[#This Row],[GA1]])</f>
        <v>MANTENIMIENTO PREVENTIVO N°7</v>
      </c>
      <c r="BA736" s="325" t="str">
        <f>IF(BDEGENER[[#This Row],[SERVICIO]]=BDEGENER[[#This Row],[GA2]],BDEGENER[[#This Row],[HORAS]],"0")</f>
        <v>0</v>
      </c>
      <c r="BB736" s="325">
        <f>SUMIF(BDEGENER[SERIE],BDEGENER[[#This Row],[SERIE]],BDEGENER[GA3])</f>
        <v>2342.3000000000002</v>
      </c>
      <c r="BC736" s="761" t="str">
        <f>CONCATENATE("MANT",COUNTIF($Y$7:Y736,Y736))</f>
        <v>MANT8</v>
      </c>
      <c r="BD736" s="29" t="str">
        <f>CONCATENATE(BDEGENER[[#This Row],[SERIE]],BDEGENER[[#This Row],[GA5]])</f>
        <v>3004416582MANT8</v>
      </c>
      <c r="BE736" s="29" t="str">
        <f>CONCATENATE(BDEGENER[[#This Row],[CODIGO PATRIMONIAL]],BDEGENER[[#This Row],[GA5]])</f>
        <v>MANT8</v>
      </c>
      <c r="BF736" s="16">
        <f>COUNTIF(BDEGENER[SERIE],BDEGENER[[#This Row],[SERIE]])</f>
        <v>11</v>
      </c>
      <c r="BG736" s="761" t="str">
        <f>CONCATENATE("F",COUNTIF($K$7:K736,K736))</f>
        <v>F3</v>
      </c>
      <c r="BH736" s="325" t="str">
        <f>CONCATENATE(BDEGENER[[#This Row],[FECHA DE SERVICIO]],BDEGENER[[#This Row],[N° DE REGISTROS DEL DIA]])</f>
        <v>43796F3</v>
      </c>
      <c r="BI736" s="324"/>
      <c r="BJ736" s="85" t="s">
        <v>1544</v>
      </c>
      <c r="BK736" s="326"/>
    </row>
    <row r="737" spans="2:63" ht="69" hidden="1" x14ac:dyDescent="0.3">
      <c r="B737" s="223"/>
      <c r="C737" s="223"/>
      <c r="D737" s="223"/>
      <c r="E737" s="223"/>
      <c r="F737" s="223"/>
      <c r="G737" s="223"/>
      <c r="H737" s="223"/>
      <c r="I737" s="223"/>
      <c r="J737" s="223"/>
      <c r="K737" s="723">
        <v>43796</v>
      </c>
      <c r="L737" s="15" t="s">
        <v>181</v>
      </c>
      <c r="M737" s="14" t="s">
        <v>184</v>
      </c>
      <c r="N737" s="14" t="s">
        <v>183</v>
      </c>
      <c r="O737" s="8"/>
      <c r="P737" s="10"/>
      <c r="Q737" s="14" t="s">
        <v>37</v>
      </c>
      <c r="R737" s="85" t="s">
        <v>1782</v>
      </c>
      <c r="S737" s="5" t="s">
        <v>43</v>
      </c>
      <c r="T737" s="14" t="s">
        <v>86</v>
      </c>
      <c r="U737" s="14" t="s">
        <v>118</v>
      </c>
      <c r="V737" s="14" t="s">
        <v>146</v>
      </c>
      <c r="W737" s="85" t="s">
        <v>914</v>
      </c>
      <c r="X737" s="85" t="s">
        <v>918</v>
      </c>
      <c r="Y737" s="15">
        <v>3004344014</v>
      </c>
      <c r="Z737" s="14"/>
      <c r="AA737" s="14" t="s">
        <v>33</v>
      </c>
      <c r="AB737" s="85" t="s">
        <v>34</v>
      </c>
      <c r="AC737" s="14" t="s">
        <v>230</v>
      </c>
      <c r="AD737" s="16"/>
      <c r="AE737" s="16"/>
      <c r="AF737" s="12">
        <v>312.39999999999998</v>
      </c>
      <c r="AG737" s="16" t="s">
        <v>243</v>
      </c>
      <c r="AH737" s="16" t="s">
        <v>220</v>
      </c>
      <c r="AI737" s="16" t="s">
        <v>33</v>
      </c>
      <c r="AJ737" s="16">
        <v>3004346826</v>
      </c>
      <c r="AK737" s="16" t="s">
        <v>33</v>
      </c>
      <c r="AL737" s="16">
        <v>106308730</v>
      </c>
      <c r="AM737" s="16"/>
      <c r="AN737" s="16"/>
      <c r="AO737" s="16"/>
      <c r="AP737" s="14" t="s">
        <v>240</v>
      </c>
      <c r="AQ737" s="127" t="str">
        <f>CONCATENATE("REG-",BDEGENER[[#This Row],[FECHA DE SERVICIO]],"-",BDEGENER[[#This Row],[SERIE]],"-",BDEGENER[[#This Row],[HORAS]])</f>
        <v>REG-43796-3004344014-312,4</v>
      </c>
      <c r="AR737" s="5" t="str">
        <f>CONCATENATE("MARCA: ",BDEGENER[[#This Row],[MARCA]],"
 MODELO: ",BDEGENER[[#This Row],[MODELO]])</f>
        <v>MARCA: GENERAC
 MODELO: PG090</v>
      </c>
      <c r="AS737" s="5" t="str">
        <f>CONCATENATE("MARCA: ",BDEGENER[[#This Row],[MARCA DE MOTOR]],"
SERIE: ",BDEGENER[[#This Row],[SERIE DE MOTOR]])</f>
        <v>MARCA: GENERAC
SERIE: 3004346826</v>
      </c>
      <c r="AT737" s="5" t="str">
        <f>CONCATENATE("MARCA: ",BDEGENER[[#This Row],[MARCA ALTERNADOR ]],"
SERIE: ",BDEGENER[[#This Row],[SERIE DE ALTERNADOR]])</f>
        <v>MARCA: GENERAC
SERIE: 106308730</v>
      </c>
      <c r="AU737" s="5" t="str">
        <f>CONCATENATE("HORAS: ",BDEGENER[[#This Row],[HORAS]],"
KW-HR: ",BDEGENER[[#This Row],[KW-HORA]],"
VOLT.BATERIA: ",BDEGENER[[#This Row],[VOLTAJE DE BATERIA]],"
TEMPERATURA: ",BDEGENER[[#This Row],[TEMPERATURA DE AGUA]],"
PRES. ACEITE: ",BDEGENER[[#This Row],[PRESION DE ACEITE]])</f>
        <v xml:space="preserve">HORAS: 312,4
KW-HR: 
VOLT.BATERIA: 
TEMPERATURA: 
PRES. ACEITE: </v>
      </c>
      <c r="AV737" s="683">
        <f>COUNTIFS(Q737:Q2737,"MANTENIMIENTO CORRECTIVO",Y737:Y2737,BDEGENER[[#This Row],[SERIE]])</f>
        <v>1</v>
      </c>
      <c r="AW737" s="683">
        <f>COUNTIFS(Q737:Q2737,"MANTENIMIENTO PREVENTIVO",Y737:Y2737,BDEGENER[[#This Row],[SERIE]])</f>
        <v>2</v>
      </c>
      <c r="AX73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37" s="29">
        <f>COUNTIFS(BDEGENER[SERIE],BDEGENER[[#This Row],[SERIE]],BDEGENER[TIPO DE SERVICIO],"MANTENIMIENTO PREVENTIVO")</f>
        <v>8</v>
      </c>
      <c r="AZ737" s="29" t="str">
        <f>CONCATENATE("MANTENIMIENTO PREVENTIVO N°",BDEGENER[[#This Row],[GA1]])</f>
        <v>MANTENIMIENTO PREVENTIVO N°8</v>
      </c>
      <c r="BA737" s="325" t="str">
        <f>IF(BDEGENER[[#This Row],[SERVICIO]]=BDEGENER[[#This Row],[GA2]],BDEGENER[[#This Row],[HORAS]],"0")</f>
        <v>0</v>
      </c>
      <c r="BB737" s="325">
        <f>SUMIF(BDEGENER[SERIE],BDEGENER[[#This Row],[SERIE]],BDEGENER[GA3])</f>
        <v>2070.3000000000002</v>
      </c>
      <c r="BC737" s="683" t="str">
        <f>CONCATENATE("MANT",COUNTIF($Y$7:Y737,Y737))</f>
        <v>MANT9</v>
      </c>
      <c r="BD737" s="29" t="str">
        <f>CONCATENATE(BDEGENER[[#This Row],[SERIE]],BDEGENER[[#This Row],[GA5]])</f>
        <v>3004344014MANT9</v>
      </c>
      <c r="BE737" s="29" t="str">
        <f>CONCATENATE(BDEGENER[[#This Row],[CODIGO PATRIMONIAL]],BDEGENER[[#This Row],[GA5]])</f>
        <v>MANT9</v>
      </c>
      <c r="BF737" s="16">
        <f>COUNTIF(BDEGENER[SERIE],BDEGENER[[#This Row],[SERIE]])</f>
        <v>12</v>
      </c>
      <c r="BG737" s="683" t="str">
        <f>CONCATENATE("F",COUNTIF($K$7:K737,K737))</f>
        <v>F4</v>
      </c>
      <c r="BH737" s="325" t="str">
        <f>CONCATENATE(BDEGENER[[#This Row],[FECHA DE SERVICIO]],BDEGENER[[#This Row],[N° DE REGISTROS DEL DIA]])</f>
        <v>43796F4</v>
      </c>
      <c r="BI737" s="324"/>
      <c r="BJ737" s="85" t="s">
        <v>1544</v>
      </c>
      <c r="BK737" s="326"/>
    </row>
    <row r="738" spans="2:63" ht="69" hidden="1" x14ac:dyDescent="0.3">
      <c r="B738" s="223"/>
      <c r="C738" s="223"/>
      <c r="D738" s="223"/>
      <c r="E738" s="223"/>
      <c r="F738" s="223"/>
      <c r="G738" s="223"/>
      <c r="H738" s="223"/>
      <c r="I738" s="223"/>
      <c r="J738" s="223"/>
      <c r="K738" s="723">
        <v>43796</v>
      </c>
      <c r="L738" s="15" t="s">
        <v>181</v>
      </c>
      <c r="M738" s="14" t="s">
        <v>184</v>
      </c>
      <c r="N738" s="14" t="s">
        <v>183</v>
      </c>
      <c r="O738" s="8"/>
      <c r="P738" s="10"/>
      <c r="Q738" s="14" t="s">
        <v>37</v>
      </c>
      <c r="R738" s="85" t="s">
        <v>1782</v>
      </c>
      <c r="S738" s="5" t="s">
        <v>43</v>
      </c>
      <c r="T738" s="14" t="s">
        <v>86</v>
      </c>
      <c r="U738" s="14" t="s">
        <v>118</v>
      </c>
      <c r="V738" s="14" t="s">
        <v>146</v>
      </c>
      <c r="W738" s="85" t="s">
        <v>914</v>
      </c>
      <c r="X738" s="85" t="s">
        <v>918</v>
      </c>
      <c r="Y738" s="15">
        <v>3004418790</v>
      </c>
      <c r="Z738" s="14"/>
      <c r="AA738" s="14" t="s">
        <v>33</v>
      </c>
      <c r="AB738" s="85" t="s">
        <v>34</v>
      </c>
      <c r="AC738" s="14" t="s">
        <v>230</v>
      </c>
      <c r="AD738" s="16"/>
      <c r="AE738" s="16"/>
      <c r="AF738" s="12">
        <v>475.4</v>
      </c>
      <c r="AG738" s="16" t="s">
        <v>243</v>
      </c>
      <c r="AH738" s="16" t="s">
        <v>220</v>
      </c>
      <c r="AI738" s="16" t="s">
        <v>33</v>
      </c>
      <c r="AJ738" s="16">
        <v>3004426133</v>
      </c>
      <c r="AK738" s="16" t="s">
        <v>33</v>
      </c>
      <c r="AL738" s="16">
        <v>107745310</v>
      </c>
      <c r="AM738" s="16"/>
      <c r="AN738" s="16"/>
      <c r="AO738" s="16"/>
      <c r="AP738" s="14" t="s">
        <v>240</v>
      </c>
      <c r="AQ738" s="200" t="str">
        <f>CONCATENATE("REG-",BDEGENER[[#This Row],[FECHA DE SERVICIO]],"-",BDEGENER[[#This Row],[SERIE]],"-",BDEGENER[[#This Row],[HORAS]])</f>
        <v>REG-43796-3004418790-475,4</v>
      </c>
      <c r="AR738" s="5" t="str">
        <f>CONCATENATE("MARCA: ",BDEGENER[[#This Row],[MARCA]],"
 MODELO: ",BDEGENER[[#This Row],[MODELO]])</f>
        <v>MARCA: GENERAC
 MODELO: PG090</v>
      </c>
      <c r="AS738" s="5" t="str">
        <f>CONCATENATE("MARCA: ",BDEGENER[[#This Row],[MARCA DE MOTOR]],"
SERIE: ",BDEGENER[[#This Row],[SERIE DE MOTOR]])</f>
        <v>MARCA: GENERAC
SERIE: 3004426133</v>
      </c>
      <c r="AT738" s="5" t="str">
        <f>CONCATENATE("MARCA: ",BDEGENER[[#This Row],[MARCA ALTERNADOR ]],"
SERIE: ",BDEGENER[[#This Row],[SERIE DE ALTERNADOR]])</f>
        <v>MARCA: GENERAC
SERIE: 107745310</v>
      </c>
      <c r="AU738" s="5" t="str">
        <f>CONCATENATE("HORAS: ",BDEGENER[[#This Row],[HORAS]],"
KW-HR: ",BDEGENER[[#This Row],[KW-HORA]],"
VOLT.BATERIA: ",BDEGENER[[#This Row],[VOLTAJE DE BATERIA]],"
TEMPERATURA: ",BDEGENER[[#This Row],[TEMPERATURA DE AGUA]],"
PRES. ACEITE: ",BDEGENER[[#This Row],[PRESION DE ACEITE]])</f>
        <v xml:space="preserve">HORAS: 475,4
KW-HR: 
VOLT.BATERIA: 
TEMPERATURA: 
PRES. ACEITE: </v>
      </c>
      <c r="AV738" s="683">
        <f>COUNTIFS(Q738:Q2738,"MANTENIMIENTO CORRECTIVO",Y738:Y2738,BDEGENER[[#This Row],[SERIE]])</f>
        <v>1</v>
      </c>
      <c r="AW738" s="683">
        <f>COUNTIFS(Q738:Q2738,"MANTENIMIENTO PREVENTIVO",Y738:Y2738,BDEGENER[[#This Row],[SERIE]])</f>
        <v>2</v>
      </c>
      <c r="AX73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38" s="29">
        <f>COUNTIFS(BDEGENER[SERIE],BDEGENER[[#This Row],[SERIE]],BDEGENER[TIPO DE SERVICIO],"MANTENIMIENTO PREVENTIVO")</f>
        <v>8</v>
      </c>
      <c r="AZ738" s="29" t="str">
        <f>CONCATENATE("MANTENIMIENTO PREVENTIVO N°",BDEGENER[[#This Row],[GA1]])</f>
        <v>MANTENIMIENTO PREVENTIVO N°8</v>
      </c>
      <c r="BA738" s="325" t="str">
        <f>IF(BDEGENER[[#This Row],[SERVICIO]]=BDEGENER[[#This Row],[GA2]],BDEGENER[[#This Row],[HORAS]],"0")</f>
        <v>0</v>
      </c>
      <c r="BB738" s="325">
        <f>SUMIF(BDEGENER[SERIE],BDEGENER[[#This Row],[SERIE]],BDEGENER[GA3])</f>
        <v>2579.3000000000002</v>
      </c>
      <c r="BC738" s="683" t="str">
        <f>CONCATENATE("MANT",COUNTIF($Y$7:Y738,Y738))</f>
        <v>MANT11</v>
      </c>
      <c r="BD738" s="29" t="str">
        <f>CONCATENATE(BDEGENER[[#This Row],[SERIE]],BDEGENER[[#This Row],[GA5]])</f>
        <v>3004418790MANT11</v>
      </c>
      <c r="BE738" s="29" t="str">
        <f>CONCATENATE(BDEGENER[[#This Row],[CODIGO PATRIMONIAL]],BDEGENER[[#This Row],[GA5]])</f>
        <v>MANT11</v>
      </c>
      <c r="BF738" s="16">
        <f>COUNTIF(BDEGENER[SERIE],BDEGENER[[#This Row],[SERIE]])</f>
        <v>14</v>
      </c>
      <c r="BG738" s="683" t="str">
        <f>CONCATENATE("F",COUNTIF($K$7:K738,K738))</f>
        <v>F5</v>
      </c>
      <c r="BH738" s="325" t="str">
        <f>CONCATENATE(BDEGENER[[#This Row],[FECHA DE SERVICIO]],BDEGENER[[#This Row],[N° DE REGISTROS DEL DIA]])</f>
        <v>43796F5</v>
      </c>
      <c r="BI738" s="324"/>
      <c r="BJ738" s="85" t="s">
        <v>1544</v>
      </c>
      <c r="BK738" s="326"/>
    </row>
    <row r="739" spans="2:63" ht="69" hidden="1" x14ac:dyDescent="0.3">
      <c r="B739" s="223"/>
      <c r="C739" s="223"/>
      <c r="D739" s="223"/>
      <c r="E739" s="223"/>
      <c r="F739" s="223"/>
      <c r="G739" s="223"/>
      <c r="H739" s="223"/>
      <c r="I739" s="223"/>
      <c r="J739" s="223"/>
      <c r="K739" s="723">
        <v>43794</v>
      </c>
      <c r="L739" s="15" t="s">
        <v>181</v>
      </c>
      <c r="M739" s="14" t="s">
        <v>184</v>
      </c>
      <c r="N739" s="14" t="s">
        <v>183</v>
      </c>
      <c r="O739" s="8" t="s">
        <v>159</v>
      </c>
      <c r="P739" s="15" t="s">
        <v>159</v>
      </c>
      <c r="Q739" s="14" t="s">
        <v>107</v>
      </c>
      <c r="R739" s="85" t="s">
        <v>1782</v>
      </c>
      <c r="S739" s="5" t="s">
        <v>44</v>
      </c>
      <c r="T739" s="14" t="s">
        <v>91</v>
      </c>
      <c r="U739" s="14" t="s">
        <v>122</v>
      </c>
      <c r="V739" s="14" t="s">
        <v>146</v>
      </c>
      <c r="W739" s="85" t="s">
        <v>914</v>
      </c>
      <c r="X739" s="85" t="s">
        <v>918</v>
      </c>
      <c r="Y739" s="15">
        <v>3004418791</v>
      </c>
      <c r="Z739" s="14"/>
      <c r="AA739" s="14" t="s">
        <v>33</v>
      </c>
      <c r="AB739" s="85" t="s">
        <v>34</v>
      </c>
      <c r="AC739" s="14" t="s">
        <v>230</v>
      </c>
      <c r="AD739" s="16"/>
      <c r="AE739" s="16"/>
      <c r="AF739" s="12" t="s">
        <v>177</v>
      </c>
      <c r="AG739" s="16" t="s">
        <v>243</v>
      </c>
      <c r="AH739" s="16" t="s">
        <v>220</v>
      </c>
      <c r="AI739" s="16" t="s">
        <v>33</v>
      </c>
      <c r="AJ739" s="16">
        <v>3004426135</v>
      </c>
      <c r="AK739" s="16" t="s">
        <v>33</v>
      </c>
      <c r="AL739" s="16">
        <v>107745330</v>
      </c>
      <c r="AM739" s="16"/>
      <c r="AN739" s="16"/>
      <c r="AO739" s="16"/>
      <c r="AP739" s="14" t="s">
        <v>240</v>
      </c>
      <c r="AQ739" s="201" t="str">
        <f>CONCATENATE("REG-",BDEGENER[[#This Row],[FECHA DE SERVICIO]],"-",BDEGENER[[#This Row],[SERIE]],"-",BDEGENER[[#This Row],[HORAS]])</f>
        <v>REG-43794-3004418791-NR</v>
      </c>
      <c r="AR739" s="5" t="str">
        <f>CONCATENATE("MARCA: ",BDEGENER[[#This Row],[MARCA]],"
 MODELO: ",BDEGENER[[#This Row],[MODELO]])</f>
        <v>MARCA: GENERAC
 MODELO: PG090</v>
      </c>
      <c r="AS739" s="5" t="str">
        <f>CONCATENATE("MARCA: ",BDEGENER[[#This Row],[MARCA DE MOTOR]],"
SERIE: ",BDEGENER[[#This Row],[SERIE DE MOTOR]])</f>
        <v>MARCA: GENERAC
SERIE: 3004426135</v>
      </c>
      <c r="AT739" s="5" t="str">
        <f>CONCATENATE("MARCA: ",BDEGENER[[#This Row],[MARCA ALTERNADOR ]],"
SERIE: ",BDEGENER[[#This Row],[SERIE DE ALTERNADOR]])</f>
        <v>MARCA: GENERAC
SERIE: 107745330</v>
      </c>
      <c r="AU739"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39" s="761">
        <f>COUNTIFS(Q739:Q2739,"MANTENIMIENTO CORRECTIVO",Y739:Y2739,BDEGENER[[#This Row],[SERIE]])</f>
        <v>4</v>
      </c>
      <c r="AW739" s="761">
        <f>COUNTIFS(Q739:Q2739,"MANTENIMIENTO PREVENTIVO",Y739:Y2739,BDEGENER[[#This Row],[SERIE]])</f>
        <v>1</v>
      </c>
      <c r="AX73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739" s="29">
        <f>COUNTIFS(BDEGENER[SERIE],BDEGENER[[#This Row],[SERIE]],BDEGENER[TIPO DE SERVICIO],"MANTENIMIENTO PREVENTIVO")</f>
        <v>7</v>
      </c>
      <c r="AZ739" s="29" t="str">
        <f>CONCATENATE("MANTENIMIENTO PREVENTIVO N°",BDEGENER[[#This Row],[GA1]])</f>
        <v>MANTENIMIENTO PREVENTIVO N°7</v>
      </c>
      <c r="BA739" s="325" t="str">
        <f>IF(BDEGENER[[#This Row],[SERVICIO]]=BDEGENER[[#This Row],[GA2]],BDEGENER[[#This Row],[HORAS]],"0")</f>
        <v>0</v>
      </c>
      <c r="BB739" s="325">
        <f>SUMIF(BDEGENER[SERIE],BDEGENER[[#This Row],[SERIE]],BDEGENER[GA3])</f>
        <v>2074.3000000000002</v>
      </c>
      <c r="BC739" s="761" t="str">
        <f>CONCATENATE("MANT",COUNTIF($Y$7:Y739,Y739))</f>
        <v>MANT11</v>
      </c>
      <c r="BD739" s="29" t="str">
        <f>CONCATENATE(BDEGENER[[#This Row],[SERIE]],BDEGENER[[#This Row],[GA5]])</f>
        <v>3004418791MANT11</v>
      </c>
      <c r="BE739" s="29" t="str">
        <f>CONCATENATE(BDEGENER[[#This Row],[CODIGO PATRIMONIAL]],BDEGENER[[#This Row],[GA5]])</f>
        <v>MANT11</v>
      </c>
      <c r="BF739" s="16">
        <f>COUNTIF(BDEGENER[SERIE],BDEGENER[[#This Row],[SERIE]])</f>
        <v>16</v>
      </c>
      <c r="BG739" s="761" t="str">
        <f>CONCATENATE("F",COUNTIF($K$7:K739,K739))</f>
        <v>F1</v>
      </c>
      <c r="BH739" s="325" t="str">
        <f>CONCATENATE(BDEGENER[[#This Row],[FECHA DE SERVICIO]],BDEGENER[[#This Row],[N° DE REGISTROS DEL DIA]])</f>
        <v>43794F1</v>
      </c>
      <c r="BI739" s="324"/>
      <c r="BJ739" s="85" t="s">
        <v>1544</v>
      </c>
      <c r="BK739" s="326"/>
    </row>
    <row r="740" spans="2:63" ht="69" hidden="1" x14ac:dyDescent="0.3">
      <c r="B740" s="223"/>
      <c r="C740" s="223"/>
      <c r="D740" s="223"/>
      <c r="E740" s="223"/>
      <c r="F740" s="223"/>
      <c r="G740" s="223"/>
      <c r="H740" s="223"/>
      <c r="I740" s="223"/>
      <c r="J740" s="223"/>
      <c r="K740" s="723">
        <v>43794</v>
      </c>
      <c r="L740" s="15" t="s">
        <v>181</v>
      </c>
      <c r="M740" s="85" t="s">
        <v>185</v>
      </c>
      <c r="N740" s="85" t="s">
        <v>183</v>
      </c>
      <c r="O740" s="8" t="s">
        <v>159</v>
      </c>
      <c r="P740" s="15" t="s">
        <v>159</v>
      </c>
      <c r="Q740" s="14" t="s">
        <v>107</v>
      </c>
      <c r="R740" s="85" t="s">
        <v>1782</v>
      </c>
      <c r="S740" s="5" t="s">
        <v>44</v>
      </c>
      <c r="T740" s="14" t="s">
        <v>91</v>
      </c>
      <c r="U740" s="14" t="s">
        <v>122</v>
      </c>
      <c r="V740" s="14" t="s">
        <v>146</v>
      </c>
      <c r="W740" s="85" t="s">
        <v>914</v>
      </c>
      <c r="X740" s="85" t="s">
        <v>918</v>
      </c>
      <c r="Y740" s="15">
        <v>3004290365</v>
      </c>
      <c r="Z740" s="14"/>
      <c r="AA740" s="14" t="s">
        <v>33</v>
      </c>
      <c r="AB740" s="85" t="s">
        <v>34</v>
      </c>
      <c r="AC740" s="14" t="s">
        <v>230</v>
      </c>
      <c r="AD740" s="16"/>
      <c r="AE740" s="16"/>
      <c r="AF740" s="12" t="s">
        <v>177</v>
      </c>
      <c r="AG740" s="85" t="s">
        <v>243</v>
      </c>
      <c r="AH740" s="85" t="s">
        <v>220</v>
      </c>
      <c r="AI740" s="85" t="s">
        <v>33</v>
      </c>
      <c r="AJ740" s="16"/>
      <c r="AK740" s="85" t="s">
        <v>33</v>
      </c>
      <c r="AL740" s="16"/>
      <c r="AM740" s="16"/>
      <c r="AN740" s="16"/>
      <c r="AO740" s="16"/>
      <c r="AP740" s="14" t="s">
        <v>240</v>
      </c>
      <c r="AQ740" s="201" t="str">
        <f>CONCATENATE("REG-",BDEGENER[[#This Row],[FECHA DE SERVICIO]],"-",BDEGENER[[#This Row],[SERIE]],"-",BDEGENER[[#This Row],[HORAS]])</f>
        <v>REG-43794-3004290365-NR</v>
      </c>
      <c r="AR740" s="5" t="str">
        <f>CONCATENATE("MARCA: ",BDEGENER[[#This Row],[MARCA]],"
 MODELO: ",BDEGENER[[#This Row],[MODELO]])</f>
        <v>MARCA: GENERAC
 MODELO: PG090</v>
      </c>
      <c r="AS740" s="5" t="str">
        <f>CONCATENATE("MARCA: ",BDEGENER[[#This Row],[MARCA DE MOTOR]],"
SERIE: ",BDEGENER[[#This Row],[SERIE DE MOTOR]])</f>
        <v xml:space="preserve">MARCA: GENERAC
SERIE: </v>
      </c>
      <c r="AT740" s="5" t="str">
        <f>CONCATENATE("MARCA: ",BDEGENER[[#This Row],[MARCA ALTERNADOR ]],"
SERIE: ",BDEGENER[[#This Row],[SERIE DE ALTERNADOR]])</f>
        <v xml:space="preserve">MARCA: GENERAC
SERIE: </v>
      </c>
      <c r="AU740"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40" s="683">
        <f>COUNTIFS(Q740:Q2740,"MANTENIMIENTO CORRECTIVO",Y740:Y2740,BDEGENER[[#This Row],[SERIE]])</f>
        <v>1</v>
      </c>
      <c r="AW740" s="683">
        <f>COUNTIFS(Q740:Q2740,"MANTENIMIENTO PREVENTIVO",Y740:Y2740,BDEGENER[[#This Row],[SERIE]])</f>
        <v>1</v>
      </c>
      <c r="AX74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40" s="29">
        <f>COUNTIFS(BDEGENER[SERIE],BDEGENER[[#This Row],[SERIE]],BDEGENER[TIPO DE SERVICIO],"MANTENIMIENTO PREVENTIVO")</f>
        <v>5</v>
      </c>
      <c r="AZ740" s="29" t="str">
        <f>CONCATENATE("MANTENIMIENTO PREVENTIVO N°",BDEGENER[[#This Row],[GA1]])</f>
        <v>MANTENIMIENTO PREVENTIVO N°5</v>
      </c>
      <c r="BA740" s="325" t="str">
        <f>IF(BDEGENER[[#This Row],[SERVICIO]]=BDEGENER[[#This Row],[GA2]],BDEGENER[[#This Row],[HORAS]],"0")</f>
        <v>0</v>
      </c>
      <c r="BB740" s="325">
        <f>SUMIF(BDEGENER[SERIE],BDEGENER[[#This Row],[SERIE]],BDEGENER[GA3])</f>
        <v>1700.2</v>
      </c>
      <c r="BC740" s="683" t="str">
        <f>CONCATENATE("MANT",COUNTIF($Y$7:Y740,Y740))</f>
        <v>MANT13</v>
      </c>
      <c r="BD740" s="29" t="str">
        <f>CONCATENATE(BDEGENER[[#This Row],[SERIE]],BDEGENER[[#This Row],[GA5]])</f>
        <v>3004290365MANT13</v>
      </c>
      <c r="BE740" s="29" t="str">
        <f>CONCATENATE(BDEGENER[[#This Row],[CODIGO PATRIMONIAL]],BDEGENER[[#This Row],[GA5]])</f>
        <v>MANT13</v>
      </c>
      <c r="BF740" s="16">
        <f>COUNTIF(BDEGENER[SERIE],BDEGENER[[#This Row],[SERIE]])</f>
        <v>15</v>
      </c>
      <c r="BG740" s="683" t="str">
        <f>CONCATENATE("F",COUNTIF($K$7:K740,K740))</f>
        <v>F2</v>
      </c>
      <c r="BH740" s="325" t="str">
        <f>CONCATENATE(BDEGENER[[#This Row],[FECHA DE SERVICIO]],BDEGENER[[#This Row],[N° DE REGISTROS DEL DIA]])</f>
        <v>43794F2</v>
      </c>
      <c r="BI740" s="324"/>
      <c r="BJ740" s="325"/>
      <c r="BK740" s="326"/>
    </row>
    <row r="741" spans="2:63" ht="69" hidden="1" x14ac:dyDescent="0.3">
      <c r="B741" s="223"/>
      <c r="C741" s="223"/>
      <c r="D741" s="223"/>
      <c r="E741" s="223"/>
      <c r="F741" s="223"/>
      <c r="G741" s="223"/>
      <c r="H741" s="223"/>
      <c r="I741" s="223"/>
      <c r="J741" s="223"/>
      <c r="K741" s="723">
        <v>43794</v>
      </c>
      <c r="L741" s="15" t="s">
        <v>181</v>
      </c>
      <c r="M741" s="14" t="s">
        <v>185</v>
      </c>
      <c r="N741" s="14" t="s">
        <v>183</v>
      </c>
      <c r="O741" s="8" t="s">
        <v>159</v>
      </c>
      <c r="P741" s="15" t="s">
        <v>159</v>
      </c>
      <c r="Q741" s="14" t="s">
        <v>107</v>
      </c>
      <c r="R741" s="85" t="s">
        <v>1782</v>
      </c>
      <c r="S741" s="5" t="s">
        <v>44</v>
      </c>
      <c r="T741" s="14" t="s">
        <v>91</v>
      </c>
      <c r="U741" s="14" t="s">
        <v>122</v>
      </c>
      <c r="V741" s="14" t="s">
        <v>146</v>
      </c>
      <c r="W741" s="85" t="s">
        <v>914</v>
      </c>
      <c r="X741" s="85" t="s">
        <v>918</v>
      </c>
      <c r="Y741" s="15">
        <v>3004290368</v>
      </c>
      <c r="Z741" s="14"/>
      <c r="AA741" s="14" t="s">
        <v>33</v>
      </c>
      <c r="AB741" s="85" t="s">
        <v>34</v>
      </c>
      <c r="AC741" s="14" t="s">
        <v>230</v>
      </c>
      <c r="AD741" s="16"/>
      <c r="AE741" s="16"/>
      <c r="AF741" s="12" t="s">
        <v>177</v>
      </c>
      <c r="AG741" s="85" t="s">
        <v>243</v>
      </c>
      <c r="AH741" s="85" t="s">
        <v>220</v>
      </c>
      <c r="AI741" s="85" t="s">
        <v>33</v>
      </c>
      <c r="AJ741" s="16">
        <v>3004034816</v>
      </c>
      <c r="AK741" s="85" t="s">
        <v>33</v>
      </c>
      <c r="AL741" s="16">
        <v>106312930</v>
      </c>
      <c r="AM741" s="16"/>
      <c r="AN741" s="16"/>
      <c r="AO741" s="16"/>
      <c r="AP741" s="14" t="s">
        <v>240</v>
      </c>
      <c r="AQ741" s="165" t="str">
        <f>CONCATENATE("REG-",BDEGENER[[#This Row],[FECHA DE SERVICIO]],"-",BDEGENER[[#This Row],[SERIE]],"-",BDEGENER[[#This Row],[HORAS]])</f>
        <v>REG-43794-3004290368-NR</v>
      </c>
      <c r="AR741" s="5" t="str">
        <f>CONCATENATE("MARCA: ",BDEGENER[[#This Row],[MARCA]],"
 MODELO: ",BDEGENER[[#This Row],[MODELO]])</f>
        <v>MARCA: GENERAC
 MODELO: PG090</v>
      </c>
      <c r="AS741" s="5" t="str">
        <f>CONCATENATE("MARCA: ",BDEGENER[[#This Row],[MARCA DE MOTOR]],"
SERIE: ",BDEGENER[[#This Row],[SERIE DE MOTOR]])</f>
        <v>MARCA: GENERAC
SERIE: 3004034816</v>
      </c>
      <c r="AT741" s="5" t="str">
        <f>CONCATENATE("MARCA: ",BDEGENER[[#This Row],[MARCA ALTERNADOR ]],"
SERIE: ",BDEGENER[[#This Row],[SERIE DE ALTERNADOR]])</f>
        <v>MARCA: GENERAC
SERIE: 106312930</v>
      </c>
      <c r="AU741"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41" s="683">
        <f>COUNTIFS(Q741:Q2741,"MANTENIMIENTO CORRECTIVO",Y741:Y2741,BDEGENER[[#This Row],[SERIE]])</f>
        <v>1</v>
      </c>
      <c r="AW741" s="683">
        <f>COUNTIFS(Q741:Q2741,"MANTENIMIENTO PREVENTIVO",Y741:Y2741,BDEGENER[[#This Row],[SERIE]])</f>
        <v>1</v>
      </c>
      <c r="AX74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41" s="29">
        <f>COUNTIFS(BDEGENER[SERIE],BDEGENER[[#This Row],[SERIE]],BDEGENER[TIPO DE SERVICIO],"MANTENIMIENTO PREVENTIVO")</f>
        <v>6</v>
      </c>
      <c r="AZ741" s="29" t="str">
        <f>CONCATENATE("MANTENIMIENTO PREVENTIVO N°",BDEGENER[[#This Row],[GA1]])</f>
        <v>MANTENIMIENTO PREVENTIVO N°6</v>
      </c>
      <c r="BA741" s="325" t="str">
        <f>IF(BDEGENER[[#This Row],[SERVICIO]]=BDEGENER[[#This Row],[GA2]],BDEGENER[[#This Row],[HORAS]],"0")</f>
        <v>0</v>
      </c>
      <c r="BB741" s="325">
        <f>SUMIF(BDEGENER[SERIE],BDEGENER[[#This Row],[SERIE]],BDEGENER[GA3])</f>
        <v>2259.3000000000002</v>
      </c>
      <c r="BC741" s="683" t="str">
        <f>CONCATENATE("MANT",COUNTIF($Y$7:Y741,Y741))</f>
        <v>MANT13</v>
      </c>
      <c r="BD741" s="29" t="str">
        <f>CONCATENATE(BDEGENER[[#This Row],[SERIE]],BDEGENER[[#This Row],[GA5]])</f>
        <v>3004290368MANT13</v>
      </c>
      <c r="BE741" s="29" t="str">
        <f>CONCATENATE(BDEGENER[[#This Row],[CODIGO PATRIMONIAL]],BDEGENER[[#This Row],[GA5]])</f>
        <v>MANT13</v>
      </c>
      <c r="BF741" s="16">
        <f>COUNTIF(BDEGENER[SERIE],BDEGENER[[#This Row],[SERIE]])</f>
        <v>15</v>
      </c>
      <c r="BG741" s="683" t="str">
        <f>CONCATENATE("F",COUNTIF($K$7:K741,K741))</f>
        <v>F3</v>
      </c>
      <c r="BH741" s="325" t="str">
        <f>CONCATENATE(BDEGENER[[#This Row],[FECHA DE SERVICIO]],BDEGENER[[#This Row],[N° DE REGISTROS DEL DIA]])</f>
        <v>43794F3</v>
      </c>
      <c r="BI741" s="324"/>
      <c r="BJ741" s="85" t="s">
        <v>1544</v>
      </c>
      <c r="BK741" s="326"/>
    </row>
    <row r="742" spans="2:63" ht="69" hidden="1" x14ac:dyDescent="0.3">
      <c r="B742" s="223"/>
      <c r="C742" s="223"/>
      <c r="D742" s="223"/>
      <c r="E742" s="223"/>
      <c r="F742" s="223"/>
      <c r="G742" s="223"/>
      <c r="H742" s="223"/>
      <c r="I742" s="223"/>
      <c r="J742" s="223"/>
      <c r="K742" s="723">
        <v>43794</v>
      </c>
      <c r="L742" s="15" t="s">
        <v>181</v>
      </c>
      <c r="M742" s="85" t="s">
        <v>182</v>
      </c>
      <c r="N742" s="85" t="s">
        <v>183</v>
      </c>
      <c r="O742" s="8" t="s">
        <v>159</v>
      </c>
      <c r="P742" s="15" t="s">
        <v>159</v>
      </c>
      <c r="Q742" s="14" t="s">
        <v>107</v>
      </c>
      <c r="R742" s="85" t="s">
        <v>1782</v>
      </c>
      <c r="S742" s="5" t="s">
        <v>44</v>
      </c>
      <c r="T742" s="14" t="s">
        <v>91</v>
      </c>
      <c r="U742" s="14" t="s">
        <v>122</v>
      </c>
      <c r="V742" s="14" t="s">
        <v>146</v>
      </c>
      <c r="W742" s="85" t="s">
        <v>914</v>
      </c>
      <c r="X742" s="85" t="s">
        <v>918</v>
      </c>
      <c r="Y742" s="15">
        <v>3004381435</v>
      </c>
      <c r="Z742" s="14"/>
      <c r="AA742" s="14" t="s">
        <v>33</v>
      </c>
      <c r="AB742" s="85" t="s">
        <v>34</v>
      </c>
      <c r="AC742" s="14" t="s">
        <v>230</v>
      </c>
      <c r="AD742" s="16"/>
      <c r="AE742" s="16"/>
      <c r="AF742" s="12" t="s">
        <v>177</v>
      </c>
      <c r="AG742" s="16" t="s">
        <v>243</v>
      </c>
      <c r="AH742" s="16" t="s">
        <v>220</v>
      </c>
      <c r="AI742" s="16" t="s">
        <v>33</v>
      </c>
      <c r="AJ742" s="16"/>
      <c r="AK742" s="16" t="s">
        <v>33</v>
      </c>
      <c r="AL742" s="16"/>
      <c r="AM742" s="16"/>
      <c r="AN742" s="16"/>
      <c r="AO742" s="16"/>
      <c r="AP742" s="14" t="s">
        <v>240</v>
      </c>
      <c r="AQ742" s="165" t="str">
        <f>CONCATENATE("REG-",BDEGENER[[#This Row],[FECHA DE SERVICIO]],"-",BDEGENER[[#This Row],[SERIE]],"-",BDEGENER[[#This Row],[HORAS]])</f>
        <v>REG-43794-3004381435-NR</v>
      </c>
      <c r="AR742" s="5" t="str">
        <f>CONCATENATE("MARCA: ",BDEGENER[[#This Row],[MARCA]],"
 MODELO: ",BDEGENER[[#This Row],[MODELO]])</f>
        <v>MARCA: GENERAC
 MODELO: PG090</v>
      </c>
      <c r="AS742" s="5" t="str">
        <f>CONCATENATE("MARCA: ",BDEGENER[[#This Row],[MARCA DE MOTOR]],"
SERIE: ",BDEGENER[[#This Row],[SERIE DE MOTOR]])</f>
        <v xml:space="preserve">MARCA: GENERAC
SERIE: </v>
      </c>
      <c r="AT742" s="5" t="str">
        <f>CONCATENATE("MARCA: ",BDEGENER[[#This Row],[MARCA ALTERNADOR ]],"
SERIE: ",BDEGENER[[#This Row],[SERIE DE ALTERNADOR]])</f>
        <v xml:space="preserve">MARCA: GENERAC
SERIE: </v>
      </c>
      <c r="AU742"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42" s="761">
        <f>COUNTIFS(Q742:Q2742,"MANTENIMIENTO CORRECTIVO",Y742:Y2742,BDEGENER[[#This Row],[SERIE]])</f>
        <v>1</v>
      </c>
      <c r="AW742" s="761">
        <f>COUNTIFS(Q742:Q2742,"MANTENIMIENTO PREVENTIVO",Y742:Y2742,BDEGENER[[#This Row],[SERIE]])</f>
        <v>1</v>
      </c>
      <c r="AX74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42" s="29">
        <f>COUNTIFS(BDEGENER[SERIE],BDEGENER[[#This Row],[SERIE]],BDEGENER[TIPO DE SERVICIO],"MANTENIMIENTO PREVENTIVO")</f>
        <v>8</v>
      </c>
      <c r="AZ742" s="29" t="str">
        <f>CONCATENATE("MANTENIMIENTO PREVENTIVO N°",BDEGENER[[#This Row],[GA1]])</f>
        <v>MANTENIMIENTO PREVENTIVO N°8</v>
      </c>
      <c r="BA742" s="325" t="str">
        <f>IF(BDEGENER[[#This Row],[SERVICIO]]=BDEGENER[[#This Row],[GA2]],BDEGENER[[#This Row],[HORAS]],"0")</f>
        <v>0</v>
      </c>
      <c r="BB742" s="325">
        <f>SUMIF(BDEGENER[SERIE],BDEGENER[[#This Row],[SERIE]],BDEGENER[GA3])</f>
        <v>2141.3000000000002</v>
      </c>
      <c r="BC742" s="761" t="str">
        <f>CONCATENATE("MANT",COUNTIF($Y$7:Y742,Y742))</f>
        <v>MANT11</v>
      </c>
      <c r="BD742" s="29" t="str">
        <f>CONCATENATE(BDEGENER[[#This Row],[SERIE]],BDEGENER[[#This Row],[GA5]])</f>
        <v>3004381435MANT11</v>
      </c>
      <c r="BE742" s="29" t="str">
        <f>CONCATENATE(BDEGENER[[#This Row],[CODIGO PATRIMONIAL]],BDEGENER[[#This Row],[GA5]])</f>
        <v>MANT11</v>
      </c>
      <c r="BF742" s="16">
        <f>COUNTIF(BDEGENER[SERIE],BDEGENER[[#This Row],[SERIE]])</f>
        <v>13</v>
      </c>
      <c r="BG742" s="761" t="str">
        <f>CONCATENATE("F",COUNTIF($K$7:K742,K742))</f>
        <v>F4</v>
      </c>
      <c r="BH742" s="325" t="str">
        <f>CONCATENATE(BDEGENER[[#This Row],[FECHA DE SERVICIO]],BDEGENER[[#This Row],[N° DE REGISTROS DEL DIA]])</f>
        <v>43794F4</v>
      </c>
      <c r="BI742" s="324"/>
      <c r="BJ742" s="325"/>
      <c r="BK742" s="326"/>
    </row>
    <row r="743" spans="2:63" ht="69" hidden="1" x14ac:dyDescent="0.3">
      <c r="B743" s="223"/>
      <c r="C743" s="223"/>
      <c r="D743" s="223"/>
      <c r="E743" s="223"/>
      <c r="F743" s="223"/>
      <c r="G743" s="223"/>
      <c r="H743" s="223"/>
      <c r="I743" s="223"/>
      <c r="J743" s="223"/>
      <c r="K743" s="723">
        <v>43794</v>
      </c>
      <c r="L743" s="15" t="s">
        <v>181</v>
      </c>
      <c r="M743" s="85" t="s">
        <v>190</v>
      </c>
      <c r="N743" s="85" t="s">
        <v>183</v>
      </c>
      <c r="O743" s="8" t="s">
        <v>159</v>
      </c>
      <c r="P743" s="15" t="s">
        <v>159</v>
      </c>
      <c r="Q743" s="14" t="s">
        <v>107</v>
      </c>
      <c r="R743" s="85" t="s">
        <v>1782</v>
      </c>
      <c r="S743" s="5" t="s">
        <v>44</v>
      </c>
      <c r="T743" s="14" t="s">
        <v>91</v>
      </c>
      <c r="U743" s="14" t="s">
        <v>122</v>
      </c>
      <c r="V743" s="14" t="s">
        <v>146</v>
      </c>
      <c r="W743" s="85" t="s">
        <v>914</v>
      </c>
      <c r="X743" s="85" t="s">
        <v>918</v>
      </c>
      <c r="Y743" s="15">
        <v>3004336196</v>
      </c>
      <c r="Z743" s="14"/>
      <c r="AA743" s="14" t="s">
        <v>33</v>
      </c>
      <c r="AB743" s="85" t="s">
        <v>34</v>
      </c>
      <c r="AC743" s="14" t="s">
        <v>230</v>
      </c>
      <c r="AD743" s="16"/>
      <c r="AE743" s="16"/>
      <c r="AF743" s="12" t="s">
        <v>177</v>
      </c>
      <c r="AG743" s="85" t="s">
        <v>243</v>
      </c>
      <c r="AH743" s="85" t="s">
        <v>220</v>
      </c>
      <c r="AI743" s="16" t="s">
        <v>33</v>
      </c>
      <c r="AJ743" s="85">
        <v>3004346824</v>
      </c>
      <c r="AK743" s="16" t="s">
        <v>33</v>
      </c>
      <c r="AL743" s="85">
        <v>1063072</v>
      </c>
      <c r="AM743" s="16"/>
      <c r="AN743" s="16"/>
      <c r="AO743" s="16"/>
      <c r="AP743" s="14" t="s">
        <v>240</v>
      </c>
      <c r="AQ743" s="165" t="str">
        <f>CONCATENATE("REG-",BDEGENER[[#This Row],[FECHA DE SERVICIO]],"-",BDEGENER[[#This Row],[SERIE]],"-",BDEGENER[[#This Row],[HORAS]])</f>
        <v>REG-43794-3004336196-NR</v>
      </c>
      <c r="AR743" s="5" t="str">
        <f>CONCATENATE("MARCA: ",BDEGENER[[#This Row],[MARCA]],"
 MODELO: ",BDEGENER[[#This Row],[MODELO]])</f>
        <v>MARCA: GENERAC
 MODELO: PG090</v>
      </c>
      <c r="AS743" s="5" t="str">
        <f>CONCATENATE("MARCA: ",BDEGENER[[#This Row],[MARCA DE MOTOR]],"
SERIE: ",BDEGENER[[#This Row],[SERIE DE MOTOR]])</f>
        <v>MARCA: GENERAC
SERIE: 3004346824</v>
      </c>
      <c r="AT743" s="5" t="str">
        <f>CONCATENATE("MARCA: ",BDEGENER[[#This Row],[MARCA ALTERNADOR ]],"
SERIE: ",BDEGENER[[#This Row],[SERIE DE ALTERNADOR]])</f>
        <v>MARCA: GENERAC
SERIE: 1063072</v>
      </c>
      <c r="AU743"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43" s="683">
        <f>COUNTIFS(Q743:Q2743,"MANTENIMIENTO CORRECTIVO",Y743:Y2743,BDEGENER[[#This Row],[SERIE]])</f>
        <v>1</v>
      </c>
      <c r="AW743" s="683">
        <f>COUNTIFS(Q743:Q2743,"MANTENIMIENTO PREVENTIVO",Y743:Y2743,BDEGENER[[#This Row],[SERIE]])</f>
        <v>1</v>
      </c>
      <c r="AX74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43" s="29">
        <f>COUNTIFS(BDEGENER[SERIE],BDEGENER[[#This Row],[SERIE]],BDEGENER[TIPO DE SERVICIO],"MANTENIMIENTO PREVENTIVO")</f>
        <v>9</v>
      </c>
      <c r="AZ743" s="29" t="str">
        <f>CONCATENATE("MANTENIMIENTO PREVENTIVO N°",BDEGENER[[#This Row],[GA1]])</f>
        <v>MANTENIMIENTO PREVENTIVO N°9</v>
      </c>
      <c r="BA743" s="325" t="str">
        <f>IF(BDEGENER[[#This Row],[SERVICIO]]=BDEGENER[[#This Row],[GA2]],BDEGENER[[#This Row],[HORAS]],"0")</f>
        <v>0</v>
      </c>
      <c r="BB743" s="325">
        <f>SUMIF(BDEGENER[SERIE],BDEGENER[[#This Row],[SERIE]],BDEGENER[GA3])</f>
        <v>3148.2</v>
      </c>
      <c r="BC743" s="683" t="str">
        <f>CONCATENATE("MANT",COUNTIF($Y$7:Y743,Y743))</f>
        <v>MANT11</v>
      </c>
      <c r="BD743" s="29" t="str">
        <f>CONCATENATE(BDEGENER[[#This Row],[SERIE]],BDEGENER[[#This Row],[GA5]])</f>
        <v>3004336196MANT11</v>
      </c>
      <c r="BE743" s="29" t="str">
        <f>CONCATENATE(BDEGENER[[#This Row],[CODIGO PATRIMONIAL]],BDEGENER[[#This Row],[GA5]])</f>
        <v>MANT11</v>
      </c>
      <c r="BF743" s="16">
        <f>COUNTIF(BDEGENER[SERIE],BDEGENER[[#This Row],[SERIE]])</f>
        <v>13</v>
      </c>
      <c r="BG743" s="683" t="str">
        <f>CONCATENATE("F",COUNTIF($K$7:K743,K743))</f>
        <v>F5</v>
      </c>
      <c r="BH743" s="325" t="str">
        <f>CONCATENATE(BDEGENER[[#This Row],[FECHA DE SERVICIO]],BDEGENER[[#This Row],[N° DE REGISTROS DEL DIA]])</f>
        <v>43794F5</v>
      </c>
      <c r="BI743" s="324"/>
      <c r="BJ743" s="85" t="s">
        <v>1544</v>
      </c>
      <c r="BK743" s="326"/>
    </row>
    <row r="744" spans="2:63" ht="69" hidden="1" x14ac:dyDescent="0.3">
      <c r="B744" s="223"/>
      <c r="C744" s="223"/>
      <c r="D744" s="223"/>
      <c r="E744" s="223"/>
      <c r="F744" s="223"/>
      <c r="G744" s="223"/>
      <c r="H744" s="223"/>
      <c r="I744" s="223"/>
      <c r="J744" s="223"/>
      <c r="K744" s="723">
        <v>43794</v>
      </c>
      <c r="L744" s="15" t="s">
        <v>181</v>
      </c>
      <c r="M744" s="14" t="s">
        <v>184</v>
      </c>
      <c r="N744" s="14" t="s">
        <v>183</v>
      </c>
      <c r="O744" s="8" t="s">
        <v>159</v>
      </c>
      <c r="P744" s="15" t="s">
        <v>159</v>
      </c>
      <c r="Q744" s="14" t="s">
        <v>107</v>
      </c>
      <c r="R744" s="85" t="s">
        <v>1782</v>
      </c>
      <c r="S744" s="5" t="s">
        <v>44</v>
      </c>
      <c r="T744" s="14" t="s">
        <v>91</v>
      </c>
      <c r="U744" s="14" t="s">
        <v>122</v>
      </c>
      <c r="V744" s="14" t="s">
        <v>146</v>
      </c>
      <c r="W744" s="85" t="s">
        <v>914</v>
      </c>
      <c r="X744" s="85" t="s">
        <v>918</v>
      </c>
      <c r="Y744" s="15">
        <v>3004227749</v>
      </c>
      <c r="Z744" s="14"/>
      <c r="AA744" s="14" t="s">
        <v>33</v>
      </c>
      <c r="AB744" s="85" t="s">
        <v>34</v>
      </c>
      <c r="AC744" s="14" t="s">
        <v>230</v>
      </c>
      <c r="AD744" s="16"/>
      <c r="AE744" s="16"/>
      <c r="AF744" s="12" t="s">
        <v>177</v>
      </c>
      <c r="AG744" s="16" t="s">
        <v>243</v>
      </c>
      <c r="AH744" s="16" t="s">
        <v>220</v>
      </c>
      <c r="AI744" s="16" t="s">
        <v>33</v>
      </c>
      <c r="AJ744" s="16"/>
      <c r="AK744" s="16" t="s">
        <v>33</v>
      </c>
      <c r="AL744" s="16"/>
      <c r="AM744" s="16"/>
      <c r="AN744" s="16"/>
      <c r="AO744" s="16"/>
      <c r="AP744" s="14" t="s">
        <v>240</v>
      </c>
      <c r="AQ744" s="165" t="str">
        <f>CONCATENATE("REG-",BDEGENER[[#This Row],[FECHA DE SERVICIO]],"-",BDEGENER[[#This Row],[SERIE]],"-",BDEGENER[[#This Row],[HORAS]])</f>
        <v>REG-43794-3004227749-NR</v>
      </c>
      <c r="AR744" s="5" t="str">
        <f>CONCATENATE("MARCA: ",BDEGENER[[#This Row],[MARCA]],"
 MODELO: ",BDEGENER[[#This Row],[MODELO]])</f>
        <v>MARCA: GENERAC
 MODELO: PG090</v>
      </c>
      <c r="AS744" s="5" t="str">
        <f>CONCATENATE("MARCA: ",BDEGENER[[#This Row],[MARCA DE MOTOR]],"
SERIE: ",BDEGENER[[#This Row],[SERIE DE MOTOR]])</f>
        <v xml:space="preserve">MARCA: GENERAC
SERIE: </v>
      </c>
      <c r="AT744" s="5" t="str">
        <f>CONCATENATE("MARCA: ",BDEGENER[[#This Row],[MARCA ALTERNADOR ]],"
SERIE: ",BDEGENER[[#This Row],[SERIE DE ALTERNADOR]])</f>
        <v xml:space="preserve">MARCA: GENERAC
SERIE: </v>
      </c>
      <c r="AU744"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44" s="683">
        <f>COUNTIFS(Q744:Q2744,"MANTENIMIENTO CORRECTIVO",Y744:Y2744,BDEGENER[[#This Row],[SERIE]])</f>
        <v>1</v>
      </c>
      <c r="AW744" s="683">
        <f>COUNTIFS(Q744:Q2744,"MANTENIMIENTO PREVENTIVO",Y744:Y2744,BDEGENER[[#This Row],[SERIE]])</f>
        <v>1</v>
      </c>
      <c r="AX74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44" s="29">
        <f>COUNTIFS(BDEGENER[SERIE],BDEGENER[[#This Row],[SERIE]],BDEGENER[TIPO DE SERVICIO],"MANTENIMIENTO PREVENTIVO")</f>
        <v>8</v>
      </c>
      <c r="AZ744" s="29" t="str">
        <f>CONCATENATE("MANTENIMIENTO PREVENTIVO N°",BDEGENER[[#This Row],[GA1]])</f>
        <v>MANTENIMIENTO PREVENTIVO N°8</v>
      </c>
      <c r="BA744" s="325" t="str">
        <f>IF(BDEGENER[[#This Row],[SERVICIO]]=BDEGENER[[#This Row],[GA2]],BDEGENER[[#This Row],[HORAS]],"0")</f>
        <v>0</v>
      </c>
      <c r="BB744" s="325">
        <f>SUMIF(BDEGENER[SERIE],BDEGENER[[#This Row],[SERIE]],BDEGENER[GA3])</f>
        <v>2404.1999999999998</v>
      </c>
      <c r="BC744" s="683" t="str">
        <f>CONCATENATE("MANT",COUNTIF($Y$7:Y744,Y744))</f>
        <v>MANT14</v>
      </c>
      <c r="BD744" s="29" t="str">
        <f>CONCATENATE(BDEGENER[[#This Row],[SERIE]],BDEGENER[[#This Row],[GA5]])</f>
        <v>3004227749MANT14</v>
      </c>
      <c r="BE744" s="29" t="str">
        <f>CONCATENATE(BDEGENER[[#This Row],[CODIGO PATRIMONIAL]],BDEGENER[[#This Row],[GA5]])</f>
        <v>MANT14</v>
      </c>
      <c r="BF744" s="16">
        <f>COUNTIF(BDEGENER[SERIE],BDEGENER[[#This Row],[SERIE]])</f>
        <v>16</v>
      </c>
      <c r="BG744" s="683" t="str">
        <f>CONCATENATE("F",COUNTIF($K$7:K744,K744))</f>
        <v>F6</v>
      </c>
      <c r="BH744" s="325" t="str">
        <f>CONCATENATE(BDEGENER[[#This Row],[FECHA DE SERVICIO]],BDEGENER[[#This Row],[N° DE REGISTROS DEL DIA]])</f>
        <v>43794F6</v>
      </c>
      <c r="BI744" s="324"/>
      <c r="BJ744" s="85" t="s">
        <v>1544</v>
      </c>
      <c r="BK744" s="326"/>
    </row>
    <row r="745" spans="2:63" ht="69" hidden="1" x14ac:dyDescent="0.3">
      <c r="B745" s="223"/>
      <c r="C745" s="223"/>
      <c r="D745" s="223"/>
      <c r="E745" s="223"/>
      <c r="F745" s="223"/>
      <c r="G745" s="223"/>
      <c r="H745" s="223"/>
      <c r="I745" s="223"/>
      <c r="J745" s="223"/>
      <c r="K745" s="723">
        <v>43794</v>
      </c>
      <c r="L745" s="15" t="s">
        <v>181</v>
      </c>
      <c r="M745" s="697" t="s">
        <v>187</v>
      </c>
      <c r="N745" s="697" t="s">
        <v>183</v>
      </c>
      <c r="O745" s="8" t="s">
        <v>159</v>
      </c>
      <c r="P745" s="15" t="s">
        <v>159</v>
      </c>
      <c r="Q745" s="14" t="s">
        <v>107</v>
      </c>
      <c r="R745" s="85" t="s">
        <v>1782</v>
      </c>
      <c r="S745" s="5" t="s">
        <v>44</v>
      </c>
      <c r="T745" s="14" t="s">
        <v>91</v>
      </c>
      <c r="U745" s="14" t="s">
        <v>122</v>
      </c>
      <c r="V745" s="14" t="s">
        <v>146</v>
      </c>
      <c r="W745" s="85" t="s">
        <v>914</v>
      </c>
      <c r="X745" s="85" t="s">
        <v>918</v>
      </c>
      <c r="Y745" s="15">
        <v>3004337429</v>
      </c>
      <c r="Z745" s="14"/>
      <c r="AA745" s="14" t="s">
        <v>33</v>
      </c>
      <c r="AB745" s="85" t="s">
        <v>34</v>
      </c>
      <c r="AC745" s="14" t="s">
        <v>230</v>
      </c>
      <c r="AD745" s="16"/>
      <c r="AE745" s="16"/>
      <c r="AF745" s="12" t="s">
        <v>177</v>
      </c>
      <c r="AG745" s="16" t="s">
        <v>243</v>
      </c>
      <c r="AH745" s="16" t="s">
        <v>220</v>
      </c>
      <c r="AI745" s="16" t="s">
        <v>33</v>
      </c>
      <c r="AJ745" s="16">
        <v>3004346833</v>
      </c>
      <c r="AK745" s="16" t="s">
        <v>33</v>
      </c>
      <c r="AL745" s="16">
        <v>106303570</v>
      </c>
      <c r="AM745" s="16"/>
      <c r="AN745" s="16"/>
      <c r="AO745" s="16"/>
      <c r="AP745" s="14" t="s">
        <v>240</v>
      </c>
      <c r="AQ745" s="165" t="str">
        <f>CONCATENATE("REG-",BDEGENER[[#This Row],[FECHA DE SERVICIO]],"-",BDEGENER[[#This Row],[SERIE]],"-",BDEGENER[[#This Row],[HORAS]])</f>
        <v>REG-43794-3004337429-NR</v>
      </c>
      <c r="AR745" s="5" t="str">
        <f>CONCATENATE("MARCA: ",BDEGENER[[#This Row],[MARCA]],"
 MODELO: ",BDEGENER[[#This Row],[MODELO]])</f>
        <v>MARCA: GENERAC
 MODELO: PG090</v>
      </c>
      <c r="AS745" s="5" t="str">
        <f>CONCATENATE("MARCA: ",BDEGENER[[#This Row],[MARCA DE MOTOR]],"
SERIE: ",BDEGENER[[#This Row],[SERIE DE MOTOR]])</f>
        <v>MARCA: GENERAC
SERIE: 3004346833</v>
      </c>
      <c r="AT745" s="5" t="str">
        <f>CONCATENATE("MARCA: ",BDEGENER[[#This Row],[MARCA ALTERNADOR ]],"
SERIE: ",BDEGENER[[#This Row],[SERIE DE ALTERNADOR]])</f>
        <v>MARCA: GENERAC
SERIE: 106303570</v>
      </c>
      <c r="AU745"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45" s="761">
        <f>COUNTIFS(Q745:Q2745,"MANTENIMIENTO CORRECTIVO",Y745:Y2745,BDEGENER[[#This Row],[SERIE]])</f>
        <v>1</v>
      </c>
      <c r="AW745" s="761">
        <f>COUNTIFS(Q745:Q2745,"MANTENIMIENTO PREVENTIVO",Y745:Y2745,BDEGENER[[#This Row],[SERIE]])</f>
        <v>1</v>
      </c>
      <c r="AX74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45" s="29">
        <f>COUNTIFS(BDEGENER[SERIE],BDEGENER[[#This Row],[SERIE]],BDEGENER[TIPO DE SERVICIO],"MANTENIMIENTO PREVENTIVO")</f>
        <v>7</v>
      </c>
      <c r="AZ745" s="29" t="str">
        <f>CONCATENATE("MANTENIMIENTO PREVENTIVO N°",BDEGENER[[#This Row],[GA1]])</f>
        <v>MANTENIMIENTO PREVENTIVO N°7</v>
      </c>
      <c r="BA745" s="325" t="str">
        <f>IF(BDEGENER[[#This Row],[SERVICIO]]=BDEGENER[[#This Row],[GA2]],BDEGENER[[#This Row],[HORAS]],"0")</f>
        <v>0</v>
      </c>
      <c r="BB745" s="325">
        <f>SUMIF(BDEGENER[SERIE],BDEGENER[[#This Row],[SERIE]],BDEGENER[GA3])</f>
        <v>2207.6999999999998</v>
      </c>
      <c r="BC745" s="761" t="str">
        <f>CONCATENATE("MANT",COUNTIF($Y$7:Y745,Y745))</f>
        <v>MANT7</v>
      </c>
      <c r="BD745" s="29" t="str">
        <f>CONCATENATE(BDEGENER[[#This Row],[SERIE]],BDEGENER[[#This Row],[GA5]])</f>
        <v>3004337429MANT7</v>
      </c>
      <c r="BE745" s="29" t="str">
        <f>CONCATENATE(BDEGENER[[#This Row],[CODIGO PATRIMONIAL]],BDEGENER[[#This Row],[GA5]])</f>
        <v>MANT7</v>
      </c>
      <c r="BF745" s="16">
        <f>COUNTIF(BDEGENER[SERIE],BDEGENER[[#This Row],[SERIE]])</f>
        <v>9</v>
      </c>
      <c r="BG745" s="761" t="str">
        <f>CONCATENATE("F",COUNTIF($K$7:K745,K745))</f>
        <v>F7</v>
      </c>
      <c r="BH745" s="325" t="str">
        <f>CONCATENATE(BDEGENER[[#This Row],[FECHA DE SERVICIO]],BDEGENER[[#This Row],[N° DE REGISTROS DEL DIA]])</f>
        <v>43794F7</v>
      </c>
      <c r="BI745" s="324"/>
      <c r="BJ745" s="85" t="s">
        <v>1544</v>
      </c>
      <c r="BK745" s="326"/>
    </row>
    <row r="746" spans="2:63" ht="69" hidden="1" x14ac:dyDescent="0.3">
      <c r="B746" s="223"/>
      <c r="C746" s="223"/>
      <c r="D746" s="223"/>
      <c r="E746" s="223"/>
      <c r="F746" s="223"/>
      <c r="G746" s="223"/>
      <c r="H746" s="223"/>
      <c r="I746" s="223"/>
      <c r="J746" s="223"/>
      <c r="K746" s="723">
        <v>43794</v>
      </c>
      <c r="L746" s="15" t="s">
        <v>181</v>
      </c>
      <c r="M746" s="14" t="s">
        <v>188</v>
      </c>
      <c r="N746" s="14" t="s">
        <v>183</v>
      </c>
      <c r="O746" s="8" t="s">
        <v>159</v>
      </c>
      <c r="P746" s="15" t="s">
        <v>159</v>
      </c>
      <c r="Q746" s="14" t="s">
        <v>107</v>
      </c>
      <c r="R746" s="85" t="s">
        <v>1782</v>
      </c>
      <c r="S746" s="5" t="s">
        <v>44</v>
      </c>
      <c r="T746" s="14" t="s">
        <v>91</v>
      </c>
      <c r="U746" s="14" t="s">
        <v>122</v>
      </c>
      <c r="V746" s="14" t="s">
        <v>146</v>
      </c>
      <c r="W746" s="85" t="s">
        <v>914</v>
      </c>
      <c r="X746" s="85" t="s">
        <v>918</v>
      </c>
      <c r="Y746" s="15">
        <v>3004235514</v>
      </c>
      <c r="Z746" s="14"/>
      <c r="AA746" s="14" t="s">
        <v>33</v>
      </c>
      <c r="AB746" s="85" t="s">
        <v>34</v>
      </c>
      <c r="AC746" s="14" t="s">
        <v>230</v>
      </c>
      <c r="AD746" s="16"/>
      <c r="AE746" s="16"/>
      <c r="AF746" s="12" t="s">
        <v>177</v>
      </c>
      <c r="AG746" s="16" t="s">
        <v>243</v>
      </c>
      <c r="AH746" s="16" t="s">
        <v>220</v>
      </c>
      <c r="AI746" s="16" t="s">
        <v>33</v>
      </c>
      <c r="AJ746" s="16"/>
      <c r="AK746" s="85" t="s">
        <v>33</v>
      </c>
      <c r="AL746" s="16"/>
      <c r="AM746" s="16"/>
      <c r="AN746" s="16"/>
      <c r="AO746" s="16"/>
      <c r="AP746" s="14" t="s">
        <v>240</v>
      </c>
      <c r="AQ746" s="165" t="str">
        <f>CONCATENATE("REG-",BDEGENER[[#This Row],[FECHA DE SERVICIO]],"-",BDEGENER[[#This Row],[SERIE]],"-",BDEGENER[[#This Row],[HORAS]])</f>
        <v>REG-43794-3004235514-NR</v>
      </c>
      <c r="AR746" s="5" t="str">
        <f>CONCATENATE("MARCA: ",BDEGENER[[#This Row],[MARCA]],"
 MODELO: ",BDEGENER[[#This Row],[MODELO]])</f>
        <v>MARCA: GENERAC
 MODELO: PG090</v>
      </c>
      <c r="AS746" s="5" t="str">
        <f>CONCATENATE("MARCA: ",BDEGENER[[#This Row],[MARCA DE MOTOR]],"
SERIE: ",BDEGENER[[#This Row],[SERIE DE MOTOR]])</f>
        <v xml:space="preserve">MARCA: GENERAC
SERIE: </v>
      </c>
      <c r="AT746" s="5" t="str">
        <f>CONCATENATE("MARCA: ",BDEGENER[[#This Row],[MARCA ALTERNADOR ]],"
SERIE: ",BDEGENER[[#This Row],[SERIE DE ALTERNADOR]])</f>
        <v xml:space="preserve">MARCA: GENERAC
SERIE: </v>
      </c>
      <c r="AU746"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46" s="683">
        <f>COUNTIFS(Q746:Q2746,"MANTENIMIENTO CORRECTIVO",Y746:Y2746,BDEGENER[[#This Row],[SERIE]])</f>
        <v>1</v>
      </c>
      <c r="AW746" s="683">
        <f>COUNTIFS(Q746:Q2746,"MANTENIMIENTO PREVENTIVO",Y746:Y2746,BDEGENER[[#This Row],[SERIE]])</f>
        <v>0</v>
      </c>
      <c r="AX74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46" s="29">
        <f>COUNTIFS(BDEGENER[SERIE],BDEGENER[[#This Row],[SERIE]],BDEGENER[TIPO DE SERVICIO],"MANTENIMIENTO PREVENTIVO")</f>
        <v>7</v>
      </c>
      <c r="AZ746" s="29" t="str">
        <f>CONCATENATE("MANTENIMIENTO PREVENTIVO N°",BDEGENER[[#This Row],[GA1]])</f>
        <v>MANTENIMIENTO PREVENTIVO N°7</v>
      </c>
      <c r="BA746" s="325" t="str">
        <f>IF(BDEGENER[[#This Row],[SERVICIO]]=BDEGENER[[#This Row],[GA2]],BDEGENER[[#This Row],[HORAS]],"0")</f>
        <v>0</v>
      </c>
      <c r="BB746" s="325">
        <f>SUMIF(BDEGENER[SERIE],BDEGENER[[#This Row],[SERIE]],BDEGENER[GA3])</f>
        <v>2044.9</v>
      </c>
      <c r="BC746" s="683" t="str">
        <f>CONCATENATE("MANT",COUNTIF($Y$7:Y746,Y746))</f>
        <v>MANT9</v>
      </c>
      <c r="BD746" s="29" t="str">
        <f>CONCATENATE(BDEGENER[[#This Row],[SERIE]],BDEGENER[[#This Row],[GA5]])</f>
        <v>3004235514MANT9</v>
      </c>
      <c r="BE746" s="29" t="str">
        <f>CONCATENATE(BDEGENER[[#This Row],[CODIGO PATRIMONIAL]],BDEGENER[[#This Row],[GA5]])</f>
        <v>MANT9</v>
      </c>
      <c r="BF746" s="16">
        <f>COUNTIF(BDEGENER[SERIE],BDEGENER[[#This Row],[SERIE]])</f>
        <v>10</v>
      </c>
      <c r="BG746" s="683" t="str">
        <f>CONCATENATE("F",COUNTIF($K$7:K746,K746))</f>
        <v>F8</v>
      </c>
      <c r="BH746" s="325" t="str">
        <f>CONCATENATE(BDEGENER[[#This Row],[FECHA DE SERVICIO]],BDEGENER[[#This Row],[N° DE REGISTROS DEL DIA]])</f>
        <v>43794F8</v>
      </c>
      <c r="BI746" s="324"/>
      <c r="BJ746" s="85" t="s">
        <v>1544</v>
      </c>
      <c r="BK746" s="326"/>
    </row>
    <row r="747" spans="2:63" ht="69" hidden="1" x14ac:dyDescent="0.3">
      <c r="B747" s="223"/>
      <c r="C747" s="223"/>
      <c r="D747" s="223"/>
      <c r="E747" s="223"/>
      <c r="F747" s="223"/>
      <c r="G747" s="223"/>
      <c r="H747" s="223"/>
      <c r="I747" s="223"/>
      <c r="J747" s="223"/>
      <c r="K747" s="723">
        <v>43794</v>
      </c>
      <c r="L747" s="15" t="s">
        <v>181</v>
      </c>
      <c r="M747" s="14" t="s">
        <v>188</v>
      </c>
      <c r="N747" s="14" t="s">
        <v>183</v>
      </c>
      <c r="O747" s="8" t="s">
        <v>159</v>
      </c>
      <c r="P747" s="15" t="s">
        <v>159</v>
      </c>
      <c r="Q747" s="14" t="s">
        <v>107</v>
      </c>
      <c r="R747" s="85" t="s">
        <v>1782</v>
      </c>
      <c r="S747" s="5" t="s">
        <v>44</v>
      </c>
      <c r="T747" s="14" t="s">
        <v>91</v>
      </c>
      <c r="U747" s="14" t="s">
        <v>122</v>
      </c>
      <c r="V747" s="14" t="s">
        <v>146</v>
      </c>
      <c r="W747" s="85" t="s">
        <v>914</v>
      </c>
      <c r="X747" s="85" t="s">
        <v>918</v>
      </c>
      <c r="Y747" s="15">
        <v>3004290364</v>
      </c>
      <c r="Z747" s="14"/>
      <c r="AA747" s="14" t="s">
        <v>33</v>
      </c>
      <c r="AB747" s="85" t="s">
        <v>34</v>
      </c>
      <c r="AC747" s="14" t="s">
        <v>230</v>
      </c>
      <c r="AD747" s="16"/>
      <c r="AE747" s="16"/>
      <c r="AF747" s="12" t="s">
        <v>177</v>
      </c>
      <c r="AG747" s="16" t="s">
        <v>243</v>
      </c>
      <c r="AH747" s="16" t="s">
        <v>220</v>
      </c>
      <c r="AI747" s="16" t="s">
        <v>33</v>
      </c>
      <c r="AJ747" s="85">
        <v>3004301038</v>
      </c>
      <c r="AK747" s="16" t="s">
        <v>33</v>
      </c>
      <c r="AL747" s="85">
        <v>1063018</v>
      </c>
      <c r="AM747" s="16"/>
      <c r="AN747" s="16"/>
      <c r="AO747" s="16"/>
      <c r="AP747" s="14" t="s">
        <v>240</v>
      </c>
      <c r="AQ747" s="165" t="str">
        <f>CONCATENATE("REG-",BDEGENER[[#This Row],[FECHA DE SERVICIO]],"-",BDEGENER[[#This Row],[SERIE]],"-",BDEGENER[[#This Row],[HORAS]])</f>
        <v>REG-43794-3004290364-NR</v>
      </c>
      <c r="AR747" s="5" t="str">
        <f>CONCATENATE("MARCA: ",BDEGENER[[#This Row],[MARCA]],"
 MODELO: ",BDEGENER[[#This Row],[MODELO]])</f>
        <v>MARCA: GENERAC
 MODELO: PG090</v>
      </c>
      <c r="AS747" s="5" t="str">
        <f>CONCATENATE("MARCA: ",BDEGENER[[#This Row],[MARCA DE MOTOR]],"
SERIE: ",BDEGENER[[#This Row],[SERIE DE MOTOR]])</f>
        <v>MARCA: GENERAC
SERIE: 3004301038</v>
      </c>
      <c r="AT747" s="5" t="str">
        <f>CONCATENATE("MARCA: ",BDEGENER[[#This Row],[MARCA ALTERNADOR ]],"
SERIE: ",BDEGENER[[#This Row],[SERIE DE ALTERNADOR]])</f>
        <v>MARCA: GENERAC
SERIE: 1063018</v>
      </c>
      <c r="AU747"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47" s="683">
        <f>COUNTIFS(Q747:Q2747,"MANTENIMIENTO CORRECTIVO",Y747:Y2747,BDEGENER[[#This Row],[SERIE]])</f>
        <v>1</v>
      </c>
      <c r="AW747" s="683">
        <f>COUNTIFS(Q747:Q2747,"MANTENIMIENTO PREVENTIVO",Y747:Y2747,BDEGENER[[#This Row],[SERIE]])</f>
        <v>0</v>
      </c>
      <c r="AX74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47" s="29">
        <f>COUNTIFS(BDEGENER[SERIE],BDEGENER[[#This Row],[SERIE]],BDEGENER[TIPO DE SERVICIO],"MANTENIMIENTO PREVENTIVO")</f>
        <v>3</v>
      </c>
      <c r="AZ747" s="29" t="str">
        <f>CONCATENATE("MANTENIMIENTO PREVENTIVO N°",BDEGENER[[#This Row],[GA1]])</f>
        <v>MANTENIMIENTO PREVENTIVO N°3</v>
      </c>
      <c r="BA747" s="325" t="str">
        <f>IF(BDEGENER[[#This Row],[SERVICIO]]=BDEGENER[[#This Row],[GA2]],BDEGENER[[#This Row],[HORAS]],"0")</f>
        <v>0</v>
      </c>
      <c r="BB747" s="325">
        <f>SUMIF(BDEGENER[SERIE],BDEGENER[[#This Row],[SERIE]],BDEGENER[GA3])</f>
        <v>941.5</v>
      </c>
      <c r="BC747" s="683" t="str">
        <f>CONCATENATE("MANT",COUNTIF($Y$7:Y747,Y747))</f>
        <v>MANT8</v>
      </c>
      <c r="BD747" s="29" t="str">
        <f>CONCATENATE(BDEGENER[[#This Row],[SERIE]],BDEGENER[[#This Row],[GA5]])</f>
        <v>3004290364MANT8</v>
      </c>
      <c r="BE747" s="29" t="str">
        <f>CONCATENATE(BDEGENER[[#This Row],[CODIGO PATRIMONIAL]],BDEGENER[[#This Row],[GA5]])</f>
        <v>MANT8</v>
      </c>
      <c r="BF747" s="16">
        <f>COUNTIF(BDEGENER[SERIE],BDEGENER[[#This Row],[SERIE]])</f>
        <v>9</v>
      </c>
      <c r="BG747" s="683" t="str">
        <f>CONCATENATE("F",COUNTIF($K$7:K747,K747))</f>
        <v>F9</v>
      </c>
      <c r="BH747" s="325" t="str">
        <f>CONCATENATE(BDEGENER[[#This Row],[FECHA DE SERVICIO]],BDEGENER[[#This Row],[N° DE REGISTROS DEL DIA]])</f>
        <v>43794F9</v>
      </c>
      <c r="BI747" s="324"/>
      <c r="BJ747" s="85" t="s">
        <v>1544</v>
      </c>
      <c r="BK747" s="326"/>
    </row>
    <row r="748" spans="2:63" ht="69" hidden="1" x14ac:dyDescent="0.3">
      <c r="B748" s="223"/>
      <c r="C748" s="223"/>
      <c r="D748" s="223"/>
      <c r="E748" s="223"/>
      <c r="F748" s="223"/>
      <c r="G748" s="223"/>
      <c r="H748" s="223"/>
      <c r="I748" s="223"/>
      <c r="J748" s="223"/>
      <c r="K748" s="723">
        <v>43794</v>
      </c>
      <c r="L748" s="15" t="s">
        <v>181</v>
      </c>
      <c r="M748" s="14" t="s">
        <v>188</v>
      </c>
      <c r="N748" s="14" t="s">
        <v>183</v>
      </c>
      <c r="O748" s="8" t="s">
        <v>159</v>
      </c>
      <c r="P748" s="15" t="s">
        <v>159</v>
      </c>
      <c r="Q748" s="14" t="s">
        <v>107</v>
      </c>
      <c r="R748" s="85" t="s">
        <v>1782</v>
      </c>
      <c r="S748" s="5" t="s">
        <v>44</v>
      </c>
      <c r="T748" s="14" t="s">
        <v>91</v>
      </c>
      <c r="U748" s="14" t="s">
        <v>122</v>
      </c>
      <c r="V748" s="14" t="s">
        <v>146</v>
      </c>
      <c r="W748" s="85" t="s">
        <v>914</v>
      </c>
      <c r="X748" s="85" t="s">
        <v>918</v>
      </c>
      <c r="Y748" s="15">
        <v>3004290369</v>
      </c>
      <c r="Z748" s="14" t="s">
        <v>192</v>
      </c>
      <c r="AA748" s="14" t="s">
        <v>33</v>
      </c>
      <c r="AB748" s="85" t="s">
        <v>34</v>
      </c>
      <c r="AC748" s="14" t="s">
        <v>230</v>
      </c>
      <c r="AD748" s="16"/>
      <c r="AE748" s="16"/>
      <c r="AF748" s="12" t="s">
        <v>177</v>
      </c>
      <c r="AG748" s="16" t="s">
        <v>243</v>
      </c>
      <c r="AH748" s="16" t="s">
        <v>220</v>
      </c>
      <c r="AI748" s="16" t="s">
        <v>33</v>
      </c>
      <c r="AJ748" s="16"/>
      <c r="AK748" s="16" t="s">
        <v>33</v>
      </c>
      <c r="AL748" s="16"/>
      <c r="AM748" s="16"/>
      <c r="AN748" s="16"/>
      <c r="AO748" s="16"/>
      <c r="AP748" s="14" t="s">
        <v>240</v>
      </c>
      <c r="AQ748" s="165" t="str">
        <f>CONCATENATE("REG-",BDEGENER[[#This Row],[FECHA DE SERVICIO]],"-",BDEGENER[[#This Row],[SERIE]],"-",BDEGENER[[#This Row],[HORAS]])</f>
        <v>REG-43794-3004290369-NR</v>
      </c>
      <c r="AR748" s="5" t="str">
        <f>CONCATENATE("MARCA: ",BDEGENER[[#This Row],[MARCA]],"
 MODELO: ",BDEGENER[[#This Row],[MODELO]])</f>
        <v>MARCA: GENERAC
 MODELO: PG090</v>
      </c>
      <c r="AS748" s="5" t="str">
        <f>CONCATENATE("MARCA: ",BDEGENER[[#This Row],[MARCA DE MOTOR]],"
SERIE: ",BDEGENER[[#This Row],[SERIE DE MOTOR]])</f>
        <v xml:space="preserve">MARCA: GENERAC
SERIE: </v>
      </c>
      <c r="AT748" s="5" t="str">
        <f>CONCATENATE("MARCA: ",BDEGENER[[#This Row],[MARCA ALTERNADOR ]],"
SERIE: ",BDEGENER[[#This Row],[SERIE DE ALTERNADOR]])</f>
        <v xml:space="preserve">MARCA: GENERAC
SERIE: </v>
      </c>
      <c r="AU748"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48" s="761">
        <f>COUNTIFS(Q748:Q2748,"MANTENIMIENTO CORRECTIVO",Y748:Y2748,BDEGENER[[#This Row],[SERIE]])</f>
        <v>1</v>
      </c>
      <c r="AW748" s="761">
        <f>COUNTIFS(Q748:Q2748,"MANTENIMIENTO PREVENTIVO",Y748:Y2748,BDEGENER[[#This Row],[SERIE]])</f>
        <v>0</v>
      </c>
      <c r="AX74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48" s="29">
        <f>COUNTIFS(BDEGENER[SERIE],BDEGENER[[#This Row],[SERIE]],BDEGENER[TIPO DE SERVICIO],"MANTENIMIENTO PREVENTIVO")</f>
        <v>7</v>
      </c>
      <c r="AZ748" s="29" t="str">
        <f>CONCATENATE("MANTENIMIENTO PREVENTIVO N°",BDEGENER[[#This Row],[GA1]])</f>
        <v>MANTENIMIENTO PREVENTIVO N°7</v>
      </c>
      <c r="BA748" s="325" t="str">
        <f>IF(BDEGENER[[#This Row],[SERVICIO]]=BDEGENER[[#This Row],[GA2]],BDEGENER[[#This Row],[HORAS]],"0")</f>
        <v>0</v>
      </c>
      <c r="BB748" s="325">
        <f>SUMIF(BDEGENER[SERIE],BDEGENER[[#This Row],[SERIE]],BDEGENER[GA3])</f>
        <v>2294</v>
      </c>
      <c r="BC748" s="761" t="str">
        <f>CONCATENATE("MANT",COUNTIF($Y$7:Y748,Y748))</f>
        <v>MANT10</v>
      </c>
      <c r="BD748" s="29" t="str">
        <f>CONCATENATE(BDEGENER[[#This Row],[SERIE]],BDEGENER[[#This Row],[GA5]])</f>
        <v>3004290369MANT10</v>
      </c>
      <c r="BE748" s="29" t="str">
        <f>CONCATENATE(BDEGENER[[#This Row],[CODIGO PATRIMONIAL]],BDEGENER[[#This Row],[GA5]])</f>
        <v xml:space="preserve"> MANT10</v>
      </c>
      <c r="BF748" s="16">
        <f>COUNTIF(BDEGENER[SERIE],BDEGENER[[#This Row],[SERIE]])</f>
        <v>11</v>
      </c>
      <c r="BG748" s="761" t="str">
        <f>CONCATENATE("F",COUNTIF($K$7:K748,K748))</f>
        <v>F10</v>
      </c>
      <c r="BH748" s="325" t="str">
        <f>CONCATENATE(BDEGENER[[#This Row],[FECHA DE SERVICIO]],BDEGENER[[#This Row],[N° DE REGISTROS DEL DIA]])</f>
        <v>43794F10</v>
      </c>
      <c r="BI748" s="324"/>
      <c r="BJ748" s="85" t="s">
        <v>1544</v>
      </c>
      <c r="BK748" s="326"/>
    </row>
    <row r="749" spans="2:63" ht="69" hidden="1" x14ac:dyDescent="0.3">
      <c r="B749" s="223"/>
      <c r="C749" s="223"/>
      <c r="D749" s="223"/>
      <c r="E749" s="223"/>
      <c r="F749" s="223"/>
      <c r="G749" s="223"/>
      <c r="H749" s="223"/>
      <c r="I749" s="223"/>
      <c r="J749" s="223"/>
      <c r="K749" s="723">
        <v>43794</v>
      </c>
      <c r="L749" s="15" t="s">
        <v>181</v>
      </c>
      <c r="M749" s="14" t="s">
        <v>188</v>
      </c>
      <c r="N749" s="14" t="s">
        <v>183</v>
      </c>
      <c r="O749" s="8" t="s">
        <v>159</v>
      </c>
      <c r="P749" s="15" t="s">
        <v>159</v>
      </c>
      <c r="Q749" s="14" t="s">
        <v>107</v>
      </c>
      <c r="R749" s="85" t="s">
        <v>1782</v>
      </c>
      <c r="S749" s="5" t="s">
        <v>44</v>
      </c>
      <c r="T749" s="14" t="s">
        <v>91</v>
      </c>
      <c r="U749" s="14" t="s">
        <v>122</v>
      </c>
      <c r="V749" s="14" t="s">
        <v>146</v>
      </c>
      <c r="W749" s="85" t="s">
        <v>914</v>
      </c>
      <c r="X749" s="85" t="s">
        <v>918</v>
      </c>
      <c r="Y749" s="15">
        <v>3004331707</v>
      </c>
      <c r="Z749" s="14"/>
      <c r="AA749" s="14" t="s">
        <v>33</v>
      </c>
      <c r="AB749" s="85" t="s">
        <v>34</v>
      </c>
      <c r="AC749" s="14" t="s">
        <v>230</v>
      </c>
      <c r="AD749" s="16"/>
      <c r="AE749" s="16"/>
      <c r="AF749" s="12" t="s">
        <v>177</v>
      </c>
      <c r="AG749" s="16" t="s">
        <v>243</v>
      </c>
      <c r="AH749" s="16" t="s">
        <v>220</v>
      </c>
      <c r="AI749" s="16" t="s">
        <v>33</v>
      </c>
      <c r="AJ749" s="16">
        <v>3004308222</v>
      </c>
      <c r="AK749" s="16" t="s">
        <v>33</v>
      </c>
      <c r="AL749" s="16">
        <v>106304910</v>
      </c>
      <c r="AM749" s="16"/>
      <c r="AN749" s="16"/>
      <c r="AO749" s="16"/>
      <c r="AP749" s="14" t="s">
        <v>240</v>
      </c>
      <c r="AQ749" s="165" t="str">
        <f>CONCATENATE("REG-",BDEGENER[[#This Row],[FECHA DE SERVICIO]],"-",BDEGENER[[#This Row],[SERIE]],"-",BDEGENER[[#This Row],[HORAS]])</f>
        <v>REG-43794-3004331707-NR</v>
      </c>
      <c r="AR749" s="5" t="str">
        <f>CONCATENATE("MARCA: ",BDEGENER[[#This Row],[MARCA]],"
 MODELO: ",BDEGENER[[#This Row],[MODELO]])</f>
        <v>MARCA: GENERAC
 MODELO: PG090</v>
      </c>
      <c r="AS749" s="5" t="str">
        <f>CONCATENATE("MARCA: ",BDEGENER[[#This Row],[MARCA DE MOTOR]],"
SERIE: ",BDEGENER[[#This Row],[SERIE DE MOTOR]])</f>
        <v>MARCA: GENERAC
SERIE: 3004308222</v>
      </c>
      <c r="AT749" s="5" t="str">
        <f>CONCATENATE("MARCA: ",BDEGENER[[#This Row],[MARCA ALTERNADOR ]],"
SERIE: ",BDEGENER[[#This Row],[SERIE DE ALTERNADOR]])</f>
        <v>MARCA: GENERAC
SERIE: 106304910</v>
      </c>
      <c r="AU749"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49" s="683">
        <f>COUNTIFS(Q749:Q2749,"MANTENIMIENTO CORRECTIVO",Y749:Y2749,BDEGENER[[#This Row],[SERIE]])</f>
        <v>1</v>
      </c>
      <c r="AW749" s="683">
        <f>COUNTIFS(Q749:Q2749,"MANTENIMIENTO PREVENTIVO",Y749:Y2749,BDEGENER[[#This Row],[SERIE]])</f>
        <v>0</v>
      </c>
      <c r="AX74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49" s="29">
        <f>COUNTIFS(BDEGENER[SERIE],BDEGENER[[#This Row],[SERIE]],BDEGENER[TIPO DE SERVICIO],"MANTENIMIENTO PREVENTIVO")</f>
        <v>3</v>
      </c>
      <c r="AZ749" s="29" t="str">
        <f>CONCATENATE("MANTENIMIENTO PREVENTIVO N°",BDEGENER[[#This Row],[GA1]])</f>
        <v>MANTENIMIENTO PREVENTIVO N°3</v>
      </c>
      <c r="BA749" s="325" t="str">
        <f>IF(BDEGENER[[#This Row],[SERVICIO]]=BDEGENER[[#This Row],[GA2]],BDEGENER[[#This Row],[HORAS]],"0")</f>
        <v>0</v>
      </c>
      <c r="BB749" s="325">
        <f>SUMIF(BDEGENER[SERIE],BDEGENER[[#This Row],[SERIE]],BDEGENER[GA3])</f>
        <v>938</v>
      </c>
      <c r="BC749" s="683" t="str">
        <f>CONCATENATE("MANT",COUNTIF($Y$7:Y749,Y749))</f>
        <v>MANT7</v>
      </c>
      <c r="BD749" s="29" t="str">
        <f>CONCATENATE(BDEGENER[[#This Row],[SERIE]],BDEGENER[[#This Row],[GA5]])</f>
        <v>3004331707MANT7</v>
      </c>
      <c r="BE749" s="29" t="str">
        <f>CONCATENATE(BDEGENER[[#This Row],[CODIGO PATRIMONIAL]],BDEGENER[[#This Row],[GA5]])</f>
        <v>MANT7</v>
      </c>
      <c r="BF749" s="16">
        <f>COUNTIF(BDEGENER[SERIE],BDEGENER[[#This Row],[SERIE]])</f>
        <v>8</v>
      </c>
      <c r="BG749" s="683" t="str">
        <f>CONCATENATE("F",COUNTIF($K$7:K749,K749))</f>
        <v>F11</v>
      </c>
      <c r="BH749" s="325" t="str">
        <f>CONCATENATE(BDEGENER[[#This Row],[FECHA DE SERVICIO]],BDEGENER[[#This Row],[N° DE REGISTROS DEL DIA]])</f>
        <v>43794F11</v>
      </c>
      <c r="BI749" s="324"/>
      <c r="BJ749" s="85" t="s">
        <v>1544</v>
      </c>
      <c r="BK749" s="326"/>
    </row>
    <row r="750" spans="2:63" ht="69" hidden="1" x14ac:dyDescent="0.3">
      <c r="B750" s="223"/>
      <c r="C750" s="223"/>
      <c r="D750" s="223"/>
      <c r="E750" s="223"/>
      <c r="F750" s="223"/>
      <c r="G750" s="223"/>
      <c r="H750" s="223"/>
      <c r="I750" s="223"/>
      <c r="J750" s="223"/>
      <c r="K750" s="723">
        <v>43794</v>
      </c>
      <c r="L750" s="15" t="s">
        <v>181</v>
      </c>
      <c r="M750" s="14" t="s">
        <v>185</v>
      </c>
      <c r="N750" s="14" t="s">
        <v>183</v>
      </c>
      <c r="O750" s="8" t="s">
        <v>159</v>
      </c>
      <c r="P750" s="15" t="s">
        <v>159</v>
      </c>
      <c r="Q750" s="14" t="s">
        <v>107</v>
      </c>
      <c r="R750" s="85" t="s">
        <v>1782</v>
      </c>
      <c r="S750" s="5" t="s">
        <v>44</v>
      </c>
      <c r="T750" s="14" t="s">
        <v>91</v>
      </c>
      <c r="U750" s="14" t="s">
        <v>122</v>
      </c>
      <c r="V750" s="14" t="s">
        <v>146</v>
      </c>
      <c r="W750" s="85" t="s">
        <v>914</v>
      </c>
      <c r="X750" s="85" t="s">
        <v>918</v>
      </c>
      <c r="Y750" s="15">
        <v>3004290366</v>
      </c>
      <c r="Z750" s="14"/>
      <c r="AA750" s="14" t="s">
        <v>33</v>
      </c>
      <c r="AB750" s="85" t="s">
        <v>34</v>
      </c>
      <c r="AC750" s="14" t="s">
        <v>230</v>
      </c>
      <c r="AD750" s="16"/>
      <c r="AE750" s="16"/>
      <c r="AF750" s="12" t="s">
        <v>177</v>
      </c>
      <c r="AG750" s="16" t="s">
        <v>243</v>
      </c>
      <c r="AH750" s="16" t="s">
        <v>220</v>
      </c>
      <c r="AI750" s="16" t="s">
        <v>33</v>
      </c>
      <c r="AJ750" s="85">
        <v>3004295604</v>
      </c>
      <c r="AK750" s="16" t="s">
        <v>33</v>
      </c>
      <c r="AL750" s="85">
        <v>1063129</v>
      </c>
      <c r="AM750" s="16"/>
      <c r="AN750" s="16"/>
      <c r="AO750" s="16"/>
      <c r="AP750" s="14" t="s">
        <v>240</v>
      </c>
      <c r="AQ750" s="165" t="str">
        <f>CONCATENATE("REG-",BDEGENER[[#This Row],[FECHA DE SERVICIO]],"-",BDEGENER[[#This Row],[SERIE]],"-",BDEGENER[[#This Row],[HORAS]])</f>
        <v>REG-43794-3004290366-NR</v>
      </c>
      <c r="AR750" s="5" t="str">
        <f>CONCATENATE("MARCA: ",BDEGENER[[#This Row],[MARCA]],"
 MODELO: ",BDEGENER[[#This Row],[MODELO]])</f>
        <v>MARCA: GENERAC
 MODELO: PG090</v>
      </c>
      <c r="AS750" s="5" t="str">
        <f>CONCATENATE("MARCA: ",BDEGENER[[#This Row],[MARCA DE MOTOR]],"
SERIE: ",BDEGENER[[#This Row],[SERIE DE MOTOR]])</f>
        <v>MARCA: GENERAC
SERIE: 3004295604</v>
      </c>
      <c r="AT750" s="5" t="str">
        <f>CONCATENATE("MARCA: ",BDEGENER[[#This Row],[MARCA ALTERNADOR ]],"
SERIE: ",BDEGENER[[#This Row],[SERIE DE ALTERNADOR]])</f>
        <v>MARCA: GENERAC
SERIE: 1063129</v>
      </c>
      <c r="AU750"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50" s="683">
        <f>COUNTIFS(Q750:Q2750,"MANTENIMIENTO CORRECTIVO",Y750:Y2750,BDEGENER[[#This Row],[SERIE]])</f>
        <v>1</v>
      </c>
      <c r="AW750" s="683">
        <f>COUNTIFS(Q750:Q2750,"MANTENIMIENTO PREVENTIVO",Y750:Y2750,BDEGENER[[#This Row],[SERIE]])</f>
        <v>1</v>
      </c>
      <c r="AX75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50" s="29">
        <f>COUNTIFS(BDEGENER[SERIE],BDEGENER[[#This Row],[SERIE]],BDEGENER[TIPO DE SERVICIO],"MANTENIMIENTO PREVENTIVO")</f>
        <v>7</v>
      </c>
      <c r="AZ750" s="29" t="str">
        <f>CONCATENATE("MANTENIMIENTO PREVENTIVO N°",BDEGENER[[#This Row],[GA1]])</f>
        <v>MANTENIMIENTO PREVENTIVO N°7</v>
      </c>
      <c r="BA750" s="325" t="str">
        <f>IF(BDEGENER[[#This Row],[SERVICIO]]=BDEGENER[[#This Row],[GA2]],BDEGENER[[#This Row],[HORAS]],"0")</f>
        <v>0</v>
      </c>
      <c r="BB750" s="325">
        <f>SUMIF(BDEGENER[SERIE],BDEGENER[[#This Row],[SERIE]],BDEGENER[GA3])</f>
        <v>2629.6</v>
      </c>
      <c r="BC750" s="683" t="str">
        <f>CONCATENATE("MANT",COUNTIF($Y$7:Y750,Y750))</f>
        <v>MANT12</v>
      </c>
      <c r="BD750" s="29" t="str">
        <f>CONCATENATE(BDEGENER[[#This Row],[SERIE]],BDEGENER[[#This Row],[GA5]])</f>
        <v>3004290366MANT12</v>
      </c>
      <c r="BE750" s="29" t="str">
        <f>CONCATENATE(BDEGENER[[#This Row],[CODIGO PATRIMONIAL]],BDEGENER[[#This Row],[GA5]])</f>
        <v>MANT12</v>
      </c>
      <c r="BF750" s="16">
        <f>COUNTIF(BDEGENER[SERIE],BDEGENER[[#This Row],[SERIE]])</f>
        <v>14</v>
      </c>
      <c r="BG750" s="683" t="str">
        <f>CONCATENATE("F",COUNTIF($K$7:K750,K750))</f>
        <v>F12</v>
      </c>
      <c r="BH750" s="325" t="str">
        <f>CONCATENATE(BDEGENER[[#This Row],[FECHA DE SERVICIO]],BDEGENER[[#This Row],[N° DE REGISTROS DEL DIA]])</f>
        <v>43794F12</v>
      </c>
      <c r="BI750" s="324"/>
      <c r="BJ750" s="85" t="s">
        <v>1544</v>
      </c>
      <c r="BK750" s="326"/>
    </row>
    <row r="751" spans="2:63" ht="69" hidden="1" x14ac:dyDescent="0.3">
      <c r="B751" s="223"/>
      <c r="C751" s="223"/>
      <c r="D751" s="223"/>
      <c r="E751" s="223"/>
      <c r="F751" s="223"/>
      <c r="G751" s="223"/>
      <c r="H751" s="223"/>
      <c r="I751" s="223"/>
      <c r="J751" s="223"/>
      <c r="K751" s="723">
        <v>43794</v>
      </c>
      <c r="L751" s="15" t="s">
        <v>181</v>
      </c>
      <c r="M751" s="14" t="s">
        <v>187</v>
      </c>
      <c r="N751" s="14" t="s">
        <v>183</v>
      </c>
      <c r="O751" s="8" t="s">
        <v>159</v>
      </c>
      <c r="P751" s="15" t="s">
        <v>159</v>
      </c>
      <c r="Q751" s="14" t="s">
        <v>107</v>
      </c>
      <c r="R751" s="85" t="s">
        <v>1782</v>
      </c>
      <c r="S751" s="5" t="s">
        <v>44</v>
      </c>
      <c r="T751" s="14" t="s">
        <v>91</v>
      </c>
      <c r="U751" s="14" t="s">
        <v>122</v>
      </c>
      <c r="V751" s="14" t="s">
        <v>146</v>
      </c>
      <c r="W751" s="85" t="s">
        <v>914</v>
      </c>
      <c r="X751" s="85" t="s">
        <v>918</v>
      </c>
      <c r="Y751" s="15">
        <v>3004214491</v>
      </c>
      <c r="Z751" s="14"/>
      <c r="AA751" s="14" t="s">
        <v>33</v>
      </c>
      <c r="AB751" s="85" t="s">
        <v>34</v>
      </c>
      <c r="AC751" s="14" t="s">
        <v>230</v>
      </c>
      <c r="AD751" s="16"/>
      <c r="AE751" s="16"/>
      <c r="AF751" s="12" t="s">
        <v>177</v>
      </c>
      <c r="AG751" s="16" t="s">
        <v>243</v>
      </c>
      <c r="AH751" s="16" t="s">
        <v>244</v>
      </c>
      <c r="AI751" s="16" t="s">
        <v>33</v>
      </c>
      <c r="AJ751" s="85">
        <v>3004133600</v>
      </c>
      <c r="AK751" s="85" t="s">
        <v>33</v>
      </c>
      <c r="AL751" s="85">
        <v>1063014</v>
      </c>
      <c r="AM751" s="16"/>
      <c r="AN751" s="16"/>
      <c r="AO751" s="16"/>
      <c r="AP751" s="14" t="s">
        <v>240</v>
      </c>
      <c r="AQ751" s="165" t="str">
        <f>CONCATENATE("REG-",BDEGENER[[#This Row],[FECHA DE SERVICIO]],"-",BDEGENER[[#This Row],[SERIE]],"-",BDEGENER[[#This Row],[HORAS]])</f>
        <v>REG-43794-3004214491-NR</v>
      </c>
      <c r="AR751" s="5" t="str">
        <f>CONCATENATE("MARCA: ",BDEGENER[[#This Row],[MARCA]],"
 MODELO: ",BDEGENER[[#This Row],[MODELO]])</f>
        <v>MARCA: GENERAC
 MODELO: PG090</v>
      </c>
      <c r="AS751" s="5" t="str">
        <f>CONCATENATE("MARCA: ",BDEGENER[[#This Row],[MARCA DE MOTOR]],"
SERIE: ",BDEGENER[[#This Row],[SERIE DE MOTOR]])</f>
        <v>MARCA: GENERAC
SERIE: 3004133600</v>
      </c>
      <c r="AT751" s="5" t="str">
        <f>CONCATENATE("MARCA: ",BDEGENER[[#This Row],[MARCA ALTERNADOR ]],"
SERIE: ",BDEGENER[[#This Row],[SERIE DE ALTERNADOR]])</f>
        <v>MARCA: GENERAC
SERIE: 1063014</v>
      </c>
      <c r="AU751"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51" s="761">
        <f>COUNTIFS(Q751:Q2751,"MANTENIMIENTO CORRECTIVO",Y751:Y2751,BDEGENER[[#This Row],[SERIE]])</f>
        <v>1</v>
      </c>
      <c r="AW751" s="761">
        <f>COUNTIFS(Q751:Q2751,"MANTENIMIENTO PREVENTIVO",Y751:Y2751,BDEGENER[[#This Row],[SERIE]])</f>
        <v>0</v>
      </c>
      <c r="AX75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51" s="29">
        <f>COUNTIFS(BDEGENER[SERIE],BDEGENER[[#This Row],[SERIE]],BDEGENER[TIPO DE SERVICIO],"MANTENIMIENTO PREVENTIVO")</f>
        <v>9</v>
      </c>
      <c r="AZ751" s="29" t="str">
        <f>CONCATENATE("MANTENIMIENTO PREVENTIVO N°",BDEGENER[[#This Row],[GA1]])</f>
        <v>MANTENIMIENTO PREVENTIVO N°9</v>
      </c>
      <c r="BA751" s="325" t="str">
        <f>IF(BDEGENER[[#This Row],[SERVICIO]]=BDEGENER[[#This Row],[GA2]],BDEGENER[[#This Row],[HORAS]],"0")</f>
        <v>0</v>
      </c>
      <c r="BB751" s="325">
        <f>SUMIF(BDEGENER[SERIE],BDEGENER[[#This Row],[SERIE]],BDEGENER[GA3])</f>
        <v>2751</v>
      </c>
      <c r="BC751" s="761" t="str">
        <f>CONCATENATE("MANT",COUNTIF($Y$7:Y751,Y751))</f>
        <v>MANT17</v>
      </c>
      <c r="BD751" s="29" t="str">
        <f>CONCATENATE(BDEGENER[[#This Row],[SERIE]],BDEGENER[[#This Row],[GA5]])</f>
        <v>3004214491MANT17</v>
      </c>
      <c r="BE751" s="29" t="str">
        <f>CONCATENATE(BDEGENER[[#This Row],[CODIGO PATRIMONIAL]],BDEGENER[[#This Row],[GA5]])</f>
        <v>MANT17</v>
      </c>
      <c r="BF751" s="16">
        <f>COUNTIF(BDEGENER[SERIE],BDEGENER[[#This Row],[SERIE]])</f>
        <v>18</v>
      </c>
      <c r="BG751" s="761" t="str">
        <f>CONCATENATE("F",COUNTIF($K$7:K751,K751))</f>
        <v>F13</v>
      </c>
      <c r="BH751" s="325" t="str">
        <f>CONCATENATE(BDEGENER[[#This Row],[FECHA DE SERVICIO]],BDEGENER[[#This Row],[N° DE REGISTROS DEL DIA]])</f>
        <v>43794F13</v>
      </c>
      <c r="BI751" s="324"/>
      <c r="BJ751" s="85" t="s">
        <v>1544</v>
      </c>
      <c r="BK751" s="326"/>
    </row>
    <row r="752" spans="2:63" ht="69" hidden="1" x14ac:dyDescent="0.3">
      <c r="B752" s="223"/>
      <c r="C752" s="223"/>
      <c r="D752" s="223"/>
      <c r="E752" s="223"/>
      <c r="F752" s="223"/>
      <c r="G752" s="223"/>
      <c r="H752" s="223"/>
      <c r="I752" s="223"/>
      <c r="J752" s="223"/>
      <c r="K752" s="723">
        <v>43794</v>
      </c>
      <c r="L752" s="15" t="s">
        <v>181</v>
      </c>
      <c r="M752" s="14" t="s">
        <v>182</v>
      </c>
      <c r="N752" s="14" t="s">
        <v>183</v>
      </c>
      <c r="O752" s="8" t="s">
        <v>159</v>
      </c>
      <c r="P752" s="15" t="s">
        <v>159</v>
      </c>
      <c r="Q752" s="14" t="s">
        <v>107</v>
      </c>
      <c r="R752" s="85" t="s">
        <v>1782</v>
      </c>
      <c r="S752" s="5" t="s">
        <v>44</v>
      </c>
      <c r="T752" s="14" t="s">
        <v>91</v>
      </c>
      <c r="U752" s="14" t="s">
        <v>122</v>
      </c>
      <c r="V752" s="14" t="s">
        <v>146</v>
      </c>
      <c r="W752" s="85" t="s">
        <v>914</v>
      </c>
      <c r="X752" s="85" t="s">
        <v>918</v>
      </c>
      <c r="Y752" s="15">
        <v>3004256777</v>
      </c>
      <c r="Z752" s="14"/>
      <c r="AA752" s="14" t="s">
        <v>33</v>
      </c>
      <c r="AB752" s="85" t="s">
        <v>34</v>
      </c>
      <c r="AC752" s="14" t="s">
        <v>230</v>
      </c>
      <c r="AD752" s="16"/>
      <c r="AE752" s="16"/>
      <c r="AF752" s="12" t="s">
        <v>177</v>
      </c>
      <c r="AG752" s="16" t="s">
        <v>243</v>
      </c>
      <c r="AH752" s="16" t="s">
        <v>220</v>
      </c>
      <c r="AI752" s="16" t="s">
        <v>33</v>
      </c>
      <c r="AJ752" s="16"/>
      <c r="AK752" s="16" t="s">
        <v>33</v>
      </c>
      <c r="AL752" s="16"/>
      <c r="AM752" s="16"/>
      <c r="AN752" s="16"/>
      <c r="AO752" s="16"/>
      <c r="AP752" s="14" t="s">
        <v>240</v>
      </c>
      <c r="AQ752" s="165" t="str">
        <f>CONCATENATE("REG-",BDEGENER[[#This Row],[FECHA DE SERVICIO]],"-",BDEGENER[[#This Row],[SERIE]],"-",BDEGENER[[#This Row],[HORAS]])</f>
        <v>REG-43794-3004256777-NR</v>
      </c>
      <c r="AR752" s="5" t="str">
        <f>CONCATENATE("MARCA: ",BDEGENER[[#This Row],[MARCA]],"
 MODELO: ",BDEGENER[[#This Row],[MODELO]])</f>
        <v>MARCA: GENERAC
 MODELO: PG090</v>
      </c>
      <c r="AS752" s="5" t="str">
        <f>CONCATENATE("MARCA: ",BDEGENER[[#This Row],[MARCA DE MOTOR]],"
SERIE: ",BDEGENER[[#This Row],[SERIE DE MOTOR]])</f>
        <v xml:space="preserve">MARCA: GENERAC
SERIE: </v>
      </c>
      <c r="AT752" s="5" t="str">
        <f>CONCATENATE("MARCA: ",BDEGENER[[#This Row],[MARCA ALTERNADOR ]],"
SERIE: ",BDEGENER[[#This Row],[SERIE DE ALTERNADOR]])</f>
        <v xml:space="preserve">MARCA: GENERAC
SERIE: </v>
      </c>
      <c r="AU752"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52" s="683">
        <f>COUNTIFS(Q752:Q2752,"MANTENIMIENTO CORRECTIVO",Y752:Y2752,BDEGENER[[#This Row],[SERIE]])</f>
        <v>1</v>
      </c>
      <c r="AW752" s="683">
        <f>COUNTIFS(Q752:Q2752,"MANTENIMIENTO PREVENTIVO",Y752:Y2752,BDEGENER[[#This Row],[SERIE]])</f>
        <v>0</v>
      </c>
      <c r="AX75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52" s="29">
        <f>COUNTIFS(BDEGENER[SERIE],BDEGENER[[#This Row],[SERIE]],BDEGENER[TIPO DE SERVICIO],"MANTENIMIENTO PREVENTIVO")</f>
        <v>9</v>
      </c>
      <c r="AZ752" s="29" t="str">
        <f>CONCATENATE("MANTENIMIENTO PREVENTIVO N°",BDEGENER[[#This Row],[GA1]])</f>
        <v>MANTENIMIENTO PREVENTIVO N°9</v>
      </c>
      <c r="BA752" s="325" t="str">
        <f>IF(BDEGENER[[#This Row],[SERVICIO]]=BDEGENER[[#This Row],[GA2]],BDEGENER[[#This Row],[HORAS]],"0")</f>
        <v>0</v>
      </c>
      <c r="BB752" s="325">
        <f>SUMIF(BDEGENER[SERIE],BDEGENER[[#This Row],[SERIE]],BDEGENER[GA3])</f>
        <v>2804.7</v>
      </c>
      <c r="BC752" s="683" t="str">
        <f>CONCATENATE("MANT",COUNTIF($Y$7:Y752,Y752))</f>
        <v>MANT15</v>
      </c>
      <c r="BD752" s="29" t="str">
        <f>CONCATENATE(BDEGENER[[#This Row],[SERIE]],BDEGENER[[#This Row],[GA5]])</f>
        <v>3004256777MANT15</v>
      </c>
      <c r="BE752" s="29" t="str">
        <f>CONCATENATE(BDEGENER[[#This Row],[CODIGO PATRIMONIAL]],BDEGENER[[#This Row],[GA5]])</f>
        <v>MANT15</v>
      </c>
      <c r="BF752" s="16">
        <f>COUNTIF(BDEGENER[SERIE],BDEGENER[[#This Row],[SERIE]])</f>
        <v>16</v>
      </c>
      <c r="BG752" s="683" t="str">
        <f>CONCATENATE("F",COUNTIF($K$7:K752,K752))</f>
        <v>F14</v>
      </c>
      <c r="BH752" s="325" t="str">
        <f>CONCATENATE(BDEGENER[[#This Row],[FECHA DE SERVICIO]],BDEGENER[[#This Row],[N° DE REGISTROS DEL DIA]])</f>
        <v>43794F14</v>
      </c>
      <c r="BI752" s="324"/>
      <c r="BJ752" s="85" t="s">
        <v>1544</v>
      </c>
      <c r="BK752" s="326"/>
    </row>
    <row r="753" spans="2:63" ht="69" hidden="1" x14ac:dyDescent="0.3">
      <c r="B753" s="223"/>
      <c r="C753" s="223"/>
      <c r="D753" s="223"/>
      <c r="E753" s="223"/>
      <c r="F753" s="223"/>
      <c r="G753" s="223"/>
      <c r="H753" s="223"/>
      <c r="I753" s="223"/>
      <c r="J753" s="223"/>
      <c r="K753" s="723">
        <v>43794</v>
      </c>
      <c r="L753" s="15" t="s">
        <v>181</v>
      </c>
      <c r="M753" s="14" t="s">
        <v>184</v>
      </c>
      <c r="N753" s="14" t="s">
        <v>183</v>
      </c>
      <c r="O753" s="8" t="s">
        <v>159</v>
      </c>
      <c r="P753" s="15" t="s">
        <v>159</v>
      </c>
      <c r="Q753" s="14" t="s">
        <v>107</v>
      </c>
      <c r="R753" s="85" t="s">
        <v>1782</v>
      </c>
      <c r="S753" s="5" t="s">
        <v>44</v>
      </c>
      <c r="T753" s="14" t="s">
        <v>91</v>
      </c>
      <c r="U753" s="14" t="s">
        <v>122</v>
      </c>
      <c r="V753" s="14" t="s">
        <v>146</v>
      </c>
      <c r="W753" s="85" t="s">
        <v>914</v>
      </c>
      <c r="X753" s="85" t="s">
        <v>918</v>
      </c>
      <c r="Y753" s="15">
        <v>3004336197</v>
      </c>
      <c r="Z753" s="14"/>
      <c r="AA753" s="14" t="s">
        <v>33</v>
      </c>
      <c r="AB753" s="85" t="s">
        <v>34</v>
      </c>
      <c r="AC753" s="14" t="s">
        <v>230</v>
      </c>
      <c r="AD753" s="16"/>
      <c r="AE753" s="16"/>
      <c r="AF753" s="12" t="s">
        <v>177</v>
      </c>
      <c r="AG753" s="16" t="s">
        <v>243</v>
      </c>
      <c r="AH753" s="16" t="s">
        <v>220</v>
      </c>
      <c r="AI753" s="16" t="s">
        <v>33</v>
      </c>
      <c r="AJ753" s="85">
        <v>3004309062</v>
      </c>
      <c r="AK753" s="16" t="s">
        <v>33</v>
      </c>
      <c r="AL753" s="85">
        <v>1065072</v>
      </c>
      <c r="AM753" s="16"/>
      <c r="AN753" s="16"/>
      <c r="AO753" s="16"/>
      <c r="AP753" s="14" t="s">
        <v>240</v>
      </c>
      <c r="AQ753" s="165" t="str">
        <f>CONCATENATE("REG-",BDEGENER[[#This Row],[FECHA DE SERVICIO]],"-",BDEGENER[[#This Row],[SERIE]],"-",BDEGENER[[#This Row],[HORAS]])</f>
        <v>REG-43794-3004336197-NR</v>
      </c>
      <c r="AR753" s="5" t="str">
        <f>CONCATENATE("MARCA: ",BDEGENER[[#This Row],[MARCA]],"
 MODELO: ",BDEGENER[[#This Row],[MODELO]])</f>
        <v>MARCA: GENERAC
 MODELO: PG090</v>
      </c>
      <c r="AS753" s="5" t="str">
        <f>CONCATENATE("MARCA: ",BDEGENER[[#This Row],[MARCA DE MOTOR]],"
SERIE: ",BDEGENER[[#This Row],[SERIE DE MOTOR]])</f>
        <v>MARCA: GENERAC
SERIE: 3004309062</v>
      </c>
      <c r="AT753" s="5" t="str">
        <f>CONCATENATE("MARCA: ",BDEGENER[[#This Row],[MARCA ALTERNADOR ]],"
SERIE: ",BDEGENER[[#This Row],[SERIE DE ALTERNADOR]])</f>
        <v>MARCA: GENERAC
SERIE: 1065072</v>
      </c>
      <c r="AU753"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53" s="683">
        <f>COUNTIFS(Q753:Q2753,"MANTENIMIENTO CORRECTIVO",Y753:Y2753,BDEGENER[[#This Row],[SERIE]])</f>
        <v>1</v>
      </c>
      <c r="AW753" s="683">
        <f>COUNTIFS(Q753:Q2753,"MANTENIMIENTO PREVENTIVO",Y753:Y2753,BDEGENER[[#This Row],[SERIE]])</f>
        <v>1</v>
      </c>
      <c r="AX75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53" s="29">
        <f>COUNTIFS(BDEGENER[SERIE],BDEGENER[[#This Row],[SERIE]],BDEGENER[TIPO DE SERVICIO],"MANTENIMIENTO PREVENTIVO")</f>
        <v>9</v>
      </c>
      <c r="AZ753" s="29" t="str">
        <f>CONCATENATE("MANTENIMIENTO PREVENTIVO N°",BDEGENER[[#This Row],[GA1]])</f>
        <v>MANTENIMIENTO PREVENTIVO N°9</v>
      </c>
      <c r="BA753" s="325" t="str">
        <f>IF(BDEGENER[[#This Row],[SERVICIO]]=BDEGENER[[#This Row],[GA2]],BDEGENER[[#This Row],[HORAS]],"0")</f>
        <v>0</v>
      </c>
      <c r="BB753" s="325">
        <f>SUMIF(BDEGENER[SERIE],BDEGENER[[#This Row],[SERIE]],BDEGENER[GA3])</f>
        <v>2922.3</v>
      </c>
      <c r="BC753" s="683" t="str">
        <f>CONCATENATE("MANT",COUNTIF($Y$7:Y753,Y753))</f>
        <v>MANT15</v>
      </c>
      <c r="BD753" s="29" t="str">
        <f>CONCATENATE(BDEGENER[[#This Row],[SERIE]],BDEGENER[[#This Row],[GA5]])</f>
        <v>3004336197MANT15</v>
      </c>
      <c r="BE753" s="29" t="str">
        <f>CONCATENATE(BDEGENER[[#This Row],[CODIGO PATRIMONIAL]],BDEGENER[[#This Row],[GA5]])</f>
        <v>MANT15</v>
      </c>
      <c r="BF753" s="16">
        <f>COUNTIF(BDEGENER[SERIE],BDEGENER[[#This Row],[SERIE]])</f>
        <v>17</v>
      </c>
      <c r="BG753" s="683" t="str">
        <f>CONCATENATE("F",COUNTIF($K$7:K753,K753))</f>
        <v>F15</v>
      </c>
      <c r="BH753" s="325" t="str">
        <f>CONCATENATE(BDEGENER[[#This Row],[FECHA DE SERVICIO]],BDEGENER[[#This Row],[N° DE REGISTROS DEL DIA]])</f>
        <v>43794F15</v>
      </c>
      <c r="BI753" s="324"/>
      <c r="BJ753" s="85" t="s">
        <v>1544</v>
      </c>
      <c r="BK753" s="326"/>
    </row>
    <row r="754" spans="2:63" ht="69" hidden="1" x14ac:dyDescent="0.3">
      <c r="B754" s="223"/>
      <c r="C754" s="223"/>
      <c r="D754" s="223"/>
      <c r="E754" s="223"/>
      <c r="F754" s="223"/>
      <c r="G754" s="223"/>
      <c r="H754" s="223"/>
      <c r="I754" s="223"/>
      <c r="J754" s="223"/>
      <c r="K754" s="723">
        <v>43794</v>
      </c>
      <c r="L754" s="15" t="s">
        <v>181</v>
      </c>
      <c r="M754" s="14" t="s">
        <v>187</v>
      </c>
      <c r="N754" s="14" t="s">
        <v>183</v>
      </c>
      <c r="O754" s="8" t="s">
        <v>159</v>
      </c>
      <c r="P754" s="15" t="s">
        <v>159</v>
      </c>
      <c r="Q754" s="14" t="s">
        <v>107</v>
      </c>
      <c r="R754" s="85" t="s">
        <v>1782</v>
      </c>
      <c r="S754" s="5" t="s">
        <v>44</v>
      </c>
      <c r="T754" s="14" t="s">
        <v>91</v>
      </c>
      <c r="U754" s="14" t="s">
        <v>122</v>
      </c>
      <c r="V754" s="14" t="s">
        <v>146</v>
      </c>
      <c r="W754" s="85" t="s">
        <v>914</v>
      </c>
      <c r="X754" s="85" t="s">
        <v>918</v>
      </c>
      <c r="Y754" s="15">
        <v>3004337430</v>
      </c>
      <c r="Z754" s="14"/>
      <c r="AA754" s="14" t="s">
        <v>33</v>
      </c>
      <c r="AB754" s="85" t="s">
        <v>34</v>
      </c>
      <c r="AC754" s="14" t="s">
        <v>230</v>
      </c>
      <c r="AD754" s="16"/>
      <c r="AE754" s="16"/>
      <c r="AF754" s="12" t="s">
        <v>177</v>
      </c>
      <c r="AG754" s="85" t="s">
        <v>243</v>
      </c>
      <c r="AH754" s="85" t="s">
        <v>220</v>
      </c>
      <c r="AI754" s="85" t="s">
        <v>33</v>
      </c>
      <c r="AJ754" s="16"/>
      <c r="AK754" s="85" t="s">
        <v>33</v>
      </c>
      <c r="AL754" s="16"/>
      <c r="AM754" s="16"/>
      <c r="AN754" s="16"/>
      <c r="AO754" s="16"/>
      <c r="AP754" s="14" t="s">
        <v>240</v>
      </c>
      <c r="AQ754" s="201" t="str">
        <f>CONCATENATE("REG-",BDEGENER[[#This Row],[FECHA DE SERVICIO]],"-",BDEGENER[[#This Row],[SERIE]],"-",BDEGENER[[#This Row],[HORAS]])</f>
        <v>REG-43794-3004337430-NR</v>
      </c>
      <c r="AR754" s="5" t="str">
        <f>CONCATENATE("MARCA: ",BDEGENER[[#This Row],[MARCA]],"
 MODELO: ",BDEGENER[[#This Row],[MODELO]])</f>
        <v>MARCA: GENERAC
 MODELO: PG090</v>
      </c>
      <c r="AS754" s="5" t="str">
        <f>CONCATENATE("MARCA: ",BDEGENER[[#This Row],[MARCA DE MOTOR]],"
SERIE: ",BDEGENER[[#This Row],[SERIE DE MOTOR]])</f>
        <v xml:space="preserve">MARCA: GENERAC
SERIE: </v>
      </c>
      <c r="AT754" s="5" t="str">
        <f>CONCATENATE("MARCA: ",BDEGENER[[#This Row],[MARCA ALTERNADOR ]],"
SERIE: ",BDEGENER[[#This Row],[SERIE DE ALTERNADOR]])</f>
        <v xml:space="preserve">MARCA: GENERAC
SERIE: </v>
      </c>
      <c r="AU754"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54" s="761">
        <f>COUNTIFS(Q754:Q2754,"MANTENIMIENTO CORRECTIVO",Y754:Y2754,BDEGENER[[#This Row],[SERIE]])</f>
        <v>1</v>
      </c>
      <c r="AW754" s="761">
        <f>COUNTIFS(Q754:Q2754,"MANTENIMIENTO PREVENTIVO",Y754:Y2754,BDEGENER[[#This Row],[SERIE]])</f>
        <v>0</v>
      </c>
      <c r="AX75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54" s="29">
        <f>COUNTIFS(BDEGENER[SERIE],BDEGENER[[#This Row],[SERIE]],BDEGENER[TIPO DE SERVICIO],"MANTENIMIENTO PREVENTIVO")</f>
        <v>3</v>
      </c>
      <c r="AZ754" s="29" t="str">
        <f>CONCATENATE("MANTENIMIENTO PREVENTIVO N°",BDEGENER[[#This Row],[GA1]])</f>
        <v>MANTENIMIENTO PREVENTIVO N°3</v>
      </c>
      <c r="BA754" s="325" t="str">
        <f>IF(BDEGENER[[#This Row],[SERVICIO]]=BDEGENER[[#This Row],[GA2]],BDEGENER[[#This Row],[HORAS]],"0")</f>
        <v>0</v>
      </c>
      <c r="BB754" s="325">
        <f>SUMIF(BDEGENER[SERIE],BDEGENER[[#This Row],[SERIE]],BDEGENER[GA3])</f>
        <v>596.6</v>
      </c>
      <c r="BC754" s="761" t="str">
        <f>CONCATENATE("MANT",COUNTIF($Y$7:Y754,Y754))</f>
        <v>MANT10</v>
      </c>
      <c r="BD754" s="29" t="str">
        <f>CONCATENATE(BDEGENER[[#This Row],[SERIE]],BDEGENER[[#This Row],[GA5]])</f>
        <v>3004337430MANT10</v>
      </c>
      <c r="BE754" s="29" t="str">
        <f>CONCATENATE(BDEGENER[[#This Row],[CODIGO PATRIMONIAL]],BDEGENER[[#This Row],[GA5]])</f>
        <v>MANT10</v>
      </c>
      <c r="BF754" s="16">
        <f>COUNTIF(BDEGENER[SERIE],BDEGENER[[#This Row],[SERIE]])</f>
        <v>11</v>
      </c>
      <c r="BG754" s="761" t="str">
        <f>CONCATENATE("F",COUNTIF($K$7:K754,K754))</f>
        <v>F16</v>
      </c>
      <c r="BH754" s="325" t="str">
        <f>CONCATENATE(BDEGENER[[#This Row],[FECHA DE SERVICIO]],BDEGENER[[#This Row],[N° DE REGISTROS DEL DIA]])</f>
        <v>43794F16</v>
      </c>
      <c r="BI754" s="324"/>
      <c r="BJ754" s="85" t="s">
        <v>1544</v>
      </c>
      <c r="BK754" s="326"/>
    </row>
    <row r="755" spans="2:63" ht="69" hidden="1" x14ac:dyDescent="0.3">
      <c r="B755" s="223"/>
      <c r="C755" s="223"/>
      <c r="D755" s="223"/>
      <c r="E755" s="223"/>
      <c r="F755" s="223"/>
      <c r="G755" s="223"/>
      <c r="H755" s="223"/>
      <c r="I755" s="223"/>
      <c r="J755" s="223"/>
      <c r="K755" s="723">
        <v>43794</v>
      </c>
      <c r="L755" s="15" t="s">
        <v>181</v>
      </c>
      <c r="M755" s="14" t="s">
        <v>187</v>
      </c>
      <c r="N755" s="14" t="s">
        <v>183</v>
      </c>
      <c r="O755" s="8" t="s">
        <v>159</v>
      </c>
      <c r="P755" s="15" t="s">
        <v>159</v>
      </c>
      <c r="Q755" s="14" t="s">
        <v>107</v>
      </c>
      <c r="R755" s="85" t="s">
        <v>1782</v>
      </c>
      <c r="S755" s="5" t="s">
        <v>44</v>
      </c>
      <c r="T755" s="14" t="s">
        <v>91</v>
      </c>
      <c r="U755" s="14" t="s">
        <v>122</v>
      </c>
      <c r="V755" s="14" t="s">
        <v>146</v>
      </c>
      <c r="W755" s="85" t="s">
        <v>914</v>
      </c>
      <c r="X755" s="85" t="s">
        <v>918</v>
      </c>
      <c r="Y755" s="15">
        <v>3004218547</v>
      </c>
      <c r="Z755" s="14"/>
      <c r="AA755" s="14" t="s">
        <v>33</v>
      </c>
      <c r="AB755" s="85" t="s">
        <v>34</v>
      </c>
      <c r="AC755" s="14" t="s">
        <v>230</v>
      </c>
      <c r="AD755" s="16"/>
      <c r="AE755" s="16"/>
      <c r="AF755" s="12" t="s">
        <v>177</v>
      </c>
      <c r="AG755" s="16" t="s">
        <v>243</v>
      </c>
      <c r="AH755" s="16" t="s">
        <v>220</v>
      </c>
      <c r="AI755" s="16" t="s">
        <v>33</v>
      </c>
      <c r="AJ755" s="85">
        <v>3003966252</v>
      </c>
      <c r="AK755" s="16" t="s">
        <v>33</v>
      </c>
      <c r="AL755" s="85">
        <v>1063014</v>
      </c>
      <c r="AM755" s="16"/>
      <c r="AN755" s="16"/>
      <c r="AO755" s="16"/>
      <c r="AP755" s="14" t="s">
        <v>240</v>
      </c>
      <c r="AQ755" s="201" t="str">
        <f>CONCATENATE("REG-",BDEGENER[[#This Row],[FECHA DE SERVICIO]],"-",BDEGENER[[#This Row],[SERIE]],"-",BDEGENER[[#This Row],[HORAS]])</f>
        <v>REG-43794-3004218547-NR</v>
      </c>
      <c r="AR755" s="5" t="str">
        <f>CONCATENATE("MARCA: ",BDEGENER[[#This Row],[MARCA]],"
 MODELO: ",BDEGENER[[#This Row],[MODELO]])</f>
        <v>MARCA: GENERAC
 MODELO: PG090</v>
      </c>
      <c r="AS755" s="5" t="str">
        <f>CONCATENATE("MARCA: ",BDEGENER[[#This Row],[MARCA DE MOTOR]],"
SERIE: ",BDEGENER[[#This Row],[SERIE DE MOTOR]])</f>
        <v>MARCA: GENERAC
SERIE: 3003966252</v>
      </c>
      <c r="AT755" s="5" t="str">
        <f>CONCATENATE("MARCA: ",BDEGENER[[#This Row],[MARCA ALTERNADOR ]],"
SERIE: ",BDEGENER[[#This Row],[SERIE DE ALTERNADOR]])</f>
        <v>MARCA: GENERAC
SERIE: 1063014</v>
      </c>
      <c r="AU755"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55" s="683">
        <f>COUNTIFS(Q755:Q2755,"MANTENIMIENTO CORRECTIVO",Y755:Y2755,BDEGENER[[#This Row],[SERIE]])</f>
        <v>1</v>
      </c>
      <c r="AW755" s="683">
        <f>COUNTIFS(Q755:Q2755,"MANTENIMIENTO PREVENTIVO",Y755:Y2755,BDEGENER[[#This Row],[SERIE]])</f>
        <v>0</v>
      </c>
      <c r="AX75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55" s="29">
        <f>COUNTIFS(BDEGENER[SERIE],BDEGENER[[#This Row],[SERIE]],BDEGENER[TIPO DE SERVICIO],"MANTENIMIENTO PREVENTIVO")</f>
        <v>7</v>
      </c>
      <c r="AZ755" s="29" t="str">
        <f>CONCATENATE("MANTENIMIENTO PREVENTIVO N°",BDEGENER[[#This Row],[GA1]])</f>
        <v>MANTENIMIENTO PREVENTIVO N°7</v>
      </c>
      <c r="BA755" s="325" t="str">
        <f>IF(BDEGENER[[#This Row],[SERVICIO]]=BDEGENER[[#This Row],[GA2]],BDEGENER[[#This Row],[HORAS]],"0")</f>
        <v>0</v>
      </c>
      <c r="BB755" s="325">
        <f>SUMIF(BDEGENER[SERIE],BDEGENER[[#This Row],[SERIE]],BDEGENER[GA3])</f>
        <v>2015.6</v>
      </c>
      <c r="BC755" s="683" t="str">
        <f>CONCATENATE("MANT",COUNTIF($Y$7:Y755,Y755))</f>
        <v>MANT11</v>
      </c>
      <c r="BD755" s="29" t="str">
        <f>CONCATENATE(BDEGENER[[#This Row],[SERIE]],BDEGENER[[#This Row],[GA5]])</f>
        <v>3004218547MANT11</v>
      </c>
      <c r="BE755" s="29" t="str">
        <f>CONCATENATE(BDEGENER[[#This Row],[CODIGO PATRIMONIAL]],BDEGENER[[#This Row],[GA5]])</f>
        <v>MANT11</v>
      </c>
      <c r="BF755" s="16">
        <f>COUNTIF(BDEGENER[SERIE],BDEGENER[[#This Row],[SERIE]])</f>
        <v>12</v>
      </c>
      <c r="BG755" s="683" t="str">
        <f>CONCATENATE("F",COUNTIF($K$7:K755,K755))</f>
        <v>F17</v>
      </c>
      <c r="BH755" s="325" t="str">
        <f>CONCATENATE(BDEGENER[[#This Row],[FECHA DE SERVICIO]],BDEGENER[[#This Row],[N° DE REGISTROS DEL DIA]])</f>
        <v>43794F17</v>
      </c>
      <c r="BI755" s="324"/>
      <c r="BJ755" s="85" t="s">
        <v>1544</v>
      </c>
      <c r="BK755" s="326"/>
    </row>
    <row r="756" spans="2:63" ht="69" hidden="1" x14ac:dyDescent="0.3">
      <c r="B756" s="223"/>
      <c r="C756" s="223"/>
      <c r="D756" s="223"/>
      <c r="E756" s="223"/>
      <c r="F756" s="223"/>
      <c r="G756" s="223"/>
      <c r="H756" s="223"/>
      <c r="I756" s="223"/>
      <c r="J756" s="223"/>
      <c r="K756" s="723">
        <v>43794</v>
      </c>
      <c r="L756" s="15" t="s">
        <v>181</v>
      </c>
      <c r="M756" s="14" t="s">
        <v>187</v>
      </c>
      <c r="N756" s="14" t="s">
        <v>183</v>
      </c>
      <c r="O756" s="8" t="s">
        <v>159</v>
      </c>
      <c r="P756" s="15" t="s">
        <v>159</v>
      </c>
      <c r="Q756" s="14" t="s">
        <v>107</v>
      </c>
      <c r="R756" s="85" t="s">
        <v>1782</v>
      </c>
      <c r="S756" s="5" t="s">
        <v>44</v>
      </c>
      <c r="T756" s="14" t="s">
        <v>91</v>
      </c>
      <c r="U756" s="14" t="s">
        <v>122</v>
      </c>
      <c r="V756" s="14" t="s">
        <v>146</v>
      </c>
      <c r="W756" s="85" t="s">
        <v>914</v>
      </c>
      <c r="X756" s="85" t="s">
        <v>918</v>
      </c>
      <c r="Y756" s="15">
        <v>3004327725</v>
      </c>
      <c r="Z756" s="14"/>
      <c r="AA756" s="14" t="s">
        <v>33</v>
      </c>
      <c r="AB756" s="85" t="s">
        <v>34</v>
      </c>
      <c r="AC756" s="14" t="s">
        <v>230</v>
      </c>
      <c r="AD756" s="16"/>
      <c r="AE756" s="16"/>
      <c r="AF756" s="12" t="s">
        <v>177</v>
      </c>
      <c r="AG756" s="16" t="s">
        <v>243</v>
      </c>
      <c r="AH756" s="16" t="s">
        <v>220</v>
      </c>
      <c r="AI756" s="16" t="s">
        <v>33</v>
      </c>
      <c r="AJ756" s="85">
        <v>3004333865</v>
      </c>
      <c r="AK756" s="16" t="s">
        <v>33</v>
      </c>
      <c r="AL756" s="85">
        <v>1065020</v>
      </c>
      <c r="AM756" s="16"/>
      <c r="AN756" s="16"/>
      <c r="AO756" s="16"/>
      <c r="AP756" s="14" t="s">
        <v>240</v>
      </c>
      <c r="AQ756" s="201" t="str">
        <f>CONCATENATE("REG-",BDEGENER[[#This Row],[FECHA DE SERVICIO]],"-",BDEGENER[[#This Row],[SERIE]],"-",BDEGENER[[#This Row],[HORAS]])</f>
        <v>REG-43794-3004327725-NR</v>
      </c>
      <c r="AR756" s="5" t="str">
        <f>CONCATENATE("MARCA: ",BDEGENER[[#This Row],[MARCA]],"
 MODELO: ",BDEGENER[[#This Row],[MODELO]])</f>
        <v>MARCA: GENERAC
 MODELO: PG090</v>
      </c>
      <c r="AS756" s="5" t="str">
        <f>CONCATENATE("MARCA: ",BDEGENER[[#This Row],[MARCA DE MOTOR]],"
SERIE: ",BDEGENER[[#This Row],[SERIE DE MOTOR]])</f>
        <v>MARCA: GENERAC
SERIE: 3004333865</v>
      </c>
      <c r="AT756" s="5" t="str">
        <f>CONCATENATE("MARCA: ",BDEGENER[[#This Row],[MARCA ALTERNADOR ]],"
SERIE: ",BDEGENER[[#This Row],[SERIE DE ALTERNADOR]])</f>
        <v>MARCA: GENERAC
SERIE: 1065020</v>
      </c>
      <c r="AU756"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56" s="683">
        <f>COUNTIFS(Q756:Q2756,"MANTENIMIENTO CORRECTIVO",Y756:Y2756,BDEGENER[[#This Row],[SERIE]])</f>
        <v>1</v>
      </c>
      <c r="AW756" s="683">
        <f>COUNTIFS(Q756:Q2756,"MANTENIMIENTO PREVENTIVO",Y756:Y2756,BDEGENER[[#This Row],[SERIE]])</f>
        <v>0</v>
      </c>
      <c r="AX75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56" s="29">
        <f>COUNTIFS(BDEGENER[SERIE],BDEGENER[[#This Row],[SERIE]],BDEGENER[TIPO DE SERVICIO],"MANTENIMIENTO PREVENTIVO")</f>
        <v>6</v>
      </c>
      <c r="AZ756" s="29" t="str">
        <f>CONCATENATE("MANTENIMIENTO PREVENTIVO N°",BDEGENER[[#This Row],[GA1]])</f>
        <v>MANTENIMIENTO PREVENTIVO N°6</v>
      </c>
      <c r="BA756" s="325" t="str">
        <f>IF(BDEGENER[[#This Row],[SERVICIO]]=BDEGENER[[#This Row],[GA2]],BDEGENER[[#This Row],[HORAS]],"0")</f>
        <v>0</v>
      </c>
      <c r="BB756" s="325">
        <f>SUMIF(BDEGENER[SERIE],BDEGENER[[#This Row],[SERIE]],BDEGENER[GA3])</f>
        <v>1599.8</v>
      </c>
      <c r="BC756" s="683" t="str">
        <f>CONCATENATE("MANT",COUNTIF($Y$7:Y756,Y756))</f>
        <v>MANT12</v>
      </c>
      <c r="BD756" s="29" t="str">
        <f>CONCATENATE(BDEGENER[[#This Row],[SERIE]],BDEGENER[[#This Row],[GA5]])</f>
        <v>3004327725MANT12</v>
      </c>
      <c r="BE756" s="29" t="str">
        <f>CONCATENATE(BDEGENER[[#This Row],[CODIGO PATRIMONIAL]],BDEGENER[[#This Row],[GA5]])</f>
        <v>MANT12</v>
      </c>
      <c r="BF756" s="16">
        <f>COUNTIF(BDEGENER[SERIE],BDEGENER[[#This Row],[SERIE]])</f>
        <v>13</v>
      </c>
      <c r="BG756" s="683" t="str">
        <f>CONCATENATE("F",COUNTIF($K$7:K756,K756))</f>
        <v>F18</v>
      </c>
      <c r="BH756" s="325" t="str">
        <f>CONCATENATE(BDEGENER[[#This Row],[FECHA DE SERVICIO]],BDEGENER[[#This Row],[N° DE REGISTROS DEL DIA]])</f>
        <v>43794F18</v>
      </c>
      <c r="BI756" s="324"/>
      <c r="BJ756" s="85" t="s">
        <v>1544</v>
      </c>
      <c r="BK756" s="326"/>
    </row>
    <row r="757" spans="2:63" ht="69" hidden="1" x14ac:dyDescent="0.3">
      <c r="B757" s="223"/>
      <c r="C757" s="223"/>
      <c r="D757" s="223"/>
      <c r="E757" s="223"/>
      <c r="F757" s="223"/>
      <c r="G757" s="223"/>
      <c r="H757" s="223"/>
      <c r="I757" s="223"/>
      <c r="J757" s="223"/>
      <c r="K757" s="723">
        <v>43794</v>
      </c>
      <c r="L757" s="15" t="s">
        <v>181</v>
      </c>
      <c r="M757" s="14"/>
      <c r="N757" s="14" t="s">
        <v>192</v>
      </c>
      <c r="O757" s="8" t="s">
        <v>159</v>
      </c>
      <c r="P757" s="15" t="s">
        <v>159</v>
      </c>
      <c r="Q757" s="14" t="s">
        <v>107</v>
      </c>
      <c r="R757" s="85" t="s">
        <v>1782</v>
      </c>
      <c r="S757" s="5" t="s">
        <v>44</v>
      </c>
      <c r="T757" s="14" t="s">
        <v>91</v>
      </c>
      <c r="U757" s="14" t="s">
        <v>122</v>
      </c>
      <c r="V757" s="14" t="s">
        <v>146</v>
      </c>
      <c r="W757" s="85" t="s">
        <v>914</v>
      </c>
      <c r="X757" s="85" t="s">
        <v>918</v>
      </c>
      <c r="Y757" s="15">
        <v>3004337428</v>
      </c>
      <c r="Z757" s="14"/>
      <c r="AA757" s="14" t="s">
        <v>33</v>
      </c>
      <c r="AB757" s="85" t="s">
        <v>34</v>
      </c>
      <c r="AC757" s="14" t="s">
        <v>230</v>
      </c>
      <c r="AD757" s="16"/>
      <c r="AE757" s="16"/>
      <c r="AF757" s="12" t="s">
        <v>177</v>
      </c>
      <c r="AG757" s="16" t="s">
        <v>243</v>
      </c>
      <c r="AH757" s="16" t="s">
        <v>220</v>
      </c>
      <c r="AI757" s="16" t="s">
        <v>33</v>
      </c>
      <c r="AJ757" s="16"/>
      <c r="AK757" s="16" t="s">
        <v>33</v>
      </c>
      <c r="AL757" s="16"/>
      <c r="AM757" s="16"/>
      <c r="AN757" s="16"/>
      <c r="AO757" s="16"/>
      <c r="AP757" s="14" t="s">
        <v>240</v>
      </c>
      <c r="AQ757" s="201" t="str">
        <f>CONCATENATE("REG-",BDEGENER[[#This Row],[FECHA DE SERVICIO]],"-",BDEGENER[[#This Row],[SERIE]],"-",BDEGENER[[#This Row],[HORAS]])</f>
        <v>REG-43794-3004337428-NR</v>
      </c>
      <c r="AR757" s="5" t="str">
        <f>CONCATENATE("MARCA: ",BDEGENER[[#This Row],[MARCA]],"
 MODELO: ",BDEGENER[[#This Row],[MODELO]])</f>
        <v>MARCA: GENERAC
 MODELO: PG090</v>
      </c>
      <c r="AS757" s="5" t="str">
        <f>CONCATENATE("MARCA: ",BDEGENER[[#This Row],[MARCA DE MOTOR]],"
SERIE: ",BDEGENER[[#This Row],[SERIE DE MOTOR]])</f>
        <v xml:space="preserve">MARCA: GENERAC
SERIE: </v>
      </c>
      <c r="AT757" s="5" t="str">
        <f>CONCATENATE("MARCA: ",BDEGENER[[#This Row],[MARCA ALTERNADOR ]],"
SERIE: ",BDEGENER[[#This Row],[SERIE DE ALTERNADOR]])</f>
        <v xml:space="preserve">MARCA: GENERAC
SERIE: </v>
      </c>
      <c r="AU757"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57" s="761">
        <f>COUNTIFS(Q757:Q2757,"MANTENIMIENTO CORRECTIVO",Y757:Y2757,BDEGENER[[#This Row],[SERIE]])</f>
        <v>1</v>
      </c>
      <c r="AW757" s="761">
        <f>COUNTIFS(Q757:Q2757,"MANTENIMIENTO PREVENTIVO",Y757:Y2757,BDEGENER[[#This Row],[SERIE]])</f>
        <v>0</v>
      </c>
      <c r="AX75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57" s="29">
        <f>COUNTIFS(BDEGENER[SERIE],BDEGENER[[#This Row],[SERIE]],BDEGENER[TIPO DE SERVICIO],"MANTENIMIENTO PREVENTIVO")</f>
        <v>6</v>
      </c>
      <c r="AZ757" s="29" t="str">
        <f>CONCATENATE("MANTENIMIENTO PREVENTIVO N°",BDEGENER[[#This Row],[GA1]])</f>
        <v>MANTENIMIENTO PREVENTIVO N°6</v>
      </c>
      <c r="BA757" s="325" t="str">
        <f>IF(BDEGENER[[#This Row],[SERVICIO]]=BDEGENER[[#This Row],[GA2]],BDEGENER[[#This Row],[HORAS]],"0")</f>
        <v>0</v>
      </c>
      <c r="BB757" s="325">
        <f>SUMIF(BDEGENER[SERIE],BDEGENER[[#This Row],[SERIE]],BDEGENER[GA3])</f>
        <v>1586.2</v>
      </c>
      <c r="BC757" s="761" t="str">
        <f>CONCATENATE("MANT",COUNTIF($Y$7:Y757,Y757))</f>
        <v>MANT8</v>
      </c>
      <c r="BD757" s="29" t="str">
        <f>CONCATENATE(BDEGENER[[#This Row],[SERIE]],BDEGENER[[#This Row],[GA5]])</f>
        <v>3004337428MANT8</v>
      </c>
      <c r="BE757" s="29" t="str">
        <f>CONCATENATE(BDEGENER[[#This Row],[CODIGO PATRIMONIAL]],BDEGENER[[#This Row],[GA5]])</f>
        <v>MANT8</v>
      </c>
      <c r="BF757" s="16">
        <f>COUNTIF(BDEGENER[SERIE],BDEGENER[[#This Row],[SERIE]])</f>
        <v>9</v>
      </c>
      <c r="BG757" s="761" t="str">
        <f>CONCATENATE("F",COUNTIF($K$7:K757,K757))</f>
        <v>F19</v>
      </c>
      <c r="BH757" s="325" t="str">
        <f>CONCATENATE(BDEGENER[[#This Row],[FECHA DE SERVICIO]],BDEGENER[[#This Row],[N° DE REGISTROS DEL DIA]])</f>
        <v>43794F19</v>
      </c>
      <c r="BI757" s="324"/>
      <c r="BJ757" s="325"/>
      <c r="BK757" s="326"/>
    </row>
    <row r="758" spans="2:63" ht="69" hidden="1" x14ac:dyDescent="0.3">
      <c r="B758" s="223"/>
      <c r="C758" s="223"/>
      <c r="D758" s="223"/>
      <c r="E758" s="223"/>
      <c r="F758" s="223"/>
      <c r="G758" s="223"/>
      <c r="H758" s="223"/>
      <c r="I758" s="223"/>
      <c r="J758" s="223"/>
      <c r="K758" s="723">
        <v>43794</v>
      </c>
      <c r="L758" s="15" t="s">
        <v>181</v>
      </c>
      <c r="M758" s="14"/>
      <c r="N758" s="14" t="s">
        <v>192</v>
      </c>
      <c r="O758" s="8" t="s">
        <v>159</v>
      </c>
      <c r="P758" s="15" t="s">
        <v>159</v>
      </c>
      <c r="Q758" s="14" t="s">
        <v>107</v>
      </c>
      <c r="R758" s="85" t="s">
        <v>1782</v>
      </c>
      <c r="S758" s="5" t="s">
        <v>44</v>
      </c>
      <c r="T758" s="14" t="s">
        <v>91</v>
      </c>
      <c r="U758" s="14" t="s">
        <v>122</v>
      </c>
      <c r="V758" s="14" t="s">
        <v>146</v>
      </c>
      <c r="W758" s="85" t="s">
        <v>914</v>
      </c>
      <c r="X758" s="85" t="s">
        <v>918</v>
      </c>
      <c r="Y758" s="15">
        <v>3004416581</v>
      </c>
      <c r="Z758" s="14"/>
      <c r="AA758" s="14" t="s">
        <v>33</v>
      </c>
      <c r="AB758" s="85" t="s">
        <v>34</v>
      </c>
      <c r="AC758" s="14" t="s">
        <v>230</v>
      </c>
      <c r="AD758" s="16"/>
      <c r="AE758" s="16"/>
      <c r="AF758" s="12" t="s">
        <v>177</v>
      </c>
      <c r="AG758" s="85" t="s">
        <v>243</v>
      </c>
      <c r="AH758" s="85" t="s">
        <v>220</v>
      </c>
      <c r="AI758" s="85" t="s">
        <v>33</v>
      </c>
      <c r="AJ758" s="16">
        <v>3004309056</v>
      </c>
      <c r="AK758" s="85" t="s">
        <v>33</v>
      </c>
      <c r="AL758" s="16">
        <v>107748810</v>
      </c>
      <c r="AM758" s="16"/>
      <c r="AN758" s="16"/>
      <c r="AO758" s="16"/>
      <c r="AP758" s="14" t="s">
        <v>240</v>
      </c>
      <c r="AQ758" s="201" t="str">
        <f>CONCATENATE("REG-",BDEGENER[[#This Row],[FECHA DE SERVICIO]],"-",BDEGENER[[#This Row],[SERIE]],"-",BDEGENER[[#This Row],[HORAS]])</f>
        <v>REG-43794-3004416581-NR</v>
      </c>
      <c r="AR758" s="5" t="str">
        <f>CONCATENATE("MARCA: ",BDEGENER[[#This Row],[MARCA]],"
 MODELO: ",BDEGENER[[#This Row],[MODELO]])</f>
        <v>MARCA: GENERAC
 MODELO: PG090</v>
      </c>
      <c r="AS758" s="5" t="str">
        <f>CONCATENATE("MARCA: ",BDEGENER[[#This Row],[MARCA DE MOTOR]],"
SERIE: ",BDEGENER[[#This Row],[SERIE DE MOTOR]])</f>
        <v>MARCA: GENERAC
SERIE: 3004309056</v>
      </c>
      <c r="AT758" s="5" t="str">
        <f>CONCATENATE("MARCA: ",BDEGENER[[#This Row],[MARCA ALTERNADOR ]],"
SERIE: ",BDEGENER[[#This Row],[SERIE DE ALTERNADOR]])</f>
        <v>MARCA: GENERAC
SERIE: 107748810</v>
      </c>
      <c r="AU758"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58" s="683">
        <f>COUNTIFS(Q758:Q2758,"MANTENIMIENTO CORRECTIVO",Y758:Y2758,BDEGENER[[#This Row],[SERIE]])</f>
        <v>1</v>
      </c>
      <c r="AW758" s="683">
        <f>COUNTIFS(Q758:Q2758,"MANTENIMIENTO PREVENTIVO",Y758:Y2758,BDEGENER[[#This Row],[SERIE]])</f>
        <v>1</v>
      </c>
      <c r="AX75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58" s="29">
        <f>COUNTIFS(BDEGENER[SERIE],BDEGENER[[#This Row],[SERIE]],BDEGENER[TIPO DE SERVICIO],"MANTENIMIENTO PREVENTIVO")</f>
        <v>6</v>
      </c>
      <c r="AZ758" s="29" t="str">
        <f>CONCATENATE("MANTENIMIENTO PREVENTIVO N°",BDEGENER[[#This Row],[GA1]])</f>
        <v>MANTENIMIENTO PREVENTIVO N°6</v>
      </c>
      <c r="BA758" s="325" t="str">
        <f>IF(BDEGENER[[#This Row],[SERVICIO]]=BDEGENER[[#This Row],[GA2]],BDEGENER[[#This Row],[HORAS]],"0")</f>
        <v>0</v>
      </c>
      <c r="BB758" s="325">
        <f>SUMIF(BDEGENER[SERIE],BDEGENER[[#This Row],[SERIE]],BDEGENER[GA3])</f>
        <v>1659.1</v>
      </c>
      <c r="BC758" s="683" t="str">
        <f>CONCATENATE("MANT",COUNTIF($Y$7:Y758,Y758))</f>
        <v>MANT9</v>
      </c>
      <c r="BD758" s="29" t="str">
        <f>CONCATENATE(BDEGENER[[#This Row],[SERIE]],BDEGENER[[#This Row],[GA5]])</f>
        <v>3004416581MANT9</v>
      </c>
      <c r="BE758" s="29" t="str">
        <f>CONCATENATE(BDEGENER[[#This Row],[CODIGO PATRIMONIAL]],BDEGENER[[#This Row],[GA5]])</f>
        <v>MANT9</v>
      </c>
      <c r="BF758" s="16">
        <f>COUNTIF(BDEGENER[SERIE],BDEGENER[[#This Row],[SERIE]])</f>
        <v>11</v>
      </c>
      <c r="BG758" s="683" t="str">
        <f>CONCATENATE("F",COUNTIF($K$7:K758,K758))</f>
        <v>F20</v>
      </c>
      <c r="BH758" s="325" t="str">
        <f>CONCATENATE(BDEGENER[[#This Row],[FECHA DE SERVICIO]],BDEGENER[[#This Row],[N° DE REGISTROS DEL DIA]])</f>
        <v>43794F20</v>
      </c>
      <c r="BI758" s="324"/>
      <c r="BJ758" s="325"/>
      <c r="BK758" s="326"/>
    </row>
    <row r="759" spans="2:63" ht="69" hidden="1" x14ac:dyDescent="0.3">
      <c r="B759" s="223"/>
      <c r="C759" s="223"/>
      <c r="D759" s="223"/>
      <c r="E759" s="223"/>
      <c r="F759" s="223"/>
      <c r="G759" s="223"/>
      <c r="H759" s="223"/>
      <c r="I759" s="223"/>
      <c r="J759" s="223"/>
      <c r="K759" s="723">
        <v>43794</v>
      </c>
      <c r="L759" s="15" t="s">
        <v>181</v>
      </c>
      <c r="M759" s="14" t="s">
        <v>185</v>
      </c>
      <c r="N759" s="14" t="s">
        <v>183</v>
      </c>
      <c r="O759" s="8" t="s">
        <v>159</v>
      </c>
      <c r="P759" s="15" t="s">
        <v>159</v>
      </c>
      <c r="Q759" s="14" t="s">
        <v>107</v>
      </c>
      <c r="R759" s="85" t="s">
        <v>1782</v>
      </c>
      <c r="S759" s="5" t="s">
        <v>44</v>
      </c>
      <c r="T759" s="14" t="s">
        <v>91</v>
      </c>
      <c r="U759" s="14" t="s">
        <v>122</v>
      </c>
      <c r="V759" s="14" t="s">
        <v>146</v>
      </c>
      <c r="W759" s="85" t="s">
        <v>914</v>
      </c>
      <c r="X759" s="85" t="s">
        <v>918</v>
      </c>
      <c r="Y759" s="15">
        <v>3004402506</v>
      </c>
      <c r="Z759" s="14"/>
      <c r="AA759" s="14" t="s">
        <v>33</v>
      </c>
      <c r="AB759" s="85" t="s">
        <v>34</v>
      </c>
      <c r="AC759" s="14" t="s">
        <v>230</v>
      </c>
      <c r="AD759" s="16"/>
      <c r="AE759" s="16"/>
      <c r="AF759" s="12" t="s">
        <v>177</v>
      </c>
      <c r="AG759" s="16" t="s">
        <v>243</v>
      </c>
      <c r="AH759" s="16" t="s">
        <v>220</v>
      </c>
      <c r="AI759" s="16" t="s">
        <v>33</v>
      </c>
      <c r="AJ759" s="85">
        <v>3004333866</v>
      </c>
      <c r="AK759" s="16" t="s">
        <v>33</v>
      </c>
      <c r="AL759" s="85">
        <v>1063100</v>
      </c>
      <c r="AM759" s="16"/>
      <c r="AN759" s="16"/>
      <c r="AO759" s="16"/>
      <c r="AP759" s="14" t="s">
        <v>240</v>
      </c>
      <c r="AQ759" s="201" t="str">
        <f>CONCATENATE("REG-",BDEGENER[[#This Row],[FECHA DE SERVICIO]],"-",BDEGENER[[#This Row],[SERIE]],"-",BDEGENER[[#This Row],[HORAS]])</f>
        <v>REG-43794-3004402506-NR</v>
      </c>
      <c r="AR759" s="5" t="str">
        <f>CONCATENATE("MARCA: ",BDEGENER[[#This Row],[MARCA]],"
 MODELO: ",BDEGENER[[#This Row],[MODELO]])</f>
        <v>MARCA: GENERAC
 MODELO: PG090</v>
      </c>
      <c r="AS759" s="5" t="str">
        <f>CONCATENATE("MARCA: ",BDEGENER[[#This Row],[MARCA DE MOTOR]],"
SERIE: ",BDEGENER[[#This Row],[SERIE DE MOTOR]])</f>
        <v>MARCA: GENERAC
SERIE: 3004333866</v>
      </c>
      <c r="AT759" s="5" t="str">
        <f>CONCATENATE("MARCA: ",BDEGENER[[#This Row],[MARCA ALTERNADOR ]],"
SERIE: ",BDEGENER[[#This Row],[SERIE DE ALTERNADOR]])</f>
        <v>MARCA: GENERAC
SERIE: 1063100</v>
      </c>
      <c r="AU759"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59" s="683">
        <f>COUNTIFS(Q759:Q2759,"MANTENIMIENTO CORRECTIVO",Y759:Y2759,BDEGENER[[#This Row],[SERIE]])</f>
        <v>1</v>
      </c>
      <c r="AW759" s="683">
        <f>COUNTIFS(Q759:Q2759,"MANTENIMIENTO PREVENTIVO",Y759:Y2759,BDEGENER[[#This Row],[SERIE]])</f>
        <v>1</v>
      </c>
      <c r="AX75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59" s="29">
        <f>COUNTIFS(BDEGENER[SERIE],BDEGENER[[#This Row],[SERIE]],BDEGENER[TIPO DE SERVICIO],"MANTENIMIENTO PREVENTIVO")</f>
        <v>8</v>
      </c>
      <c r="AZ759" s="29" t="str">
        <f>CONCATENATE("MANTENIMIENTO PREVENTIVO N°",BDEGENER[[#This Row],[GA1]])</f>
        <v>MANTENIMIENTO PREVENTIVO N°8</v>
      </c>
      <c r="BA759" s="325" t="str">
        <f>IF(BDEGENER[[#This Row],[SERVICIO]]=BDEGENER[[#This Row],[GA2]],BDEGENER[[#This Row],[HORAS]],"0")</f>
        <v>0</v>
      </c>
      <c r="BB759" s="325">
        <f>SUMIF(BDEGENER[SERIE],BDEGENER[[#This Row],[SERIE]],BDEGENER[GA3])</f>
        <v>2907.9</v>
      </c>
      <c r="BC759" s="683" t="str">
        <f>CONCATENATE("MANT",COUNTIF($Y$7:Y759,Y759))</f>
        <v>MANT12</v>
      </c>
      <c r="BD759" s="29" t="str">
        <f>CONCATENATE(BDEGENER[[#This Row],[SERIE]],BDEGENER[[#This Row],[GA5]])</f>
        <v>3004402506MANT12</v>
      </c>
      <c r="BE759" s="29" t="str">
        <f>CONCATENATE(BDEGENER[[#This Row],[CODIGO PATRIMONIAL]],BDEGENER[[#This Row],[GA5]])</f>
        <v>MANT12</v>
      </c>
      <c r="BF759" s="16">
        <f>COUNTIF(BDEGENER[SERIE],BDEGENER[[#This Row],[SERIE]])</f>
        <v>14</v>
      </c>
      <c r="BG759" s="683" t="str">
        <f>CONCATENATE("F",COUNTIF($K$7:K759,K759))</f>
        <v>F21</v>
      </c>
      <c r="BH759" s="325" t="str">
        <f>CONCATENATE(BDEGENER[[#This Row],[FECHA DE SERVICIO]],BDEGENER[[#This Row],[N° DE REGISTROS DEL DIA]])</f>
        <v>43794F21</v>
      </c>
      <c r="BI759" s="324"/>
      <c r="BJ759" s="325"/>
      <c r="BK759" s="326"/>
    </row>
    <row r="760" spans="2:63" ht="69" hidden="1" x14ac:dyDescent="0.3">
      <c r="B760" s="223"/>
      <c r="C760" s="223"/>
      <c r="D760" s="223"/>
      <c r="E760" s="223"/>
      <c r="F760" s="223"/>
      <c r="G760" s="223"/>
      <c r="H760" s="223"/>
      <c r="I760" s="223"/>
      <c r="J760" s="223"/>
      <c r="K760" s="723">
        <v>43791</v>
      </c>
      <c r="L760" s="15" t="s">
        <v>181</v>
      </c>
      <c r="M760" s="14" t="s">
        <v>186</v>
      </c>
      <c r="N760" s="14" t="s">
        <v>946</v>
      </c>
      <c r="O760" s="8"/>
      <c r="P760" s="10"/>
      <c r="Q760" s="14" t="s">
        <v>37</v>
      </c>
      <c r="R760" s="85" t="s">
        <v>1782</v>
      </c>
      <c r="S760" s="5" t="s">
        <v>45</v>
      </c>
      <c r="T760" s="14" t="s">
        <v>92</v>
      </c>
      <c r="U760" s="14" t="s">
        <v>118</v>
      </c>
      <c r="V760" s="14" t="s">
        <v>149</v>
      </c>
      <c r="W760" s="85" t="s">
        <v>914</v>
      </c>
      <c r="X760" s="85" t="s">
        <v>918</v>
      </c>
      <c r="Y760" s="15">
        <v>3004327724</v>
      </c>
      <c r="Z760" s="14"/>
      <c r="AA760" s="14" t="s">
        <v>33</v>
      </c>
      <c r="AB760" s="85" t="s">
        <v>34</v>
      </c>
      <c r="AC760" s="14" t="s">
        <v>230</v>
      </c>
      <c r="AD760" s="16" t="s">
        <v>1195</v>
      </c>
      <c r="AE760" s="16"/>
      <c r="AF760" s="12">
        <v>744.4</v>
      </c>
      <c r="AG760" s="16" t="s">
        <v>243</v>
      </c>
      <c r="AH760" s="16" t="s">
        <v>220</v>
      </c>
      <c r="AI760" s="16" t="s">
        <v>33</v>
      </c>
      <c r="AJ760" s="16">
        <v>3004333872</v>
      </c>
      <c r="AK760" s="16" t="s">
        <v>33</v>
      </c>
      <c r="AL760" s="16"/>
      <c r="AM760" s="16" t="s">
        <v>1347</v>
      </c>
      <c r="AN760" s="16" t="s">
        <v>1424</v>
      </c>
      <c r="AO760" s="16" t="s">
        <v>1149</v>
      </c>
      <c r="AP760" s="19" t="s">
        <v>240</v>
      </c>
      <c r="AQ760" s="200" t="str">
        <f>CONCATENATE("REG-",BDEGENER[[#This Row],[FECHA DE SERVICIO]],"-",BDEGENER[[#This Row],[SERIE]],"-",BDEGENER[[#This Row],[HORAS]])</f>
        <v>REG-43791-3004327724-744,4</v>
      </c>
      <c r="AR760" s="5" t="str">
        <f>CONCATENATE("MARCA: ",BDEGENER[[#This Row],[MARCA]],"
 MODELO: ",BDEGENER[[#This Row],[MODELO]])</f>
        <v>MARCA: GENERAC
 MODELO: PG090</v>
      </c>
      <c r="AS760" s="5" t="str">
        <f>CONCATENATE("MARCA: ",BDEGENER[[#This Row],[MARCA DE MOTOR]],"
SERIE: ",BDEGENER[[#This Row],[SERIE DE MOTOR]])</f>
        <v>MARCA: GENERAC
SERIE: 3004333872</v>
      </c>
      <c r="AT760" s="5" t="str">
        <f>CONCATENATE("MARCA: ",BDEGENER[[#This Row],[MARCA ALTERNADOR ]],"
SERIE: ",BDEGENER[[#This Row],[SERIE DE ALTERNADOR]])</f>
        <v xml:space="preserve">MARCA: GENERAC
SERIE: </v>
      </c>
      <c r="AU760" s="5" t="str">
        <f>CONCATENATE("HORAS: ",BDEGENER[[#This Row],[HORAS]],"
KW-HR: ",BDEGENER[[#This Row],[KW-HORA]],"
VOLT.BATERIA: ",BDEGENER[[#This Row],[VOLTAJE DE BATERIA]],"
TEMPERATURA: ",BDEGENER[[#This Row],[TEMPERATURA DE AGUA]],"
PRES. ACEITE: ",BDEGENER[[#This Row],[PRESION DE ACEITE]])</f>
        <v>HORAS: 744,4
KW-HR: 
VOLT.BATERIA: 13.3 V
TEMPERATURA: 185 °F
PRES. ACEITE: 61 PSI</v>
      </c>
      <c r="AV760" s="761">
        <f>COUNTIFS(Q760:Q2760,"MANTENIMIENTO CORRECTIVO",Y760:Y2760,BDEGENER[[#This Row],[SERIE]])</f>
        <v>2</v>
      </c>
      <c r="AW760" s="761">
        <f>COUNTIFS(Q760:Q2760,"MANTENIMIENTO PREVENTIVO",Y760:Y2760,BDEGENER[[#This Row],[SERIE]])</f>
        <v>2</v>
      </c>
      <c r="AX76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60" s="29">
        <f>COUNTIFS(BDEGENER[SERIE],BDEGENER[[#This Row],[SERIE]],BDEGENER[TIPO DE SERVICIO],"MANTENIMIENTO PREVENTIVO")</f>
        <v>8</v>
      </c>
      <c r="AZ760" s="29" t="str">
        <f>CONCATENATE("MANTENIMIENTO PREVENTIVO N°",BDEGENER[[#This Row],[GA1]])</f>
        <v>MANTENIMIENTO PREVENTIVO N°8</v>
      </c>
      <c r="BA760" s="325" t="str">
        <f>IF(BDEGENER[[#This Row],[SERVICIO]]=BDEGENER[[#This Row],[GA2]],BDEGENER[[#This Row],[HORAS]],"0")</f>
        <v>0</v>
      </c>
      <c r="BB760" s="325">
        <f>SUMIF(BDEGENER[SERIE],BDEGENER[[#This Row],[SERIE]],BDEGENER[GA3])</f>
        <v>2271.8000000000002</v>
      </c>
      <c r="BC760" s="761" t="str">
        <f>CONCATENATE("MANT",COUNTIF($Y$7:Y760,Y760))</f>
        <v>MANT13</v>
      </c>
      <c r="BD760" s="29" t="str">
        <f>CONCATENATE(BDEGENER[[#This Row],[SERIE]],BDEGENER[[#This Row],[GA5]])</f>
        <v>3004327724MANT13</v>
      </c>
      <c r="BE760" s="29" t="str">
        <f>CONCATENATE(BDEGENER[[#This Row],[CODIGO PATRIMONIAL]],BDEGENER[[#This Row],[GA5]])</f>
        <v>MANT13</v>
      </c>
      <c r="BF760" s="16">
        <f>COUNTIF(BDEGENER[SERIE],BDEGENER[[#This Row],[SERIE]])</f>
        <v>17</v>
      </c>
      <c r="BG760" s="761" t="str">
        <f>CONCATENATE("F",COUNTIF($K$7:K760,K760))</f>
        <v>F1</v>
      </c>
      <c r="BH760" s="325" t="str">
        <f>CONCATENATE(BDEGENER[[#This Row],[FECHA DE SERVICIO]],BDEGENER[[#This Row],[N° DE REGISTROS DEL DIA]])</f>
        <v>43791F1</v>
      </c>
      <c r="BI760" s="324"/>
      <c r="BJ760" s="85" t="s">
        <v>1544</v>
      </c>
      <c r="BK760" s="326"/>
    </row>
    <row r="761" spans="2:63" ht="69" hidden="1" x14ac:dyDescent="0.3">
      <c r="B761" s="34"/>
      <c r="C761" s="34"/>
      <c r="D761" s="34"/>
      <c r="E761" s="34"/>
      <c r="F761" s="34"/>
      <c r="G761" s="34"/>
      <c r="H761" s="34"/>
      <c r="I761" s="34"/>
      <c r="J761" s="34"/>
      <c r="K761" s="37">
        <v>43791</v>
      </c>
      <c r="L761" s="30" t="s">
        <v>561</v>
      </c>
      <c r="M761" s="85" t="s">
        <v>2439</v>
      </c>
      <c r="N761" s="19" t="s">
        <v>564</v>
      </c>
      <c r="O761" s="19"/>
      <c r="P761" s="201" t="s">
        <v>1132</v>
      </c>
      <c r="Q761" s="19" t="s">
        <v>107</v>
      </c>
      <c r="R761" s="85" t="s">
        <v>1782</v>
      </c>
      <c r="S761" s="19" t="s">
        <v>594</v>
      </c>
      <c r="T761" s="85" t="s">
        <v>1782</v>
      </c>
      <c r="U761" s="19" t="s">
        <v>668</v>
      </c>
      <c r="V761" s="19" t="s">
        <v>148</v>
      </c>
      <c r="W761" s="85" t="s">
        <v>914</v>
      </c>
      <c r="X761" s="85" t="s">
        <v>918</v>
      </c>
      <c r="Y761" s="31">
        <v>3003963149</v>
      </c>
      <c r="Z761" s="85" t="s">
        <v>2603</v>
      </c>
      <c r="AA761" s="85" t="s">
        <v>33</v>
      </c>
      <c r="AB761" s="85" t="s">
        <v>34</v>
      </c>
      <c r="AC761" s="85" t="s">
        <v>230</v>
      </c>
      <c r="AD761" s="16"/>
      <c r="AE761" s="16"/>
      <c r="AF761" s="146">
        <v>992.1</v>
      </c>
      <c r="AG761" s="16"/>
      <c r="AH761" s="16"/>
      <c r="AI761" s="16"/>
      <c r="AJ761" s="16"/>
      <c r="AK761" s="16"/>
      <c r="AL761" s="16"/>
      <c r="AM761" s="16"/>
      <c r="AN761" s="16"/>
      <c r="AO761" s="16"/>
      <c r="AP761" s="19" t="s">
        <v>240</v>
      </c>
      <c r="AQ761" s="200" t="str">
        <f>CONCATENATE("REG-",BDEGENER[[#This Row],[FECHA DE SERVICIO]],"-",BDEGENER[[#This Row],[SERIE]],"-",BDEGENER[[#This Row],[HORAS]])</f>
        <v>REG-43791-3003963149-992,1</v>
      </c>
      <c r="AR761" s="5" t="str">
        <f>CONCATENATE("MARCA: ",BDEGENER[[#This Row],[MARCA]],"
 MODELO: ",BDEGENER[[#This Row],[MODELO]])</f>
        <v>MARCA: GENERAC
 MODELO: PG090</v>
      </c>
      <c r="AS761" s="5" t="str">
        <f>CONCATENATE("MARCA: ",BDEGENER[[#This Row],[MARCA DE MOTOR]],"
SERIE: ",BDEGENER[[#This Row],[SERIE DE MOTOR]])</f>
        <v xml:space="preserve">MARCA: 
SERIE: </v>
      </c>
      <c r="AT761" s="5" t="str">
        <f>CONCATENATE("MARCA: ",BDEGENER[[#This Row],[MARCA ALTERNADOR ]],"
SERIE: ",BDEGENER[[#This Row],[SERIE DE ALTERNADOR]])</f>
        <v xml:space="preserve">MARCA: 
SERIE: </v>
      </c>
      <c r="AU761" s="29" t="str">
        <f>CONCATENATE("HORAS: ",BDEGENER[[#This Row],[HORAS]],"
KW-HR: ",BDEGENER[[#This Row],[KW-HORA]],"
VOLT.BATERIA: ",BDEGENER[[#This Row],[VOLTAJE DE BATERIA]],"
TEMPERATURA: ",BDEGENER[[#This Row],[TEMPERATURA DE AGUA]],"
PRES. ACEITE: ",BDEGENER[[#This Row],[PRESION DE ACEITE]])</f>
        <v xml:space="preserve">HORAS: 992,1
KW-HR: 
VOLT.BATERIA: 
TEMPERATURA: 
PRES. ACEITE: </v>
      </c>
      <c r="AV761" s="683">
        <f>COUNTIFS(Q761:Q2761,"MANTENIMIENTO CORRECTIVO",Y761:Y2761,BDEGENER[[#This Row],[SERIE]])</f>
        <v>3</v>
      </c>
      <c r="AW761" s="683">
        <f>COUNTIFS(Q761:Q2761,"MANTENIMIENTO PREVENTIVO",Y761:Y2761,BDEGENER[[#This Row],[SERIE]])</f>
        <v>3</v>
      </c>
      <c r="AX76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761" s="29">
        <f>COUNTIFS(BDEGENER[SERIE],BDEGENER[[#This Row],[SERIE]],BDEGENER[TIPO DE SERVICIO],"MANTENIMIENTO PREVENTIVO")</f>
        <v>6</v>
      </c>
      <c r="AZ761" s="29" t="str">
        <f>CONCATENATE("MANTENIMIENTO PREVENTIVO N°",BDEGENER[[#This Row],[GA1]])</f>
        <v>MANTENIMIENTO PREVENTIVO N°6</v>
      </c>
      <c r="BA761" s="325" t="str">
        <f>IF(BDEGENER[[#This Row],[SERVICIO]]=BDEGENER[[#This Row],[GA2]],BDEGENER[[#This Row],[HORAS]],"0")</f>
        <v>0</v>
      </c>
      <c r="BB761" s="325">
        <f>SUMIF(BDEGENER[SERIE],BDEGENER[[#This Row],[SERIE]],BDEGENER[GA3])</f>
        <v>3959.4</v>
      </c>
      <c r="BC761" s="683" t="str">
        <f>CONCATENATE("MANT",COUNTIF($Y$7:Y761,Y761))</f>
        <v>MANT5</v>
      </c>
      <c r="BD761" s="29" t="str">
        <f>CONCATENATE(BDEGENER[[#This Row],[SERIE]],BDEGENER[[#This Row],[GA5]])</f>
        <v>3003963149MANT5</v>
      </c>
      <c r="BE761" s="29" t="str">
        <f>CONCATENATE(BDEGENER[[#This Row],[CODIGO PATRIMONIAL]],BDEGENER[[#This Row],[GA5]])</f>
        <v>SUR-GEG-0007MANT5</v>
      </c>
      <c r="BF761" s="16">
        <f>COUNTIF(BDEGENER[SERIE],BDEGENER[[#This Row],[SERIE]])</f>
        <v>12</v>
      </c>
      <c r="BG761" s="683" t="str">
        <f>CONCATENATE("F",COUNTIF($K$7:K761,K761))</f>
        <v>F2</v>
      </c>
      <c r="BH761" s="325" t="str">
        <f>CONCATENATE(BDEGENER[[#This Row],[FECHA DE SERVICIO]],BDEGENER[[#This Row],[N° DE REGISTROS DEL DIA]])</f>
        <v>43791F2</v>
      </c>
      <c r="BI761" s="324"/>
      <c r="BJ761" s="325"/>
      <c r="BK761" s="326"/>
    </row>
    <row r="762" spans="2:63" ht="69" hidden="1" x14ac:dyDescent="0.3">
      <c r="B762" s="223"/>
      <c r="C762" s="223"/>
      <c r="D762" s="223"/>
      <c r="E762" s="223"/>
      <c r="F762" s="223"/>
      <c r="G762" s="223"/>
      <c r="H762" s="223"/>
      <c r="I762" s="223"/>
      <c r="J762" s="223"/>
      <c r="K762" s="723">
        <v>43791</v>
      </c>
      <c r="L762" s="15" t="s">
        <v>181</v>
      </c>
      <c r="M762" s="14" t="s">
        <v>186</v>
      </c>
      <c r="N762" s="14" t="s">
        <v>946</v>
      </c>
      <c r="O762" s="8"/>
      <c r="P762" s="10"/>
      <c r="Q762" s="14" t="s">
        <v>37</v>
      </c>
      <c r="R762" s="85" t="s">
        <v>1782</v>
      </c>
      <c r="S762" s="5" t="s">
        <v>45</v>
      </c>
      <c r="T762" s="14" t="s">
        <v>92</v>
      </c>
      <c r="U762" s="14" t="s">
        <v>123</v>
      </c>
      <c r="V762" s="14" t="s">
        <v>149</v>
      </c>
      <c r="W762" s="85" t="s">
        <v>914</v>
      </c>
      <c r="X762" s="85" t="s">
        <v>918</v>
      </c>
      <c r="Y762" s="15">
        <v>3004327722</v>
      </c>
      <c r="Z762" s="14"/>
      <c r="AA762" s="14" t="s">
        <v>33</v>
      </c>
      <c r="AB762" s="85" t="s">
        <v>34</v>
      </c>
      <c r="AC762" s="14" t="s">
        <v>230</v>
      </c>
      <c r="AD762" s="16"/>
      <c r="AE762" s="16"/>
      <c r="AF762" s="12">
        <v>543.1</v>
      </c>
      <c r="AG762" s="16" t="s">
        <v>243</v>
      </c>
      <c r="AH762" s="16" t="s">
        <v>220</v>
      </c>
      <c r="AI762" s="16" t="s">
        <v>33</v>
      </c>
      <c r="AJ762" s="16">
        <v>3004346816</v>
      </c>
      <c r="AK762" s="16" t="s">
        <v>33</v>
      </c>
      <c r="AL762" s="16"/>
      <c r="AM762" s="16"/>
      <c r="AN762" s="16"/>
      <c r="AO762" s="16"/>
      <c r="AP762" s="19" t="s">
        <v>240</v>
      </c>
      <c r="AQ762" s="200" t="str">
        <f>CONCATENATE("REG-",BDEGENER[[#This Row],[FECHA DE SERVICIO]],"-",BDEGENER[[#This Row],[SERIE]],"-",BDEGENER[[#This Row],[HORAS]])</f>
        <v>REG-43791-3004327722-543,1</v>
      </c>
      <c r="AR762" s="6" t="str">
        <f>CONCATENATE("MARCA: ",BDEGENER[[#This Row],[MARCA]],"
 MODELO: ",BDEGENER[[#This Row],[MODELO]])</f>
        <v>MARCA: GENERAC
 MODELO: PG090</v>
      </c>
      <c r="AS762" s="6" t="str">
        <f>CONCATENATE("MARCA: ",BDEGENER[[#This Row],[MARCA DE MOTOR]],"
SERIE: ",BDEGENER[[#This Row],[SERIE DE MOTOR]])</f>
        <v>MARCA: GENERAC
SERIE: 3004346816</v>
      </c>
      <c r="AT762" s="6" t="str">
        <f>CONCATENATE("MARCA: ",BDEGENER[[#This Row],[MARCA ALTERNADOR ]],"
SERIE: ",BDEGENER[[#This Row],[SERIE DE ALTERNADOR]])</f>
        <v xml:space="preserve">MARCA: GENERAC
SERIE: </v>
      </c>
      <c r="AU762" s="6" t="str">
        <f>CONCATENATE("HORAS: ",BDEGENER[[#This Row],[HORAS]],"
KW-HR: ",BDEGENER[[#This Row],[KW-HORA]],"
VOLT.BATERIA: ",BDEGENER[[#This Row],[VOLTAJE DE BATERIA]],"
TEMPERATURA: ",BDEGENER[[#This Row],[TEMPERATURA DE AGUA]],"
PRES. ACEITE: ",BDEGENER[[#This Row],[PRESION DE ACEITE]])</f>
        <v xml:space="preserve">HORAS: 543,1
KW-HR: 
VOLT.BATERIA: 
TEMPERATURA: 
PRES. ACEITE: </v>
      </c>
      <c r="AV762" s="683">
        <f>COUNTIFS(Q762:Q2762,"MANTENIMIENTO CORRECTIVO",Y762:Y2762,BDEGENER[[#This Row],[SERIE]])</f>
        <v>0</v>
      </c>
      <c r="AW762" s="683">
        <f>COUNTIFS(Q762:Q2762,"MANTENIMIENTO PREVENTIVO",Y762:Y2762,BDEGENER[[#This Row],[SERIE]])</f>
        <v>2</v>
      </c>
      <c r="AX762"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62" s="325">
        <f>COUNTIFS(BDEGENER[SERIE],BDEGENER[[#This Row],[SERIE]],BDEGENER[TIPO DE SERVICIO],"MANTENIMIENTO PREVENTIVO")</f>
        <v>8</v>
      </c>
      <c r="AZ762" s="325" t="str">
        <f>CONCATENATE("MANTENIMIENTO PREVENTIVO N°",BDEGENER[[#This Row],[GA1]])</f>
        <v>MANTENIMIENTO PREVENTIVO N°8</v>
      </c>
      <c r="BA762" s="325" t="str">
        <f>IF(BDEGENER[[#This Row],[SERVICIO]]=BDEGENER[[#This Row],[GA2]],BDEGENER[[#This Row],[HORAS]],"0")</f>
        <v>0</v>
      </c>
      <c r="BB762" s="325">
        <f>SUMIF(BDEGENER[SERIE],BDEGENER[[#This Row],[SERIE]],BDEGENER[GA3])</f>
        <v>2102.5</v>
      </c>
      <c r="BC762" s="683" t="str">
        <f>CONCATENATE("MANT",COUNTIF($Y$7:Y762,Y762))</f>
        <v>MANT8</v>
      </c>
      <c r="BD762" s="325" t="str">
        <f>CONCATENATE(BDEGENER[[#This Row],[SERIE]],BDEGENER[[#This Row],[GA5]])</f>
        <v>3004327722MANT8</v>
      </c>
      <c r="BE762" s="325" t="str">
        <f>CONCATENATE(BDEGENER[[#This Row],[CODIGO PATRIMONIAL]],BDEGENER[[#This Row],[GA5]])</f>
        <v>MANT8</v>
      </c>
      <c r="BF762" s="16">
        <f>COUNTIF(BDEGENER[SERIE],BDEGENER[[#This Row],[SERIE]])</f>
        <v>10</v>
      </c>
      <c r="BG762" s="683" t="str">
        <f>CONCATENATE("F",COUNTIF($K$7:K762,K762))</f>
        <v>F3</v>
      </c>
      <c r="BH762" s="325" t="str">
        <f>CONCATENATE(BDEGENER[[#This Row],[FECHA DE SERVICIO]],BDEGENER[[#This Row],[N° DE REGISTROS DEL DIA]])</f>
        <v>43791F3</v>
      </c>
      <c r="BI762" s="326"/>
      <c r="BJ762" s="85" t="s">
        <v>1544</v>
      </c>
      <c r="BK762" s="326"/>
    </row>
    <row r="763" spans="2:63" ht="69" x14ac:dyDescent="0.3">
      <c r="B763" s="223"/>
      <c r="C763" s="223"/>
      <c r="D763" s="223"/>
      <c r="E763" s="223"/>
      <c r="F763" s="223"/>
      <c r="G763" s="223"/>
      <c r="H763" s="223"/>
      <c r="I763" s="223"/>
      <c r="J763" s="223"/>
      <c r="K763" s="723">
        <v>43791</v>
      </c>
      <c r="L763" s="15" t="s">
        <v>181</v>
      </c>
      <c r="M763" s="697" t="s">
        <v>186</v>
      </c>
      <c r="N763" s="14" t="s">
        <v>946</v>
      </c>
      <c r="O763" s="8" t="s">
        <v>159</v>
      </c>
      <c r="P763" s="15" t="s">
        <v>159</v>
      </c>
      <c r="Q763" s="14" t="s">
        <v>37</v>
      </c>
      <c r="R763" s="85" t="s">
        <v>1782</v>
      </c>
      <c r="S763" s="5" t="s">
        <v>46</v>
      </c>
      <c r="T763" s="14" t="s">
        <v>92</v>
      </c>
      <c r="U763" s="14" t="s">
        <v>124</v>
      </c>
      <c r="V763" s="14" t="s">
        <v>149</v>
      </c>
      <c r="W763" s="85" t="s">
        <v>914</v>
      </c>
      <c r="X763" s="85" t="s">
        <v>918</v>
      </c>
      <c r="Y763" s="15">
        <v>3004336198</v>
      </c>
      <c r="Z763" s="779"/>
      <c r="AA763" s="697" t="s">
        <v>33</v>
      </c>
      <c r="AB763" s="85" t="s">
        <v>34</v>
      </c>
      <c r="AC763" s="697" t="s">
        <v>230</v>
      </c>
      <c r="AD763" s="16" t="s">
        <v>1350</v>
      </c>
      <c r="AE763" s="16"/>
      <c r="AF763" s="12">
        <v>706.6</v>
      </c>
      <c r="AG763" s="16" t="s">
        <v>243</v>
      </c>
      <c r="AH763" s="16" t="s">
        <v>220</v>
      </c>
      <c r="AI763" s="16" t="s">
        <v>33</v>
      </c>
      <c r="AJ763" s="16">
        <v>3004345803</v>
      </c>
      <c r="AK763" s="16" t="s">
        <v>33</v>
      </c>
      <c r="AL763" s="16"/>
      <c r="AM763" s="16" t="s">
        <v>1196</v>
      </c>
      <c r="AN763" s="16" t="s">
        <v>1430</v>
      </c>
      <c r="AO763" s="16" t="s">
        <v>1381</v>
      </c>
      <c r="AP763" s="19" t="s">
        <v>240</v>
      </c>
      <c r="AQ763" s="200" t="str">
        <f>CONCATENATE("REG-",BDEGENER[[#This Row],[FECHA DE SERVICIO]],"-",BDEGENER[[#This Row],[SERIE]],"-",BDEGENER[[#This Row],[HORAS]])</f>
        <v>REG-43791-3004336198-706,6</v>
      </c>
      <c r="AR763" s="5" t="str">
        <f>CONCATENATE("MARCA: ",BDEGENER[[#This Row],[MARCA]],"
 MODELO: ",BDEGENER[[#This Row],[MODELO]])</f>
        <v>MARCA: GENERAC
 MODELO: PG090</v>
      </c>
      <c r="AS763" s="5" t="str">
        <f>CONCATENATE("MARCA: ",BDEGENER[[#This Row],[MARCA DE MOTOR]],"
SERIE: ",BDEGENER[[#This Row],[SERIE DE MOTOR]])</f>
        <v>MARCA: GENERAC
SERIE: 3004345803</v>
      </c>
      <c r="AT763" s="5" t="str">
        <f>CONCATENATE("MARCA: ",BDEGENER[[#This Row],[MARCA ALTERNADOR ]],"
SERIE: ",BDEGENER[[#This Row],[SERIE DE ALTERNADOR]])</f>
        <v xml:space="preserve">MARCA: GENERAC
SERIE: </v>
      </c>
      <c r="AU763" s="5" t="str">
        <f>CONCATENATE("HORAS: ",BDEGENER[[#This Row],[HORAS]],"
KW-HR: ",BDEGENER[[#This Row],[KW-HORA]],"
VOLT.BATERIA: ",BDEGENER[[#This Row],[VOLTAJE DE BATERIA]],"
TEMPERATURA: ",BDEGENER[[#This Row],[TEMPERATURA DE AGUA]],"
PRES. ACEITE: ",BDEGENER[[#This Row],[PRESION DE ACEITE]])</f>
        <v>HORAS: 706,6
KW-HR: 
VOLT.BATERIA: 13.2 V
TEMPERATURA: 182 °F
PRES. ACEITE: 66 PSI</v>
      </c>
      <c r="AV763" s="761">
        <f>COUNTIFS(Q763:Q2763,"MANTENIMIENTO CORRECTIVO",Y763:Y2763,BDEGENER[[#This Row],[SERIE]])</f>
        <v>0</v>
      </c>
      <c r="AW763" s="761">
        <f>COUNTIFS(Q763:Q2763,"MANTENIMIENTO PREVENTIVO",Y763:Y2763,BDEGENER[[#This Row],[SERIE]])</f>
        <v>2</v>
      </c>
      <c r="AX76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63" s="29">
        <f>COUNTIFS(BDEGENER[SERIE],BDEGENER[[#This Row],[SERIE]],BDEGENER[TIPO DE SERVICIO],"MANTENIMIENTO PREVENTIVO")</f>
        <v>7</v>
      </c>
      <c r="AZ763" s="29" t="str">
        <f>CONCATENATE("MANTENIMIENTO PREVENTIVO N°",BDEGENER[[#This Row],[GA1]])</f>
        <v>MANTENIMIENTO PREVENTIVO N°7</v>
      </c>
      <c r="BA763" s="325" t="str">
        <f>IF(BDEGENER[[#This Row],[SERVICIO]]=BDEGENER[[#This Row],[GA2]],BDEGENER[[#This Row],[HORAS]],"0")</f>
        <v>0</v>
      </c>
      <c r="BB763" s="325">
        <f>SUMIF(BDEGENER[SERIE],BDEGENER[[#This Row],[SERIE]],BDEGENER[GA3])</f>
        <v>2049.3000000000002</v>
      </c>
      <c r="BC763" s="761" t="str">
        <f>CONCATENATE("MANT",COUNTIF($Y$7:Y763,Y763))</f>
        <v>MANT10</v>
      </c>
      <c r="BD763" s="29" t="str">
        <f>CONCATENATE(BDEGENER[[#This Row],[SERIE]],BDEGENER[[#This Row],[GA5]])</f>
        <v>3004336198MANT10</v>
      </c>
      <c r="BE763" s="29" t="str">
        <f>CONCATENATE(BDEGENER[[#This Row],[CODIGO PATRIMONIAL]],BDEGENER[[#This Row],[GA5]])</f>
        <v>MANT10</v>
      </c>
      <c r="BF763" s="16">
        <f>COUNTIF(BDEGENER[SERIE],BDEGENER[[#This Row],[SERIE]])</f>
        <v>12</v>
      </c>
      <c r="BG763" s="761" t="str">
        <f>CONCATENATE("F",COUNTIF($K$7:K763,K763))</f>
        <v>F4</v>
      </c>
      <c r="BH763" s="325" t="str">
        <f>CONCATENATE(BDEGENER[[#This Row],[FECHA DE SERVICIO]],BDEGENER[[#This Row],[N° DE REGISTROS DEL DIA]])</f>
        <v>43791F4</v>
      </c>
      <c r="BI763" s="324"/>
      <c r="BJ763" s="85" t="s">
        <v>1544</v>
      </c>
      <c r="BK763" s="326"/>
    </row>
    <row r="764" spans="2:63" ht="69" hidden="1" x14ac:dyDescent="0.3">
      <c r="B764" s="223"/>
      <c r="C764" s="223"/>
      <c r="D764" s="223"/>
      <c r="E764" s="223"/>
      <c r="F764" s="223"/>
      <c r="G764" s="223"/>
      <c r="H764" s="223"/>
      <c r="I764" s="223"/>
      <c r="J764" s="223"/>
      <c r="K764" s="723">
        <v>43791</v>
      </c>
      <c r="L764" s="15" t="s">
        <v>181</v>
      </c>
      <c r="M764" s="14" t="s">
        <v>186</v>
      </c>
      <c r="N764" s="14" t="s">
        <v>946</v>
      </c>
      <c r="O764" s="8"/>
      <c r="P764" s="10"/>
      <c r="Q764" s="14" t="s">
        <v>37</v>
      </c>
      <c r="R764" s="85" t="s">
        <v>1782</v>
      </c>
      <c r="S764" s="5" t="s">
        <v>45</v>
      </c>
      <c r="T764" s="14" t="s">
        <v>92</v>
      </c>
      <c r="U764" s="14" t="s">
        <v>118</v>
      </c>
      <c r="V764" s="14" t="s">
        <v>149</v>
      </c>
      <c r="W764" s="85" t="s">
        <v>914</v>
      </c>
      <c r="X764" s="85" t="s">
        <v>918</v>
      </c>
      <c r="Y764" s="15">
        <v>3004327721</v>
      </c>
      <c r="Z764" s="14"/>
      <c r="AA764" s="14" t="s">
        <v>33</v>
      </c>
      <c r="AB764" s="85" t="s">
        <v>34</v>
      </c>
      <c r="AC764" s="14" t="s">
        <v>230</v>
      </c>
      <c r="AD764" s="16"/>
      <c r="AE764" s="16"/>
      <c r="AF764" s="12">
        <v>563.79999999999995</v>
      </c>
      <c r="AG764" s="16" t="s">
        <v>243</v>
      </c>
      <c r="AH764" s="16" t="s">
        <v>244</v>
      </c>
      <c r="AI764" s="16" t="s">
        <v>33</v>
      </c>
      <c r="AJ764" s="16">
        <v>3004346806</v>
      </c>
      <c r="AK764" s="16" t="s">
        <v>33</v>
      </c>
      <c r="AL764" s="16"/>
      <c r="AM764" s="16"/>
      <c r="AN764" s="16"/>
      <c r="AO764" s="16"/>
      <c r="AP764" s="19" t="s">
        <v>240</v>
      </c>
      <c r="AQ764" s="200" t="str">
        <f>CONCATENATE("REG-",BDEGENER[[#This Row],[FECHA DE SERVICIO]],"-",BDEGENER[[#This Row],[SERIE]],"-",BDEGENER[[#This Row],[HORAS]])</f>
        <v>REG-43791-3004327721-563,8</v>
      </c>
      <c r="AR764" s="5" t="str">
        <f>CONCATENATE("MARCA: ",BDEGENER[[#This Row],[MARCA]],"
 MODELO: ",BDEGENER[[#This Row],[MODELO]])</f>
        <v>MARCA: GENERAC
 MODELO: PG090</v>
      </c>
      <c r="AS764" s="5" t="str">
        <f>CONCATENATE("MARCA: ",BDEGENER[[#This Row],[MARCA DE MOTOR]],"
SERIE: ",BDEGENER[[#This Row],[SERIE DE MOTOR]])</f>
        <v>MARCA: GENERAC
SERIE: 3004346806</v>
      </c>
      <c r="AT764" s="5" t="str">
        <f>CONCATENATE("MARCA: ",BDEGENER[[#This Row],[MARCA ALTERNADOR ]],"
SERIE: ",BDEGENER[[#This Row],[SERIE DE ALTERNADOR]])</f>
        <v xml:space="preserve">MARCA: GENERAC
SERIE: </v>
      </c>
      <c r="AU764" s="5" t="str">
        <f>CONCATENATE("HORAS: ",BDEGENER[[#This Row],[HORAS]],"
KW-HR: ",BDEGENER[[#This Row],[KW-HORA]],"
VOLT.BATERIA: ",BDEGENER[[#This Row],[VOLTAJE DE BATERIA]],"
TEMPERATURA: ",BDEGENER[[#This Row],[TEMPERATURA DE AGUA]],"
PRES. ACEITE: ",BDEGENER[[#This Row],[PRESION DE ACEITE]])</f>
        <v xml:space="preserve">HORAS: 563,8
KW-HR: 
VOLT.BATERIA: 
TEMPERATURA: 
PRES. ACEITE: </v>
      </c>
      <c r="AV764" s="683">
        <f>COUNTIFS(Q764:Q2764,"MANTENIMIENTO CORRECTIVO",Y764:Y2764,BDEGENER[[#This Row],[SERIE]])</f>
        <v>0</v>
      </c>
      <c r="AW764" s="683">
        <f>COUNTIFS(Q764:Q2764,"MANTENIMIENTO PREVENTIVO",Y764:Y2764,BDEGENER[[#This Row],[SERIE]])</f>
        <v>2</v>
      </c>
      <c r="AX76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64" s="29">
        <f>COUNTIFS(BDEGENER[SERIE],BDEGENER[[#This Row],[SERIE]],BDEGENER[TIPO DE SERVICIO],"MANTENIMIENTO PREVENTIVO")</f>
        <v>7</v>
      </c>
      <c r="AZ764" s="29" t="str">
        <f>CONCATENATE("MANTENIMIENTO PREVENTIVO N°",BDEGENER[[#This Row],[GA1]])</f>
        <v>MANTENIMIENTO PREVENTIVO N°7</v>
      </c>
      <c r="BA764" s="325" t="str">
        <f>IF(BDEGENER[[#This Row],[SERVICIO]]=BDEGENER[[#This Row],[GA2]],BDEGENER[[#This Row],[HORAS]],"0")</f>
        <v>0</v>
      </c>
      <c r="BB764" s="325">
        <f>SUMIF(BDEGENER[SERIE],BDEGENER[[#This Row],[SERIE]],BDEGENER[GA3])</f>
        <v>2098.4</v>
      </c>
      <c r="BC764" s="683" t="str">
        <f>CONCATENATE("MANT",COUNTIF($Y$7:Y764,Y764))</f>
        <v>MANT9</v>
      </c>
      <c r="BD764" s="29" t="str">
        <f>CONCATENATE(BDEGENER[[#This Row],[SERIE]],BDEGENER[[#This Row],[GA5]])</f>
        <v>3004327721MANT9</v>
      </c>
      <c r="BE764" s="29" t="str">
        <f>CONCATENATE(BDEGENER[[#This Row],[CODIGO PATRIMONIAL]],BDEGENER[[#This Row],[GA5]])</f>
        <v>MANT9</v>
      </c>
      <c r="BF764" s="16">
        <f>COUNTIF(BDEGENER[SERIE],BDEGENER[[#This Row],[SERIE]])</f>
        <v>11</v>
      </c>
      <c r="BG764" s="683" t="str">
        <f>CONCATENATE("F",COUNTIF($K$7:K764,K764))</f>
        <v>F5</v>
      </c>
      <c r="BH764" s="325" t="str">
        <f>CONCATENATE(BDEGENER[[#This Row],[FECHA DE SERVICIO]],BDEGENER[[#This Row],[N° DE REGISTROS DEL DIA]])</f>
        <v>43791F5</v>
      </c>
      <c r="BI764" s="324"/>
      <c r="BJ764" s="85" t="s">
        <v>1544</v>
      </c>
      <c r="BK764" s="326"/>
    </row>
    <row r="765" spans="2:63" ht="69" hidden="1" x14ac:dyDescent="0.3">
      <c r="B765" s="223"/>
      <c r="C765" s="223"/>
      <c r="D765" s="223"/>
      <c r="E765" s="223"/>
      <c r="F765" s="223"/>
      <c r="G765" s="223"/>
      <c r="H765" s="223"/>
      <c r="I765" s="223"/>
      <c r="J765" s="223"/>
      <c r="K765" s="723">
        <v>43791</v>
      </c>
      <c r="L765" s="15" t="s">
        <v>181</v>
      </c>
      <c r="M765" s="14" t="s">
        <v>189</v>
      </c>
      <c r="N765" s="14" t="s">
        <v>946</v>
      </c>
      <c r="O765" s="8" t="s">
        <v>159</v>
      </c>
      <c r="P765" s="15" t="s">
        <v>159</v>
      </c>
      <c r="Q765" s="14" t="s">
        <v>37</v>
      </c>
      <c r="R765" s="85" t="s">
        <v>1782</v>
      </c>
      <c r="S765" s="5" t="s">
        <v>46</v>
      </c>
      <c r="T765" s="14" t="s">
        <v>92</v>
      </c>
      <c r="U765" s="14" t="s">
        <v>124</v>
      </c>
      <c r="V765" s="14" t="s">
        <v>150</v>
      </c>
      <c r="W765" s="85" t="s">
        <v>914</v>
      </c>
      <c r="X765" s="85" t="s">
        <v>918</v>
      </c>
      <c r="Y765" s="15">
        <v>3004331709</v>
      </c>
      <c r="Z765" s="14"/>
      <c r="AA765" s="14" t="s">
        <v>33</v>
      </c>
      <c r="AB765" s="85" t="s">
        <v>34</v>
      </c>
      <c r="AC765" s="14" t="s">
        <v>230</v>
      </c>
      <c r="AD765" s="16" t="s">
        <v>1428</v>
      </c>
      <c r="AE765" s="16">
        <v>60.1</v>
      </c>
      <c r="AF765" s="12">
        <v>617.5</v>
      </c>
      <c r="AG765" s="16" t="s">
        <v>243</v>
      </c>
      <c r="AH765" s="16" t="s">
        <v>220</v>
      </c>
      <c r="AI765" s="16" t="s">
        <v>33</v>
      </c>
      <c r="AJ765" s="16"/>
      <c r="AK765" s="16" t="s">
        <v>33</v>
      </c>
      <c r="AL765" s="85">
        <v>106302870</v>
      </c>
      <c r="AM765" s="16" t="s">
        <v>245</v>
      </c>
      <c r="AN765" s="16" t="s">
        <v>1348</v>
      </c>
      <c r="AO765" s="16" t="s">
        <v>1427</v>
      </c>
      <c r="AP765" s="19" t="s">
        <v>240</v>
      </c>
      <c r="AQ765" s="200" t="str">
        <f>CONCATENATE("REG-",BDEGENER[[#This Row],[FECHA DE SERVICIO]],"-",BDEGENER[[#This Row],[SERIE]],"-",BDEGENER[[#This Row],[HORAS]])</f>
        <v>REG-43791-3004331709-617,5</v>
      </c>
      <c r="AR765" s="5" t="str">
        <f>CONCATENATE("MARCA: ",BDEGENER[[#This Row],[MARCA]],"
 MODELO: ",BDEGENER[[#This Row],[MODELO]])</f>
        <v>MARCA: GENERAC
 MODELO: PG090</v>
      </c>
      <c r="AS765" s="5" t="str">
        <f>CONCATENATE("MARCA: ",BDEGENER[[#This Row],[MARCA DE MOTOR]],"
SERIE: ",BDEGENER[[#This Row],[SERIE DE MOTOR]])</f>
        <v xml:space="preserve">MARCA: GENERAC
SERIE: </v>
      </c>
      <c r="AT765" s="5" t="str">
        <f>CONCATENATE("MARCA: ",BDEGENER[[#This Row],[MARCA ALTERNADOR ]],"
SERIE: ",BDEGENER[[#This Row],[SERIE DE ALTERNADOR]])</f>
        <v>MARCA: GENERAC
SERIE: 106302870</v>
      </c>
      <c r="AU765" s="5" t="str">
        <f>CONCATENATE("HORAS: ",BDEGENER[[#This Row],[HORAS]],"
KW-HR: ",BDEGENER[[#This Row],[KW-HORA]],"
VOLT.BATERIA: ",BDEGENER[[#This Row],[VOLTAJE DE BATERIA]],"
TEMPERATURA: ",BDEGENER[[#This Row],[TEMPERATURA DE AGUA]],"
PRES. ACEITE: ",BDEGENER[[#This Row],[PRESION DE ACEITE]])</f>
        <v>HORAS: 617,5
KW-HR: 
VOLT.BATERIA: 13.6 V
TEMPERATURA: 193 °F
PRES. ACEITE: 60 PSI</v>
      </c>
      <c r="AV765" s="683">
        <f>COUNTIFS(Q765:Q2765,"MANTENIMIENTO CORRECTIVO",Y765:Y2765,BDEGENER[[#This Row],[SERIE]])</f>
        <v>0</v>
      </c>
      <c r="AW765" s="683">
        <f>COUNTIFS(Q765:Q2765,"MANTENIMIENTO PREVENTIVO",Y765:Y2765,BDEGENER[[#This Row],[SERIE]])</f>
        <v>2</v>
      </c>
      <c r="AX76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65" s="29">
        <f>COUNTIFS(BDEGENER[SERIE],BDEGENER[[#This Row],[SERIE]],BDEGENER[TIPO DE SERVICIO],"MANTENIMIENTO PREVENTIVO")</f>
        <v>7</v>
      </c>
      <c r="AZ765" s="29" t="str">
        <f>CONCATENATE("MANTENIMIENTO PREVENTIVO N°",BDEGENER[[#This Row],[GA1]])</f>
        <v>MANTENIMIENTO PREVENTIVO N°7</v>
      </c>
      <c r="BA765" s="325" t="str">
        <f>IF(BDEGENER[[#This Row],[SERVICIO]]=BDEGENER[[#This Row],[GA2]],BDEGENER[[#This Row],[HORAS]],"0")</f>
        <v>0</v>
      </c>
      <c r="BB765" s="325">
        <f>SUMIF(BDEGENER[SERIE],BDEGENER[[#This Row],[SERIE]],BDEGENER[GA3])</f>
        <v>2248.5</v>
      </c>
      <c r="BC765" s="683" t="str">
        <f>CONCATENATE("MANT",COUNTIF($Y$7:Y765,Y765))</f>
        <v>MANT9</v>
      </c>
      <c r="BD765" s="29" t="str">
        <f>CONCATENATE(BDEGENER[[#This Row],[SERIE]],BDEGENER[[#This Row],[GA5]])</f>
        <v>3004331709MANT9</v>
      </c>
      <c r="BE765" s="29" t="str">
        <f>CONCATENATE(BDEGENER[[#This Row],[CODIGO PATRIMONIAL]],BDEGENER[[#This Row],[GA5]])</f>
        <v>MANT9</v>
      </c>
      <c r="BF765" s="16">
        <f>COUNTIF(BDEGENER[SERIE],BDEGENER[[#This Row],[SERIE]])</f>
        <v>11</v>
      </c>
      <c r="BG765" s="683" t="str">
        <f>CONCATENATE("F",COUNTIF($K$7:K765,K765))</f>
        <v>F6</v>
      </c>
      <c r="BH765" s="325" t="str">
        <f>CONCATENATE(BDEGENER[[#This Row],[FECHA DE SERVICIO]],BDEGENER[[#This Row],[N° DE REGISTROS DEL DIA]])</f>
        <v>43791F6</v>
      </c>
      <c r="BI765" s="324"/>
      <c r="BJ765" s="85" t="s">
        <v>1544</v>
      </c>
      <c r="BK765" s="326"/>
    </row>
    <row r="766" spans="2:63" ht="69" hidden="1" x14ac:dyDescent="0.3">
      <c r="B766" s="223"/>
      <c r="C766" s="223"/>
      <c r="D766" s="223"/>
      <c r="E766" s="223"/>
      <c r="F766" s="223"/>
      <c r="G766" s="223"/>
      <c r="H766" s="223"/>
      <c r="I766" s="223"/>
      <c r="J766" s="223"/>
      <c r="K766" s="723">
        <v>43791</v>
      </c>
      <c r="L766" s="15" t="s">
        <v>181</v>
      </c>
      <c r="M766" s="14" t="s">
        <v>189</v>
      </c>
      <c r="N766" s="14" t="s">
        <v>946</v>
      </c>
      <c r="O766" s="8"/>
      <c r="P766" s="10"/>
      <c r="Q766" s="14" t="s">
        <v>37</v>
      </c>
      <c r="R766" s="85" t="s">
        <v>1782</v>
      </c>
      <c r="S766" s="5" t="s">
        <v>47</v>
      </c>
      <c r="T766" s="14" t="s">
        <v>92</v>
      </c>
      <c r="U766" s="14" t="s">
        <v>118</v>
      </c>
      <c r="V766" s="14" t="s">
        <v>149</v>
      </c>
      <c r="W766" s="85" t="s">
        <v>914</v>
      </c>
      <c r="X766" s="85" t="s">
        <v>918</v>
      </c>
      <c r="Y766" s="15">
        <v>3004327723</v>
      </c>
      <c r="Z766" s="14"/>
      <c r="AA766" s="14" t="s">
        <v>33</v>
      </c>
      <c r="AB766" s="85" t="s">
        <v>34</v>
      </c>
      <c r="AC766" s="14" t="s">
        <v>230</v>
      </c>
      <c r="AD766" s="16" t="s">
        <v>1195</v>
      </c>
      <c r="AE766" s="16">
        <v>61</v>
      </c>
      <c r="AF766" s="12">
        <v>586.6</v>
      </c>
      <c r="AG766" s="85" t="s">
        <v>243</v>
      </c>
      <c r="AH766" s="85" t="s">
        <v>220</v>
      </c>
      <c r="AI766" s="85" t="s">
        <v>33</v>
      </c>
      <c r="AJ766" s="85">
        <v>3004346813</v>
      </c>
      <c r="AK766" s="85" t="s">
        <v>33</v>
      </c>
      <c r="AL766" s="85">
        <v>106302070</v>
      </c>
      <c r="AM766" s="16" t="s">
        <v>1196</v>
      </c>
      <c r="AN766" s="16" t="s">
        <v>1423</v>
      </c>
      <c r="AO766" s="16" t="s">
        <v>1146</v>
      </c>
      <c r="AP766" s="19" t="s">
        <v>240</v>
      </c>
      <c r="AQ766" s="200" t="str">
        <f>CONCATENATE("REG-",BDEGENER[[#This Row],[FECHA DE SERVICIO]],"-",BDEGENER[[#This Row],[SERIE]],"-",BDEGENER[[#This Row],[HORAS]])</f>
        <v>REG-43791-3004327723-586,6</v>
      </c>
      <c r="AR766" s="5" t="str">
        <f>CONCATENATE("MARCA: ",BDEGENER[[#This Row],[MARCA]],"
 MODELO: ",BDEGENER[[#This Row],[MODELO]])</f>
        <v>MARCA: GENERAC
 MODELO: PG090</v>
      </c>
      <c r="AS766" s="5" t="str">
        <f>CONCATENATE("MARCA: ",BDEGENER[[#This Row],[MARCA DE MOTOR]],"
SERIE: ",BDEGENER[[#This Row],[SERIE DE MOTOR]])</f>
        <v>MARCA: GENERAC
SERIE: 3004346813</v>
      </c>
      <c r="AT766" s="5" t="str">
        <f>CONCATENATE("MARCA: ",BDEGENER[[#This Row],[MARCA ALTERNADOR ]],"
SERIE: ",BDEGENER[[#This Row],[SERIE DE ALTERNADOR]])</f>
        <v>MARCA: GENERAC
SERIE: 106302070</v>
      </c>
      <c r="AU766" s="5" t="str">
        <f>CONCATENATE("HORAS: ",BDEGENER[[#This Row],[HORAS]],"
KW-HR: ",BDEGENER[[#This Row],[KW-HORA]],"
VOLT.BATERIA: ",BDEGENER[[#This Row],[VOLTAJE DE BATERIA]],"
TEMPERATURA: ",BDEGENER[[#This Row],[TEMPERATURA DE AGUA]],"
PRES. ACEITE: ",BDEGENER[[#This Row],[PRESION DE ACEITE]])</f>
        <v>HORAS: 586,6
KW-HR: 
VOLT.BATERIA: 13.2 V
TEMPERATURA: 190 °F
PRES. ACEITE: 62 PSI</v>
      </c>
      <c r="AV766" s="761">
        <f>COUNTIFS(Q766:Q2766,"MANTENIMIENTO CORRECTIVO",Y766:Y2766,BDEGENER[[#This Row],[SERIE]])</f>
        <v>0</v>
      </c>
      <c r="AW766" s="761">
        <f>COUNTIFS(Q766:Q2766,"MANTENIMIENTO PREVENTIVO",Y766:Y2766,BDEGENER[[#This Row],[SERIE]])</f>
        <v>2</v>
      </c>
      <c r="AX76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66" s="29">
        <f>COUNTIFS(BDEGENER[SERIE],BDEGENER[[#This Row],[SERIE]],BDEGENER[TIPO DE SERVICIO],"MANTENIMIENTO PREVENTIVO")</f>
        <v>8</v>
      </c>
      <c r="AZ766" s="29" t="str">
        <f>CONCATENATE("MANTENIMIENTO PREVENTIVO N°",BDEGENER[[#This Row],[GA1]])</f>
        <v>MANTENIMIENTO PREVENTIVO N°8</v>
      </c>
      <c r="BA766" s="325" t="str">
        <f>IF(BDEGENER[[#This Row],[SERVICIO]]=BDEGENER[[#This Row],[GA2]],BDEGENER[[#This Row],[HORAS]],"0")</f>
        <v>0</v>
      </c>
      <c r="BB766" s="325">
        <f>SUMIF(BDEGENER[SERIE],BDEGENER[[#This Row],[SERIE]],BDEGENER[GA3])</f>
        <v>6883.3</v>
      </c>
      <c r="BC766" s="761" t="str">
        <f>CONCATENATE("MANT",COUNTIF($Y$7:Y766,Y766))</f>
        <v>MANT9</v>
      </c>
      <c r="BD766" s="29" t="str">
        <f>CONCATENATE(BDEGENER[[#This Row],[SERIE]],BDEGENER[[#This Row],[GA5]])</f>
        <v>3004327723MANT9</v>
      </c>
      <c r="BE766" s="29" t="str">
        <f>CONCATENATE(BDEGENER[[#This Row],[CODIGO PATRIMONIAL]],BDEGENER[[#This Row],[GA5]])</f>
        <v>MANT9</v>
      </c>
      <c r="BF766" s="16">
        <f>COUNTIF(BDEGENER[SERIE],BDEGENER[[#This Row],[SERIE]])</f>
        <v>11</v>
      </c>
      <c r="BG766" s="761" t="str">
        <f>CONCATENATE("F",COUNTIF($K$7:K766,K766))</f>
        <v>F7</v>
      </c>
      <c r="BH766" s="325" t="str">
        <f>CONCATENATE(BDEGENER[[#This Row],[FECHA DE SERVICIO]],BDEGENER[[#This Row],[N° DE REGISTROS DEL DIA]])</f>
        <v>43791F7</v>
      </c>
      <c r="BI766" s="324"/>
      <c r="BJ766" s="85" t="s">
        <v>1544</v>
      </c>
      <c r="BK766" s="326"/>
    </row>
    <row r="767" spans="2:63" ht="69" hidden="1" x14ac:dyDescent="0.3">
      <c r="B767" s="223"/>
      <c r="C767" s="223"/>
      <c r="D767" s="223"/>
      <c r="E767" s="223"/>
      <c r="F767" s="223"/>
      <c r="G767" s="223"/>
      <c r="H767" s="223"/>
      <c r="I767" s="223"/>
      <c r="J767" s="223"/>
      <c r="K767" s="723">
        <v>43791</v>
      </c>
      <c r="L767" s="15" t="s">
        <v>181</v>
      </c>
      <c r="M767" s="14" t="s">
        <v>189</v>
      </c>
      <c r="N767" s="14" t="s">
        <v>946</v>
      </c>
      <c r="O767" s="8"/>
      <c r="P767" s="10"/>
      <c r="Q767" s="14" t="s">
        <v>37</v>
      </c>
      <c r="R767" s="85" t="s">
        <v>1782</v>
      </c>
      <c r="S767" s="5" t="s">
        <v>47</v>
      </c>
      <c r="T767" s="14" t="s">
        <v>92</v>
      </c>
      <c r="U767" s="14" t="s">
        <v>118</v>
      </c>
      <c r="V767" s="14" t="s">
        <v>146</v>
      </c>
      <c r="W767" s="85" t="s">
        <v>914</v>
      </c>
      <c r="X767" s="85" t="s">
        <v>918</v>
      </c>
      <c r="Y767" s="15">
        <v>3004331708</v>
      </c>
      <c r="Z767" s="14"/>
      <c r="AA767" s="14" t="s">
        <v>33</v>
      </c>
      <c r="AB767" s="85" t="s">
        <v>34</v>
      </c>
      <c r="AC767" s="14" t="s">
        <v>230</v>
      </c>
      <c r="AD767" s="16" t="s">
        <v>1195</v>
      </c>
      <c r="AE767" s="16">
        <v>60.1</v>
      </c>
      <c r="AF767" s="12">
        <v>599.29999999999995</v>
      </c>
      <c r="AG767" s="85" t="s">
        <v>243</v>
      </c>
      <c r="AH767" s="85" t="s">
        <v>220</v>
      </c>
      <c r="AI767" s="85" t="s">
        <v>33</v>
      </c>
      <c r="AJ767" s="85">
        <v>3004309058</v>
      </c>
      <c r="AK767" s="85" t="s">
        <v>33</v>
      </c>
      <c r="AL767" s="16"/>
      <c r="AM767" s="16" t="s">
        <v>245</v>
      </c>
      <c r="AN767" s="16" t="s">
        <v>1426</v>
      </c>
      <c r="AO767" s="16" t="s">
        <v>1354</v>
      </c>
      <c r="AP767" s="19" t="s">
        <v>240</v>
      </c>
      <c r="AQ767" s="200" t="str">
        <f>CONCATENATE("REG-",BDEGENER[[#This Row],[FECHA DE SERVICIO]],"-",BDEGENER[[#This Row],[SERIE]],"-",BDEGENER[[#This Row],[HORAS]])</f>
        <v>REG-43791-3004331708-599,3</v>
      </c>
      <c r="AR767" s="5" t="str">
        <f>CONCATENATE("MARCA: ",BDEGENER[[#This Row],[MARCA]],"
 MODELO: ",BDEGENER[[#This Row],[MODELO]])</f>
        <v>MARCA: GENERAC
 MODELO: PG090</v>
      </c>
      <c r="AS767" s="5" t="str">
        <f>CONCATENATE("MARCA: ",BDEGENER[[#This Row],[MARCA DE MOTOR]],"
SERIE: ",BDEGENER[[#This Row],[SERIE DE MOTOR]])</f>
        <v>MARCA: GENERAC
SERIE: 3004309058</v>
      </c>
      <c r="AT767" s="5" t="str">
        <f>CONCATENATE("MARCA: ",BDEGENER[[#This Row],[MARCA ALTERNADOR ]],"
SERIE: ",BDEGENER[[#This Row],[SERIE DE ALTERNADOR]])</f>
        <v xml:space="preserve">MARCA: GENERAC
SERIE: </v>
      </c>
      <c r="AU767" s="5" t="str">
        <f>CONCATENATE("HORAS: ",BDEGENER[[#This Row],[HORAS]],"
KW-HR: ",BDEGENER[[#This Row],[KW-HORA]],"
VOLT.BATERIA: ",BDEGENER[[#This Row],[VOLTAJE DE BATERIA]],"
TEMPERATURA: ",BDEGENER[[#This Row],[TEMPERATURA DE AGUA]],"
PRES. ACEITE: ",BDEGENER[[#This Row],[PRESION DE ACEITE]])</f>
        <v>HORAS: 599,3
KW-HR: 
VOLT.BATERIA: 13.6 V
TEMPERATURA: 164 °F
PRES. ACEITE: 63 PSI</v>
      </c>
      <c r="AV767" s="683">
        <f>COUNTIFS(Q767:Q2767,"MANTENIMIENTO CORRECTIVO",Y767:Y2767,BDEGENER[[#This Row],[SERIE]])</f>
        <v>0</v>
      </c>
      <c r="AW767" s="683">
        <f>COUNTIFS(Q767:Q2767,"MANTENIMIENTO PREVENTIVO",Y767:Y2767,BDEGENER[[#This Row],[SERIE]])</f>
        <v>2</v>
      </c>
      <c r="AX76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67" s="29">
        <f>COUNTIFS(BDEGENER[SERIE],BDEGENER[[#This Row],[SERIE]],BDEGENER[TIPO DE SERVICIO],"MANTENIMIENTO PREVENTIVO")</f>
        <v>6</v>
      </c>
      <c r="AZ767" s="29" t="str">
        <f>CONCATENATE("MANTENIMIENTO PREVENTIVO N°",BDEGENER[[#This Row],[GA1]])</f>
        <v>MANTENIMIENTO PREVENTIVO N°6</v>
      </c>
      <c r="BA767" s="325" t="str">
        <f>IF(BDEGENER[[#This Row],[SERVICIO]]=BDEGENER[[#This Row],[GA2]],BDEGENER[[#This Row],[HORAS]],"0")</f>
        <v>0</v>
      </c>
      <c r="BB767" s="325">
        <f>SUMIF(BDEGENER[SERIE],BDEGENER[[#This Row],[SERIE]],BDEGENER[GA3])</f>
        <v>1635.5</v>
      </c>
      <c r="BC767" s="683" t="str">
        <f>CONCATENATE("MANT",COUNTIF($Y$7:Y767,Y767))</f>
        <v>MANT11</v>
      </c>
      <c r="BD767" s="29" t="str">
        <f>CONCATENATE(BDEGENER[[#This Row],[SERIE]],BDEGENER[[#This Row],[GA5]])</f>
        <v>3004331708MANT11</v>
      </c>
      <c r="BE767" s="29" t="str">
        <f>CONCATENATE(BDEGENER[[#This Row],[CODIGO PATRIMONIAL]],BDEGENER[[#This Row],[GA5]])</f>
        <v>MANT11</v>
      </c>
      <c r="BF767" s="16">
        <f>COUNTIF(BDEGENER[SERIE],BDEGENER[[#This Row],[SERIE]])</f>
        <v>13</v>
      </c>
      <c r="BG767" s="683" t="str">
        <f>CONCATENATE("F",COUNTIF($K$7:K767,K767))</f>
        <v>F8</v>
      </c>
      <c r="BH767" s="325" t="str">
        <f>CONCATENATE(BDEGENER[[#This Row],[FECHA DE SERVICIO]],BDEGENER[[#This Row],[N° DE REGISTROS DEL DIA]])</f>
        <v>43791F8</v>
      </c>
      <c r="BI767" s="324"/>
      <c r="BJ767" s="85" t="s">
        <v>1544</v>
      </c>
      <c r="BK767" s="326"/>
    </row>
    <row r="768" spans="2:63" ht="69" hidden="1" x14ac:dyDescent="0.3">
      <c r="B768" s="223"/>
      <c r="C768" s="223"/>
      <c r="D768" s="223"/>
      <c r="E768" s="223"/>
      <c r="F768" s="223"/>
      <c r="G768" s="223"/>
      <c r="H768" s="223"/>
      <c r="I768" s="223"/>
      <c r="J768" s="223"/>
      <c r="K768" s="723">
        <v>43791</v>
      </c>
      <c r="L768" s="15" t="s">
        <v>181</v>
      </c>
      <c r="M768" s="14" t="s">
        <v>189</v>
      </c>
      <c r="N768" s="14" t="s">
        <v>946</v>
      </c>
      <c r="O768" s="8"/>
      <c r="P768" s="10"/>
      <c r="Q768" s="14" t="s">
        <v>37</v>
      </c>
      <c r="R768" s="85" t="s">
        <v>1782</v>
      </c>
      <c r="S768" s="5" t="s">
        <v>45</v>
      </c>
      <c r="T768" s="14" t="s">
        <v>92</v>
      </c>
      <c r="U768" s="14" t="s">
        <v>118</v>
      </c>
      <c r="V768" s="14" t="s">
        <v>150</v>
      </c>
      <c r="W768" s="85" t="s">
        <v>914</v>
      </c>
      <c r="X768" s="85" t="s">
        <v>918</v>
      </c>
      <c r="Y768" s="15">
        <v>3004331705</v>
      </c>
      <c r="Z768" s="14"/>
      <c r="AA768" s="14" t="s">
        <v>33</v>
      </c>
      <c r="AB768" s="85" t="s">
        <v>34</v>
      </c>
      <c r="AC768" s="14" t="s">
        <v>230</v>
      </c>
      <c r="AD768" s="16" t="s">
        <v>1360</v>
      </c>
      <c r="AE768" s="16">
        <v>60.1</v>
      </c>
      <c r="AF768" s="12">
        <v>639.70000000000005</v>
      </c>
      <c r="AG768" s="16" t="s">
        <v>243</v>
      </c>
      <c r="AH768" s="16" t="s">
        <v>220</v>
      </c>
      <c r="AI768" s="16" t="s">
        <v>33</v>
      </c>
      <c r="AJ768" s="85">
        <v>3004333867</v>
      </c>
      <c r="AK768" s="16" t="s">
        <v>33</v>
      </c>
      <c r="AL768" s="722"/>
      <c r="AM768" s="16" t="s">
        <v>1145</v>
      </c>
      <c r="AN768" s="16" t="s">
        <v>1425</v>
      </c>
      <c r="AO768" s="16" t="s">
        <v>1381</v>
      </c>
      <c r="AP768" s="19" t="s">
        <v>240</v>
      </c>
      <c r="AQ768" s="200" t="str">
        <f>CONCATENATE("REG-",BDEGENER[[#This Row],[FECHA DE SERVICIO]],"-",BDEGENER[[#This Row],[SERIE]],"-",BDEGENER[[#This Row],[HORAS]])</f>
        <v>REG-43791-3004331705-639,7</v>
      </c>
      <c r="AR768" s="5" t="str">
        <f>CONCATENATE("MARCA: ",BDEGENER[[#This Row],[MARCA]],"
 MODELO: ",BDEGENER[[#This Row],[MODELO]])</f>
        <v>MARCA: GENERAC
 MODELO: PG090</v>
      </c>
      <c r="AS768" s="5" t="str">
        <f>CONCATENATE("MARCA: ",BDEGENER[[#This Row],[MARCA DE MOTOR]],"
SERIE: ",BDEGENER[[#This Row],[SERIE DE MOTOR]])</f>
        <v>MARCA: GENERAC
SERIE: 3004333867</v>
      </c>
      <c r="AT768" s="5" t="str">
        <f>CONCATENATE("MARCA: ",BDEGENER[[#This Row],[MARCA ALTERNADOR ]],"
SERIE: ",BDEGENER[[#This Row],[SERIE DE ALTERNADOR]])</f>
        <v xml:space="preserve">MARCA: GENERAC
SERIE: </v>
      </c>
      <c r="AU768" s="5" t="str">
        <f>CONCATENATE("HORAS: ",BDEGENER[[#This Row],[HORAS]],"
KW-HR: ",BDEGENER[[#This Row],[KW-HORA]],"
VOLT.BATERIA: ",BDEGENER[[#This Row],[VOLTAJE DE BATERIA]],"
TEMPERATURA: ",BDEGENER[[#This Row],[TEMPERATURA DE AGUA]],"
PRES. ACEITE: ",BDEGENER[[#This Row],[PRESION DE ACEITE]])</f>
        <v>HORAS: 639,7
KW-HR: 
VOLT.BATERIA: 13.4 V
TEMPERATURA: 113 °F
PRES. ACEITE: 66 PSI</v>
      </c>
      <c r="AV768" s="683">
        <f>COUNTIFS(Q768:Q2768,"MANTENIMIENTO CORRECTIVO",Y768:Y2768,BDEGENER[[#This Row],[SERIE]])</f>
        <v>0</v>
      </c>
      <c r="AW768" s="683">
        <f>COUNTIFS(Q768:Q2768,"MANTENIMIENTO PREVENTIVO",Y768:Y2768,BDEGENER[[#This Row],[SERIE]])</f>
        <v>2</v>
      </c>
      <c r="AX76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68" s="29">
        <f>COUNTIFS(BDEGENER[SERIE],BDEGENER[[#This Row],[SERIE]],BDEGENER[TIPO DE SERVICIO],"MANTENIMIENTO PREVENTIVO")</f>
        <v>8</v>
      </c>
      <c r="AZ768" s="29" t="str">
        <f>CONCATENATE("MANTENIMIENTO PREVENTIVO N°",BDEGENER[[#This Row],[GA1]])</f>
        <v>MANTENIMIENTO PREVENTIVO N°8</v>
      </c>
      <c r="BA768" s="325" t="str">
        <f>IF(BDEGENER[[#This Row],[SERVICIO]]=BDEGENER[[#This Row],[GA2]],BDEGENER[[#This Row],[HORAS]],"0")</f>
        <v>0</v>
      </c>
      <c r="BB768" s="325">
        <f>SUMIF(BDEGENER[SERIE],BDEGENER[[#This Row],[SERIE]],BDEGENER[GA3])</f>
        <v>2381.3000000000002</v>
      </c>
      <c r="BC768" s="683" t="str">
        <f>CONCATENATE("MANT",COUNTIF($Y$7:Y768,Y768))</f>
        <v>MANT8</v>
      </c>
      <c r="BD768" s="29" t="str">
        <f>CONCATENATE(BDEGENER[[#This Row],[SERIE]],BDEGENER[[#This Row],[GA5]])</f>
        <v>3004331705MANT8</v>
      </c>
      <c r="BE768" s="29" t="str">
        <f>CONCATENATE(BDEGENER[[#This Row],[CODIGO PATRIMONIAL]],BDEGENER[[#This Row],[GA5]])</f>
        <v>MANT8</v>
      </c>
      <c r="BF768" s="16">
        <f>COUNTIF(BDEGENER[SERIE],BDEGENER[[#This Row],[SERIE]])</f>
        <v>10</v>
      </c>
      <c r="BG768" s="683" t="str">
        <f>CONCATENATE("F",COUNTIF($K$7:K768,K768))</f>
        <v>F9</v>
      </c>
      <c r="BH768" s="325" t="str">
        <f>CONCATENATE(BDEGENER[[#This Row],[FECHA DE SERVICIO]],BDEGENER[[#This Row],[N° DE REGISTROS DEL DIA]])</f>
        <v>43791F9</v>
      </c>
      <c r="BI768" s="324"/>
      <c r="BJ768" s="85" t="s">
        <v>1544</v>
      </c>
      <c r="BK768" s="326"/>
    </row>
    <row r="769" spans="2:63" ht="69" hidden="1" x14ac:dyDescent="0.3">
      <c r="B769" s="34"/>
      <c r="C769" s="34"/>
      <c r="D769" s="34"/>
      <c r="E769" s="34"/>
      <c r="F769" s="34"/>
      <c r="G769" s="34"/>
      <c r="H769" s="34"/>
      <c r="I769" s="34"/>
      <c r="J769" s="34"/>
      <c r="K769" s="37">
        <v>43789</v>
      </c>
      <c r="L769" s="30" t="s">
        <v>561</v>
      </c>
      <c r="M769" s="85" t="s">
        <v>2439</v>
      </c>
      <c r="N769" s="19" t="s">
        <v>564</v>
      </c>
      <c r="O769" s="19"/>
      <c r="P769" s="19"/>
      <c r="Q769" s="19" t="s">
        <v>107</v>
      </c>
      <c r="R769" s="85" t="s">
        <v>1782</v>
      </c>
      <c r="S769" s="19" t="s">
        <v>595</v>
      </c>
      <c r="T769" s="85" t="s">
        <v>1782</v>
      </c>
      <c r="U769" s="19" t="s">
        <v>669</v>
      </c>
      <c r="V769" s="19" t="s">
        <v>148</v>
      </c>
      <c r="W769" s="85" t="s">
        <v>914</v>
      </c>
      <c r="X769" s="85" t="s">
        <v>918</v>
      </c>
      <c r="Y769" s="31">
        <v>3003963149</v>
      </c>
      <c r="Z769" s="85" t="s">
        <v>2603</v>
      </c>
      <c r="AA769" s="85" t="s">
        <v>33</v>
      </c>
      <c r="AB769" s="85" t="s">
        <v>34</v>
      </c>
      <c r="AC769" s="85" t="s">
        <v>230</v>
      </c>
      <c r="AD769" s="16"/>
      <c r="AE769" s="16"/>
      <c r="AF769" s="146">
        <v>984.1</v>
      </c>
      <c r="AG769" s="16"/>
      <c r="AH769" s="16"/>
      <c r="AI769" s="16"/>
      <c r="AJ769" s="16"/>
      <c r="AK769" s="16"/>
      <c r="AL769" s="16"/>
      <c r="AM769" s="16"/>
      <c r="AN769" s="16"/>
      <c r="AO769" s="16"/>
      <c r="AP769" s="19" t="s">
        <v>240</v>
      </c>
      <c r="AQ769" s="201" t="str">
        <f>CONCATENATE("REG-",BDEGENER[[#This Row],[FECHA DE SERVICIO]],"-",BDEGENER[[#This Row],[SERIE]],"-",BDEGENER[[#This Row],[HORAS]])</f>
        <v>REG-43789-3003963149-984,1</v>
      </c>
      <c r="AR769" s="5" t="str">
        <f>CONCATENATE("MARCA: ",BDEGENER[[#This Row],[MARCA]],"
 MODELO: ",BDEGENER[[#This Row],[MODELO]])</f>
        <v>MARCA: GENERAC
 MODELO: PG090</v>
      </c>
      <c r="AS769" s="5" t="str">
        <f>CONCATENATE("MARCA: ",BDEGENER[[#This Row],[MARCA DE MOTOR]],"
SERIE: ",BDEGENER[[#This Row],[SERIE DE MOTOR]])</f>
        <v xml:space="preserve">MARCA: 
SERIE: </v>
      </c>
      <c r="AT769" s="5" t="str">
        <f>CONCATENATE("MARCA: ",BDEGENER[[#This Row],[MARCA ALTERNADOR ]],"
SERIE: ",BDEGENER[[#This Row],[SERIE DE ALTERNADOR]])</f>
        <v xml:space="preserve">MARCA: 
SERIE: </v>
      </c>
      <c r="AU769" s="29" t="str">
        <f>CONCATENATE("HORAS: ",BDEGENER[[#This Row],[HORAS]],"
KW-HR: ",BDEGENER[[#This Row],[KW-HORA]],"
VOLT.BATERIA: ",BDEGENER[[#This Row],[VOLTAJE DE BATERIA]],"
TEMPERATURA: ",BDEGENER[[#This Row],[TEMPERATURA DE AGUA]],"
PRES. ACEITE: ",BDEGENER[[#This Row],[PRESION DE ACEITE]])</f>
        <v xml:space="preserve">HORAS: 984,1
KW-HR: 
VOLT.BATERIA: 
TEMPERATURA: 
PRES. ACEITE: </v>
      </c>
      <c r="AV769" s="761">
        <f>COUNTIFS(Q769:Q2769,"MANTENIMIENTO CORRECTIVO",Y769:Y2769,BDEGENER[[#This Row],[SERIE]])</f>
        <v>2</v>
      </c>
      <c r="AW769" s="761">
        <f>COUNTIFS(Q769:Q2769,"MANTENIMIENTO PREVENTIVO",Y769:Y2769,BDEGENER[[#This Row],[SERIE]])</f>
        <v>3</v>
      </c>
      <c r="AX76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769" s="29">
        <f>COUNTIFS(BDEGENER[SERIE],BDEGENER[[#This Row],[SERIE]],BDEGENER[TIPO DE SERVICIO],"MANTENIMIENTO PREVENTIVO")</f>
        <v>6</v>
      </c>
      <c r="AZ769" s="29" t="str">
        <f>CONCATENATE("MANTENIMIENTO PREVENTIVO N°",BDEGENER[[#This Row],[GA1]])</f>
        <v>MANTENIMIENTO PREVENTIVO N°6</v>
      </c>
      <c r="BA769" s="325" t="str">
        <f>IF(BDEGENER[[#This Row],[SERVICIO]]=BDEGENER[[#This Row],[GA2]],BDEGENER[[#This Row],[HORAS]],"0")</f>
        <v>0</v>
      </c>
      <c r="BB769" s="325">
        <f>SUMIF(BDEGENER[SERIE],BDEGENER[[#This Row],[SERIE]],BDEGENER[GA3])</f>
        <v>3959.4</v>
      </c>
      <c r="BC769" s="761" t="str">
        <f>CONCATENATE("MANT",COUNTIF($Y$7:Y769,Y769))</f>
        <v>MANT6</v>
      </c>
      <c r="BD769" s="29" t="str">
        <f>CONCATENATE(BDEGENER[[#This Row],[SERIE]],BDEGENER[[#This Row],[GA5]])</f>
        <v>3003963149MANT6</v>
      </c>
      <c r="BE769" s="29" t="str">
        <f>CONCATENATE(BDEGENER[[#This Row],[CODIGO PATRIMONIAL]],BDEGENER[[#This Row],[GA5]])</f>
        <v>SUR-GEG-0007MANT6</v>
      </c>
      <c r="BF769" s="16">
        <f>COUNTIF(BDEGENER[SERIE],BDEGENER[[#This Row],[SERIE]])</f>
        <v>12</v>
      </c>
      <c r="BG769" s="761" t="str">
        <f>CONCATENATE("F",COUNTIF($K$7:K769,K769))</f>
        <v>F1</v>
      </c>
      <c r="BH769" s="325" t="str">
        <f>CONCATENATE(BDEGENER[[#This Row],[FECHA DE SERVICIO]],BDEGENER[[#This Row],[N° DE REGISTROS DEL DIA]])</f>
        <v>43789F1</v>
      </c>
      <c r="BI769" s="324"/>
      <c r="BJ769" s="325"/>
      <c r="BK769" s="326"/>
    </row>
    <row r="770" spans="2:63" ht="69" hidden="1" x14ac:dyDescent="0.3">
      <c r="B770" s="129"/>
      <c r="C770" s="129"/>
      <c r="D770" s="129"/>
      <c r="E770" s="129"/>
      <c r="F770" s="129"/>
      <c r="G770" s="129"/>
      <c r="H770" s="129"/>
      <c r="I770" s="129"/>
      <c r="J770" s="129"/>
      <c r="K770" s="131">
        <v>43788</v>
      </c>
      <c r="L770" s="130" t="s">
        <v>181</v>
      </c>
      <c r="M770" s="85" t="s">
        <v>185</v>
      </c>
      <c r="N770" s="85" t="s">
        <v>183</v>
      </c>
      <c r="O770" s="85">
        <v>4500825670</v>
      </c>
      <c r="P770" s="85"/>
      <c r="Q770" s="85" t="s">
        <v>37</v>
      </c>
      <c r="R770" s="85" t="s">
        <v>1782</v>
      </c>
      <c r="S770" s="6" t="s">
        <v>1333</v>
      </c>
      <c r="T770" s="85" t="s">
        <v>1334</v>
      </c>
      <c r="U770" s="85" t="s">
        <v>1148</v>
      </c>
      <c r="V770" s="85" t="s">
        <v>146</v>
      </c>
      <c r="W770" s="85" t="s">
        <v>914</v>
      </c>
      <c r="X770" s="85" t="s">
        <v>918</v>
      </c>
      <c r="Y770" s="130">
        <v>3004290365</v>
      </c>
      <c r="Z770" s="85"/>
      <c r="AA770" s="85" t="s">
        <v>33</v>
      </c>
      <c r="AB770" s="85" t="s">
        <v>34</v>
      </c>
      <c r="AC770" s="85" t="s">
        <v>230</v>
      </c>
      <c r="AD770" s="85"/>
      <c r="AE770" s="85"/>
      <c r="AF770" s="132">
        <v>228.5</v>
      </c>
      <c r="AG770" s="85" t="s">
        <v>243</v>
      </c>
      <c r="AH770" s="85" t="s">
        <v>220</v>
      </c>
      <c r="AI770" s="85" t="s">
        <v>33</v>
      </c>
      <c r="AJ770" s="85"/>
      <c r="AK770" s="85" t="s">
        <v>33</v>
      </c>
      <c r="AL770" s="85"/>
      <c r="AM770" s="85"/>
      <c r="AN770" s="85"/>
      <c r="AO770" s="85"/>
      <c r="AP770" s="85" t="s">
        <v>240</v>
      </c>
      <c r="AQ770" s="9" t="str">
        <f>CONCATENATE("REG-",BDEGENER[[#This Row],[FECHA DE SERVICIO]],"-",BDEGENER[[#This Row],[SERIE]],"-",BDEGENER[[#This Row],[HORAS]])</f>
        <v>REG-43788-3004290365-228,5</v>
      </c>
      <c r="AR770" s="85" t="str">
        <f>CONCATENATE("MARCA: ",BDEGENER[[#This Row],[MARCA]],"
 MODELO: ",BDEGENER[[#This Row],[MODELO]])</f>
        <v>MARCA: GENERAC
 MODELO: PG090</v>
      </c>
      <c r="AS770" s="85" t="str">
        <f>CONCATENATE("MARCA: ",BDEGENER[[#This Row],[MARCA DE MOTOR]],"
SERIE: ",BDEGENER[[#This Row],[SERIE DE MOTOR]])</f>
        <v xml:space="preserve">MARCA: GENERAC
SERIE: </v>
      </c>
      <c r="AT770" s="85" t="str">
        <f>CONCATENATE("MARCA: ",BDEGENER[[#This Row],[MARCA ALTERNADOR ]],"
SERIE: ",BDEGENER[[#This Row],[SERIE DE ALTERNADOR]])</f>
        <v xml:space="preserve">MARCA: GENERAC
SERIE: </v>
      </c>
      <c r="AU770" s="85" t="str">
        <f>CONCATENATE("HORAS: ",BDEGENER[[#This Row],[HORAS]],"
KW-HR: ",BDEGENER[[#This Row],[KW-HORA]],"
VOLT.BATERIA: ",BDEGENER[[#This Row],[VOLTAJE DE BATERIA]],"
TEMPERATURA: ",BDEGENER[[#This Row],[TEMPERATURA DE AGUA]],"
PRES. ACEITE: ",BDEGENER[[#This Row],[PRESION DE ACEITE]])</f>
        <v xml:space="preserve">HORAS: 228,5
KW-HR: 
VOLT.BATERIA: 
TEMPERATURA: 
PRES. ACEITE: </v>
      </c>
      <c r="AV770" s="683">
        <f>COUNTIFS(Q770:Q2770,"MANTENIMIENTO CORRECTIVO",Y770:Y2770,BDEGENER[[#This Row],[SERIE]])</f>
        <v>0</v>
      </c>
      <c r="AW770" s="683">
        <f>COUNTIFS(Q770:Q2770,"MANTENIMIENTO PREVENTIVO",Y770:Y2770,BDEGENER[[#This Row],[SERIE]])</f>
        <v>1</v>
      </c>
      <c r="AX77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70" s="85">
        <f>COUNTIFS(BDEGENER[SERIE],BDEGENER[[#This Row],[SERIE]],BDEGENER[TIPO DE SERVICIO],"MANTENIMIENTO PREVENTIVO")</f>
        <v>5</v>
      </c>
      <c r="AZ770" s="85" t="str">
        <f>CONCATENATE("MANTENIMIENTO PREVENTIVO N°",BDEGENER[[#This Row],[GA1]])</f>
        <v>MANTENIMIENTO PREVENTIVO N°5</v>
      </c>
      <c r="BA770" s="85" t="str">
        <f>IF(BDEGENER[[#This Row],[SERVICIO]]=BDEGENER[[#This Row],[GA2]],BDEGENER[[#This Row],[HORAS]],"0")</f>
        <v>0</v>
      </c>
      <c r="BB770" s="85">
        <f>SUMIF(BDEGENER[SERIE],BDEGENER[[#This Row],[SERIE]],BDEGENER[GA3])</f>
        <v>1700.2</v>
      </c>
      <c r="BC770" s="683" t="str">
        <f>CONCATENATE("MANT",COUNTIF($Y$7:Y770,Y770))</f>
        <v>MANT14</v>
      </c>
      <c r="BD770" s="85" t="str">
        <f>CONCATENATE(BDEGENER[[#This Row],[SERIE]],BDEGENER[[#This Row],[GA5]])</f>
        <v>3004290365MANT14</v>
      </c>
      <c r="BE770" s="85" t="str">
        <f>CONCATENATE(BDEGENER[[#This Row],[CODIGO PATRIMONIAL]],BDEGENER[[#This Row],[GA5]])</f>
        <v>MANT14</v>
      </c>
      <c r="BF770" s="129">
        <f>COUNTIF(BDEGENER[SERIE],BDEGENER[[#This Row],[SERIE]])</f>
        <v>15</v>
      </c>
      <c r="BG770" s="683" t="str">
        <f>CONCATENATE("F",COUNTIF($K$7:K770,K770))</f>
        <v>F1</v>
      </c>
      <c r="BH770" s="325" t="str">
        <f>CONCATENATE(BDEGENER[[#This Row],[FECHA DE SERVICIO]],BDEGENER[[#This Row],[N° DE REGISTROS DEL DIA]])</f>
        <v>43788F1</v>
      </c>
      <c r="BI770" s="324"/>
      <c r="BJ770" s="85" t="s">
        <v>1544</v>
      </c>
      <c r="BK770" s="326"/>
    </row>
    <row r="771" spans="2:63" ht="69" hidden="1" x14ac:dyDescent="0.3">
      <c r="B771" s="129"/>
      <c r="C771" s="129"/>
      <c r="D771" s="129"/>
      <c r="E771" s="129"/>
      <c r="F771" s="129"/>
      <c r="G771" s="129"/>
      <c r="H771" s="129"/>
      <c r="I771" s="129"/>
      <c r="J771" s="129"/>
      <c r="K771" s="131">
        <v>43788</v>
      </c>
      <c r="L771" s="130" t="s">
        <v>181</v>
      </c>
      <c r="M771" s="683" t="s">
        <v>190</v>
      </c>
      <c r="N771" s="85" t="s">
        <v>183</v>
      </c>
      <c r="O771" s="85">
        <v>4500825670</v>
      </c>
      <c r="P771" s="85"/>
      <c r="Q771" s="85" t="s">
        <v>37</v>
      </c>
      <c r="R771" s="85" t="s">
        <v>1782</v>
      </c>
      <c r="S771" s="6" t="s">
        <v>1333</v>
      </c>
      <c r="T771" s="85" t="s">
        <v>1334</v>
      </c>
      <c r="U771" s="85" t="s">
        <v>1148</v>
      </c>
      <c r="V771" s="85" t="s">
        <v>146</v>
      </c>
      <c r="W771" s="85" t="s">
        <v>914</v>
      </c>
      <c r="X771" s="85" t="s">
        <v>918</v>
      </c>
      <c r="Y771" s="130">
        <v>3004336196</v>
      </c>
      <c r="Z771" s="692"/>
      <c r="AA771" s="683" t="s">
        <v>33</v>
      </c>
      <c r="AB771" s="85" t="s">
        <v>34</v>
      </c>
      <c r="AC771" s="683" t="s">
        <v>230</v>
      </c>
      <c r="AD771" s="85"/>
      <c r="AE771" s="85"/>
      <c r="AF771" s="132">
        <v>339.9</v>
      </c>
      <c r="AG771" s="85" t="s">
        <v>243</v>
      </c>
      <c r="AH771" s="85" t="s">
        <v>220</v>
      </c>
      <c r="AI771" s="16" t="s">
        <v>33</v>
      </c>
      <c r="AJ771" s="683">
        <v>3004346824</v>
      </c>
      <c r="AK771" s="16" t="s">
        <v>33</v>
      </c>
      <c r="AL771" s="85">
        <v>1063072</v>
      </c>
      <c r="AM771" s="85"/>
      <c r="AN771" s="85"/>
      <c r="AO771" s="85"/>
      <c r="AP771" s="85" t="s">
        <v>240</v>
      </c>
      <c r="AQ771" s="9" t="str">
        <f>CONCATENATE("REG-",BDEGENER[[#This Row],[FECHA DE SERVICIO]],"-",BDEGENER[[#This Row],[SERIE]],"-",BDEGENER[[#This Row],[HORAS]])</f>
        <v>REG-43788-3004336196-339,9</v>
      </c>
      <c r="AR771" s="85" t="str">
        <f>CONCATENATE("MARCA: ",BDEGENER[[#This Row],[MARCA]],"
 MODELO: ",BDEGENER[[#This Row],[MODELO]])</f>
        <v>MARCA: GENERAC
 MODELO: PG090</v>
      </c>
      <c r="AS771" s="85" t="str">
        <f>CONCATENATE("MARCA: ",BDEGENER[[#This Row],[MARCA DE MOTOR]],"
SERIE: ",BDEGENER[[#This Row],[SERIE DE MOTOR]])</f>
        <v>MARCA: GENERAC
SERIE: 3004346824</v>
      </c>
      <c r="AT771" s="85" t="str">
        <f>CONCATENATE("MARCA: ",BDEGENER[[#This Row],[MARCA ALTERNADOR ]],"
SERIE: ",BDEGENER[[#This Row],[SERIE DE ALTERNADOR]])</f>
        <v>MARCA: GENERAC
SERIE: 1063072</v>
      </c>
      <c r="AU771" s="85" t="str">
        <f>CONCATENATE("HORAS: ",BDEGENER[[#This Row],[HORAS]],"
KW-HR: ",BDEGENER[[#This Row],[KW-HORA]],"
VOLT.BATERIA: ",BDEGENER[[#This Row],[VOLTAJE DE BATERIA]],"
TEMPERATURA: ",BDEGENER[[#This Row],[TEMPERATURA DE AGUA]],"
PRES. ACEITE: ",BDEGENER[[#This Row],[PRESION DE ACEITE]])</f>
        <v xml:space="preserve">HORAS: 339,9
KW-HR: 
VOLT.BATERIA: 
TEMPERATURA: 
PRES. ACEITE: </v>
      </c>
      <c r="AV771" s="683">
        <f>COUNTIFS(Q771:Q2771,"MANTENIMIENTO CORRECTIVO",Y771:Y2771,BDEGENER[[#This Row],[SERIE]])</f>
        <v>0</v>
      </c>
      <c r="AW771" s="683">
        <f>COUNTIFS(Q771:Q2771,"MANTENIMIENTO PREVENTIVO",Y771:Y2771,BDEGENER[[#This Row],[SERIE]])</f>
        <v>1</v>
      </c>
      <c r="AX77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71" s="85">
        <f>COUNTIFS(BDEGENER[SERIE],BDEGENER[[#This Row],[SERIE]],BDEGENER[TIPO DE SERVICIO],"MANTENIMIENTO PREVENTIVO")</f>
        <v>9</v>
      </c>
      <c r="AZ771" s="85" t="str">
        <f>CONCATENATE("MANTENIMIENTO PREVENTIVO N°",BDEGENER[[#This Row],[GA1]])</f>
        <v>MANTENIMIENTO PREVENTIVO N°9</v>
      </c>
      <c r="BA771" s="85" t="str">
        <f>IF(BDEGENER[[#This Row],[SERVICIO]]=BDEGENER[[#This Row],[GA2]],BDEGENER[[#This Row],[HORAS]],"0")</f>
        <v>0</v>
      </c>
      <c r="BB771" s="85">
        <f>SUMIF(BDEGENER[SERIE],BDEGENER[[#This Row],[SERIE]],BDEGENER[GA3])</f>
        <v>3148.2</v>
      </c>
      <c r="BC771" s="683" t="str">
        <f>CONCATENATE("MANT",COUNTIF($Y$7:Y771,Y771))</f>
        <v>MANT12</v>
      </c>
      <c r="BD771" s="85" t="str">
        <f>CONCATENATE(BDEGENER[[#This Row],[SERIE]],BDEGENER[[#This Row],[GA5]])</f>
        <v>3004336196MANT12</v>
      </c>
      <c r="BE771" s="85" t="str">
        <f>CONCATENATE(BDEGENER[[#This Row],[CODIGO PATRIMONIAL]],BDEGENER[[#This Row],[GA5]])</f>
        <v>MANT12</v>
      </c>
      <c r="BF771" s="129">
        <f>COUNTIF(BDEGENER[SERIE],BDEGENER[[#This Row],[SERIE]])</f>
        <v>13</v>
      </c>
      <c r="BG771" s="683" t="str">
        <f>CONCATENATE("F",COUNTIF($K$7:K771,K771))</f>
        <v>F2</v>
      </c>
      <c r="BH771" s="325" t="str">
        <f>CONCATENATE(BDEGENER[[#This Row],[FECHA DE SERVICIO]],BDEGENER[[#This Row],[N° DE REGISTROS DEL DIA]])</f>
        <v>43788F2</v>
      </c>
      <c r="BI771" s="324"/>
      <c r="BJ771" s="85" t="s">
        <v>1544</v>
      </c>
      <c r="BK771" s="326"/>
    </row>
    <row r="772" spans="2:63" ht="69" hidden="1" x14ac:dyDescent="0.3">
      <c r="B772" s="223"/>
      <c r="C772" s="223"/>
      <c r="D772" s="223"/>
      <c r="E772" s="223"/>
      <c r="F772" s="223"/>
      <c r="G772" s="223"/>
      <c r="H772" s="223"/>
      <c r="I772" s="223"/>
      <c r="J772" s="223"/>
      <c r="K772" s="723">
        <v>43788</v>
      </c>
      <c r="L772" s="15" t="s">
        <v>181</v>
      </c>
      <c r="M772" s="14" t="s">
        <v>185</v>
      </c>
      <c r="N772" s="14" t="s">
        <v>183</v>
      </c>
      <c r="O772" s="8"/>
      <c r="P772" s="10"/>
      <c r="Q772" s="14" t="s">
        <v>37</v>
      </c>
      <c r="R772" s="85" t="s">
        <v>1782</v>
      </c>
      <c r="S772" s="5" t="s">
        <v>48</v>
      </c>
      <c r="T772" s="14" t="s">
        <v>79</v>
      </c>
      <c r="U772" s="14" t="s">
        <v>125</v>
      </c>
      <c r="V772" s="14" t="s">
        <v>146</v>
      </c>
      <c r="W772" s="85" t="s">
        <v>914</v>
      </c>
      <c r="X772" s="85" t="s">
        <v>918</v>
      </c>
      <c r="Y772" s="15">
        <v>3004344017</v>
      </c>
      <c r="Z772" s="14"/>
      <c r="AA772" s="14" t="s">
        <v>33</v>
      </c>
      <c r="AB772" s="85" t="s">
        <v>34</v>
      </c>
      <c r="AC772" s="14" t="s">
        <v>230</v>
      </c>
      <c r="AD772" s="16"/>
      <c r="AE772" s="16"/>
      <c r="AF772" s="12">
        <v>518.1</v>
      </c>
      <c r="AG772" s="16" t="s">
        <v>243</v>
      </c>
      <c r="AH772" s="16" t="s">
        <v>220</v>
      </c>
      <c r="AI772" s="16" t="s">
        <v>33</v>
      </c>
      <c r="AJ772" s="16">
        <v>3004346832</v>
      </c>
      <c r="AK772" s="16" t="s">
        <v>33</v>
      </c>
      <c r="AL772" s="16">
        <v>106308750</v>
      </c>
      <c r="AM772" s="16"/>
      <c r="AN772" s="16"/>
      <c r="AO772" s="16"/>
      <c r="AP772" s="14" t="s">
        <v>240</v>
      </c>
      <c r="AQ772" s="200" t="str">
        <f>CONCATENATE("REG-",BDEGENER[[#This Row],[FECHA DE SERVICIO]],"-",BDEGENER[[#This Row],[SERIE]],"-",BDEGENER[[#This Row],[HORAS]])</f>
        <v>REG-43788-3004344017-518,1</v>
      </c>
      <c r="AR772" s="5" t="str">
        <f>CONCATENATE("MARCA: ",BDEGENER[[#This Row],[MARCA]],"
 MODELO: ",BDEGENER[[#This Row],[MODELO]])</f>
        <v>MARCA: GENERAC
 MODELO: PG090</v>
      </c>
      <c r="AS772" s="5" t="str">
        <f>CONCATENATE("MARCA: ",BDEGENER[[#This Row],[MARCA DE MOTOR]],"
SERIE: ",BDEGENER[[#This Row],[SERIE DE MOTOR]])</f>
        <v>MARCA: GENERAC
SERIE: 3004346832</v>
      </c>
      <c r="AT772" s="5" t="str">
        <f>CONCATENATE("MARCA: ",BDEGENER[[#This Row],[MARCA ALTERNADOR ]],"
SERIE: ",BDEGENER[[#This Row],[SERIE DE ALTERNADOR]])</f>
        <v>MARCA: GENERAC
SERIE: 106308750</v>
      </c>
      <c r="AU772" s="5" t="str">
        <f>CONCATENATE("HORAS: ",BDEGENER[[#This Row],[HORAS]],"
KW-HR: ",BDEGENER[[#This Row],[KW-HORA]],"
VOLT.BATERIA: ",BDEGENER[[#This Row],[VOLTAJE DE BATERIA]],"
TEMPERATURA: ",BDEGENER[[#This Row],[TEMPERATURA DE AGUA]],"
PRES. ACEITE: ",BDEGENER[[#This Row],[PRESION DE ACEITE]])</f>
        <v xml:space="preserve">HORAS: 518,1
KW-HR: 
VOLT.BATERIA: 
TEMPERATURA: 
PRES. ACEITE: </v>
      </c>
      <c r="AV772" s="761">
        <f>COUNTIFS(Q772:Q2772,"MANTENIMIENTO CORRECTIVO",Y772:Y2772,BDEGENER[[#This Row],[SERIE]])</f>
        <v>1</v>
      </c>
      <c r="AW772" s="761">
        <f>COUNTIFS(Q772:Q2772,"MANTENIMIENTO PREVENTIVO",Y772:Y2772,BDEGENER[[#This Row],[SERIE]])</f>
        <v>1</v>
      </c>
      <c r="AX77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72" s="29">
        <f>COUNTIFS(BDEGENER[SERIE],BDEGENER[[#This Row],[SERIE]],BDEGENER[TIPO DE SERVICIO],"MANTENIMIENTO PREVENTIVO")</f>
        <v>6</v>
      </c>
      <c r="AZ772" s="29" t="str">
        <f>CONCATENATE("MANTENIMIENTO PREVENTIVO N°",BDEGENER[[#This Row],[GA1]])</f>
        <v>MANTENIMIENTO PREVENTIVO N°6</v>
      </c>
      <c r="BA772" s="325" t="str">
        <f>IF(BDEGENER[[#This Row],[SERVICIO]]=BDEGENER[[#This Row],[GA2]],BDEGENER[[#This Row],[HORAS]],"0")</f>
        <v>0</v>
      </c>
      <c r="BB772" s="325">
        <f>SUMIF(BDEGENER[SERIE],BDEGENER[[#This Row],[SERIE]],BDEGENER[GA3])</f>
        <v>2140.9</v>
      </c>
      <c r="BC772" s="761" t="str">
        <f>CONCATENATE("MANT",COUNTIF($Y$7:Y772,Y772))</f>
        <v>MANT10</v>
      </c>
      <c r="BD772" s="29" t="str">
        <f>CONCATENATE(BDEGENER[[#This Row],[SERIE]],BDEGENER[[#This Row],[GA5]])</f>
        <v>3004344017MANT10</v>
      </c>
      <c r="BE772" s="29" t="str">
        <f>CONCATENATE(BDEGENER[[#This Row],[CODIGO PATRIMONIAL]],BDEGENER[[#This Row],[GA5]])</f>
        <v>MANT10</v>
      </c>
      <c r="BF772" s="16">
        <f>COUNTIF(BDEGENER[SERIE],BDEGENER[[#This Row],[SERIE]])</f>
        <v>12</v>
      </c>
      <c r="BG772" s="761" t="str">
        <f>CONCATENATE("F",COUNTIF($K$7:K772,K772))</f>
        <v>F3</v>
      </c>
      <c r="BH772" s="325" t="str">
        <f>CONCATENATE(BDEGENER[[#This Row],[FECHA DE SERVICIO]],BDEGENER[[#This Row],[N° DE REGISTROS DEL DIA]])</f>
        <v>43788F3</v>
      </c>
      <c r="BI772" s="324"/>
      <c r="BJ772" s="85" t="s">
        <v>1544</v>
      </c>
      <c r="BK772" s="326"/>
    </row>
    <row r="773" spans="2:63" ht="69" hidden="1" x14ac:dyDescent="0.3">
      <c r="B773" s="223"/>
      <c r="C773" s="223"/>
      <c r="D773" s="223"/>
      <c r="E773" s="223"/>
      <c r="F773" s="223"/>
      <c r="G773" s="223"/>
      <c r="H773" s="223"/>
      <c r="I773" s="223"/>
      <c r="J773" s="223"/>
      <c r="K773" s="723">
        <v>43788</v>
      </c>
      <c r="L773" s="15" t="s">
        <v>181</v>
      </c>
      <c r="M773" s="697" t="s">
        <v>1962</v>
      </c>
      <c r="N773" s="697" t="s">
        <v>183</v>
      </c>
      <c r="O773" s="8" t="s">
        <v>159</v>
      </c>
      <c r="P773" s="15" t="s">
        <v>159</v>
      </c>
      <c r="Q773" s="14" t="s">
        <v>37</v>
      </c>
      <c r="R773" s="85" t="s">
        <v>1782</v>
      </c>
      <c r="S773" s="5" t="s">
        <v>48</v>
      </c>
      <c r="T773" s="14" t="s">
        <v>79</v>
      </c>
      <c r="U773" s="14" t="s">
        <v>125</v>
      </c>
      <c r="V773" s="14" t="s">
        <v>146</v>
      </c>
      <c r="W773" s="85" t="s">
        <v>914</v>
      </c>
      <c r="X773" s="85" t="s">
        <v>918</v>
      </c>
      <c r="Y773" s="15">
        <v>3004337427</v>
      </c>
      <c r="Z773" s="14"/>
      <c r="AA773" s="14" t="s">
        <v>33</v>
      </c>
      <c r="AB773" s="85" t="s">
        <v>34</v>
      </c>
      <c r="AC773" s="14" t="s">
        <v>230</v>
      </c>
      <c r="AD773" s="16"/>
      <c r="AE773" s="16"/>
      <c r="AF773" s="12">
        <v>240.6</v>
      </c>
      <c r="AG773" s="16" t="s">
        <v>243</v>
      </c>
      <c r="AH773" s="16" t="s">
        <v>220</v>
      </c>
      <c r="AI773" s="16" t="s">
        <v>33</v>
      </c>
      <c r="AJ773" s="16">
        <v>3004346831</v>
      </c>
      <c r="AK773" s="16" t="s">
        <v>33</v>
      </c>
      <c r="AL773" s="16">
        <v>106307250</v>
      </c>
      <c r="AM773" s="16"/>
      <c r="AN773" s="16"/>
      <c r="AO773" s="16"/>
      <c r="AP773" s="14" t="s">
        <v>240</v>
      </c>
      <c r="AQ773" s="200" t="str">
        <f>CONCATENATE("REG-",BDEGENER[[#This Row],[FECHA DE SERVICIO]],"-",BDEGENER[[#This Row],[SERIE]],"-",BDEGENER[[#This Row],[HORAS]])</f>
        <v>REG-43788-3004337427-240,6</v>
      </c>
      <c r="AR773" s="5" t="str">
        <f>CONCATENATE("MARCA: ",BDEGENER[[#This Row],[MARCA]],"
 MODELO: ",BDEGENER[[#This Row],[MODELO]])</f>
        <v>MARCA: GENERAC
 MODELO: PG090</v>
      </c>
      <c r="AS773" s="5" t="str">
        <f>CONCATENATE("MARCA: ",BDEGENER[[#This Row],[MARCA DE MOTOR]],"
SERIE: ",BDEGENER[[#This Row],[SERIE DE MOTOR]])</f>
        <v>MARCA: GENERAC
SERIE: 3004346831</v>
      </c>
      <c r="AT773" s="5" t="str">
        <f>CONCATENATE("MARCA: ",BDEGENER[[#This Row],[MARCA ALTERNADOR ]],"
SERIE: ",BDEGENER[[#This Row],[SERIE DE ALTERNADOR]])</f>
        <v>MARCA: GENERAC
SERIE: 106307250</v>
      </c>
      <c r="AU773" s="5" t="str">
        <f>CONCATENATE("HORAS: ",BDEGENER[[#This Row],[HORAS]],"
KW-HR: ",BDEGENER[[#This Row],[KW-HORA]],"
VOLT.BATERIA: ",BDEGENER[[#This Row],[VOLTAJE DE BATERIA]],"
TEMPERATURA: ",BDEGENER[[#This Row],[TEMPERATURA DE AGUA]],"
PRES. ACEITE: ",BDEGENER[[#This Row],[PRESION DE ACEITE]])</f>
        <v xml:space="preserve">HORAS: 240,6
KW-HR: 
VOLT.BATERIA: 
TEMPERATURA: 
PRES. ACEITE: </v>
      </c>
      <c r="AV773" s="683">
        <f>COUNTIFS(Q773:Q2773,"MANTENIMIENTO CORRECTIVO",Y773:Y2773,BDEGENER[[#This Row],[SERIE]])</f>
        <v>1</v>
      </c>
      <c r="AW773" s="683">
        <f>COUNTIFS(Q773:Q2773,"MANTENIMIENTO PREVENTIVO",Y773:Y2773,BDEGENER[[#This Row],[SERIE]])</f>
        <v>1</v>
      </c>
      <c r="AX77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73" s="29">
        <f>COUNTIFS(BDEGENER[SERIE],BDEGENER[[#This Row],[SERIE]],BDEGENER[TIPO DE SERVICIO],"MANTENIMIENTO PREVENTIVO")</f>
        <v>6</v>
      </c>
      <c r="AZ773" s="29" t="str">
        <f>CONCATENATE("MANTENIMIENTO PREVENTIVO N°",BDEGENER[[#This Row],[GA1]])</f>
        <v>MANTENIMIENTO PREVENTIVO N°6</v>
      </c>
      <c r="BA773" s="325" t="str">
        <f>IF(BDEGENER[[#This Row],[SERVICIO]]=BDEGENER[[#This Row],[GA2]],BDEGENER[[#This Row],[HORAS]],"0")</f>
        <v>0</v>
      </c>
      <c r="BB773" s="325">
        <f>SUMIF(BDEGENER[SERIE],BDEGENER[[#This Row],[SERIE]],BDEGENER[GA3])</f>
        <v>1835.7</v>
      </c>
      <c r="BC773" s="683" t="str">
        <f>CONCATENATE("MANT",COUNTIF($Y$7:Y773,Y773))</f>
        <v>MANT7</v>
      </c>
      <c r="BD773" s="29" t="str">
        <f>CONCATENATE(BDEGENER[[#This Row],[SERIE]],BDEGENER[[#This Row],[GA5]])</f>
        <v>3004337427MANT7</v>
      </c>
      <c r="BE773" s="29" t="str">
        <f>CONCATENATE(BDEGENER[[#This Row],[CODIGO PATRIMONIAL]],BDEGENER[[#This Row],[GA5]])</f>
        <v>MANT7</v>
      </c>
      <c r="BF773" s="16">
        <f>COUNTIF(BDEGENER[SERIE],BDEGENER[[#This Row],[SERIE]])</f>
        <v>9</v>
      </c>
      <c r="BG773" s="683" t="str">
        <f>CONCATENATE("F",COUNTIF($K$7:K773,K773))</f>
        <v>F4</v>
      </c>
      <c r="BH773" s="325" t="str">
        <f>CONCATENATE(BDEGENER[[#This Row],[FECHA DE SERVICIO]],BDEGENER[[#This Row],[N° DE REGISTROS DEL DIA]])</f>
        <v>43788F4</v>
      </c>
      <c r="BI773" s="324"/>
      <c r="BJ773" s="325"/>
      <c r="BK773" s="326"/>
    </row>
    <row r="774" spans="2:63" ht="69" hidden="1" x14ac:dyDescent="0.3">
      <c r="B774" s="223"/>
      <c r="C774" s="223"/>
      <c r="D774" s="223"/>
      <c r="E774" s="223"/>
      <c r="F774" s="223"/>
      <c r="G774" s="223"/>
      <c r="H774" s="223"/>
      <c r="I774" s="223"/>
      <c r="J774" s="223"/>
      <c r="K774" s="723">
        <v>43788</v>
      </c>
      <c r="L774" s="15" t="s">
        <v>181</v>
      </c>
      <c r="M774" s="14" t="s">
        <v>185</v>
      </c>
      <c r="N774" s="14" t="s">
        <v>183</v>
      </c>
      <c r="O774" s="8" t="s">
        <v>161</v>
      </c>
      <c r="P774" s="15" t="s">
        <v>159</v>
      </c>
      <c r="Q774" s="14" t="s">
        <v>37</v>
      </c>
      <c r="R774" s="85" t="s">
        <v>1782</v>
      </c>
      <c r="S774" s="5" t="s">
        <v>48</v>
      </c>
      <c r="T774" s="14" t="s">
        <v>79</v>
      </c>
      <c r="U774" s="14" t="s">
        <v>125</v>
      </c>
      <c r="V774" s="14" t="s">
        <v>146</v>
      </c>
      <c r="W774" s="85" t="s">
        <v>914</v>
      </c>
      <c r="X774" s="85" t="s">
        <v>918</v>
      </c>
      <c r="Y774" s="15">
        <v>3004402506</v>
      </c>
      <c r="Z774" s="14"/>
      <c r="AA774" s="14" t="s">
        <v>33</v>
      </c>
      <c r="AB774" s="85" t="s">
        <v>34</v>
      </c>
      <c r="AC774" s="14" t="s">
        <v>230</v>
      </c>
      <c r="AD774" s="16"/>
      <c r="AE774" s="16"/>
      <c r="AF774" s="12">
        <v>526.4</v>
      </c>
      <c r="AG774" s="16" t="s">
        <v>243</v>
      </c>
      <c r="AH774" s="16" t="s">
        <v>220</v>
      </c>
      <c r="AI774" s="16" t="s">
        <v>33</v>
      </c>
      <c r="AJ774" s="85">
        <v>3004333866</v>
      </c>
      <c r="AK774" s="16" t="s">
        <v>33</v>
      </c>
      <c r="AL774" s="85">
        <v>1063100</v>
      </c>
      <c r="AM774" s="16"/>
      <c r="AN774" s="16"/>
      <c r="AO774" s="16"/>
      <c r="AP774" s="14" t="s">
        <v>240</v>
      </c>
      <c r="AQ774" s="200" t="str">
        <f>CONCATENATE("REG-",BDEGENER[[#This Row],[FECHA DE SERVICIO]],"-",BDEGENER[[#This Row],[SERIE]],"-",BDEGENER[[#This Row],[HORAS]])</f>
        <v>REG-43788-3004402506-526,4</v>
      </c>
      <c r="AR774" s="5" t="str">
        <f>CONCATENATE("MARCA: ",BDEGENER[[#This Row],[MARCA]],"
 MODELO: ",BDEGENER[[#This Row],[MODELO]])</f>
        <v>MARCA: GENERAC
 MODELO: PG090</v>
      </c>
      <c r="AS774" s="5" t="str">
        <f>CONCATENATE("MARCA: ",BDEGENER[[#This Row],[MARCA DE MOTOR]],"
SERIE: ",BDEGENER[[#This Row],[SERIE DE MOTOR]])</f>
        <v>MARCA: GENERAC
SERIE: 3004333866</v>
      </c>
      <c r="AT774" s="5" t="str">
        <f>CONCATENATE("MARCA: ",BDEGENER[[#This Row],[MARCA ALTERNADOR ]],"
SERIE: ",BDEGENER[[#This Row],[SERIE DE ALTERNADOR]])</f>
        <v>MARCA: GENERAC
SERIE: 1063100</v>
      </c>
      <c r="AU774" s="5" t="str">
        <f>CONCATENATE("HORAS: ",BDEGENER[[#This Row],[HORAS]],"
KW-HR: ",BDEGENER[[#This Row],[KW-HORA]],"
VOLT.BATERIA: ",BDEGENER[[#This Row],[VOLTAJE DE BATERIA]],"
TEMPERATURA: ",BDEGENER[[#This Row],[TEMPERATURA DE AGUA]],"
PRES. ACEITE: ",BDEGENER[[#This Row],[PRESION DE ACEITE]])</f>
        <v xml:space="preserve">HORAS: 526,4
KW-HR: 
VOLT.BATERIA: 
TEMPERATURA: 
PRES. ACEITE: </v>
      </c>
      <c r="AV774" s="683">
        <f>COUNTIFS(Q774:Q2774,"MANTENIMIENTO CORRECTIVO",Y774:Y2774,BDEGENER[[#This Row],[SERIE]])</f>
        <v>0</v>
      </c>
      <c r="AW774" s="683">
        <f>COUNTIFS(Q774:Q2774,"MANTENIMIENTO PREVENTIVO",Y774:Y2774,BDEGENER[[#This Row],[SERIE]])</f>
        <v>1</v>
      </c>
      <c r="AX77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74" s="29">
        <f>COUNTIFS(BDEGENER[SERIE],BDEGENER[[#This Row],[SERIE]],BDEGENER[TIPO DE SERVICIO],"MANTENIMIENTO PREVENTIVO")</f>
        <v>8</v>
      </c>
      <c r="AZ774" s="29" t="str">
        <f>CONCATENATE("MANTENIMIENTO PREVENTIVO N°",BDEGENER[[#This Row],[GA1]])</f>
        <v>MANTENIMIENTO PREVENTIVO N°8</v>
      </c>
      <c r="BA774" s="325" t="str">
        <f>IF(BDEGENER[[#This Row],[SERVICIO]]=BDEGENER[[#This Row],[GA2]],BDEGENER[[#This Row],[HORAS]],"0")</f>
        <v>0</v>
      </c>
      <c r="BB774" s="325">
        <f>SUMIF(BDEGENER[SERIE],BDEGENER[[#This Row],[SERIE]],BDEGENER[GA3])</f>
        <v>2907.9</v>
      </c>
      <c r="BC774" s="683" t="str">
        <f>CONCATENATE("MANT",COUNTIF($Y$7:Y774,Y774))</f>
        <v>MANT13</v>
      </c>
      <c r="BD774" s="29" t="str">
        <f>CONCATENATE(BDEGENER[[#This Row],[SERIE]],BDEGENER[[#This Row],[GA5]])</f>
        <v>3004402506MANT13</v>
      </c>
      <c r="BE774" s="29" t="str">
        <f>CONCATENATE(BDEGENER[[#This Row],[CODIGO PATRIMONIAL]],BDEGENER[[#This Row],[GA5]])</f>
        <v>MANT13</v>
      </c>
      <c r="BF774" s="16">
        <f>COUNTIF(BDEGENER[SERIE],BDEGENER[[#This Row],[SERIE]])</f>
        <v>14</v>
      </c>
      <c r="BG774" s="683" t="str">
        <f>CONCATENATE("F",COUNTIF($K$7:K774,K774))</f>
        <v>F5</v>
      </c>
      <c r="BH774" s="325" t="str">
        <f>CONCATENATE(BDEGENER[[#This Row],[FECHA DE SERVICIO]],BDEGENER[[#This Row],[N° DE REGISTROS DEL DIA]])</f>
        <v>43788F5</v>
      </c>
      <c r="BI774" s="324"/>
      <c r="BJ774" s="85" t="s">
        <v>1544</v>
      </c>
      <c r="BK774" s="326"/>
    </row>
    <row r="775" spans="2:63" ht="69" hidden="1" x14ac:dyDescent="0.3">
      <c r="B775" s="223"/>
      <c r="C775" s="223"/>
      <c r="D775" s="223"/>
      <c r="E775" s="223"/>
      <c r="F775" s="223"/>
      <c r="G775" s="223"/>
      <c r="H775" s="223"/>
      <c r="I775" s="223"/>
      <c r="J775" s="223"/>
      <c r="K775" s="723">
        <v>43788</v>
      </c>
      <c r="L775" s="15" t="s">
        <v>181</v>
      </c>
      <c r="M775" s="14" t="s">
        <v>184</v>
      </c>
      <c r="N775" s="14" t="s">
        <v>183</v>
      </c>
      <c r="O775" s="8" t="s">
        <v>161</v>
      </c>
      <c r="P775" s="15" t="s">
        <v>159</v>
      </c>
      <c r="Q775" s="14" t="s">
        <v>37</v>
      </c>
      <c r="R775" s="85" t="s">
        <v>1782</v>
      </c>
      <c r="S775" s="5" t="s">
        <v>48</v>
      </c>
      <c r="T775" s="14" t="s">
        <v>79</v>
      </c>
      <c r="U775" s="14" t="s">
        <v>125</v>
      </c>
      <c r="V775" s="14" t="s">
        <v>146</v>
      </c>
      <c r="W775" s="85" t="s">
        <v>914</v>
      </c>
      <c r="X775" s="85" t="s">
        <v>918</v>
      </c>
      <c r="Y775" s="15">
        <v>3004336197</v>
      </c>
      <c r="Z775" s="14"/>
      <c r="AA775" s="14" t="s">
        <v>33</v>
      </c>
      <c r="AB775" s="85" t="s">
        <v>34</v>
      </c>
      <c r="AC775" s="14" t="s">
        <v>230</v>
      </c>
      <c r="AD775" s="16"/>
      <c r="AE775" s="16"/>
      <c r="AF775" s="12">
        <v>49.2</v>
      </c>
      <c r="AG775" s="16" t="s">
        <v>243</v>
      </c>
      <c r="AH775" s="16" t="s">
        <v>220</v>
      </c>
      <c r="AI775" s="16" t="s">
        <v>33</v>
      </c>
      <c r="AJ775" s="85">
        <v>3004309062</v>
      </c>
      <c r="AK775" s="16" t="s">
        <v>33</v>
      </c>
      <c r="AL775" s="85">
        <v>1065072</v>
      </c>
      <c r="AM775" s="16"/>
      <c r="AN775" s="16"/>
      <c r="AO775" s="16"/>
      <c r="AP775" s="14" t="s">
        <v>240</v>
      </c>
      <c r="AQ775" s="127" t="str">
        <f>CONCATENATE("REG-",BDEGENER[[#This Row],[FECHA DE SERVICIO]],"-",BDEGENER[[#This Row],[SERIE]],"-",BDEGENER[[#This Row],[HORAS]])</f>
        <v>REG-43788-3004336197-49,2</v>
      </c>
      <c r="AR775" s="5" t="str">
        <f>CONCATENATE("MARCA: ",BDEGENER[[#This Row],[MARCA]],"
 MODELO: ",BDEGENER[[#This Row],[MODELO]])</f>
        <v>MARCA: GENERAC
 MODELO: PG090</v>
      </c>
      <c r="AS775" s="5" t="str">
        <f>CONCATENATE("MARCA: ",BDEGENER[[#This Row],[MARCA DE MOTOR]],"
SERIE: ",BDEGENER[[#This Row],[SERIE DE MOTOR]])</f>
        <v>MARCA: GENERAC
SERIE: 3004309062</v>
      </c>
      <c r="AT775" s="5" t="str">
        <f>CONCATENATE("MARCA: ",BDEGENER[[#This Row],[MARCA ALTERNADOR ]],"
SERIE: ",BDEGENER[[#This Row],[SERIE DE ALTERNADOR]])</f>
        <v>MARCA: GENERAC
SERIE: 1065072</v>
      </c>
      <c r="AU775" s="5" t="str">
        <f>CONCATENATE("HORAS: ",BDEGENER[[#This Row],[HORAS]],"
KW-HR: ",BDEGENER[[#This Row],[KW-HORA]],"
VOLT.BATERIA: ",BDEGENER[[#This Row],[VOLTAJE DE BATERIA]],"
TEMPERATURA: ",BDEGENER[[#This Row],[TEMPERATURA DE AGUA]],"
PRES. ACEITE: ",BDEGENER[[#This Row],[PRESION DE ACEITE]])</f>
        <v xml:space="preserve">HORAS: 49,2
KW-HR: 
VOLT.BATERIA: 
TEMPERATURA: 
PRES. ACEITE: </v>
      </c>
      <c r="AV775" s="761">
        <f>COUNTIFS(Q775:Q2775,"MANTENIMIENTO CORRECTIVO",Y775:Y2775,BDEGENER[[#This Row],[SERIE]])</f>
        <v>0</v>
      </c>
      <c r="AW775" s="761">
        <f>COUNTIFS(Q775:Q2775,"MANTENIMIENTO PREVENTIVO",Y775:Y2775,BDEGENER[[#This Row],[SERIE]])</f>
        <v>1</v>
      </c>
      <c r="AX77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75" s="29">
        <f>COUNTIFS(BDEGENER[SERIE],BDEGENER[[#This Row],[SERIE]],BDEGENER[TIPO DE SERVICIO],"MANTENIMIENTO PREVENTIVO")</f>
        <v>9</v>
      </c>
      <c r="AZ775" s="29" t="str">
        <f>CONCATENATE("MANTENIMIENTO PREVENTIVO N°",BDEGENER[[#This Row],[GA1]])</f>
        <v>MANTENIMIENTO PREVENTIVO N°9</v>
      </c>
      <c r="BA775" s="325" t="str">
        <f>IF(BDEGENER[[#This Row],[SERVICIO]]=BDEGENER[[#This Row],[GA2]],BDEGENER[[#This Row],[HORAS]],"0")</f>
        <v>0</v>
      </c>
      <c r="BB775" s="325">
        <f>SUMIF(BDEGENER[SERIE],BDEGENER[[#This Row],[SERIE]],BDEGENER[GA3])</f>
        <v>2922.3</v>
      </c>
      <c r="BC775" s="761" t="str">
        <f>CONCATENATE("MANT",COUNTIF($Y$7:Y775,Y775))</f>
        <v>MANT16</v>
      </c>
      <c r="BD775" s="29" t="str">
        <f>CONCATENATE(BDEGENER[[#This Row],[SERIE]],BDEGENER[[#This Row],[GA5]])</f>
        <v>3004336197MANT16</v>
      </c>
      <c r="BE775" s="29" t="str">
        <f>CONCATENATE(BDEGENER[[#This Row],[CODIGO PATRIMONIAL]],BDEGENER[[#This Row],[GA5]])</f>
        <v>MANT16</v>
      </c>
      <c r="BF775" s="16">
        <f>COUNTIF(BDEGENER[SERIE],BDEGENER[[#This Row],[SERIE]])</f>
        <v>17</v>
      </c>
      <c r="BG775" s="761" t="str">
        <f>CONCATENATE("F",COUNTIF($K$7:K775,K775))</f>
        <v>F6</v>
      </c>
      <c r="BH775" s="325" t="str">
        <f>CONCATENATE(BDEGENER[[#This Row],[FECHA DE SERVICIO]],BDEGENER[[#This Row],[N° DE REGISTROS DEL DIA]])</f>
        <v>43788F6</v>
      </c>
      <c r="BI775" s="324"/>
      <c r="BJ775" s="85" t="s">
        <v>1544</v>
      </c>
      <c r="BK775" s="326"/>
    </row>
    <row r="776" spans="2:63" ht="69" hidden="1" x14ac:dyDescent="0.3">
      <c r="B776" s="223"/>
      <c r="C776" s="223"/>
      <c r="D776" s="223"/>
      <c r="E776" s="223"/>
      <c r="F776" s="223"/>
      <c r="G776" s="223"/>
      <c r="H776" s="223"/>
      <c r="I776" s="223"/>
      <c r="J776" s="223"/>
      <c r="K776" s="723">
        <v>43788</v>
      </c>
      <c r="L776" s="15" t="s">
        <v>181</v>
      </c>
      <c r="M776" s="14" t="s">
        <v>184</v>
      </c>
      <c r="N776" s="14" t="s">
        <v>183</v>
      </c>
      <c r="O776" s="8" t="s">
        <v>161</v>
      </c>
      <c r="P776" s="15" t="s">
        <v>159</v>
      </c>
      <c r="Q776" s="14" t="s">
        <v>37</v>
      </c>
      <c r="R776" s="85" t="s">
        <v>1782</v>
      </c>
      <c r="S776" s="5" t="s">
        <v>48</v>
      </c>
      <c r="T776" s="14" t="s">
        <v>79</v>
      </c>
      <c r="U776" s="14" t="s">
        <v>125</v>
      </c>
      <c r="V776" s="14" t="s">
        <v>146</v>
      </c>
      <c r="W776" s="85" t="s">
        <v>914</v>
      </c>
      <c r="X776" s="85" t="s">
        <v>918</v>
      </c>
      <c r="Y776" s="15">
        <v>3004227749</v>
      </c>
      <c r="Z776" s="14"/>
      <c r="AA776" s="14" t="s">
        <v>33</v>
      </c>
      <c r="AB776" s="85" t="s">
        <v>34</v>
      </c>
      <c r="AC776" s="14" t="s">
        <v>230</v>
      </c>
      <c r="AD776" s="16"/>
      <c r="AE776" s="16"/>
      <c r="AF776" s="12">
        <v>45.3</v>
      </c>
      <c r="AG776" s="16" t="s">
        <v>243</v>
      </c>
      <c r="AH776" s="16" t="s">
        <v>220</v>
      </c>
      <c r="AI776" s="16" t="s">
        <v>33</v>
      </c>
      <c r="AJ776" s="16"/>
      <c r="AK776" s="16" t="s">
        <v>33</v>
      </c>
      <c r="AL776" s="16"/>
      <c r="AM776" s="16"/>
      <c r="AN776" s="16"/>
      <c r="AO776" s="16"/>
      <c r="AP776" s="14" t="s">
        <v>240</v>
      </c>
      <c r="AQ776" s="127" t="str">
        <f>CONCATENATE("REG-",BDEGENER[[#This Row],[FECHA DE SERVICIO]],"-",BDEGENER[[#This Row],[SERIE]],"-",BDEGENER[[#This Row],[HORAS]])</f>
        <v>REG-43788-3004227749-45,3</v>
      </c>
      <c r="AR776" s="5" t="str">
        <f>CONCATENATE("MARCA: ",BDEGENER[[#This Row],[MARCA]],"
 MODELO: ",BDEGENER[[#This Row],[MODELO]])</f>
        <v>MARCA: GENERAC
 MODELO: PG090</v>
      </c>
      <c r="AS776" s="5" t="str">
        <f>CONCATENATE("MARCA: ",BDEGENER[[#This Row],[MARCA DE MOTOR]],"
SERIE: ",BDEGENER[[#This Row],[SERIE DE MOTOR]])</f>
        <v xml:space="preserve">MARCA: GENERAC
SERIE: </v>
      </c>
      <c r="AT776" s="5" t="str">
        <f>CONCATENATE("MARCA: ",BDEGENER[[#This Row],[MARCA ALTERNADOR ]],"
SERIE: ",BDEGENER[[#This Row],[SERIE DE ALTERNADOR]])</f>
        <v xml:space="preserve">MARCA: GENERAC
SERIE: </v>
      </c>
      <c r="AU776" s="5" t="str">
        <f>CONCATENATE("HORAS: ",BDEGENER[[#This Row],[HORAS]],"
KW-HR: ",BDEGENER[[#This Row],[KW-HORA]],"
VOLT.BATERIA: ",BDEGENER[[#This Row],[VOLTAJE DE BATERIA]],"
TEMPERATURA: ",BDEGENER[[#This Row],[TEMPERATURA DE AGUA]],"
PRES. ACEITE: ",BDEGENER[[#This Row],[PRESION DE ACEITE]])</f>
        <v xml:space="preserve">HORAS: 45,3
KW-HR: 
VOLT.BATERIA: 
TEMPERATURA: 
PRES. ACEITE: </v>
      </c>
      <c r="AV776" s="683">
        <f>COUNTIFS(Q776:Q2776,"MANTENIMIENTO CORRECTIVO",Y776:Y2776,BDEGENER[[#This Row],[SERIE]])</f>
        <v>0</v>
      </c>
      <c r="AW776" s="683">
        <f>COUNTIFS(Q776:Q2776,"MANTENIMIENTO PREVENTIVO",Y776:Y2776,BDEGENER[[#This Row],[SERIE]])</f>
        <v>1</v>
      </c>
      <c r="AX77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76" s="29">
        <f>COUNTIFS(BDEGENER[SERIE],BDEGENER[[#This Row],[SERIE]],BDEGENER[TIPO DE SERVICIO],"MANTENIMIENTO PREVENTIVO")</f>
        <v>8</v>
      </c>
      <c r="AZ776" s="29" t="str">
        <f>CONCATENATE("MANTENIMIENTO PREVENTIVO N°",BDEGENER[[#This Row],[GA1]])</f>
        <v>MANTENIMIENTO PREVENTIVO N°8</v>
      </c>
      <c r="BA776" s="325" t="str">
        <f>IF(BDEGENER[[#This Row],[SERVICIO]]=BDEGENER[[#This Row],[GA2]],BDEGENER[[#This Row],[HORAS]],"0")</f>
        <v>0</v>
      </c>
      <c r="BB776" s="325">
        <f>SUMIF(BDEGENER[SERIE],BDEGENER[[#This Row],[SERIE]],BDEGENER[GA3])</f>
        <v>2404.1999999999998</v>
      </c>
      <c r="BC776" s="683" t="str">
        <f>CONCATENATE("MANT",COUNTIF($Y$7:Y776,Y776))</f>
        <v>MANT15</v>
      </c>
      <c r="BD776" s="29" t="str">
        <f>CONCATENATE(BDEGENER[[#This Row],[SERIE]],BDEGENER[[#This Row],[GA5]])</f>
        <v>3004227749MANT15</v>
      </c>
      <c r="BE776" s="29" t="str">
        <f>CONCATENATE(BDEGENER[[#This Row],[CODIGO PATRIMONIAL]],BDEGENER[[#This Row],[GA5]])</f>
        <v>MANT15</v>
      </c>
      <c r="BF776" s="16">
        <f>COUNTIF(BDEGENER[SERIE],BDEGENER[[#This Row],[SERIE]])</f>
        <v>16</v>
      </c>
      <c r="BG776" s="683" t="str">
        <f>CONCATENATE("F",COUNTIF($K$7:K776,K776))</f>
        <v>F7</v>
      </c>
      <c r="BH776" s="325" t="str">
        <f>CONCATENATE(BDEGENER[[#This Row],[FECHA DE SERVICIO]],BDEGENER[[#This Row],[N° DE REGISTROS DEL DIA]])</f>
        <v>43788F7</v>
      </c>
      <c r="BI776" s="324"/>
      <c r="BJ776" s="85" t="s">
        <v>1544</v>
      </c>
      <c r="BK776" s="326"/>
    </row>
    <row r="777" spans="2:63" ht="69" hidden="1" x14ac:dyDescent="0.3">
      <c r="B777" s="223"/>
      <c r="C777" s="223"/>
      <c r="D777" s="223"/>
      <c r="E777" s="223"/>
      <c r="F777" s="223"/>
      <c r="G777" s="223"/>
      <c r="H777" s="223"/>
      <c r="I777" s="223"/>
      <c r="J777" s="223"/>
      <c r="K777" s="723">
        <v>43788</v>
      </c>
      <c r="L777" s="15" t="s">
        <v>181</v>
      </c>
      <c r="M777" s="14" t="s">
        <v>185</v>
      </c>
      <c r="N777" s="14" t="s">
        <v>183</v>
      </c>
      <c r="O777" s="8" t="s">
        <v>161</v>
      </c>
      <c r="P777" s="15" t="s">
        <v>159</v>
      </c>
      <c r="Q777" s="14" t="s">
        <v>37</v>
      </c>
      <c r="R777" s="85" t="s">
        <v>1782</v>
      </c>
      <c r="S777" s="5" t="s">
        <v>48</v>
      </c>
      <c r="T777" s="14" t="s">
        <v>79</v>
      </c>
      <c r="U777" s="14" t="s">
        <v>125</v>
      </c>
      <c r="V777" s="14" t="s">
        <v>146</v>
      </c>
      <c r="W777" s="85" t="s">
        <v>914</v>
      </c>
      <c r="X777" s="85" t="s">
        <v>918</v>
      </c>
      <c r="Y777" s="15">
        <v>3004290368</v>
      </c>
      <c r="Z777" s="14"/>
      <c r="AA777" s="14" t="s">
        <v>33</v>
      </c>
      <c r="AB777" s="85" t="s">
        <v>34</v>
      </c>
      <c r="AC777" s="14" t="s">
        <v>230</v>
      </c>
      <c r="AD777" s="16"/>
      <c r="AE777" s="16"/>
      <c r="AF777" s="12">
        <v>373.4</v>
      </c>
      <c r="AG777" s="85" t="s">
        <v>243</v>
      </c>
      <c r="AH777" s="85" t="s">
        <v>220</v>
      </c>
      <c r="AI777" s="85" t="s">
        <v>33</v>
      </c>
      <c r="AJ777" s="16">
        <v>3004034816</v>
      </c>
      <c r="AK777" s="85" t="s">
        <v>33</v>
      </c>
      <c r="AL777" s="16">
        <v>106312930</v>
      </c>
      <c r="AM777" s="16"/>
      <c r="AN777" s="16"/>
      <c r="AO777" s="16"/>
      <c r="AP777" s="14" t="s">
        <v>240</v>
      </c>
      <c r="AQ777" s="127" t="str">
        <f>CONCATENATE("REG-",BDEGENER[[#This Row],[FECHA DE SERVICIO]],"-",BDEGENER[[#This Row],[SERIE]],"-",BDEGENER[[#This Row],[HORAS]])</f>
        <v>REG-43788-3004290368-373,4</v>
      </c>
      <c r="AR777" s="5" t="str">
        <f>CONCATENATE("MARCA: ",BDEGENER[[#This Row],[MARCA]],"
 MODELO: ",BDEGENER[[#This Row],[MODELO]])</f>
        <v>MARCA: GENERAC
 MODELO: PG090</v>
      </c>
      <c r="AS777" s="5" t="str">
        <f>CONCATENATE("MARCA: ",BDEGENER[[#This Row],[MARCA DE MOTOR]],"
SERIE: ",BDEGENER[[#This Row],[SERIE DE MOTOR]])</f>
        <v>MARCA: GENERAC
SERIE: 3004034816</v>
      </c>
      <c r="AT777" s="5" t="str">
        <f>CONCATENATE("MARCA: ",BDEGENER[[#This Row],[MARCA ALTERNADOR ]],"
SERIE: ",BDEGENER[[#This Row],[SERIE DE ALTERNADOR]])</f>
        <v>MARCA: GENERAC
SERIE: 106312930</v>
      </c>
      <c r="AU777" s="5" t="str">
        <f>CONCATENATE("HORAS: ",BDEGENER[[#This Row],[HORAS]],"
KW-HR: ",BDEGENER[[#This Row],[KW-HORA]],"
VOLT.BATERIA: ",BDEGENER[[#This Row],[VOLTAJE DE BATERIA]],"
TEMPERATURA: ",BDEGENER[[#This Row],[TEMPERATURA DE AGUA]],"
PRES. ACEITE: ",BDEGENER[[#This Row],[PRESION DE ACEITE]])</f>
        <v xml:space="preserve">HORAS: 373,4
KW-HR: 
VOLT.BATERIA: 
TEMPERATURA: 
PRES. ACEITE: </v>
      </c>
      <c r="AV777" s="683">
        <f>COUNTIFS(Q777:Q2777,"MANTENIMIENTO CORRECTIVO",Y777:Y2777,BDEGENER[[#This Row],[SERIE]])</f>
        <v>0</v>
      </c>
      <c r="AW777" s="683">
        <f>COUNTIFS(Q777:Q2777,"MANTENIMIENTO PREVENTIVO",Y777:Y2777,BDEGENER[[#This Row],[SERIE]])</f>
        <v>1</v>
      </c>
      <c r="AX77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77" s="29">
        <f>COUNTIFS(BDEGENER[SERIE],BDEGENER[[#This Row],[SERIE]],BDEGENER[TIPO DE SERVICIO],"MANTENIMIENTO PREVENTIVO")</f>
        <v>6</v>
      </c>
      <c r="AZ777" s="29" t="str">
        <f>CONCATENATE("MANTENIMIENTO PREVENTIVO N°",BDEGENER[[#This Row],[GA1]])</f>
        <v>MANTENIMIENTO PREVENTIVO N°6</v>
      </c>
      <c r="BA777" s="325" t="str">
        <f>IF(BDEGENER[[#This Row],[SERVICIO]]=BDEGENER[[#This Row],[GA2]],BDEGENER[[#This Row],[HORAS]],"0")</f>
        <v>0</v>
      </c>
      <c r="BB777" s="325">
        <f>SUMIF(BDEGENER[SERIE],BDEGENER[[#This Row],[SERIE]],BDEGENER[GA3])</f>
        <v>2259.3000000000002</v>
      </c>
      <c r="BC777" s="683" t="str">
        <f>CONCATENATE("MANT",COUNTIF($Y$7:Y777,Y777))</f>
        <v>MANT14</v>
      </c>
      <c r="BD777" s="29" t="str">
        <f>CONCATENATE(BDEGENER[[#This Row],[SERIE]],BDEGENER[[#This Row],[GA5]])</f>
        <v>3004290368MANT14</v>
      </c>
      <c r="BE777" s="29" t="str">
        <f>CONCATENATE(BDEGENER[[#This Row],[CODIGO PATRIMONIAL]],BDEGENER[[#This Row],[GA5]])</f>
        <v>MANT14</v>
      </c>
      <c r="BF777" s="16">
        <f>COUNTIF(BDEGENER[SERIE],BDEGENER[[#This Row],[SERIE]])</f>
        <v>15</v>
      </c>
      <c r="BG777" s="683" t="str">
        <f>CONCATENATE("F",COUNTIF($K$7:K777,K777))</f>
        <v>F8</v>
      </c>
      <c r="BH777" s="325" t="str">
        <f>CONCATENATE(BDEGENER[[#This Row],[FECHA DE SERVICIO]],BDEGENER[[#This Row],[N° DE REGISTROS DEL DIA]])</f>
        <v>43788F8</v>
      </c>
      <c r="BI777" s="324"/>
      <c r="BJ777" s="85" t="s">
        <v>1544</v>
      </c>
      <c r="BK777" s="326"/>
    </row>
    <row r="778" spans="2:63" ht="69" hidden="1" x14ac:dyDescent="0.3">
      <c r="B778" s="223"/>
      <c r="C778" s="223"/>
      <c r="D778" s="223"/>
      <c r="E778" s="223"/>
      <c r="F778" s="223"/>
      <c r="G778" s="223"/>
      <c r="H778" s="223"/>
      <c r="I778" s="223"/>
      <c r="J778" s="223"/>
      <c r="K778" s="723">
        <v>43788</v>
      </c>
      <c r="L778" s="15" t="s">
        <v>181</v>
      </c>
      <c r="M778" s="14" t="s">
        <v>185</v>
      </c>
      <c r="N778" s="14" t="s">
        <v>183</v>
      </c>
      <c r="O778" s="8" t="s">
        <v>161</v>
      </c>
      <c r="P778" s="15" t="s">
        <v>159</v>
      </c>
      <c r="Q778" s="14" t="s">
        <v>37</v>
      </c>
      <c r="R778" s="85" t="s">
        <v>1782</v>
      </c>
      <c r="S778" s="5" t="s">
        <v>48</v>
      </c>
      <c r="T778" s="14" t="s">
        <v>79</v>
      </c>
      <c r="U778" s="14" t="s">
        <v>125</v>
      </c>
      <c r="V778" s="14" t="s">
        <v>146</v>
      </c>
      <c r="W778" s="85" t="s">
        <v>914</v>
      </c>
      <c r="X778" s="85" t="s">
        <v>918</v>
      </c>
      <c r="Y778" s="15">
        <v>3004290366</v>
      </c>
      <c r="Z778" s="14"/>
      <c r="AA778" s="14" t="s">
        <v>33</v>
      </c>
      <c r="AB778" s="85" t="s">
        <v>34</v>
      </c>
      <c r="AC778" s="14" t="s">
        <v>230</v>
      </c>
      <c r="AD778" s="16"/>
      <c r="AE778" s="16"/>
      <c r="AF778" s="12">
        <v>453.1</v>
      </c>
      <c r="AG778" s="16" t="s">
        <v>243</v>
      </c>
      <c r="AH778" s="16" t="s">
        <v>220</v>
      </c>
      <c r="AI778" s="16" t="s">
        <v>33</v>
      </c>
      <c r="AJ778" s="85">
        <v>3004295604</v>
      </c>
      <c r="AK778" s="16" t="s">
        <v>33</v>
      </c>
      <c r="AL778" s="85">
        <v>1063129</v>
      </c>
      <c r="AM778" s="16"/>
      <c r="AN778" s="16"/>
      <c r="AO778" s="16"/>
      <c r="AP778" s="14" t="s">
        <v>240</v>
      </c>
      <c r="AQ778" s="127" t="str">
        <f>CONCATENATE("REG-",BDEGENER[[#This Row],[FECHA DE SERVICIO]],"-",BDEGENER[[#This Row],[SERIE]],"-",BDEGENER[[#This Row],[HORAS]])</f>
        <v>REG-43788-3004290366-453,1</v>
      </c>
      <c r="AR778" s="5" t="str">
        <f>CONCATENATE("MARCA: ",BDEGENER[[#This Row],[MARCA]],"
 MODELO: ",BDEGENER[[#This Row],[MODELO]])</f>
        <v>MARCA: GENERAC
 MODELO: PG090</v>
      </c>
      <c r="AS778" s="5" t="str">
        <f>CONCATENATE("MARCA: ",BDEGENER[[#This Row],[MARCA DE MOTOR]],"
SERIE: ",BDEGENER[[#This Row],[SERIE DE MOTOR]])</f>
        <v>MARCA: GENERAC
SERIE: 3004295604</v>
      </c>
      <c r="AT778" s="5" t="str">
        <f>CONCATENATE("MARCA: ",BDEGENER[[#This Row],[MARCA ALTERNADOR ]],"
SERIE: ",BDEGENER[[#This Row],[SERIE DE ALTERNADOR]])</f>
        <v>MARCA: GENERAC
SERIE: 1063129</v>
      </c>
      <c r="AU778" s="5" t="str">
        <f>CONCATENATE("HORAS: ",BDEGENER[[#This Row],[HORAS]],"
KW-HR: ",BDEGENER[[#This Row],[KW-HORA]],"
VOLT.BATERIA: ",BDEGENER[[#This Row],[VOLTAJE DE BATERIA]],"
TEMPERATURA: ",BDEGENER[[#This Row],[TEMPERATURA DE AGUA]],"
PRES. ACEITE: ",BDEGENER[[#This Row],[PRESION DE ACEITE]])</f>
        <v xml:space="preserve">HORAS: 453,1
KW-HR: 
VOLT.BATERIA: 
TEMPERATURA: 
PRES. ACEITE: </v>
      </c>
      <c r="AV778" s="761">
        <f>COUNTIFS(Q778:Q2778,"MANTENIMIENTO CORRECTIVO",Y778:Y2778,BDEGENER[[#This Row],[SERIE]])</f>
        <v>0</v>
      </c>
      <c r="AW778" s="761">
        <f>COUNTIFS(Q778:Q2778,"MANTENIMIENTO PREVENTIVO",Y778:Y2778,BDEGENER[[#This Row],[SERIE]])</f>
        <v>1</v>
      </c>
      <c r="AX77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78" s="29">
        <f>COUNTIFS(BDEGENER[SERIE],BDEGENER[[#This Row],[SERIE]],BDEGENER[TIPO DE SERVICIO],"MANTENIMIENTO PREVENTIVO")</f>
        <v>7</v>
      </c>
      <c r="AZ778" s="29" t="str">
        <f>CONCATENATE("MANTENIMIENTO PREVENTIVO N°",BDEGENER[[#This Row],[GA1]])</f>
        <v>MANTENIMIENTO PREVENTIVO N°7</v>
      </c>
      <c r="BA778" s="325" t="str">
        <f>IF(BDEGENER[[#This Row],[SERVICIO]]=BDEGENER[[#This Row],[GA2]],BDEGENER[[#This Row],[HORAS]],"0")</f>
        <v>0</v>
      </c>
      <c r="BB778" s="325">
        <f>SUMIF(BDEGENER[SERIE],BDEGENER[[#This Row],[SERIE]],BDEGENER[GA3])</f>
        <v>2629.6</v>
      </c>
      <c r="BC778" s="761" t="str">
        <f>CONCATENATE("MANT",COUNTIF($Y$7:Y778,Y778))</f>
        <v>MANT13</v>
      </c>
      <c r="BD778" s="29" t="str">
        <f>CONCATENATE(BDEGENER[[#This Row],[SERIE]],BDEGENER[[#This Row],[GA5]])</f>
        <v>3004290366MANT13</v>
      </c>
      <c r="BE778" s="29" t="str">
        <f>CONCATENATE(BDEGENER[[#This Row],[CODIGO PATRIMONIAL]],BDEGENER[[#This Row],[GA5]])</f>
        <v>MANT13</v>
      </c>
      <c r="BF778" s="16">
        <f>COUNTIF(BDEGENER[SERIE],BDEGENER[[#This Row],[SERIE]])</f>
        <v>14</v>
      </c>
      <c r="BG778" s="761" t="str">
        <f>CONCATENATE("F",COUNTIF($K$7:K778,K778))</f>
        <v>F9</v>
      </c>
      <c r="BH778" s="325" t="str">
        <f>CONCATENATE(BDEGENER[[#This Row],[FECHA DE SERVICIO]],BDEGENER[[#This Row],[N° DE REGISTROS DEL DIA]])</f>
        <v>43788F9</v>
      </c>
      <c r="BI778" s="324"/>
      <c r="BJ778" s="85" t="s">
        <v>1544</v>
      </c>
      <c r="BK778" s="326"/>
    </row>
    <row r="779" spans="2:63" ht="69" hidden="1" x14ac:dyDescent="0.3">
      <c r="B779" s="223"/>
      <c r="C779" s="223"/>
      <c r="D779" s="223"/>
      <c r="E779" s="223"/>
      <c r="F779" s="223"/>
      <c r="G779" s="223"/>
      <c r="H779" s="223"/>
      <c r="I779" s="223"/>
      <c r="J779" s="223"/>
      <c r="K779" s="723">
        <v>43788</v>
      </c>
      <c r="L779" s="15" t="s">
        <v>181</v>
      </c>
      <c r="M779" s="85" t="s">
        <v>182</v>
      </c>
      <c r="N779" s="85" t="s">
        <v>183</v>
      </c>
      <c r="O779" s="8" t="s">
        <v>159</v>
      </c>
      <c r="P779" s="15" t="s">
        <v>159</v>
      </c>
      <c r="Q779" s="14" t="s">
        <v>37</v>
      </c>
      <c r="R779" s="85" t="s">
        <v>1782</v>
      </c>
      <c r="S779" s="5" t="s">
        <v>48</v>
      </c>
      <c r="T779" s="14" t="s">
        <v>79</v>
      </c>
      <c r="U779" s="14" t="s">
        <v>125</v>
      </c>
      <c r="V779" s="14" t="s">
        <v>146</v>
      </c>
      <c r="W779" s="85" t="s">
        <v>914</v>
      </c>
      <c r="X779" s="85" t="s">
        <v>918</v>
      </c>
      <c r="Y779" s="15">
        <v>3004381435</v>
      </c>
      <c r="Z779" s="14"/>
      <c r="AA779" s="14" t="s">
        <v>33</v>
      </c>
      <c r="AB779" s="85" t="s">
        <v>34</v>
      </c>
      <c r="AC779" s="14" t="s">
        <v>230</v>
      </c>
      <c r="AD779" s="16"/>
      <c r="AE779" s="16"/>
      <c r="AF779" s="12">
        <v>109.8</v>
      </c>
      <c r="AG779" s="16" t="s">
        <v>243</v>
      </c>
      <c r="AH779" s="16" t="s">
        <v>220</v>
      </c>
      <c r="AI779" s="16" t="s">
        <v>33</v>
      </c>
      <c r="AJ779" s="16"/>
      <c r="AK779" s="16" t="s">
        <v>33</v>
      </c>
      <c r="AL779" s="16"/>
      <c r="AM779" s="16"/>
      <c r="AN779" s="16"/>
      <c r="AO779" s="16"/>
      <c r="AP779" s="14" t="s">
        <v>240</v>
      </c>
      <c r="AQ779" s="200" t="str">
        <f>CONCATENATE("REG-",BDEGENER[[#This Row],[FECHA DE SERVICIO]],"-",BDEGENER[[#This Row],[SERIE]],"-",BDEGENER[[#This Row],[HORAS]])</f>
        <v>REG-43788-3004381435-109,8</v>
      </c>
      <c r="AR779" s="5" t="str">
        <f>CONCATENATE("MARCA: ",BDEGENER[[#This Row],[MARCA]],"
 MODELO: ",BDEGENER[[#This Row],[MODELO]])</f>
        <v>MARCA: GENERAC
 MODELO: PG090</v>
      </c>
      <c r="AS779" s="5" t="str">
        <f>CONCATENATE("MARCA: ",BDEGENER[[#This Row],[MARCA DE MOTOR]],"
SERIE: ",BDEGENER[[#This Row],[SERIE DE MOTOR]])</f>
        <v xml:space="preserve">MARCA: GENERAC
SERIE: </v>
      </c>
      <c r="AT779" s="5" t="str">
        <f>CONCATENATE("MARCA: ",BDEGENER[[#This Row],[MARCA ALTERNADOR ]],"
SERIE: ",BDEGENER[[#This Row],[SERIE DE ALTERNADOR]])</f>
        <v xml:space="preserve">MARCA: GENERAC
SERIE: </v>
      </c>
      <c r="AU779" s="5" t="str">
        <f>CONCATENATE("HORAS: ",BDEGENER[[#This Row],[HORAS]],"
KW-HR: ",BDEGENER[[#This Row],[KW-HORA]],"
VOLT.BATERIA: ",BDEGENER[[#This Row],[VOLTAJE DE BATERIA]],"
TEMPERATURA: ",BDEGENER[[#This Row],[TEMPERATURA DE AGUA]],"
PRES. ACEITE: ",BDEGENER[[#This Row],[PRESION DE ACEITE]])</f>
        <v xml:space="preserve">HORAS: 109,8
KW-HR: 
VOLT.BATERIA: 
TEMPERATURA: 
PRES. ACEITE: </v>
      </c>
      <c r="AV779" s="683">
        <f>COUNTIFS(Q779:Q2779,"MANTENIMIENTO CORRECTIVO",Y779:Y2779,BDEGENER[[#This Row],[SERIE]])</f>
        <v>0</v>
      </c>
      <c r="AW779" s="683">
        <f>COUNTIFS(Q779:Q2779,"MANTENIMIENTO PREVENTIVO",Y779:Y2779,BDEGENER[[#This Row],[SERIE]])</f>
        <v>1</v>
      </c>
      <c r="AX77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79" s="29">
        <f>COUNTIFS(BDEGENER[SERIE],BDEGENER[[#This Row],[SERIE]],BDEGENER[TIPO DE SERVICIO],"MANTENIMIENTO PREVENTIVO")</f>
        <v>8</v>
      </c>
      <c r="AZ779" s="29" t="str">
        <f>CONCATENATE("MANTENIMIENTO PREVENTIVO N°",BDEGENER[[#This Row],[GA1]])</f>
        <v>MANTENIMIENTO PREVENTIVO N°8</v>
      </c>
      <c r="BA779" s="325" t="str">
        <f>IF(BDEGENER[[#This Row],[SERVICIO]]=BDEGENER[[#This Row],[GA2]],BDEGENER[[#This Row],[HORAS]],"0")</f>
        <v>0</v>
      </c>
      <c r="BB779" s="325">
        <f>SUMIF(BDEGENER[SERIE],BDEGENER[[#This Row],[SERIE]],BDEGENER[GA3])</f>
        <v>2141.3000000000002</v>
      </c>
      <c r="BC779" s="683" t="str">
        <f>CONCATENATE("MANT",COUNTIF($Y$7:Y779,Y779))</f>
        <v>MANT12</v>
      </c>
      <c r="BD779" s="29" t="str">
        <f>CONCATENATE(BDEGENER[[#This Row],[SERIE]],BDEGENER[[#This Row],[GA5]])</f>
        <v>3004381435MANT12</v>
      </c>
      <c r="BE779" s="29" t="str">
        <f>CONCATENATE(BDEGENER[[#This Row],[CODIGO PATRIMONIAL]],BDEGENER[[#This Row],[GA5]])</f>
        <v>MANT12</v>
      </c>
      <c r="BF779" s="16">
        <f>COUNTIF(BDEGENER[SERIE],BDEGENER[[#This Row],[SERIE]])</f>
        <v>13</v>
      </c>
      <c r="BG779" s="683" t="str">
        <f>CONCATENATE("F",COUNTIF($K$7:K779,K779))</f>
        <v>F10</v>
      </c>
      <c r="BH779" s="325" t="str">
        <f>CONCATENATE(BDEGENER[[#This Row],[FECHA DE SERVICIO]],BDEGENER[[#This Row],[N° DE REGISTROS DEL DIA]])</f>
        <v>43788F10</v>
      </c>
      <c r="BI779" s="324"/>
      <c r="BJ779" s="325"/>
      <c r="BK779" s="326"/>
    </row>
    <row r="780" spans="2:63" ht="82.8" hidden="1" x14ac:dyDescent="0.3">
      <c r="B780" s="5"/>
      <c r="C780" s="34"/>
      <c r="D780" s="34"/>
      <c r="E780" s="34"/>
      <c r="F780" s="34"/>
      <c r="G780" s="34"/>
      <c r="H780" s="34"/>
      <c r="I780" s="34"/>
      <c r="J780" s="34"/>
      <c r="K780" s="37">
        <v>43788</v>
      </c>
      <c r="L780" s="31" t="s">
        <v>791</v>
      </c>
      <c r="M780" s="19" t="s">
        <v>3356</v>
      </c>
      <c r="N780" s="19" t="s">
        <v>792</v>
      </c>
      <c r="O780" s="35"/>
      <c r="P780" s="3"/>
      <c r="Q780" s="19" t="s">
        <v>37</v>
      </c>
      <c r="R780" s="85" t="s">
        <v>1782</v>
      </c>
      <c r="S780" s="19" t="s">
        <v>801</v>
      </c>
      <c r="T780" s="19" t="s">
        <v>3371</v>
      </c>
      <c r="U780" s="19" t="s">
        <v>3369</v>
      </c>
      <c r="V780" s="19" t="s">
        <v>150</v>
      </c>
      <c r="W780" s="85" t="s">
        <v>914</v>
      </c>
      <c r="X780" s="85" t="s">
        <v>917</v>
      </c>
      <c r="Y780" s="31" t="s">
        <v>3367</v>
      </c>
      <c r="Z780" s="16"/>
      <c r="AA780" s="19" t="s">
        <v>840</v>
      </c>
      <c r="AB780" s="85" t="s">
        <v>3361</v>
      </c>
      <c r="AC780" s="19" t="s">
        <v>851</v>
      </c>
      <c r="AD780" s="16" t="s">
        <v>1087</v>
      </c>
      <c r="AE780" s="16">
        <v>60</v>
      </c>
      <c r="AF780" s="31" t="s">
        <v>857</v>
      </c>
      <c r="AG780" s="16"/>
      <c r="AH780" s="85" t="s">
        <v>3368</v>
      </c>
      <c r="AI780" s="19" t="s">
        <v>844</v>
      </c>
      <c r="AJ780" s="19" t="s">
        <v>859</v>
      </c>
      <c r="AK780" s="16" t="s">
        <v>1923</v>
      </c>
      <c r="AL780" s="16" t="s">
        <v>3355</v>
      </c>
      <c r="AM780" s="16" t="s">
        <v>1126</v>
      </c>
      <c r="AN780" s="16" t="s">
        <v>3370</v>
      </c>
      <c r="AO780" s="16" t="s">
        <v>2834</v>
      </c>
      <c r="AP780" s="19" t="s">
        <v>240</v>
      </c>
      <c r="AQ780" s="127" t="str">
        <f>CONCATENATE("REG-",BDEGENER[[#This Row],[FECHA DE SERVICIO]],"-",BDEGENER[[#This Row],[SERIE]],"-",BDEGENER[[#This Row],[HORAS]])</f>
        <v>REG-43788-A5245J-001-306,5</v>
      </c>
      <c r="AR780" s="325" t="str">
        <f>CONCATENATE("MARCA: ",BDEGENER[[#This Row],[MARCA]],"
 MODELO: ",BDEGENER[[#This Row],[MODELO]])</f>
        <v>MARCA: FG - WILSON
 MODELO: PG-90</v>
      </c>
      <c r="AS780" s="325" t="str">
        <f>CONCATENATE("MARCA: ",BDEGENER[[#This Row],[MARCA DE MOTOR]],"
SERIE: ",BDEGENER[[#This Row],[SERIE DE MOTOR]])</f>
        <v>MARCA: PERKINS
SERIE: U613189</v>
      </c>
      <c r="AT780" s="325" t="str">
        <f>CONCATENATE("MARCA: ",BDEGENER[[#This Row],[MARCA ALTERNADOR ]],"
SERIE: ",BDEGENER[[#This Row],[SERIE DE ALTERNADOR]])</f>
        <v>MARCA: FG WILSON
SERIE: A5245J/001</v>
      </c>
      <c r="AU780" s="325" t="str">
        <f>CONCATENATE("HORAS: ",BDEGENER[[#This Row],[HORAS]],"
KW-HR: ",BDEGENER[[#This Row],[KW-HORA]],"
VOLT.BATERIA: ",BDEGENER[[#This Row],[VOLTAJE DE BATERIA]],"
TEMPERATURA: ",BDEGENER[[#This Row],[TEMPERATURA DE AGUA]],"
PRES. ACEITE: ",BDEGENER[[#This Row],[PRESION DE ACEITE]])</f>
        <v>HORAS: 306,5
KW-HR: 
VOLT.BATERIA: 13 V
TEMPERATURA: 40 °C
PRES. ACEITE: 90 PSI</v>
      </c>
      <c r="AV780" s="683">
        <f>COUNTIFS(Q780:Q2780,"MANTENIMIENTO CORRECTIVO",Y780:Y2780,BDEGENER[[#This Row],[SERIE]])</f>
        <v>0</v>
      </c>
      <c r="AW780" s="683">
        <f>COUNTIFS(Q780:Q2780,"MANTENIMIENTO PREVENTIVO",Y780:Y2780,BDEGENER[[#This Row],[SERIE]])</f>
        <v>4</v>
      </c>
      <c r="AX780"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780" s="325">
        <f>COUNTIFS(BDEGENER[SERIE],BDEGENER[[#This Row],[SERIE]],BDEGENER[TIPO DE SERVICIO],"MANTENIMIENTO PREVENTIVO")</f>
        <v>6</v>
      </c>
      <c r="AZ780" s="325" t="str">
        <f>CONCATENATE("MANTENIMIENTO PREVENTIVO N°",BDEGENER[[#This Row],[GA1]])</f>
        <v>MANTENIMIENTO PREVENTIVO N°6</v>
      </c>
      <c r="BA780" s="325" t="str">
        <f>IF(BDEGENER[[#This Row],[SERVICIO]]=BDEGENER[[#This Row],[GA2]],BDEGENER[[#This Row],[HORAS]],"0")</f>
        <v>0</v>
      </c>
      <c r="BB780" s="325">
        <f>SUMIF(BDEGENER[SERIE],BDEGENER[[#This Row],[SERIE]],BDEGENER[GA3])</f>
        <v>308.10000000000002</v>
      </c>
      <c r="BC780" s="683" t="str">
        <f>CONCATENATE("MANT",COUNTIF($Y$7:Y780,Y780))</f>
        <v>MANT4</v>
      </c>
      <c r="BD780" s="29" t="str">
        <f>CONCATENATE(BDEGENER[[#This Row],[SERIE]],BDEGENER[[#This Row],[GA5]])</f>
        <v>A5245J-001MANT4</v>
      </c>
      <c r="BE780" s="29" t="str">
        <f>CONCATENATE(BDEGENER[[#This Row],[CODIGO PATRIMONIAL]],BDEGENER[[#This Row],[GA5]])</f>
        <v>MANT4</v>
      </c>
      <c r="BF780" s="16">
        <f>COUNTIF(BDEGENER[SERIE],BDEGENER[[#This Row],[SERIE]])</f>
        <v>7</v>
      </c>
      <c r="BG780" s="683" t="str">
        <f>CONCATENATE("F",COUNTIF($K$7:K780,K780))</f>
        <v>F11</v>
      </c>
      <c r="BH780" s="325" t="str">
        <f>CONCATENATE(BDEGENER[[#This Row],[FECHA DE SERVICIO]],BDEGENER[[#This Row],[N° DE REGISTROS DEL DIA]])</f>
        <v>43788F11</v>
      </c>
      <c r="BI780" s="324"/>
      <c r="BJ780" s="325"/>
      <c r="BK780" s="326"/>
    </row>
    <row r="781" spans="2:63" ht="69" hidden="1" x14ac:dyDescent="0.3">
      <c r="B781" s="223"/>
      <c r="C781" s="223"/>
      <c r="D781" s="223"/>
      <c r="E781" s="223"/>
      <c r="F781" s="223"/>
      <c r="G781" s="223"/>
      <c r="H781" s="223"/>
      <c r="I781" s="223"/>
      <c r="J781" s="223"/>
      <c r="K781" s="723">
        <v>43787</v>
      </c>
      <c r="L781" s="15" t="s">
        <v>181</v>
      </c>
      <c r="M781" s="14" t="s">
        <v>184</v>
      </c>
      <c r="N781" s="14" t="s">
        <v>183</v>
      </c>
      <c r="O781" s="8" t="s">
        <v>161</v>
      </c>
      <c r="P781" s="15" t="s">
        <v>159</v>
      </c>
      <c r="Q781" s="14" t="s">
        <v>37</v>
      </c>
      <c r="R781" s="85" t="s">
        <v>1782</v>
      </c>
      <c r="S781" s="5" t="s">
        <v>40</v>
      </c>
      <c r="T781" s="14" t="s">
        <v>1346</v>
      </c>
      <c r="U781" s="14" t="s">
        <v>118</v>
      </c>
      <c r="V781" s="14" t="s">
        <v>146</v>
      </c>
      <c r="W781" s="85" t="s">
        <v>914</v>
      </c>
      <c r="X781" s="85" t="s">
        <v>918</v>
      </c>
      <c r="Y781" s="15">
        <v>3004418791</v>
      </c>
      <c r="Z781" s="14"/>
      <c r="AA781" s="14" t="s">
        <v>33</v>
      </c>
      <c r="AB781" s="85" t="s">
        <v>34</v>
      </c>
      <c r="AC781" s="14" t="s">
        <v>230</v>
      </c>
      <c r="AD781" s="16"/>
      <c r="AE781" s="16"/>
      <c r="AF781" s="12">
        <v>49.1</v>
      </c>
      <c r="AG781" s="16" t="s">
        <v>243</v>
      </c>
      <c r="AH781" s="16" t="s">
        <v>220</v>
      </c>
      <c r="AI781" s="16" t="s">
        <v>33</v>
      </c>
      <c r="AJ781" s="16">
        <v>3004426135</v>
      </c>
      <c r="AK781" s="16" t="s">
        <v>33</v>
      </c>
      <c r="AL781" s="16">
        <v>107745330</v>
      </c>
      <c r="AM781" s="16"/>
      <c r="AN781" s="16"/>
      <c r="AO781" s="16"/>
      <c r="AP781" s="14" t="s">
        <v>240</v>
      </c>
      <c r="AQ781" s="200" t="str">
        <f>CONCATENATE("REG-",BDEGENER[[#This Row],[FECHA DE SERVICIO]],"-",BDEGENER[[#This Row],[SERIE]],"-",BDEGENER[[#This Row],[HORAS]])</f>
        <v>REG-43787-3004418791-49,1</v>
      </c>
      <c r="AR781" s="5" t="str">
        <f>CONCATENATE("MARCA: ",BDEGENER[[#This Row],[MARCA]],"
 MODELO: ",BDEGENER[[#This Row],[MODELO]])</f>
        <v>MARCA: GENERAC
 MODELO: PG090</v>
      </c>
      <c r="AS781" s="5" t="str">
        <f>CONCATENATE("MARCA: ",BDEGENER[[#This Row],[MARCA DE MOTOR]],"
SERIE: ",BDEGENER[[#This Row],[SERIE DE MOTOR]])</f>
        <v>MARCA: GENERAC
SERIE: 3004426135</v>
      </c>
      <c r="AT781" s="5" t="str">
        <f>CONCATENATE("MARCA: ",BDEGENER[[#This Row],[MARCA ALTERNADOR ]],"
SERIE: ",BDEGENER[[#This Row],[SERIE DE ALTERNADOR]])</f>
        <v>MARCA: GENERAC
SERIE: 107745330</v>
      </c>
      <c r="AU781" s="5" t="str">
        <f>CONCATENATE("HORAS: ",BDEGENER[[#This Row],[HORAS]],"
KW-HR: ",BDEGENER[[#This Row],[KW-HORA]],"
VOLT.BATERIA: ",BDEGENER[[#This Row],[VOLTAJE DE BATERIA]],"
TEMPERATURA: ",BDEGENER[[#This Row],[TEMPERATURA DE AGUA]],"
PRES. ACEITE: ",BDEGENER[[#This Row],[PRESION DE ACEITE]])</f>
        <v xml:space="preserve">HORAS: 49,1
KW-HR: 
VOLT.BATERIA: 
TEMPERATURA: 
PRES. ACEITE: </v>
      </c>
      <c r="AV781" s="761">
        <f>COUNTIFS(Q781:Q2781,"MANTENIMIENTO CORRECTIVO",Y781:Y2781,BDEGENER[[#This Row],[SERIE]])</f>
        <v>3</v>
      </c>
      <c r="AW781" s="761">
        <f>COUNTIFS(Q781:Q2781,"MANTENIMIENTO PREVENTIVO",Y781:Y2781,BDEGENER[[#This Row],[SERIE]])</f>
        <v>1</v>
      </c>
      <c r="AX78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81" s="29">
        <f>COUNTIFS(BDEGENER[SERIE],BDEGENER[[#This Row],[SERIE]],BDEGENER[TIPO DE SERVICIO],"MANTENIMIENTO PREVENTIVO")</f>
        <v>7</v>
      </c>
      <c r="AZ781" s="29" t="str">
        <f>CONCATENATE("MANTENIMIENTO PREVENTIVO N°",BDEGENER[[#This Row],[GA1]])</f>
        <v>MANTENIMIENTO PREVENTIVO N°7</v>
      </c>
      <c r="BA781" s="325" t="str">
        <f>IF(BDEGENER[[#This Row],[SERVICIO]]=BDEGENER[[#This Row],[GA2]],BDEGENER[[#This Row],[HORAS]],"0")</f>
        <v>0</v>
      </c>
      <c r="BB781" s="325">
        <f>SUMIF(BDEGENER[SERIE],BDEGENER[[#This Row],[SERIE]],BDEGENER[GA3])</f>
        <v>2074.3000000000002</v>
      </c>
      <c r="BC781" s="761" t="str">
        <f>CONCATENATE("MANT",COUNTIF($Y$7:Y781,Y781))</f>
        <v>MANT12</v>
      </c>
      <c r="BD781" s="29" t="str">
        <f>CONCATENATE(BDEGENER[[#This Row],[SERIE]],BDEGENER[[#This Row],[GA5]])</f>
        <v>3004418791MANT12</v>
      </c>
      <c r="BE781" s="29" t="str">
        <f>CONCATENATE(BDEGENER[[#This Row],[CODIGO PATRIMONIAL]],BDEGENER[[#This Row],[GA5]])</f>
        <v>MANT12</v>
      </c>
      <c r="BF781" s="16">
        <f>COUNTIF(BDEGENER[SERIE],BDEGENER[[#This Row],[SERIE]])</f>
        <v>16</v>
      </c>
      <c r="BG781" s="761" t="str">
        <f>CONCATENATE("F",COUNTIF($K$7:K781,K781))</f>
        <v>F1</v>
      </c>
      <c r="BH781" s="325" t="str">
        <f>CONCATENATE(BDEGENER[[#This Row],[FECHA DE SERVICIO]],BDEGENER[[#This Row],[N° DE REGISTROS DEL DIA]])</f>
        <v>43787F1</v>
      </c>
      <c r="BI781" s="324"/>
      <c r="BJ781" s="85" t="s">
        <v>1544</v>
      </c>
      <c r="BK781" s="326"/>
    </row>
    <row r="782" spans="2:63" ht="69" hidden="1" x14ac:dyDescent="0.3">
      <c r="B782" s="223"/>
      <c r="C782" s="223"/>
      <c r="D782" s="223"/>
      <c r="E782" s="223"/>
      <c r="F782" s="223"/>
      <c r="G782" s="223"/>
      <c r="H782" s="223"/>
      <c r="I782" s="223"/>
      <c r="J782" s="223"/>
      <c r="K782" s="723">
        <v>43787</v>
      </c>
      <c r="L782" s="15" t="s">
        <v>181</v>
      </c>
      <c r="M782" s="14" t="s">
        <v>190</v>
      </c>
      <c r="N782" s="14" t="s">
        <v>191</v>
      </c>
      <c r="O782" s="8" t="s">
        <v>161</v>
      </c>
      <c r="P782" s="15" t="s">
        <v>159</v>
      </c>
      <c r="Q782" s="14" t="s">
        <v>37</v>
      </c>
      <c r="R782" s="85" t="s">
        <v>1782</v>
      </c>
      <c r="S782" s="5" t="s">
        <v>40</v>
      </c>
      <c r="T782" s="14" t="s">
        <v>1346</v>
      </c>
      <c r="U782" s="14" t="s">
        <v>118</v>
      </c>
      <c r="V782" s="14" t="s">
        <v>146</v>
      </c>
      <c r="W782" s="85" t="s">
        <v>914</v>
      </c>
      <c r="X782" s="85" t="s">
        <v>918</v>
      </c>
      <c r="Y782" s="15">
        <v>3004381438</v>
      </c>
      <c r="Z782" s="14"/>
      <c r="AA782" s="14" t="s">
        <v>33</v>
      </c>
      <c r="AB782" s="85" t="s">
        <v>34</v>
      </c>
      <c r="AC782" s="14" t="s">
        <v>230</v>
      </c>
      <c r="AD782" s="16"/>
      <c r="AE782" s="16"/>
      <c r="AF782" s="12">
        <v>98.2</v>
      </c>
      <c r="AG782" s="16" t="s">
        <v>243</v>
      </c>
      <c r="AH782" s="16" t="s">
        <v>220</v>
      </c>
      <c r="AI782" s="16" t="s">
        <v>33</v>
      </c>
      <c r="AJ782" s="16">
        <v>3004333873</v>
      </c>
      <c r="AK782" s="16" t="s">
        <v>33</v>
      </c>
      <c r="AL782" s="16">
        <v>106309650</v>
      </c>
      <c r="AM782" s="16"/>
      <c r="AN782" s="16"/>
      <c r="AO782" s="16"/>
      <c r="AP782" s="14" t="s">
        <v>240</v>
      </c>
      <c r="AQ782" s="200" t="str">
        <f>CONCATENATE("REG-",BDEGENER[[#This Row],[FECHA DE SERVICIO]],"-",BDEGENER[[#This Row],[SERIE]],"-",BDEGENER[[#This Row],[HORAS]])</f>
        <v>REG-43787-3004381438-98,2</v>
      </c>
      <c r="AR782" s="5" t="str">
        <f>CONCATENATE("MARCA: ",BDEGENER[[#This Row],[MARCA]],"
 MODELO: ",BDEGENER[[#This Row],[MODELO]])</f>
        <v>MARCA: GENERAC
 MODELO: PG090</v>
      </c>
      <c r="AS782" s="5" t="str">
        <f>CONCATENATE("MARCA: ",BDEGENER[[#This Row],[MARCA DE MOTOR]],"
SERIE: ",BDEGENER[[#This Row],[SERIE DE MOTOR]])</f>
        <v>MARCA: GENERAC
SERIE: 3004333873</v>
      </c>
      <c r="AT782" s="5" t="str">
        <f>CONCATENATE("MARCA: ",BDEGENER[[#This Row],[MARCA ALTERNADOR ]],"
SERIE: ",BDEGENER[[#This Row],[SERIE DE ALTERNADOR]])</f>
        <v>MARCA: GENERAC
SERIE: 106309650</v>
      </c>
      <c r="AU782" s="5" t="str">
        <f>CONCATENATE("HORAS: ",BDEGENER[[#This Row],[HORAS]],"
KW-HR: ",BDEGENER[[#This Row],[KW-HORA]],"
VOLT.BATERIA: ",BDEGENER[[#This Row],[VOLTAJE DE BATERIA]],"
TEMPERATURA: ",BDEGENER[[#This Row],[TEMPERATURA DE AGUA]],"
PRES. ACEITE: ",BDEGENER[[#This Row],[PRESION DE ACEITE]])</f>
        <v xml:space="preserve">HORAS: 98,2
KW-HR: 
VOLT.BATERIA: 
TEMPERATURA: 
PRES. ACEITE: </v>
      </c>
      <c r="AV782" s="683">
        <f>COUNTIFS(Q782:Q2782,"MANTENIMIENTO CORRECTIVO",Y782:Y2782,BDEGENER[[#This Row],[SERIE]])</f>
        <v>1</v>
      </c>
      <c r="AW782" s="683">
        <f>COUNTIFS(Q782:Q2782,"MANTENIMIENTO PREVENTIVO",Y782:Y2782,BDEGENER[[#This Row],[SERIE]])</f>
        <v>1</v>
      </c>
      <c r="AX78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82" s="29">
        <f>COUNTIFS(BDEGENER[SERIE],BDEGENER[[#This Row],[SERIE]],BDEGENER[TIPO DE SERVICIO],"MANTENIMIENTO PREVENTIVO")</f>
        <v>10</v>
      </c>
      <c r="AZ782" s="29" t="str">
        <f>CONCATENATE("MANTENIMIENTO PREVENTIVO N°",BDEGENER[[#This Row],[GA1]])</f>
        <v>MANTENIMIENTO PREVENTIVO N°10</v>
      </c>
      <c r="BA782" s="325" t="str">
        <f>IF(BDEGENER[[#This Row],[SERVICIO]]=BDEGENER[[#This Row],[GA2]],BDEGENER[[#This Row],[HORAS]],"0")</f>
        <v>0</v>
      </c>
      <c r="BB782" s="325">
        <f>SUMIF(BDEGENER[SERIE],BDEGENER[[#This Row],[SERIE]],BDEGENER[GA3])</f>
        <v>3227.9</v>
      </c>
      <c r="BC782" s="683" t="str">
        <f>CONCATENATE("MANT",COUNTIF($Y$7:Y782,Y782))</f>
        <v>MANT11</v>
      </c>
      <c r="BD782" s="29" t="str">
        <f>CONCATENATE(BDEGENER[[#This Row],[SERIE]],BDEGENER[[#This Row],[GA5]])</f>
        <v>3004381438MANT11</v>
      </c>
      <c r="BE782" s="29" t="str">
        <f>CONCATENATE(BDEGENER[[#This Row],[CODIGO PATRIMONIAL]],BDEGENER[[#This Row],[GA5]])</f>
        <v>MANT11</v>
      </c>
      <c r="BF782" s="16">
        <f>COUNTIF(BDEGENER[SERIE],BDEGENER[[#This Row],[SERIE]])</f>
        <v>13</v>
      </c>
      <c r="BG782" s="683" t="str">
        <f>CONCATENATE("F",COUNTIF($K$7:K782,K782))</f>
        <v>F2</v>
      </c>
      <c r="BH782" s="325" t="str">
        <f>CONCATENATE(BDEGENER[[#This Row],[FECHA DE SERVICIO]],BDEGENER[[#This Row],[N° DE REGISTROS DEL DIA]])</f>
        <v>43787F2</v>
      </c>
      <c r="BI782" s="324"/>
      <c r="BJ782" s="85" t="s">
        <v>1544</v>
      </c>
      <c r="BK782" s="326"/>
    </row>
    <row r="783" spans="2:63" ht="69" hidden="1" x14ac:dyDescent="0.3">
      <c r="B783" s="223"/>
      <c r="C783" s="223"/>
      <c r="D783" s="223"/>
      <c r="E783" s="223"/>
      <c r="F783" s="223"/>
      <c r="G783" s="223"/>
      <c r="H783" s="223"/>
      <c r="I783" s="223"/>
      <c r="J783" s="223"/>
      <c r="K783" s="723">
        <v>43787</v>
      </c>
      <c r="L783" s="15" t="s">
        <v>181</v>
      </c>
      <c r="M783" s="14" t="s">
        <v>184</v>
      </c>
      <c r="N783" s="14" t="s">
        <v>183</v>
      </c>
      <c r="O783" s="8" t="s">
        <v>161</v>
      </c>
      <c r="P783" s="15" t="s">
        <v>159</v>
      </c>
      <c r="Q783" s="14" t="s">
        <v>37</v>
      </c>
      <c r="R783" s="85" t="s">
        <v>1782</v>
      </c>
      <c r="S783" s="5" t="s">
        <v>40</v>
      </c>
      <c r="T783" s="14" t="s">
        <v>1346</v>
      </c>
      <c r="U783" s="14" t="s">
        <v>118</v>
      </c>
      <c r="V783" s="14" t="s">
        <v>146</v>
      </c>
      <c r="W783" s="85" t="s">
        <v>914</v>
      </c>
      <c r="X783" s="85" t="s">
        <v>918</v>
      </c>
      <c r="Y783" s="15">
        <v>3004402507</v>
      </c>
      <c r="Z783" s="14"/>
      <c r="AA783" s="14" t="s">
        <v>33</v>
      </c>
      <c r="AB783" s="85" t="s">
        <v>34</v>
      </c>
      <c r="AC783" s="14" t="s">
        <v>230</v>
      </c>
      <c r="AD783" s="16"/>
      <c r="AE783" s="16"/>
      <c r="AF783" s="12">
        <v>79.900000000000006</v>
      </c>
      <c r="AG783" s="16" t="s">
        <v>243</v>
      </c>
      <c r="AH783" s="16" t="s">
        <v>220</v>
      </c>
      <c r="AI783" s="16" t="s">
        <v>33</v>
      </c>
      <c r="AJ783" s="16">
        <v>3004425772</v>
      </c>
      <c r="AK783" s="16" t="s">
        <v>33</v>
      </c>
      <c r="AL783" s="16">
        <v>106310030</v>
      </c>
      <c r="AM783" s="16"/>
      <c r="AN783" s="16"/>
      <c r="AO783" s="16"/>
      <c r="AP783" s="14" t="s">
        <v>240</v>
      </c>
      <c r="AQ783" s="200" t="str">
        <f>CONCATENATE("REG-",BDEGENER[[#This Row],[FECHA DE SERVICIO]],"-",BDEGENER[[#This Row],[SERIE]],"-",BDEGENER[[#This Row],[HORAS]])</f>
        <v>REG-43787-3004402507-79,9</v>
      </c>
      <c r="AR783" s="5" t="str">
        <f>CONCATENATE("MARCA: ",BDEGENER[[#This Row],[MARCA]],"
 MODELO: ",BDEGENER[[#This Row],[MODELO]])</f>
        <v>MARCA: GENERAC
 MODELO: PG090</v>
      </c>
      <c r="AS783" s="5" t="str">
        <f>CONCATENATE("MARCA: ",BDEGENER[[#This Row],[MARCA DE MOTOR]],"
SERIE: ",BDEGENER[[#This Row],[SERIE DE MOTOR]])</f>
        <v>MARCA: GENERAC
SERIE: 3004425772</v>
      </c>
      <c r="AT783" s="5" t="str">
        <f>CONCATENATE("MARCA: ",BDEGENER[[#This Row],[MARCA ALTERNADOR ]],"
SERIE: ",BDEGENER[[#This Row],[SERIE DE ALTERNADOR]])</f>
        <v>MARCA: GENERAC
SERIE: 106310030</v>
      </c>
      <c r="AU783" s="5" t="str">
        <f>CONCATENATE("HORAS: ",BDEGENER[[#This Row],[HORAS]],"
KW-HR: ",BDEGENER[[#This Row],[KW-HORA]],"
VOLT.BATERIA: ",BDEGENER[[#This Row],[VOLTAJE DE BATERIA]],"
TEMPERATURA: ",BDEGENER[[#This Row],[TEMPERATURA DE AGUA]],"
PRES. ACEITE: ",BDEGENER[[#This Row],[PRESION DE ACEITE]])</f>
        <v xml:space="preserve">HORAS: 79,9
KW-HR: 
VOLT.BATERIA: 
TEMPERATURA: 
PRES. ACEITE: </v>
      </c>
      <c r="AV783" s="683">
        <f>COUNTIFS(Q783:Q2783,"MANTENIMIENTO CORRECTIVO",Y783:Y2783,BDEGENER[[#This Row],[SERIE]])</f>
        <v>1</v>
      </c>
      <c r="AW783" s="683">
        <f>COUNTIFS(Q783:Q2783,"MANTENIMIENTO PREVENTIVO",Y783:Y2783,BDEGENER[[#This Row],[SERIE]])</f>
        <v>1</v>
      </c>
      <c r="AX78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83" s="29">
        <f>COUNTIFS(BDEGENER[SERIE],BDEGENER[[#This Row],[SERIE]],BDEGENER[TIPO DE SERVICIO],"MANTENIMIENTO PREVENTIVO")</f>
        <v>7</v>
      </c>
      <c r="AZ783" s="29" t="str">
        <f>CONCATENATE("MANTENIMIENTO PREVENTIVO N°",BDEGENER[[#This Row],[GA1]])</f>
        <v>MANTENIMIENTO PREVENTIVO N°7</v>
      </c>
      <c r="BA783" s="325" t="str">
        <f>IF(BDEGENER[[#This Row],[SERVICIO]]=BDEGENER[[#This Row],[GA2]],BDEGENER[[#This Row],[HORAS]],"0")</f>
        <v>0</v>
      </c>
      <c r="BB783" s="325">
        <f>SUMIF(BDEGENER[SERIE],BDEGENER[[#This Row],[SERIE]],BDEGENER[GA3])</f>
        <v>2134</v>
      </c>
      <c r="BC783" s="683" t="str">
        <f>CONCATENATE("MANT",COUNTIF($Y$7:Y783,Y783))</f>
        <v>MANT14</v>
      </c>
      <c r="BD783" s="29" t="str">
        <f>CONCATENATE(BDEGENER[[#This Row],[SERIE]],BDEGENER[[#This Row],[GA5]])</f>
        <v>3004402507MANT14</v>
      </c>
      <c r="BE783" s="29" t="str">
        <f>CONCATENATE(BDEGENER[[#This Row],[CODIGO PATRIMONIAL]],BDEGENER[[#This Row],[GA5]])</f>
        <v>MANT14</v>
      </c>
      <c r="BF783" s="16">
        <f>COUNTIF(BDEGENER[SERIE],BDEGENER[[#This Row],[SERIE]])</f>
        <v>16</v>
      </c>
      <c r="BG783" s="683" t="str">
        <f>CONCATENATE("F",COUNTIF($K$7:K783,K783))</f>
        <v>F3</v>
      </c>
      <c r="BH783" s="325" t="str">
        <f>CONCATENATE(BDEGENER[[#This Row],[FECHA DE SERVICIO]],BDEGENER[[#This Row],[N° DE REGISTROS DEL DIA]])</f>
        <v>43787F3</v>
      </c>
      <c r="BI783" s="324"/>
      <c r="BJ783" s="85" t="s">
        <v>1544</v>
      </c>
      <c r="BK783" s="326"/>
    </row>
    <row r="784" spans="2:63" ht="69" hidden="1" x14ac:dyDescent="0.3">
      <c r="B784" s="223"/>
      <c r="C784" s="223"/>
      <c r="D784" s="223"/>
      <c r="E784" s="223"/>
      <c r="F784" s="223"/>
      <c r="G784" s="223"/>
      <c r="H784" s="223"/>
      <c r="I784" s="223"/>
      <c r="J784" s="223"/>
      <c r="K784" s="723">
        <v>43787</v>
      </c>
      <c r="L784" s="15" t="s">
        <v>181</v>
      </c>
      <c r="M784" s="14" t="s">
        <v>184</v>
      </c>
      <c r="N784" s="14" t="s">
        <v>183</v>
      </c>
      <c r="O784" s="8" t="s">
        <v>161</v>
      </c>
      <c r="P784" s="15" t="s">
        <v>159</v>
      </c>
      <c r="Q784" s="14" t="s">
        <v>37</v>
      </c>
      <c r="R784" s="85" t="s">
        <v>1782</v>
      </c>
      <c r="S784" s="5" t="s">
        <v>40</v>
      </c>
      <c r="T784" s="14" t="s">
        <v>1346</v>
      </c>
      <c r="U784" s="14" t="s">
        <v>118</v>
      </c>
      <c r="V784" s="14" t="s">
        <v>146</v>
      </c>
      <c r="W784" s="85" t="s">
        <v>914</v>
      </c>
      <c r="X784" s="85" t="s">
        <v>918</v>
      </c>
      <c r="Y784" s="15">
        <v>3004418790</v>
      </c>
      <c r="Z784" s="14"/>
      <c r="AA784" s="14" t="s">
        <v>33</v>
      </c>
      <c r="AB784" s="85" t="s">
        <v>34</v>
      </c>
      <c r="AC784" s="14" t="s">
        <v>230</v>
      </c>
      <c r="AD784" s="16"/>
      <c r="AE784" s="16"/>
      <c r="AF784" s="12">
        <v>55.7</v>
      </c>
      <c r="AG784" s="16" t="s">
        <v>243</v>
      </c>
      <c r="AH784" s="16" t="s">
        <v>220</v>
      </c>
      <c r="AI784" s="16" t="s">
        <v>33</v>
      </c>
      <c r="AJ784" s="16">
        <v>3004426133</v>
      </c>
      <c r="AK784" s="16" t="s">
        <v>33</v>
      </c>
      <c r="AL784" s="16">
        <v>107745310</v>
      </c>
      <c r="AM784" s="16"/>
      <c r="AN784" s="16"/>
      <c r="AO784" s="16"/>
      <c r="AP784" s="14" t="s">
        <v>240</v>
      </c>
      <c r="AQ784" s="200" t="str">
        <f>CONCATENATE("REG-",BDEGENER[[#This Row],[FECHA DE SERVICIO]],"-",BDEGENER[[#This Row],[SERIE]],"-",BDEGENER[[#This Row],[HORAS]])</f>
        <v>REG-43787-3004418790-55,7</v>
      </c>
      <c r="AR784" s="5" t="str">
        <f>CONCATENATE("MARCA: ",BDEGENER[[#This Row],[MARCA]],"
 MODELO: ",BDEGENER[[#This Row],[MODELO]])</f>
        <v>MARCA: GENERAC
 MODELO: PG090</v>
      </c>
      <c r="AS784" s="5" t="str">
        <f>CONCATENATE("MARCA: ",BDEGENER[[#This Row],[MARCA DE MOTOR]],"
SERIE: ",BDEGENER[[#This Row],[SERIE DE MOTOR]])</f>
        <v>MARCA: GENERAC
SERIE: 3004426133</v>
      </c>
      <c r="AT784" s="5" t="str">
        <f>CONCATENATE("MARCA: ",BDEGENER[[#This Row],[MARCA ALTERNADOR ]],"
SERIE: ",BDEGENER[[#This Row],[SERIE DE ALTERNADOR]])</f>
        <v>MARCA: GENERAC
SERIE: 107745310</v>
      </c>
      <c r="AU784" s="5" t="str">
        <f>CONCATENATE("HORAS: ",BDEGENER[[#This Row],[HORAS]],"
KW-HR: ",BDEGENER[[#This Row],[KW-HORA]],"
VOLT.BATERIA: ",BDEGENER[[#This Row],[VOLTAJE DE BATERIA]],"
TEMPERATURA: ",BDEGENER[[#This Row],[TEMPERATURA DE AGUA]],"
PRES. ACEITE: ",BDEGENER[[#This Row],[PRESION DE ACEITE]])</f>
        <v xml:space="preserve">HORAS: 55,7
KW-HR: 
VOLT.BATERIA: 
TEMPERATURA: 
PRES. ACEITE: </v>
      </c>
      <c r="AV784" s="761">
        <f>COUNTIFS(Q784:Q2784,"MANTENIMIENTO CORRECTIVO",Y784:Y2784,BDEGENER[[#This Row],[SERIE]])</f>
        <v>1</v>
      </c>
      <c r="AW784" s="761">
        <f>COUNTIFS(Q784:Q2784,"MANTENIMIENTO PREVENTIVO",Y784:Y2784,BDEGENER[[#This Row],[SERIE]])</f>
        <v>1</v>
      </c>
      <c r="AX78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84" s="29">
        <f>COUNTIFS(BDEGENER[SERIE],BDEGENER[[#This Row],[SERIE]],BDEGENER[TIPO DE SERVICIO],"MANTENIMIENTO PREVENTIVO")</f>
        <v>8</v>
      </c>
      <c r="AZ784" s="29" t="str">
        <f>CONCATENATE("MANTENIMIENTO PREVENTIVO N°",BDEGENER[[#This Row],[GA1]])</f>
        <v>MANTENIMIENTO PREVENTIVO N°8</v>
      </c>
      <c r="BA784" s="325" t="str">
        <f>IF(BDEGENER[[#This Row],[SERVICIO]]=BDEGENER[[#This Row],[GA2]],BDEGENER[[#This Row],[HORAS]],"0")</f>
        <v>0</v>
      </c>
      <c r="BB784" s="325">
        <f>SUMIF(BDEGENER[SERIE],BDEGENER[[#This Row],[SERIE]],BDEGENER[GA3])</f>
        <v>2579.3000000000002</v>
      </c>
      <c r="BC784" s="761" t="str">
        <f>CONCATENATE("MANT",COUNTIF($Y$7:Y784,Y784))</f>
        <v>MANT12</v>
      </c>
      <c r="BD784" s="29" t="str">
        <f>CONCATENATE(BDEGENER[[#This Row],[SERIE]],BDEGENER[[#This Row],[GA5]])</f>
        <v>3004418790MANT12</v>
      </c>
      <c r="BE784" s="29" t="str">
        <f>CONCATENATE(BDEGENER[[#This Row],[CODIGO PATRIMONIAL]],BDEGENER[[#This Row],[GA5]])</f>
        <v>MANT12</v>
      </c>
      <c r="BF784" s="16">
        <f>COUNTIF(BDEGENER[SERIE],BDEGENER[[#This Row],[SERIE]])</f>
        <v>14</v>
      </c>
      <c r="BG784" s="761" t="str">
        <f>CONCATENATE("F",COUNTIF($K$7:K784,K784))</f>
        <v>F4</v>
      </c>
      <c r="BH784" s="325" t="str">
        <f>CONCATENATE(BDEGENER[[#This Row],[FECHA DE SERVICIO]],BDEGENER[[#This Row],[N° DE REGISTROS DEL DIA]])</f>
        <v>43787F4</v>
      </c>
      <c r="BI784" s="324"/>
      <c r="BJ784" s="85" t="s">
        <v>1544</v>
      </c>
      <c r="BK784" s="326"/>
    </row>
    <row r="785" spans="2:63" ht="69" hidden="1" x14ac:dyDescent="0.3">
      <c r="B785" s="223"/>
      <c r="C785" s="223"/>
      <c r="D785" s="223"/>
      <c r="E785" s="223"/>
      <c r="F785" s="223"/>
      <c r="G785" s="223"/>
      <c r="H785" s="223"/>
      <c r="I785" s="223"/>
      <c r="J785" s="223"/>
      <c r="K785" s="723">
        <v>43787</v>
      </c>
      <c r="L785" s="15" t="s">
        <v>181</v>
      </c>
      <c r="M785" s="14" t="s">
        <v>184</v>
      </c>
      <c r="N785" s="14" t="s">
        <v>183</v>
      </c>
      <c r="O785" s="8" t="s">
        <v>161</v>
      </c>
      <c r="P785" s="15" t="s">
        <v>159</v>
      </c>
      <c r="Q785" s="14" t="s">
        <v>37</v>
      </c>
      <c r="R785" s="85" t="s">
        <v>1782</v>
      </c>
      <c r="S785" s="5" t="s">
        <v>40</v>
      </c>
      <c r="T785" s="14" t="s">
        <v>1346</v>
      </c>
      <c r="U785" s="14" t="s">
        <v>118</v>
      </c>
      <c r="V785" s="14" t="s">
        <v>146</v>
      </c>
      <c r="W785" s="85" t="s">
        <v>914</v>
      </c>
      <c r="X785" s="85" t="s">
        <v>918</v>
      </c>
      <c r="Y785" s="15">
        <v>3004344014</v>
      </c>
      <c r="Z785" s="14"/>
      <c r="AA785" s="14" t="s">
        <v>33</v>
      </c>
      <c r="AB785" s="85" t="s">
        <v>34</v>
      </c>
      <c r="AC785" s="14" t="s">
        <v>230</v>
      </c>
      <c r="AD785" s="16"/>
      <c r="AE785" s="16"/>
      <c r="AF785" s="12">
        <v>52.6</v>
      </c>
      <c r="AG785" s="16" t="s">
        <v>243</v>
      </c>
      <c r="AH785" s="16" t="s">
        <v>220</v>
      </c>
      <c r="AI785" s="16" t="s">
        <v>33</v>
      </c>
      <c r="AJ785" s="16">
        <v>3004346826</v>
      </c>
      <c r="AK785" s="16" t="s">
        <v>33</v>
      </c>
      <c r="AL785" s="16">
        <v>106308730</v>
      </c>
      <c r="AM785" s="16"/>
      <c r="AN785" s="16"/>
      <c r="AO785" s="16"/>
      <c r="AP785" s="14" t="s">
        <v>240</v>
      </c>
      <c r="AQ785" s="127" t="str">
        <f>CONCATENATE("REG-",BDEGENER[[#This Row],[FECHA DE SERVICIO]],"-",BDEGENER[[#This Row],[SERIE]],"-",BDEGENER[[#This Row],[HORAS]])</f>
        <v>REG-43787-3004344014-52,6</v>
      </c>
      <c r="AR785" s="5" t="str">
        <f>CONCATENATE("MARCA: ",BDEGENER[[#This Row],[MARCA]],"
 MODELO: ",BDEGENER[[#This Row],[MODELO]])</f>
        <v>MARCA: GENERAC
 MODELO: PG090</v>
      </c>
      <c r="AS785" s="5" t="str">
        <f>CONCATENATE("MARCA: ",BDEGENER[[#This Row],[MARCA DE MOTOR]],"
SERIE: ",BDEGENER[[#This Row],[SERIE DE MOTOR]])</f>
        <v>MARCA: GENERAC
SERIE: 3004346826</v>
      </c>
      <c r="AT785" s="5" t="str">
        <f>CONCATENATE("MARCA: ",BDEGENER[[#This Row],[MARCA ALTERNADOR ]],"
SERIE: ",BDEGENER[[#This Row],[SERIE DE ALTERNADOR]])</f>
        <v>MARCA: GENERAC
SERIE: 106308730</v>
      </c>
      <c r="AU785" s="5" t="str">
        <f>CONCATENATE("HORAS: ",BDEGENER[[#This Row],[HORAS]],"
KW-HR: ",BDEGENER[[#This Row],[KW-HORA]],"
VOLT.BATERIA: ",BDEGENER[[#This Row],[VOLTAJE DE BATERIA]],"
TEMPERATURA: ",BDEGENER[[#This Row],[TEMPERATURA DE AGUA]],"
PRES. ACEITE: ",BDEGENER[[#This Row],[PRESION DE ACEITE]])</f>
        <v xml:space="preserve">HORAS: 52,6
KW-HR: 
VOLT.BATERIA: 
TEMPERATURA: 
PRES. ACEITE: </v>
      </c>
      <c r="AV785" s="683">
        <f>COUNTIFS(Q785:Q2785,"MANTENIMIENTO CORRECTIVO",Y785:Y2785,BDEGENER[[#This Row],[SERIE]])</f>
        <v>1</v>
      </c>
      <c r="AW785" s="683">
        <f>COUNTIFS(Q785:Q2785,"MANTENIMIENTO PREVENTIVO",Y785:Y2785,BDEGENER[[#This Row],[SERIE]])</f>
        <v>1</v>
      </c>
      <c r="AX78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85" s="29">
        <f>COUNTIFS(BDEGENER[SERIE],BDEGENER[[#This Row],[SERIE]],BDEGENER[TIPO DE SERVICIO],"MANTENIMIENTO PREVENTIVO")</f>
        <v>8</v>
      </c>
      <c r="AZ785" s="29" t="str">
        <f>CONCATENATE("MANTENIMIENTO PREVENTIVO N°",BDEGENER[[#This Row],[GA1]])</f>
        <v>MANTENIMIENTO PREVENTIVO N°8</v>
      </c>
      <c r="BA785" s="325" t="str">
        <f>IF(BDEGENER[[#This Row],[SERVICIO]]=BDEGENER[[#This Row],[GA2]],BDEGENER[[#This Row],[HORAS]],"0")</f>
        <v>0</v>
      </c>
      <c r="BB785" s="325">
        <f>SUMIF(BDEGENER[SERIE],BDEGENER[[#This Row],[SERIE]],BDEGENER[GA3])</f>
        <v>2070.3000000000002</v>
      </c>
      <c r="BC785" s="683" t="str">
        <f>CONCATENATE("MANT",COUNTIF($Y$7:Y785,Y785))</f>
        <v>MANT10</v>
      </c>
      <c r="BD785" s="29" t="str">
        <f>CONCATENATE(BDEGENER[[#This Row],[SERIE]],BDEGENER[[#This Row],[GA5]])</f>
        <v>3004344014MANT10</v>
      </c>
      <c r="BE785" s="29" t="str">
        <f>CONCATENATE(BDEGENER[[#This Row],[CODIGO PATRIMONIAL]],BDEGENER[[#This Row],[GA5]])</f>
        <v>MANT10</v>
      </c>
      <c r="BF785" s="16">
        <f>COUNTIF(BDEGENER[SERIE],BDEGENER[[#This Row],[SERIE]])</f>
        <v>12</v>
      </c>
      <c r="BG785" s="683" t="str">
        <f>CONCATENATE("F",COUNTIF($K$7:K785,K785))</f>
        <v>F5</v>
      </c>
      <c r="BH785" s="325" t="str">
        <f>CONCATENATE(BDEGENER[[#This Row],[FECHA DE SERVICIO]],BDEGENER[[#This Row],[N° DE REGISTROS DEL DIA]])</f>
        <v>43787F5</v>
      </c>
      <c r="BI785" s="324"/>
      <c r="BJ785" s="85" t="s">
        <v>1544</v>
      </c>
      <c r="BK785" s="326"/>
    </row>
    <row r="786" spans="2:63" ht="69" hidden="1" x14ac:dyDescent="0.3">
      <c r="B786" s="223"/>
      <c r="C786" s="223"/>
      <c r="D786" s="223"/>
      <c r="E786" s="223"/>
      <c r="F786" s="223"/>
      <c r="G786" s="223"/>
      <c r="H786" s="223"/>
      <c r="I786" s="223"/>
      <c r="J786" s="223"/>
      <c r="K786" s="723">
        <v>43787</v>
      </c>
      <c r="L786" s="15" t="s">
        <v>181</v>
      </c>
      <c r="M786" s="14" t="s">
        <v>187</v>
      </c>
      <c r="N786" s="14" t="s">
        <v>183</v>
      </c>
      <c r="O786" s="8" t="s">
        <v>161</v>
      </c>
      <c r="P786" s="15" t="s">
        <v>159</v>
      </c>
      <c r="Q786" s="14" t="s">
        <v>37</v>
      </c>
      <c r="R786" s="85" t="s">
        <v>1782</v>
      </c>
      <c r="S786" s="5" t="s">
        <v>40</v>
      </c>
      <c r="T786" s="14" t="s">
        <v>1346</v>
      </c>
      <c r="U786" s="14" t="s">
        <v>118</v>
      </c>
      <c r="V786" s="14" t="s">
        <v>146</v>
      </c>
      <c r="W786" s="85" t="s">
        <v>914</v>
      </c>
      <c r="X786" s="85" t="s">
        <v>918</v>
      </c>
      <c r="Y786" s="15">
        <v>3004337429</v>
      </c>
      <c r="Z786" s="14"/>
      <c r="AA786" s="14" t="s">
        <v>33</v>
      </c>
      <c r="AB786" s="85" t="s">
        <v>34</v>
      </c>
      <c r="AC786" s="14" t="s">
        <v>230</v>
      </c>
      <c r="AD786" s="16"/>
      <c r="AE786" s="16"/>
      <c r="AF786" s="12">
        <v>127.5</v>
      </c>
      <c r="AG786" s="16" t="s">
        <v>243</v>
      </c>
      <c r="AH786" s="16" t="s">
        <v>220</v>
      </c>
      <c r="AI786" s="16" t="s">
        <v>33</v>
      </c>
      <c r="AJ786" s="16">
        <v>3004346833</v>
      </c>
      <c r="AK786" s="16" t="s">
        <v>33</v>
      </c>
      <c r="AL786" s="16">
        <v>106303570</v>
      </c>
      <c r="AM786" s="16"/>
      <c r="AN786" s="16"/>
      <c r="AO786" s="16"/>
      <c r="AP786" s="14" t="s">
        <v>240</v>
      </c>
      <c r="AQ786" s="200" t="str">
        <f>CONCATENATE("REG-",BDEGENER[[#This Row],[FECHA DE SERVICIO]],"-",BDEGENER[[#This Row],[SERIE]],"-",BDEGENER[[#This Row],[HORAS]])</f>
        <v>REG-43787-3004337429-127,5</v>
      </c>
      <c r="AR786" s="5" t="str">
        <f>CONCATENATE("MARCA: ",BDEGENER[[#This Row],[MARCA]],"
 MODELO: ",BDEGENER[[#This Row],[MODELO]])</f>
        <v>MARCA: GENERAC
 MODELO: PG090</v>
      </c>
      <c r="AS786" s="5" t="str">
        <f>CONCATENATE("MARCA: ",BDEGENER[[#This Row],[MARCA DE MOTOR]],"
SERIE: ",BDEGENER[[#This Row],[SERIE DE MOTOR]])</f>
        <v>MARCA: GENERAC
SERIE: 3004346833</v>
      </c>
      <c r="AT786" s="5" t="str">
        <f>CONCATENATE("MARCA: ",BDEGENER[[#This Row],[MARCA ALTERNADOR ]],"
SERIE: ",BDEGENER[[#This Row],[SERIE DE ALTERNADOR]])</f>
        <v>MARCA: GENERAC
SERIE: 106303570</v>
      </c>
      <c r="AU786" s="5" t="str">
        <f>CONCATENATE("HORAS: ",BDEGENER[[#This Row],[HORAS]],"
KW-HR: ",BDEGENER[[#This Row],[KW-HORA]],"
VOLT.BATERIA: ",BDEGENER[[#This Row],[VOLTAJE DE BATERIA]],"
TEMPERATURA: ",BDEGENER[[#This Row],[TEMPERATURA DE AGUA]],"
PRES. ACEITE: ",BDEGENER[[#This Row],[PRESION DE ACEITE]])</f>
        <v xml:space="preserve">HORAS: 127,5
KW-HR: 
VOLT.BATERIA: 
TEMPERATURA: 
PRES. ACEITE: </v>
      </c>
      <c r="AV786" s="683">
        <f>COUNTIFS(Q786:Q2786,"MANTENIMIENTO CORRECTIVO",Y786:Y2786,BDEGENER[[#This Row],[SERIE]])</f>
        <v>0</v>
      </c>
      <c r="AW786" s="683">
        <f>COUNTIFS(Q786:Q2786,"MANTENIMIENTO PREVENTIVO",Y786:Y2786,BDEGENER[[#This Row],[SERIE]])</f>
        <v>1</v>
      </c>
      <c r="AX78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86" s="29">
        <f>COUNTIFS(BDEGENER[SERIE],BDEGENER[[#This Row],[SERIE]],BDEGENER[TIPO DE SERVICIO],"MANTENIMIENTO PREVENTIVO")</f>
        <v>7</v>
      </c>
      <c r="AZ786" s="29" t="str">
        <f>CONCATENATE("MANTENIMIENTO PREVENTIVO N°",BDEGENER[[#This Row],[GA1]])</f>
        <v>MANTENIMIENTO PREVENTIVO N°7</v>
      </c>
      <c r="BA786" s="325" t="str">
        <f>IF(BDEGENER[[#This Row],[SERVICIO]]=BDEGENER[[#This Row],[GA2]],BDEGENER[[#This Row],[HORAS]],"0")</f>
        <v>0</v>
      </c>
      <c r="BB786" s="325">
        <f>SUMIF(BDEGENER[SERIE],BDEGENER[[#This Row],[SERIE]],BDEGENER[GA3])</f>
        <v>2207.6999999999998</v>
      </c>
      <c r="BC786" s="683" t="str">
        <f>CONCATENATE("MANT",COUNTIF($Y$7:Y786,Y786))</f>
        <v>MANT8</v>
      </c>
      <c r="BD786" s="29" t="str">
        <f>CONCATENATE(BDEGENER[[#This Row],[SERIE]],BDEGENER[[#This Row],[GA5]])</f>
        <v>3004337429MANT8</v>
      </c>
      <c r="BE786" s="29" t="str">
        <f>CONCATENATE(BDEGENER[[#This Row],[CODIGO PATRIMONIAL]],BDEGENER[[#This Row],[GA5]])</f>
        <v>MANT8</v>
      </c>
      <c r="BF786" s="16">
        <f>COUNTIF(BDEGENER[SERIE],BDEGENER[[#This Row],[SERIE]])</f>
        <v>9</v>
      </c>
      <c r="BG786" s="683" t="str">
        <f>CONCATENATE("F",COUNTIF($K$7:K786,K786))</f>
        <v>F6</v>
      </c>
      <c r="BH786" s="325" t="str">
        <f>CONCATENATE(BDEGENER[[#This Row],[FECHA DE SERVICIO]],BDEGENER[[#This Row],[N° DE REGISTROS DEL DIA]])</f>
        <v>43787F6</v>
      </c>
      <c r="BI786" s="324"/>
      <c r="BJ786" s="85" t="s">
        <v>1544</v>
      </c>
      <c r="BK786" s="326"/>
    </row>
    <row r="787" spans="2:63" ht="110.4" hidden="1" x14ac:dyDescent="0.3">
      <c r="B787" s="5"/>
      <c r="C787" s="34"/>
      <c r="D787" s="34"/>
      <c r="E787" s="34"/>
      <c r="F787" s="34"/>
      <c r="G787" s="34"/>
      <c r="H787" s="34"/>
      <c r="I787" s="34"/>
      <c r="J787" s="34"/>
      <c r="K787" s="37">
        <v>43787</v>
      </c>
      <c r="L787" s="31" t="s">
        <v>791</v>
      </c>
      <c r="M787" s="85" t="s">
        <v>1174</v>
      </c>
      <c r="N787" s="19" t="s">
        <v>793</v>
      </c>
      <c r="O787" s="35"/>
      <c r="P787" s="3"/>
      <c r="Q787" s="19" t="s">
        <v>37</v>
      </c>
      <c r="R787" s="85" t="s">
        <v>1782</v>
      </c>
      <c r="S787" s="19" t="s">
        <v>802</v>
      </c>
      <c r="T787" s="19" t="s">
        <v>803</v>
      </c>
      <c r="U787" s="19" t="s">
        <v>804</v>
      </c>
      <c r="V787" s="19" t="s">
        <v>150</v>
      </c>
      <c r="W787" s="19"/>
      <c r="X787" s="19"/>
      <c r="Y787" s="31" t="s">
        <v>835</v>
      </c>
      <c r="Z787" s="16"/>
      <c r="AA787" s="19" t="s">
        <v>841</v>
      </c>
      <c r="AB787" s="19" t="s">
        <v>842</v>
      </c>
      <c r="AC787" s="19" t="s">
        <v>852</v>
      </c>
      <c r="AD787" s="16"/>
      <c r="AE787" s="16"/>
      <c r="AF787" s="31">
        <v>2748</v>
      </c>
      <c r="AG787" s="16"/>
      <c r="AH787" s="16"/>
      <c r="AI787" s="19" t="s">
        <v>841</v>
      </c>
      <c r="AJ787" s="19" t="s">
        <v>860</v>
      </c>
      <c r="AK787" s="16"/>
      <c r="AL787" s="16"/>
      <c r="AM787" s="16"/>
      <c r="AN787" s="16"/>
      <c r="AO787" s="16"/>
      <c r="AP787" s="19" t="s">
        <v>240</v>
      </c>
      <c r="AQ787" s="19" t="str">
        <f>CONCATENATE("REG-",BDEGENER[[#This Row],[FECHA DE SERVICIO]],"-",BDEGENER[[#This Row],[SERIE]],"-",BDEGENER[[#This Row],[HORAS]])</f>
        <v>REG-43787-6JA02716-2748</v>
      </c>
      <c r="AR787" s="29" t="str">
        <f>CONCATENATE("MARCA: ",BDEGENER[[#This Row],[MARCA]],"
 MODELO: ",BDEGENER[[#This Row],[MODELO]])</f>
        <v>MARCA: CATERPILLAR
 MODELO: 4W8971</v>
      </c>
      <c r="AS787" s="29" t="str">
        <f>CONCATENATE("MARCA: ",BDEGENER[[#This Row],[MARCA DE MOTOR]],"
SERIE: ",BDEGENER[[#This Row],[SERIE DE MOTOR]])</f>
        <v>MARCA: CATERPILLAR
SERIE: 30A04134</v>
      </c>
      <c r="AT787" s="29" t="str">
        <f>CONCATENATE("MARCA: ",BDEGENER[[#This Row],[MARCA ALTERNADOR ]],"
SERIE: ",BDEGENER[[#This Row],[SERIE DE ALTERNADOR]])</f>
        <v xml:space="preserve">MARCA: 
SERIE: </v>
      </c>
      <c r="AU787" s="29" t="str">
        <f>CONCATENATE("HORAS: ",BDEGENER[[#This Row],[HORAS]],"
KW-HR: ",BDEGENER[[#This Row],[KW-HORA]],"
VOLT.BATERIA: ",BDEGENER[[#This Row],[VOLTAJE DE BATERIA]],"
TEMPERATURA: ",BDEGENER[[#This Row],[TEMPERATURA DE AGUA]],"
PRES. ACEITE: ",BDEGENER[[#This Row],[PRESION DE ACEITE]])</f>
        <v xml:space="preserve">HORAS: 2748
KW-HR: 
VOLT.BATERIA: 
TEMPERATURA: 
PRES. ACEITE: </v>
      </c>
      <c r="AV787" s="761">
        <f>COUNTIFS(Q787:Q2787,"MANTENIMIENTO CORRECTIVO",Y787:Y2787,BDEGENER[[#This Row],[SERIE]])</f>
        <v>1</v>
      </c>
      <c r="AW787" s="761">
        <f>COUNTIFS(Q787:Q2787,"MANTENIMIENTO PREVENTIVO",Y787:Y2787,BDEGENER[[#This Row],[SERIE]])</f>
        <v>2</v>
      </c>
      <c r="AX78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87" s="29">
        <f>COUNTIFS(BDEGENER[SERIE],BDEGENER[[#This Row],[SERIE]],BDEGENER[TIPO DE SERVICIO],"MANTENIMIENTO PREVENTIVO")</f>
        <v>4</v>
      </c>
      <c r="AZ787" s="29" t="str">
        <f>CONCATENATE("MANTENIMIENTO PREVENTIVO N°",BDEGENER[[#This Row],[GA1]])</f>
        <v>MANTENIMIENTO PREVENTIVO N°4</v>
      </c>
      <c r="BA787" s="325" t="str">
        <f>IF(BDEGENER[[#This Row],[SERVICIO]]=BDEGENER[[#This Row],[GA2]],BDEGENER[[#This Row],[HORAS]],"0")</f>
        <v>0</v>
      </c>
      <c r="BB787" s="325">
        <f>SUMIF(BDEGENER[SERIE],BDEGENER[[#This Row],[SERIE]],BDEGENER[GA3])</f>
        <v>2751</v>
      </c>
      <c r="BC787" s="761" t="str">
        <f>CONCATENATE("MANT",COUNTIF($Y$7:Y787,Y787))</f>
        <v>MANT4</v>
      </c>
      <c r="BD787" s="29" t="str">
        <f>CONCATENATE(BDEGENER[[#This Row],[SERIE]],BDEGENER[[#This Row],[GA5]])</f>
        <v>6JA02716MANT4</v>
      </c>
      <c r="BE787" s="29" t="str">
        <f>CONCATENATE(BDEGENER[[#This Row],[CODIGO PATRIMONIAL]],BDEGENER[[#This Row],[GA5]])</f>
        <v>MANT4</v>
      </c>
      <c r="BF787" s="16">
        <f>COUNTIF(BDEGENER[SERIE],BDEGENER[[#This Row],[SERIE]])</f>
        <v>7</v>
      </c>
      <c r="BG787" s="761" t="str">
        <f>CONCATENATE("F",COUNTIF($K$7:K787,K787))</f>
        <v>F7</v>
      </c>
      <c r="BH787" s="325" t="str">
        <f>CONCATENATE(BDEGENER[[#This Row],[FECHA DE SERVICIO]],BDEGENER[[#This Row],[N° DE REGISTROS DEL DIA]])</f>
        <v>43787F7</v>
      </c>
      <c r="BI787" s="324"/>
      <c r="BJ787" s="325"/>
      <c r="BK787" s="326"/>
    </row>
    <row r="788" spans="2:63" ht="110.4" hidden="1" x14ac:dyDescent="0.3">
      <c r="B788" s="5"/>
      <c r="C788" s="34"/>
      <c r="D788" s="34"/>
      <c r="E788" s="34"/>
      <c r="F788" s="34"/>
      <c r="G788" s="34"/>
      <c r="H788" s="34"/>
      <c r="I788" s="34"/>
      <c r="J788" s="34"/>
      <c r="K788" s="37">
        <v>43787</v>
      </c>
      <c r="L788" s="31" t="s">
        <v>791</v>
      </c>
      <c r="M788" s="85" t="s">
        <v>1174</v>
      </c>
      <c r="N788" s="19" t="s">
        <v>793</v>
      </c>
      <c r="O788" s="35"/>
      <c r="P788" s="3"/>
      <c r="Q788" s="19" t="s">
        <v>37</v>
      </c>
      <c r="R788" s="85" t="s">
        <v>1782</v>
      </c>
      <c r="S788" s="19" t="s">
        <v>2252</v>
      </c>
      <c r="T788" s="19" t="s">
        <v>805</v>
      </c>
      <c r="U788" s="19" t="s">
        <v>804</v>
      </c>
      <c r="V788" s="19" t="s">
        <v>150</v>
      </c>
      <c r="W788" s="19" t="s">
        <v>914</v>
      </c>
      <c r="X788" s="19" t="s">
        <v>917</v>
      </c>
      <c r="Y788" s="31" t="s">
        <v>836</v>
      </c>
      <c r="Z788" s="16"/>
      <c r="AA788" s="19" t="s">
        <v>841</v>
      </c>
      <c r="AB788" s="19" t="s">
        <v>1171</v>
      </c>
      <c r="AC788" s="19" t="s">
        <v>852</v>
      </c>
      <c r="AD788" s="16" t="s">
        <v>1439</v>
      </c>
      <c r="AE788" s="16">
        <v>60.3</v>
      </c>
      <c r="AF788" s="31">
        <v>119.6</v>
      </c>
      <c r="AG788" s="16"/>
      <c r="AH788" s="16"/>
      <c r="AI788" s="19" t="s">
        <v>841</v>
      </c>
      <c r="AJ788" s="19" t="s">
        <v>861</v>
      </c>
      <c r="AK788" s="16" t="s">
        <v>841</v>
      </c>
      <c r="AL788" s="16" t="s">
        <v>836</v>
      </c>
      <c r="AM788" s="16" t="s">
        <v>2253</v>
      </c>
      <c r="AN788" s="16" t="s">
        <v>2251</v>
      </c>
      <c r="AO788" s="16" t="s">
        <v>2193</v>
      </c>
      <c r="AP788" s="19" t="s">
        <v>240</v>
      </c>
      <c r="AQ788" s="19" t="str">
        <f>CONCATENATE("REG-",BDEGENER[[#This Row],[FECHA DE SERVICIO]],"-",BDEGENER[[#This Row],[SERIE]],"-",BDEGENER[[#This Row],[HORAS]])</f>
        <v>REG-43787-6JA02715-119,6</v>
      </c>
      <c r="AR788" s="29" t="str">
        <f>CONCATENATE("MARCA: ",BDEGENER[[#This Row],[MARCA]],"
 MODELO: ",BDEGENER[[#This Row],[MODELO]])</f>
        <v>MARCA: CATERPILLAR
 MODELO: SR4</v>
      </c>
      <c r="AS788" s="29" t="str">
        <f>CONCATENATE("MARCA: ",BDEGENER[[#This Row],[MARCA DE MOTOR]],"
SERIE: ",BDEGENER[[#This Row],[SERIE DE MOTOR]])</f>
        <v>MARCA: CATERPILLAR
SERIE: 30A04135</v>
      </c>
      <c r="AT788" s="29" t="str">
        <f>CONCATENATE("MARCA: ",BDEGENER[[#This Row],[MARCA ALTERNADOR ]],"
SERIE: ",BDEGENER[[#This Row],[SERIE DE ALTERNADOR]])</f>
        <v>MARCA: CATERPILLAR
SERIE: 6JA02715</v>
      </c>
      <c r="AU788" s="29" t="str">
        <f>CONCATENATE("HORAS: ",BDEGENER[[#This Row],[HORAS]],"
KW-HR: ",BDEGENER[[#This Row],[KW-HORA]],"
VOLT.BATERIA: ",BDEGENER[[#This Row],[VOLTAJE DE BATERIA]],"
TEMPERATURA: ",BDEGENER[[#This Row],[TEMPERATURA DE AGUA]],"
PRES. ACEITE: ",BDEGENER[[#This Row],[PRESION DE ACEITE]])</f>
        <v>HORAS: 119,6
KW-HR: 
VOLT.BATERIA: 27.5 V
TEMPERATURA: 57 °C
PRES. ACEITE: 95 PSI</v>
      </c>
      <c r="AV788" s="683">
        <f>COUNTIFS(Q788:Q2788,"MANTENIMIENTO CORRECTIVO",Y788:Y2788,BDEGENER[[#This Row],[SERIE]])</f>
        <v>1</v>
      </c>
      <c r="AW788" s="683">
        <f>COUNTIFS(Q788:Q2788,"MANTENIMIENTO PREVENTIVO",Y788:Y2788,BDEGENER[[#This Row],[SERIE]])</f>
        <v>2</v>
      </c>
      <c r="AX78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788" s="29">
        <f>COUNTIFS(BDEGENER[SERIE],BDEGENER[[#This Row],[SERIE]],BDEGENER[TIPO DE SERVICIO],"MANTENIMIENTO PREVENTIVO")</f>
        <v>4</v>
      </c>
      <c r="AZ788" s="29" t="str">
        <f>CONCATENATE("MANTENIMIENTO PREVENTIVO N°",BDEGENER[[#This Row],[GA1]])</f>
        <v>MANTENIMIENTO PREVENTIVO N°4</v>
      </c>
      <c r="BA788" s="325" t="str">
        <f>IF(BDEGENER[[#This Row],[SERVICIO]]=BDEGENER[[#This Row],[GA2]],BDEGENER[[#This Row],[HORAS]],"0")</f>
        <v>0</v>
      </c>
      <c r="BB788" s="325">
        <f>SUMIF(BDEGENER[SERIE],BDEGENER[[#This Row],[SERIE]],BDEGENER[GA3])</f>
        <v>119.6</v>
      </c>
      <c r="BC788" s="683" t="str">
        <f>CONCATENATE("MANT",COUNTIF($Y$7:Y788,Y788))</f>
        <v>MANT3</v>
      </c>
      <c r="BD788" s="29" t="str">
        <f>CONCATENATE(BDEGENER[[#This Row],[SERIE]],BDEGENER[[#This Row],[GA5]])</f>
        <v>6JA02715MANT3</v>
      </c>
      <c r="BE788" s="29" t="str">
        <f>CONCATENATE(BDEGENER[[#This Row],[CODIGO PATRIMONIAL]],BDEGENER[[#This Row],[GA5]])</f>
        <v>MANT3</v>
      </c>
      <c r="BF788" s="16">
        <f>COUNTIF(BDEGENER[SERIE],BDEGENER[[#This Row],[SERIE]])</f>
        <v>6</v>
      </c>
      <c r="BG788" s="683" t="str">
        <f>CONCATENATE("F",COUNTIF($K$7:K788,K788))</f>
        <v>F8</v>
      </c>
      <c r="BH788" s="325" t="str">
        <f>CONCATENATE(BDEGENER[[#This Row],[FECHA DE SERVICIO]],BDEGENER[[#This Row],[N° DE REGISTROS DEL DIA]])</f>
        <v>43787F8</v>
      </c>
      <c r="BI788" s="324"/>
      <c r="BJ788" s="325"/>
      <c r="BK788" s="326"/>
    </row>
    <row r="789" spans="2:63" ht="82.8" hidden="1" x14ac:dyDescent="0.3">
      <c r="B789" s="32"/>
      <c r="C789" s="32"/>
      <c r="D789" s="32"/>
      <c r="E789" s="32"/>
      <c r="F789" s="32"/>
      <c r="G789" s="32"/>
      <c r="H789" s="32"/>
      <c r="I789" s="32"/>
      <c r="J789" s="32"/>
      <c r="K789" s="36">
        <v>43783</v>
      </c>
      <c r="L789" s="18" t="s">
        <v>248</v>
      </c>
      <c r="M789" s="22" t="s">
        <v>249</v>
      </c>
      <c r="N789" s="22" t="s">
        <v>250</v>
      </c>
      <c r="O789" s="22" t="s">
        <v>159</v>
      </c>
      <c r="P789" s="20" t="s">
        <v>307</v>
      </c>
      <c r="Q789" s="22" t="s">
        <v>109</v>
      </c>
      <c r="R789" s="85" t="s">
        <v>1782</v>
      </c>
      <c r="S789" s="25" t="s">
        <v>317</v>
      </c>
      <c r="T789" s="25" t="s">
        <v>2079</v>
      </c>
      <c r="U789" s="25" t="s">
        <v>318</v>
      </c>
      <c r="V789" s="24" t="s">
        <v>148</v>
      </c>
      <c r="W789" s="85" t="s">
        <v>914</v>
      </c>
      <c r="X789" s="85" t="s">
        <v>918</v>
      </c>
      <c r="Y789" s="31">
        <v>3005005010</v>
      </c>
      <c r="Z789" s="85">
        <v>24547</v>
      </c>
      <c r="AA789" s="16" t="s">
        <v>33</v>
      </c>
      <c r="AB789" s="85" t="s">
        <v>34</v>
      </c>
      <c r="AC789" s="22" t="s">
        <v>230</v>
      </c>
      <c r="AD789" s="16" t="s">
        <v>1123</v>
      </c>
      <c r="AE789" s="16">
        <v>60</v>
      </c>
      <c r="AF789" s="26">
        <v>0.9</v>
      </c>
      <c r="AG789" s="85" t="s">
        <v>243</v>
      </c>
      <c r="AH789" s="85" t="s">
        <v>220</v>
      </c>
      <c r="AI789" s="16" t="s">
        <v>33</v>
      </c>
      <c r="AJ789" s="16">
        <v>3005065416</v>
      </c>
      <c r="AK789" s="16" t="s">
        <v>33</v>
      </c>
      <c r="AL789" s="16"/>
      <c r="AM789" s="16" t="s">
        <v>245</v>
      </c>
      <c r="AN789" s="16" t="s">
        <v>1352</v>
      </c>
      <c r="AO789" s="16" t="s">
        <v>1383</v>
      </c>
      <c r="AP789" s="22" t="s">
        <v>240</v>
      </c>
      <c r="AQ789" s="200" t="str">
        <f>CONCATENATE("REG-",BDEGENER[[#This Row],[FECHA DE SERVICIO]],"-",BDEGENER[[#This Row],[SERIE]],"-",BDEGENER[[#This Row],[HORAS]])</f>
        <v>REG-43783-3005005010-0,9</v>
      </c>
      <c r="AR789" s="5" t="str">
        <f>CONCATENATE("MARCA: ",BDEGENER[[#This Row],[MARCA]],"
 MODELO: ",BDEGENER[[#This Row],[MODELO]])</f>
        <v>MARCA: GENERAC
 MODELO: PG090</v>
      </c>
      <c r="AS789" s="5" t="str">
        <f>CONCATENATE("MARCA: ",BDEGENER[[#This Row],[MARCA DE MOTOR]],"
SERIE: ",BDEGENER[[#This Row],[SERIE DE MOTOR]])</f>
        <v>MARCA: GENERAC
SERIE: 3005065416</v>
      </c>
      <c r="AT789" s="5" t="str">
        <f>CONCATENATE("MARCA: ",BDEGENER[[#This Row],[MARCA ALTERNADOR ]],"
SERIE: ",BDEGENER[[#This Row],[SERIE DE ALTERNADOR]])</f>
        <v xml:space="preserve">MARCA: GENERAC
SERIE: </v>
      </c>
      <c r="AU789" s="5" t="str">
        <f>CONCATENATE("HORAS: ",BDEGENER[[#This Row],[HORAS]],"
KW-HR: ",BDEGENER[[#This Row],[KW-HORA]],"
VOLT.BATERIA: ",BDEGENER[[#This Row],[VOLTAJE DE BATERIA]],"
TEMPERATURA: ",BDEGENER[[#This Row],[TEMPERATURA DE AGUA]],"
PRES. ACEITE: ",BDEGENER[[#This Row],[PRESION DE ACEITE]])</f>
        <v>HORAS: 0,9
KW-HR: 22853
VOLT.BATERIA: 13.6 V
TEMPERATURA: 196 °F
PRES. ACEITE: 68 PSI</v>
      </c>
      <c r="AV789" s="683">
        <f>COUNTIFS(Q789:Q2789,"MANTENIMIENTO CORRECTIVO",Y789:Y2789,BDEGENER[[#This Row],[SERIE]])</f>
        <v>0</v>
      </c>
      <c r="AW789" s="683">
        <f>COUNTIFS(Q789:Q2789,"MANTENIMIENTO PREVENTIVO",Y789:Y2789,BDEGENER[[#This Row],[SERIE]])</f>
        <v>0</v>
      </c>
      <c r="AX78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789" s="325">
        <f>COUNTIFS(BDEGENER[SERIE],BDEGENER[[#This Row],[SERIE]],BDEGENER[TIPO DE SERVICIO],"MANTENIMIENTO PREVENTIVO")</f>
        <v>9</v>
      </c>
      <c r="AZ789" s="29" t="str">
        <f>CONCATENATE("MANTENIMIENTO PREVENTIVO N°",BDEGENER[[#This Row],[GA1]])</f>
        <v>MANTENIMIENTO PREVENTIVO N°9</v>
      </c>
      <c r="BA789" s="325" t="str">
        <f>IF(BDEGENER[[#This Row],[SERVICIO]]=BDEGENER[[#This Row],[GA2]],BDEGENER[[#This Row],[HORAS]],"0")</f>
        <v>0</v>
      </c>
      <c r="BB789" s="325">
        <f>SUMIF(BDEGENER[SERIE],BDEGENER[[#This Row],[SERIE]],BDEGENER[GA3])</f>
        <v>2557.3000000000002</v>
      </c>
      <c r="BC789" s="683" t="str">
        <f>CONCATENATE("MANT",COUNTIF($Y$7:Y789,Y789))</f>
        <v>MANT14</v>
      </c>
      <c r="BD789" s="29" t="str">
        <f>CONCATENATE(BDEGENER[[#This Row],[SERIE]],BDEGENER[[#This Row],[GA5]])</f>
        <v>3005005010MANT14</v>
      </c>
      <c r="BE789" s="29" t="str">
        <f>CONCATENATE(BDEGENER[[#This Row],[CODIGO PATRIMONIAL]],BDEGENER[[#This Row],[GA5]])</f>
        <v>24547MANT14</v>
      </c>
      <c r="BF789" s="16">
        <f>COUNTIF(BDEGENER[SERIE],BDEGENER[[#This Row],[SERIE]])</f>
        <v>14</v>
      </c>
      <c r="BG789" s="683" t="str">
        <f>CONCATENATE("F",COUNTIF($K$7:K789,K789))</f>
        <v>F1</v>
      </c>
      <c r="BH789" s="325" t="str">
        <f>CONCATENATE(BDEGENER[[#This Row],[FECHA DE SERVICIO]],BDEGENER[[#This Row],[N° DE REGISTROS DEL DIA]])</f>
        <v>43783F1</v>
      </c>
      <c r="BI789" s="326">
        <v>22853</v>
      </c>
      <c r="BJ789" s="325" t="s">
        <v>1544</v>
      </c>
      <c r="BK789" s="326"/>
    </row>
    <row r="790" spans="2:63" ht="82.8" hidden="1" x14ac:dyDescent="0.3">
      <c r="B790" s="33"/>
      <c r="C790" s="33"/>
      <c r="D790" s="33"/>
      <c r="E790" s="33"/>
      <c r="F790" s="33"/>
      <c r="G790" s="33"/>
      <c r="H790" s="33"/>
      <c r="I790" s="33"/>
      <c r="J790" s="33"/>
      <c r="K790" s="38">
        <v>43783</v>
      </c>
      <c r="L790" s="18" t="s">
        <v>248</v>
      </c>
      <c r="M790" s="85" t="s">
        <v>1224</v>
      </c>
      <c r="N790" s="23" t="s">
        <v>251</v>
      </c>
      <c r="O790" s="23"/>
      <c r="P790" s="20" t="s">
        <v>308</v>
      </c>
      <c r="Q790" s="22" t="s">
        <v>109</v>
      </c>
      <c r="R790" s="85" t="s">
        <v>1782</v>
      </c>
      <c r="S790" s="23" t="s">
        <v>2081</v>
      </c>
      <c r="T790" s="23" t="s">
        <v>319</v>
      </c>
      <c r="U790" s="23" t="s">
        <v>318</v>
      </c>
      <c r="V790" s="23" t="s">
        <v>148</v>
      </c>
      <c r="W790" s="22" t="s">
        <v>914</v>
      </c>
      <c r="X790" s="22" t="s">
        <v>918</v>
      </c>
      <c r="Y790" s="135">
        <v>3004999911</v>
      </c>
      <c r="Z790" s="85">
        <v>24543</v>
      </c>
      <c r="AA790" s="16" t="s">
        <v>33</v>
      </c>
      <c r="AB790" s="85" t="s">
        <v>1728</v>
      </c>
      <c r="AC790" s="22" t="s">
        <v>528</v>
      </c>
      <c r="AD790" s="16"/>
      <c r="AE790" s="16"/>
      <c r="AF790" s="27">
        <v>0</v>
      </c>
      <c r="AG790" s="85" t="s">
        <v>243</v>
      </c>
      <c r="AH790" s="85" t="s">
        <v>220</v>
      </c>
      <c r="AI790" s="85" t="s">
        <v>1495</v>
      </c>
      <c r="AJ790" s="85" t="s">
        <v>1496</v>
      </c>
      <c r="AK790" s="85" t="s">
        <v>33</v>
      </c>
      <c r="AL790" s="85">
        <v>1395462</v>
      </c>
      <c r="AM790" s="16" t="s">
        <v>1139</v>
      </c>
      <c r="AN790" s="16" t="s">
        <v>1122</v>
      </c>
      <c r="AO790" s="16" t="s">
        <v>2082</v>
      </c>
      <c r="AP790" s="22" t="s">
        <v>240</v>
      </c>
      <c r="AQ790" s="200" t="str">
        <f>CONCATENATE("REG-",BDEGENER[[#This Row],[FECHA DE SERVICIO]],"-",BDEGENER[[#This Row],[SERIE]],"-",BDEGENER[[#This Row],[HORAS]])</f>
        <v>REG-43783-3004999911-0</v>
      </c>
      <c r="AR790" s="6" t="str">
        <f>CONCATENATE("MARCA: ",BDEGENER[[#This Row],[MARCA]],"
 MODELO: ",BDEGENER[[#This Row],[MODELO]])</f>
        <v>MARCA: GENERAC
 MODELO: PG054</v>
      </c>
      <c r="AS790" s="6" t="str">
        <f>CONCATENATE("MARCA: ",BDEGENER[[#This Row],[MARCA DE MOTOR]],"
SERIE: ",BDEGENER[[#This Row],[SERIE DE MOTOR]])</f>
        <v>MARCA: FORD
SERIE: GP680AA</v>
      </c>
      <c r="AT790" s="6" t="str">
        <f>CONCATENATE("MARCA: ",BDEGENER[[#This Row],[MARCA ALTERNADOR ]],"
SERIE: ",BDEGENER[[#This Row],[SERIE DE ALTERNADOR]])</f>
        <v>MARCA: GENERAC
SERIE: 1395462</v>
      </c>
      <c r="AU790" s="6" t="str">
        <f>CONCATENATE("HORAS: ",BDEGENER[[#This Row],[HORAS]],"
KW-HR: ",BDEGENER[[#This Row],[KW-HORA]],"
VOLT.BATERIA: ",BDEGENER[[#This Row],[VOLTAJE DE BATERIA]],"
TEMPERATURA: ",BDEGENER[[#This Row],[TEMPERATURA DE AGUA]],"
PRES. ACEITE: ",BDEGENER[[#This Row],[PRESION DE ACEITE]])</f>
        <v>HORAS: 0
KW-HR: 
VOLT.BATERIA: 12.8 V
TEMPERATURA: 195 °F
PRES. ACEITE: 86 PSI</v>
      </c>
      <c r="AV790" s="761">
        <f>COUNTIFS(Q790:Q2790,"MANTENIMIENTO CORRECTIVO",Y790:Y2790,BDEGENER[[#This Row],[SERIE]])</f>
        <v>0</v>
      </c>
      <c r="AW790" s="761">
        <f>COUNTIFS(Q790:Q2790,"MANTENIMIENTO PREVENTIVO",Y790:Y2790,BDEGENER[[#This Row],[SERIE]])</f>
        <v>0</v>
      </c>
      <c r="AX790"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790" s="325">
        <f>COUNTIFS(BDEGENER[SERIE],BDEGENER[[#This Row],[SERIE]],BDEGENER[TIPO DE SERVICIO],"MANTENIMIENTO PREVENTIVO")</f>
        <v>12</v>
      </c>
      <c r="AZ790" s="325" t="str">
        <f>CONCATENATE("MANTENIMIENTO PREVENTIVO N°",BDEGENER[[#This Row],[GA1]])</f>
        <v>MANTENIMIENTO PREVENTIVO N°12</v>
      </c>
      <c r="BA790" s="325" t="str">
        <f>IF(BDEGENER[[#This Row],[SERVICIO]]=BDEGENER[[#This Row],[GA2]],BDEGENER[[#This Row],[HORAS]],"0")</f>
        <v>0</v>
      </c>
      <c r="BB790" s="325">
        <f>SUMIF(BDEGENER[SERIE],BDEGENER[[#This Row],[SERIE]],BDEGENER[GA3])</f>
        <v>3510.8</v>
      </c>
      <c r="BC790" s="761" t="str">
        <f>CONCATENATE("MANT",COUNTIF($Y$7:Y790,Y790))</f>
        <v>MANT14</v>
      </c>
      <c r="BD790" s="325" t="str">
        <f>CONCATENATE(BDEGENER[[#This Row],[SERIE]],BDEGENER[[#This Row],[GA5]])</f>
        <v>3004999911MANT14</v>
      </c>
      <c r="BE790" s="325" t="str">
        <f>CONCATENATE(BDEGENER[[#This Row],[CODIGO PATRIMONIAL]],BDEGENER[[#This Row],[GA5]])</f>
        <v>24543MANT14</v>
      </c>
      <c r="BF790" s="16">
        <f>COUNTIF(BDEGENER[SERIE],BDEGENER[[#This Row],[SERIE]])</f>
        <v>14</v>
      </c>
      <c r="BG790" s="761" t="str">
        <f>CONCATENATE("F",COUNTIF($K$7:K790,K790))</f>
        <v>F2</v>
      </c>
      <c r="BH790" s="325" t="str">
        <f>CONCATENATE(BDEGENER[[#This Row],[FECHA DE SERVICIO]],BDEGENER[[#This Row],[N° DE REGISTROS DEL DIA]])</f>
        <v>43783F2</v>
      </c>
      <c r="BI790" s="326"/>
      <c r="BJ790" s="325" t="s">
        <v>1544</v>
      </c>
      <c r="BK790" s="326"/>
    </row>
    <row r="791" spans="2:63" ht="82.8" hidden="1" x14ac:dyDescent="0.3">
      <c r="B791" s="33"/>
      <c r="C791" s="33"/>
      <c r="D791" s="33"/>
      <c r="E791" s="33"/>
      <c r="F791" s="33"/>
      <c r="G791" s="33"/>
      <c r="H791" s="33"/>
      <c r="I791" s="33"/>
      <c r="J791" s="33"/>
      <c r="K791" s="38">
        <v>43783</v>
      </c>
      <c r="L791" s="18" t="s">
        <v>248</v>
      </c>
      <c r="M791" s="85" t="s">
        <v>1315</v>
      </c>
      <c r="N791" s="85" t="s">
        <v>1319</v>
      </c>
      <c r="O791" s="23"/>
      <c r="P791" s="20" t="s">
        <v>307</v>
      </c>
      <c r="Q791" s="22" t="s">
        <v>109</v>
      </c>
      <c r="R791" s="85" t="s">
        <v>1782</v>
      </c>
      <c r="S791" s="25" t="s">
        <v>317</v>
      </c>
      <c r="T791" s="25" t="s">
        <v>2080</v>
      </c>
      <c r="U791" s="25" t="s">
        <v>318</v>
      </c>
      <c r="V791" s="25" t="s">
        <v>148</v>
      </c>
      <c r="W791" s="85" t="s">
        <v>914</v>
      </c>
      <c r="X791" s="85" t="s">
        <v>918</v>
      </c>
      <c r="Y791" s="31">
        <v>3005005007</v>
      </c>
      <c r="Z791" s="85">
        <v>24546</v>
      </c>
      <c r="AA791" s="16" t="s">
        <v>33</v>
      </c>
      <c r="AB791" s="85" t="s">
        <v>34</v>
      </c>
      <c r="AC791" s="22" t="s">
        <v>230</v>
      </c>
      <c r="AD791" s="16" t="s">
        <v>1123</v>
      </c>
      <c r="AE791" s="16">
        <v>60</v>
      </c>
      <c r="AF791" s="27">
        <v>0</v>
      </c>
      <c r="AG791" s="85" t="s">
        <v>243</v>
      </c>
      <c r="AH791" s="85" t="s">
        <v>220</v>
      </c>
      <c r="AI791" s="85" t="s">
        <v>33</v>
      </c>
      <c r="AJ791" s="85">
        <v>3005065920</v>
      </c>
      <c r="AK791" s="85" t="s">
        <v>33</v>
      </c>
      <c r="AL791" s="16"/>
      <c r="AM791" s="16" t="s">
        <v>1094</v>
      </c>
      <c r="AN791" s="16" t="s">
        <v>1122</v>
      </c>
      <c r="AO791" s="16" t="s">
        <v>1146</v>
      </c>
      <c r="AP791" s="22" t="s">
        <v>240</v>
      </c>
      <c r="AQ791" s="200" t="str">
        <f>CONCATENATE("REG-",BDEGENER[[#This Row],[FECHA DE SERVICIO]],"-",BDEGENER[[#This Row],[SERIE]],"-",BDEGENER[[#This Row],[HORAS]])</f>
        <v>REG-43783-3005005007-0</v>
      </c>
      <c r="AR791" s="5" t="str">
        <f>CONCATENATE("MARCA: ",BDEGENER[[#This Row],[MARCA]],"
 MODELO: ",BDEGENER[[#This Row],[MODELO]])</f>
        <v>MARCA: GENERAC
 MODELO: PG090</v>
      </c>
      <c r="AS791" s="5" t="str">
        <f>CONCATENATE("MARCA: ",BDEGENER[[#This Row],[MARCA DE MOTOR]],"
SERIE: ",BDEGENER[[#This Row],[SERIE DE MOTOR]])</f>
        <v>MARCA: GENERAC
SERIE: 3005065920</v>
      </c>
      <c r="AT791" s="5" t="str">
        <f>CONCATENATE("MARCA: ",BDEGENER[[#This Row],[MARCA ALTERNADOR ]],"
SERIE: ",BDEGENER[[#This Row],[SERIE DE ALTERNADOR]])</f>
        <v xml:space="preserve">MARCA: GENERAC
SERIE: </v>
      </c>
      <c r="AU791" s="5" t="str">
        <f>CONCATENATE("HORAS: ",BDEGENER[[#This Row],[HORAS]],"
KW-HR: ",BDEGENER[[#This Row],[KW-HORA]],"
VOLT.BATERIA: ",BDEGENER[[#This Row],[VOLTAJE DE BATERIA]],"
TEMPERATURA: ",BDEGENER[[#This Row],[TEMPERATURA DE AGUA]],"
PRES. ACEITE: ",BDEGENER[[#This Row],[PRESION DE ACEITE]])</f>
        <v>HORAS: 0
KW-HR: 
VOLT.BATERIA: 13.5 V
TEMPERATURA: 195 °F
PRES. ACEITE: 62 PSI</v>
      </c>
      <c r="AV791" s="683">
        <f>COUNTIFS(Q791:Q2791,"MANTENIMIENTO CORRECTIVO",Y791:Y2791,BDEGENER[[#This Row],[SERIE]])</f>
        <v>0</v>
      </c>
      <c r="AW791" s="683">
        <f>COUNTIFS(Q791:Q2791,"MANTENIMIENTO PREVENTIVO",Y791:Y2791,BDEGENER[[#This Row],[SERIE]])</f>
        <v>0</v>
      </c>
      <c r="AX79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791" s="29">
        <f>COUNTIFS(BDEGENER[SERIE],BDEGENER[[#This Row],[SERIE]],BDEGENER[TIPO DE SERVICIO],"MANTENIMIENTO PREVENTIVO")</f>
        <v>7</v>
      </c>
      <c r="AZ791" s="29" t="str">
        <f>CONCATENATE("MANTENIMIENTO PREVENTIVO N°",BDEGENER[[#This Row],[GA1]])</f>
        <v>MANTENIMIENTO PREVENTIVO N°7</v>
      </c>
      <c r="BA791" s="325" t="str">
        <f>IF(BDEGENER[[#This Row],[SERVICIO]]=BDEGENER[[#This Row],[GA2]],BDEGENER[[#This Row],[HORAS]],"0")</f>
        <v>0</v>
      </c>
      <c r="BB791" s="325">
        <f>SUMIF(BDEGENER[SERIE],BDEGENER[[#This Row],[SERIE]],BDEGENER[GA3])</f>
        <v>2333.3000000000002</v>
      </c>
      <c r="BC791" s="683" t="str">
        <f>CONCATENATE("MANT",COUNTIF($Y$7:Y791,Y791))</f>
        <v>MANT11</v>
      </c>
      <c r="BD791" s="29" t="str">
        <f>CONCATENATE(BDEGENER[[#This Row],[SERIE]],BDEGENER[[#This Row],[GA5]])</f>
        <v>3005005007MANT11</v>
      </c>
      <c r="BE791" s="29" t="str">
        <f>CONCATENATE(BDEGENER[[#This Row],[CODIGO PATRIMONIAL]],BDEGENER[[#This Row],[GA5]])</f>
        <v>24546MANT11</v>
      </c>
      <c r="BF791" s="16">
        <f>COUNTIF(BDEGENER[SERIE],BDEGENER[[#This Row],[SERIE]])</f>
        <v>11</v>
      </c>
      <c r="BG791" s="683" t="str">
        <f>CONCATENATE("F",COUNTIF($K$7:K791,K791))</f>
        <v>F3</v>
      </c>
      <c r="BH791" s="325" t="str">
        <f>CONCATENATE(BDEGENER[[#This Row],[FECHA DE SERVICIO]],BDEGENER[[#This Row],[N° DE REGISTROS DEL DIA]])</f>
        <v>43783F3</v>
      </c>
      <c r="BI791" s="324"/>
      <c r="BJ791" s="325"/>
      <c r="BK791" s="326"/>
    </row>
    <row r="792" spans="2:63" ht="69" hidden="1" x14ac:dyDescent="0.3">
      <c r="B792" s="5"/>
      <c r="C792" s="34"/>
      <c r="D792" s="34"/>
      <c r="E792" s="34"/>
      <c r="F792" s="34"/>
      <c r="G792" s="34"/>
      <c r="H792" s="34"/>
      <c r="I792" s="34"/>
      <c r="J792" s="34"/>
      <c r="K792" s="37">
        <v>43779</v>
      </c>
      <c r="L792" s="30" t="s">
        <v>764</v>
      </c>
      <c r="M792" s="85" t="s">
        <v>2074</v>
      </c>
      <c r="N792" s="85" t="s">
        <v>1384</v>
      </c>
      <c r="O792" s="35"/>
      <c r="P792" s="3"/>
      <c r="Q792" s="19" t="s">
        <v>37</v>
      </c>
      <c r="R792" s="85" t="s">
        <v>1782</v>
      </c>
      <c r="S792" s="19" t="s">
        <v>768</v>
      </c>
      <c r="T792" s="85" t="s">
        <v>1782</v>
      </c>
      <c r="U792" s="19" t="s">
        <v>769</v>
      </c>
      <c r="V792" s="19" t="s">
        <v>146</v>
      </c>
      <c r="W792" s="85" t="s">
        <v>914</v>
      </c>
      <c r="X792" s="85" t="s">
        <v>917</v>
      </c>
      <c r="Y792" s="15">
        <v>8754673</v>
      </c>
      <c r="Z792" s="19"/>
      <c r="AA792" s="85" t="s">
        <v>1387</v>
      </c>
      <c r="AB792" s="19" t="s">
        <v>1393</v>
      </c>
      <c r="AC792" s="19" t="s">
        <v>787</v>
      </c>
      <c r="AD792" s="16"/>
      <c r="AE792" s="16"/>
      <c r="AF792" s="31">
        <v>134.30000000000001</v>
      </c>
      <c r="AG792" s="16"/>
      <c r="AH792" s="85" t="s">
        <v>2342</v>
      </c>
      <c r="AI792" s="85" t="s">
        <v>844</v>
      </c>
      <c r="AJ792" s="85" t="s">
        <v>1386</v>
      </c>
      <c r="AK792" s="16"/>
      <c r="AL792" s="16"/>
      <c r="AM792" s="16"/>
      <c r="AN792" s="16"/>
      <c r="AO792" s="16"/>
      <c r="AP792" s="19" t="s">
        <v>240</v>
      </c>
      <c r="AQ792" s="19" t="str">
        <f>CONCATENATE("REG-",BDEGENER[[#This Row],[FECHA DE SERVICIO]],"-",BDEGENER[[#This Row],[SERIE]],"-",BDEGENER[[#This Row],[HORAS]])</f>
        <v>REG-43779-8754673-134,3</v>
      </c>
      <c r="AR792" s="29" t="str">
        <f>CONCATENATE("MARCA: ",BDEGENER[[#This Row],[MARCA]],"
 MODELO: ",BDEGENER[[#This Row],[MODELO]])</f>
        <v>MARCA: GAMMA
 MODELO: GPLS-400I</v>
      </c>
      <c r="AS792" s="29" t="str">
        <f>CONCATENATE("MARCA: ",BDEGENER[[#This Row],[MARCA DE MOTOR]],"
SERIE: ",BDEGENER[[#This Row],[SERIE DE MOTOR]])</f>
        <v>MARCA: PERKINS
SERIE: TGHF5219</v>
      </c>
      <c r="AT792" s="29" t="str">
        <f>CONCATENATE("MARCA: ",BDEGENER[[#This Row],[MARCA ALTERNADOR ]],"
SERIE: ",BDEGENER[[#This Row],[SERIE DE ALTERNADOR]])</f>
        <v xml:space="preserve">MARCA: 
SERIE: </v>
      </c>
      <c r="AU792" s="29" t="str">
        <f>CONCATENATE("HORAS: ",BDEGENER[[#This Row],[HORAS]],"
KW-HR: ",BDEGENER[[#This Row],[KW-HORA]],"
VOLT.BATERIA: ",BDEGENER[[#This Row],[VOLTAJE DE BATERIA]],"
TEMPERATURA: ",BDEGENER[[#This Row],[TEMPERATURA DE AGUA]],"
PRES. ACEITE: ",BDEGENER[[#This Row],[PRESION DE ACEITE]])</f>
        <v xml:space="preserve">HORAS: 134,3
KW-HR: 
VOLT.BATERIA: 
TEMPERATURA: 
PRES. ACEITE: </v>
      </c>
      <c r="AV792" s="683">
        <f>COUNTIFS(Q792:Q2792,"MANTENIMIENTO CORRECTIVO",Y792:Y2792,BDEGENER[[#This Row],[SERIE]])</f>
        <v>0</v>
      </c>
      <c r="AW792" s="683">
        <f>COUNTIFS(Q792:Q2792,"MANTENIMIENTO PREVENTIVO",Y792:Y2792,BDEGENER[[#This Row],[SERIE]])</f>
        <v>1</v>
      </c>
      <c r="AX79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92" s="29">
        <f>COUNTIFS(BDEGENER[SERIE],BDEGENER[[#This Row],[SERIE]],BDEGENER[TIPO DE SERVICIO],"MANTENIMIENTO PREVENTIVO")</f>
        <v>2</v>
      </c>
      <c r="AZ792" s="29" t="str">
        <f>CONCATENATE("MANTENIMIENTO PREVENTIVO N°",BDEGENER[[#This Row],[GA1]])</f>
        <v>MANTENIMIENTO PREVENTIVO N°2</v>
      </c>
      <c r="BA792" s="325" t="str">
        <f>IF(BDEGENER[[#This Row],[SERVICIO]]=BDEGENER[[#This Row],[GA2]],BDEGENER[[#This Row],[HORAS]],"0")</f>
        <v>0</v>
      </c>
      <c r="BB792" s="325">
        <f>SUMIF(BDEGENER[SERIE],BDEGENER[[#This Row],[SERIE]],BDEGENER[GA3])</f>
        <v>152.9</v>
      </c>
      <c r="BC792" s="683" t="str">
        <f>CONCATENATE("MANT",COUNTIF($Y$7:Y792,Y792))</f>
        <v>MANT5</v>
      </c>
      <c r="BD792" s="29" t="str">
        <f>CONCATENATE(BDEGENER[[#This Row],[SERIE]],BDEGENER[[#This Row],[GA5]])</f>
        <v>8754673MANT5</v>
      </c>
      <c r="BE792" s="29" t="str">
        <f>CONCATENATE(BDEGENER[[#This Row],[CODIGO PATRIMONIAL]],BDEGENER[[#This Row],[GA5]])</f>
        <v>MANT5</v>
      </c>
      <c r="BF792" s="16">
        <f>COUNTIF(BDEGENER[SERIE],BDEGENER[[#This Row],[SERIE]])</f>
        <v>6</v>
      </c>
      <c r="BG792" s="683" t="str">
        <f>CONCATENATE("F",COUNTIF($K$7:K792,K792))</f>
        <v>F1</v>
      </c>
      <c r="BH792" s="325" t="str">
        <f>CONCATENATE(BDEGENER[[#This Row],[FECHA DE SERVICIO]],BDEGENER[[#This Row],[N° DE REGISTROS DEL DIA]])</f>
        <v>43779F1</v>
      </c>
      <c r="BI792" s="324"/>
      <c r="BJ792" s="325"/>
      <c r="BK792" s="326"/>
    </row>
    <row r="793" spans="2:63" ht="69" hidden="1" x14ac:dyDescent="0.3">
      <c r="B793" s="5"/>
      <c r="C793" s="34"/>
      <c r="D793" s="34"/>
      <c r="E793" s="34"/>
      <c r="F793" s="34"/>
      <c r="G793" s="34"/>
      <c r="H793" s="34"/>
      <c r="I793" s="34"/>
      <c r="J793" s="34"/>
      <c r="K793" s="37">
        <v>43779</v>
      </c>
      <c r="L793" s="30" t="s">
        <v>764</v>
      </c>
      <c r="M793" s="19" t="s">
        <v>1394</v>
      </c>
      <c r="N793" s="19" t="s">
        <v>765</v>
      </c>
      <c r="O793" s="35"/>
      <c r="P793" s="3"/>
      <c r="Q793" s="19" t="s">
        <v>37</v>
      </c>
      <c r="R793" s="85" t="s">
        <v>1782</v>
      </c>
      <c r="S793" s="19" t="s">
        <v>770</v>
      </c>
      <c r="T793" s="85" t="s">
        <v>1782</v>
      </c>
      <c r="U793" s="19" t="s">
        <v>771</v>
      </c>
      <c r="V793" s="19" t="s">
        <v>146</v>
      </c>
      <c r="W793" s="85" t="s">
        <v>914</v>
      </c>
      <c r="X793" s="85" t="s">
        <v>917</v>
      </c>
      <c r="Y793" s="31" t="s">
        <v>2644</v>
      </c>
      <c r="Z793" s="19"/>
      <c r="AA793" s="85" t="s">
        <v>844</v>
      </c>
      <c r="AB793" s="19" t="s">
        <v>1921</v>
      </c>
      <c r="AC793" s="19" t="s">
        <v>1922</v>
      </c>
      <c r="AD793" s="16"/>
      <c r="AE793" s="16"/>
      <c r="AF793" s="31">
        <v>182.7</v>
      </c>
      <c r="AG793" s="16" t="s">
        <v>1412</v>
      </c>
      <c r="AH793" s="16"/>
      <c r="AI793" s="16" t="s">
        <v>844</v>
      </c>
      <c r="AJ793" s="16"/>
      <c r="AK793" s="16" t="s">
        <v>1923</v>
      </c>
      <c r="AL793" s="16"/>
      <c r="AM793" s="16"/>
      <c r="AN793" s="16"/>
      <c r="AO793" s="16"/>
      <c r="AP793" s="19" t="s">
        <v>240</v>
      </c>
      <c r="AQ793" s="19" t="str">
        <f>CONCATENATE("REG-",BDEGENER[[#This Row],[FECHA DE SERVICIO]],"-",BDEGENER[[#This Row],[SERIE]],"-",BDEGENER[[#This Row],[HORAS]])</f>
        <v>REG-43779-B5524F-001-182,7</v>
      </c>
      <c r="AR793" s="29" t="str">
        <f>CONCATENATE("MARCA: ",BDEGENER[[#This Row],[MARCA]],"
 MODELO: ",BDEGENER[[#This Row],[MODELO]])</f>
        <v>MARCA: PERKINS
 MODELO: P110E</v>
      </c>
      <c r="AS793" s="29" t="str">
        <f>CONCATENATE("MARCA: ",BDEGENER[[#This Row],[MARCA DE MOTOR]],"
SERIE: ",BDEGENER[[#This Row],[SERIE DE MOTOR]])</f>
        <v xml:space="preserve">MARCA: PERKINS
SERIE: </v>
      </c>
      <c r="AT793" s="29" t="str">
        <f>CONCATENATE("MARCA: ",BDEGENER[[#This Row],[MARCA ALTERNADOR ]],"
SERIE: ",BDEGENER[[#This Row],[SERIE DE ALTERNADOR]])</f>
        <v xml:space="preserve">MARCA: FG WILSON
SERIE: </v>
      </c>
      <c r="AU793" s="29" t="str">
        <f>CONCATENATE("HORAS: ",BDEGENER[[#This Row],[HORAS]],"
KW-HR: ",BDEGENER[[#This Row],[KW-HORA]],"
VOLT.BATERIA: ",BDEGENER[[#This Row],[VOLTAJE DE BATERIA]],"
TEMPERATURA: ",BDEGENER[[#This Row],[TEMPERATURA DE AGUA]],"
PRES. ACEITE: ",BDEGENER[[#This Row],[PRESION DE ACEITE]])</f>
        <v xml:space="preserve">HORAS: 182,7
KW-HR: 
VOLT.BATERIA: 
TEMPERATURA: 
PRES. ACEITE: </v>
      </c>
      <c r="AV793" s="761">
        <f>COUNTIFS(Q793:Q2793,"MANTENIMIENTO CORRECTIVO",Y793:Y2793,BDEGENER[[#This Row],[SERIE]])</f>
        <v>0</v>
      </c>
      <c r="AW793" s="761">
        <f>COUNTIFS(Q793:Q2793,"MANTENIMIENTO PREVENTIVO",Y793:Y2793,BDEGENER[[#This Row],[SERIE]])</f>
        <v>1</v>
      </c>
      <c r="AX79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93" s="29">
        <f>COUNTIFS(BDEGENER[SERIE],BDEGENER[[#This Row],[SERIE]],BDEGENER[TIPO DE SERVICIO],"MANTENIMIENTO PREVENTIVO")</f>
        <v>2</v>
      </c>
      <c r="AZ793" s="29" t="str">
        <f>CONCATENATE("MANTENIMIENTO PREVENTIVO N°",BDEGENER[[#This Row],[GA1]])</f>
        <v>MANTENIMIENTO PREVENTIVO N°2</v>
      </c>
      <c r="BA793" s="325" t="str">
        <f>IF(BDEGENER[[#This Row],[SERVICIO]]=BDEGENER[[#This Row],[GA2]],BDEGENER[[#This Row],[HORAS]],"0")</f>
        <v>0</v>
      </c>
      <c r="BB793" s="325">
        <f>SUMIF(BDEGENER[SERIE],BDEGENER[[#This Row],[SERIE]],BDEGENER[GA3])</f>
        <v>185.7</v>
      </c>
      <c r="BC793" s="761" t="str">
        <f>CONCATENATE("MANT",COUNTIF($Y$7:Y793,Y793))</f>
        <v>MANT7</v>
      </c>
      <c r="BD793" s="29" t="str">
        <f>CONCATENATE(BDEGENER[[#This Row],[SERIE]],BDEGENER[[#This Row],[GA5]])</f>
        <v>B5524F-001MANT7</v>
      </c>
      <c r="BE793" s="29" t="str">
        <f>CONCATENATE(BDEGENER[[#This Row],[CODIGO PATRIMONIAL]],BDEGENER[[#This Row],[GA5]])</f>
        <v>MANT7</v>
      </c>
      <c r="BF793" s="16">
        <f>COUNTIF(BDEGENER[SERIE],BDEGENER[[#This Row],[SERIE]])</f>
        <v>7</v>
      </c>
      <c r="BG793" s="761" t="str">
        <f>CONCATENATE("F",COUNTIF($K$7:K793,K793))</f>
        <v>F2</v>
      </c>
      <c r="BH793" s="325" t="str">
        <f>CONCATENATE(BDEGENER[[#This Row],[FECHA DE SERVICIO]],BDEGENER[[#This Row],[N° DE REGISTROS DEL DIA]])</f>
        <v>43779F2</v>
      </c>
      <c r="BI793" s="324"/>
      <c r="BJ793" s="325"/>
      <c r="BK793" s="326"/>
    </row>
    <row r="794" spans="2:63" ht="69" hidden="1" x14ac:dyDescent="0.3">
      <c r="B794" s="5"/>
      <c r="C794" s="34"/>
      <c r="D794" s="34"/>
      <c r="E794" s="34"/>
      <c r="F794" s="34"/>
      <c r="G794" s="34"/>
      <c r="H794" s="34"/>
      <c r="I794" s="34"/>
      <c r="J794" s="34"/>
      <c r="K794" s="37">
        <v>43779</v>
      </c>
      <c r="L794" s="30" t="s">
        <v>764</v>
      </c>
      <c r="M794" s="85" t="s">
        <v>2645</v>
      </c>
      <c r="N794" s="85" t="s">
        <v>2641</v>
      </c>
      <c r="O794" s="35"/>
      <c r="P794" s="3"/>
      <c r="Q794" s="19" t="s">
        <v>37</v>
      </c>
      <c r="R794" s="85" t="s">
        <v>1782</v>
      </c>
      <c r="S794" s="19" t="s">
        <v>772</v>
      </c>
      <c r="T794" s="85" t="s">
        <v>1782</v>
      </c>
      <c r="U794" s="19" t="s">
        <v>773</v>
      </c>
      <c r="V794" s="19" t="s">
        <v>146</v>
      </c>
      <c r="W794" s="19"/>
      <c r="X794" s="19"/>
      <c r="Y794" s="156" t="s">
        <v>2635</v>
      </c>
      <c r="Z794" s="19"/>
      <c r="AA794" s="85" t="s">
        <v>2637</v>
      </c>
      <c r="AB794" s="19" t="s">
        <v>782</v>
      </c>
      <c r="AC794" s="19" t="s">
        <v>788</v>
      </c>
      <c r="AD794" s="16"/>
      <c r="AE794" s="16"/>
      <c r="AF794" s="31">
        <v>336</v>
      </c>
      <c r="AG794" s="16"/>
      <c r="AH794" s="722"/>
      <c r="AI794" s="16"/>
      <c r="AJ794" s="16"/>
      <c r="AK794" s="16"/>
      <c r="AL794" s="16"/>
      <c r="AM794" s="16"/>
      <c r="AN794" s="16"/>
      <c r="AO794" s="16"/>
      <c r="AP794" s="19" t="s">
        <v>240</v>
      </c>
      <c r="AQ794" s="19" t="str">
        <f>CONCATENATE("REG-",BDEGENER[[#This Row],[FECHA DE SERVICIO]],"-",BDEGENER[[#This Row],[SERIE]],"-",BDEGENER[[#This Row],[HORAS]])</f>
        <v>REG-43779-F930510270-336</v>
      </c>
      <c r="AR794" s="29" t="str">
        <f>CONCATENATE("MARCA: ",BDEGENER[[#This Row],[MARCA]],"
 MODELO: ",BDEGENER[[#This Row],[MODELO]])</f>
        <v>MARCA: ONAN
 MODELO: 15RDJCL</v>
      </c>
      <c r="AS794" s="29" t="str">
        <f>CONCATENATE("MARCA: ",BDEGENER[[#This Row],[MARCA DE MOTOR]],"
SERIE: ",BDEGENER[[#This Row],[SERIE DE MOTOR]])</f>
        <v xml:space="preserve">MARCA: 
SERIE: </v>
      </c>
      <c r="AT794" s="29" t="str">
        <f>CONCATENATE("MARCA: ",BDEGENER[[#This Row],[MARCA ALTERNADOR ]],"
SERIE: ",BDEGENER[[#This Row],[SERIE DE ALTERNADOR]])</f>
        <v xml:space="preserve">MARCA: 
SERIE: </v>
      </c>
      <c r="AU794" s="29" t="str">
        <f>CONCATENATE("HORAS: ",BDEGENER[[#This Row],[HORAS]],"
KW-HR: ",BDEGENER[[#This Row],[KW-HORA]],"
VOLT.BATERIA: ",BDEGENER[[#This Row],[VOLTAJE DE BATERIA]],"
TEMPERATURA: ",BDEGENER[[#This Row],[TEMPERATURA DE AGUA]],"
PRES. ACEITE: ",BDEGENER[[#This Row],[PRESION DE ACEITE]])</f>
        <v xml:space="preserve">HORAS: 336
KW-HR: 
VOLT.BATERIA: 
TEMPERATURA: 
PRES. ACEITE: </v>
      </c>
      <c r="AV794" s="683">
        <f>COUNTIFS(Q794:Q2794,"MANTENIMIENTO CORRECTIVO",Y794:Y2794,BDEGENER[[#This Row],[SERIE]])</f>
        <v>0</v>
      </c>
      <c r="AW794" s="683">
        <f>COUNTIFS(Q794:Q2794,"MANTENIMIENTO PREVENTIVO",Y794:Y2794,BDEGENER[[#This Row],[SERIE]])</f>
        <v>1</v>
      </c>
      <c r="AX79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94" s="29">
        <f>COUNTIFS(BDEGENER[SERIE],BDEGENER[[#This Row],[SERIE]],BDEGENER[TIPO DE SERVICIO],"MANTENIMIENTO PREVENTIVO")</f>
        <v>2</v>
      </c>
      <c r="AZ794" s="29" t="str">
        <f>CONCATENATE("MANTENIMIENTO PREVENTIVO N°",BDEGENER[[#This Row],[GA1]])</f>
        <v>MANTENIMIENTO PREVENTIVO N°2</v>
      </c>
      <c r="BA794" s="325" t="str">
        <f>IF(BDEGENER[[#This Row],[SERVICIO]]=BDEGENER[[#This Row],[GA2]],BDEGENER[[#This Row],[HORAS]],"0")</f>
        <v>0</v>
      </c>
      <c r="BB794" s="325">
        <f>SUMIF(BDEGENER[SERIE],BDEGENER[[#This Row],[SERIE]],BDEGENER[GA3])</f>
        <v>336.2</v>
      </c>
      <c r="BC794" s="683" t="str">
        <f>CONCATENATE("MANT",COUNTIF($Y$7:Y794,Y794))</f>
        <v>MANT4</v>
      </c>
      <c r="BD794" s="29" t="str">
        <f>CONCATENATE(BDEGENER[[#This Row],[SERIE]],BDEGENER[[#This Row],[GA5]])</f>
        <v>F930510270MANT4</v>
      </c>
      <c r="BE794" s="29" t="str">
        <f>CONCATENATE(BDEGENER[[#This Row],[CODIGO PATRIMONIAL]],BDEGENER[[#This Row],[GA5]])</f>
        <v>MANT4</v>
      </c>
      <c r="BF794" s="16">
        <f>COUNTIF(BDEGENER[SERIE],BDEGENER[[#This Row],[SERIE]])</f>
        <v>4</v>
      </c>
      <c r="BG794" s="683" t="str">
        <f>CONCATENATE("F",COUNTIF($K$7:K794,K794))</f>
        <v>F3</v>
      </c>
      <c r="BH794" s="325" t="str">
        <f>CONCATENATE(BDEGENER[[#This Row],[FECHA DE SERVICIO]],BDEGENER[[#This Row],[N° DE REGISTROS DEL DIA]])</f>
        <v>43779F3</v>
      </c>
      <c r="BI794" s="324"/>
      <c r="BJ794" s="325"/>
      <c r="BK794" s="326"/>
    </row>
    <row r="795" spans="2:63" ht="69" hidden="1" x14ac:dyDescent="0.3">
      <c r="B795" s="5"/>
      <c r="C795" s="34"/>
      <c r="D795" s="34"/>
      <c r="E795" s="34"/>
      <c r="F795" s="34"/>
      <c r="G795" s="34"/>
      <c r="H795" s="34"/>
      <c r="I795" s="34"/>
      <c r="J795" s="34"/>
      <c r="K795" s="37">
        <v>43778</v>
      </c>
      <c r="L795" s="30" t="s">
        <v>764</v>
      </c>
      <c r="M795" s="85" t="s">
        <v>2392</v>
      </c>
      <c r="N795" s="85" t="s">
        <v>2393</v>
      </c>
      <c r="O795" s="35"/>
      <c r="P795" s="3"/>
      <c r="Q795" s="19" t="s">
        <v>37</v>
      </c>
      <c r="R795" s="85" t="s">
        <v>1782</v>
      </c>
      <c r="S795" s="19" t="s">
        <v>774</v>
      </c>
      <c r="T795" s="85" t="s">
        <v>1782</v>
      </c>
      <c r="U795" s="19" t="s">
        <v>775</v>
      </c>
      <c r="V795" s="19" t="s">
        <v>776</v>
      </c>
      <c r="W795" s="19" t="s">
        <v>914</v>
      </c>
      <c r="X795" s="19" t="s">
        <v>917</v>
      </c>
      <c r="Y795" s="31" t="s">
        <v>783</v>
      </c>
      <c r="Z795" s="19"/>
      <c r="AA795" s="19" t="s">
        <v>1966</v>
      </c>
      <c r="AB795" s="19" t="s">
        <v>2386</v>
      </c>
      <c r="AC795" s="19" t="s">
        <v>789</v>
      </c>
      <c r="AD795" s="16" t="s">
        <v>1123</v>
      </c>
      <c r="AE795" s="16">
        <v>60</v>
      </c>
      <c r="AF795" s="31">
        <v>2093</v>
      </c>
      <c r="AG795" s="16"/>
      <c r="AH795" s="16"/>
      <c r="AI795" s="16" t="s">
        <v>1966</v>
      </c>
      <c r="AJ795" s="16">
        <v>37131122</v>
      </c>
      <c r="AK795" s="16"/>
      <c r="AL795" s="16"/>
      <c r="AM795" s="16"/>
      <c r="AN795" s="16"/>
      <c r="AO795" s="16"/>
      <c r="AP795" s="19" t="s">
        <v>240</v>
      </c>
      <c r="AQ795" s="127" t="str">
        <f>CONCATENATE("REG-",BDEGENER[[#This Row],[FECHA DE SERVICIO]],"-",BDEGENER[[#This Row],[SERIE]],"-",BDEGENER[[#This Row],[HORAS]])</f>
        <v>REG-43778-G-4012-2093</v>
      </c>
      <c r="AR795" s="29" t="str">
        <f>CONCATENATE("MARCA: ",BDEGENER[[#This Row],[MARCA]],"
 MODELO: ",BDEGENER[[#This Row],[MODELO]])</f>
        <v>MARCA: CUMMINS
 MODELO: 0B400K-DW63</v>
      </c>
      <c r="AS795" s="29" t="str">
        <f>CONCATENATE("MARCA: ",BDEGENER[[#This Row],[MARCA DE MOTOR]],"
SERIE: ",BDEGENER[[#This Row],[SERIE DE MOTOR]])</f>
        <v>MARCA: CUMMINS
SERIE: 37131122</v>
      </c>
      <c r="AT795" s="29" t="str">
        <f>CONCATENATE("MARCA: ",BDEGENER[[#This Row],[MARCA ALTERNADOR ]],"
SERIE: ",BDEGENER[[#This Row],[SERIE DE ALTERNADOR]])</f>
        <v xml:space="preserve">MARCA: 
SERIE: </v>
      </c>
      <c r="AU795" s="29" t="str">
        <f>CONCATENATE("HORAS: ",BDEGENER[[#This Row],[HORAS]],"
KW-HR: ",BDEGENER[[#This Row],[KW-HORA]],"
VOLT.BATERIA: ",BDEGENER[[#This Row],[VOLTAJE DE BATERIA]],"
TEMPERATURA: ",BDEGENER[[#This Row],[TEMPERATURA DE AGUA]],"
PRES. ACEITE: ",BDEGENER[[#This Row],[PRESION DE ACEITE]])</f>
        <v xml:space="preserve">HORAS: 2093
KW-HR: 
VOLT.BATERIA: 
TEMPERATURA: 
PRES. ACEITE: </v>
      </c>
      <c r="AV795" s="683">
        <f>COUNTIFS(Q795:Q2795,"MANTENIMIENTO CORRECTIVO",Y795:Y2795,BDEGENER[[#This Row],[SERIE]])</f>
        <v>0</v>
      </c>
      <c r="AW795" s="683">
        <f>COUNTIFS(Q795:Q2795,"MANTENIMIENTO PREVENTIVO",Y795:Y2795,BDEGENER[[#This Row],[SERIE]])</f>
        <v>1</v>
      </c>
      <c r="AX79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95" s="29">
        <f>COUNTIFS(BDEGENER[SERIE],BDEGENER[[#This Row],[SERIE]],BDEGENER[TIPO DE SERVICIO],"MANTENIMIENTO PREVENTIVO")</f>
        <v>2</v>
      </c>
      <c r="AZ795" s="29" t="str">
        <f>CONCATENATE("MANTENIMIENTO PREVENTIVO N°",BDEGENER[[#This Row],[GA1]])</f>
        <v>MANTENIMIENTO PREVENTIVO N°2</v>
      </c>
      <c r="BA795" s="325" t="str">
        <f>IF(BDEGENER[[#This Row],[SERVICIO]]=BDEGENER[[#This Row],[GA2]],BDEGENER[[#This Row],[HORAS]],"0")</f>
        <v>0</v>
      </c>
      <c r="BB795" s="325">
        <f>SUMIF(BDEGENER[SERIE],BDEGENER[[#This Row],[SERIE]],BDEGENER[GA3])</f>
        <v>2095</v>
      </c>
      <c r="BC795" s="683" t="str">
        <f>CONCATENATE("MANT",COUNTIF($Y$7:Y795,Y795))</f>
        <v>MANT4</v>
      </c>
      <c r="BD795" s="29" t="str">
        <f>CONCATENATE(BDEGENER[[#This Row],[SERIE]],BDEGENER[[#This Row],[GA5]])</f>
        <v>G-4012MANT4</v>
      </c>
      <c r="BE795" s="29" t="str">
        <f>CONCATENATE(BDEGENER[[#This Row],[CODIGO PATRIMONIAL]],BDEGENER[[#This Row],[GA5]])</f>
        <v>MANT4</v>
      </c>
      <c r="BF795" s="16">
        <f>COUNTIF(BDEGENER[SERIE],BDEGENER[[#This Row],[SERIE]])</f>
        <v>4</v>
      </c>
      <c r="BG795" s="683" t="str">
        <f>CONCATENATE("F",COUNTIF($K$7:K795,K795))</f>
        <v>F1</v>
      </c>
      <c r="BH795" s="325" t="str">
        <f>CONCATENATE(BDEGENER[[#This Row],[FECHA DE SERVICIO]],BDEGENER[[#This Row],[N° DE REGISTROS DEL DIA]])</f>
        <v>43778F1</v>
      </c>
      <c r="BI795" s="324"/>
      <c r="BJ795" s="85" t="s">
        <v>1544</v>
      </c>
      <c r="BK795" s="326"/>
    </row>
    <row r="796" spans="2:63" ht="69" hidden="1" x14ac:dyDescent="0.3">
      <c r="B796" s="5"/>
      <c r="C796" s="34"/>
      <c r="D796" s="34"/>
      <c r="E796" s="34"/>
      <c r="F796" s="34"/>
      <c r="G796" s="34"/>
      <c r="H796" s="34"/>
      <c r="I796" s="34"/>
      <c r="J796" s="34"/>
      <c r="K796" s="37">
        <v>43778</v>
      </c>
      <c r="L796" s="30" t="s">
        <v>764</v>
      </c>
      <c r="M796" s="683" t="s">
        <v>2392</v>
      </c>
      <c r="N796" s="683" t="s">
        <v>2393</v>
      </c>
      <c r="O796" s="35"/>
      <c r="P796" s="3"/>
      <c r="Q796" s="19" t="s">
        <v>37</v>
      </c>
      <c r="R796" s="85" t="s">
        <v>1782</v>
      </c>
      <c r="S796" s="19" t="s">
        <v>777</v>
      </c>
      <c r="T796" s="85" t="s">
        <v>1782</v>
      </c>
      <c r="U796" s="19" t="s">
        <v>778</v>
      </c>
      <c r="V796" s="19" t="s">
        <v>154</v>
      </c>
      <c r="W796" s="19" t="s">
        <v>914</v>
      </c>
      <c r="X796" s="19" t="s">
        <v>917</v>
      </c>
      <c r="Y796" s="31" t="s">
        <v>2432</v>
      </c>
      <c r="Z796" s="19"/>
      <c r="AA796" s="740" t="s">
        <v>221</v>
      </c>
      <c r="AB796" s="19" t="s">
        <v>2417</v>
      </c>
      <c r="AC796" s="19" t="s">
        <v>789</v>
      </c>
      <c r="AD796" s="16"/>
      <c r="AE796" s="16"/>
      <c r="AF796" s="31" t="s">
        <v>177</v>
      </c>
      <c r="AG796" s="16" t="s">
        <v>243</v>
      </c>
      <c r="AH796" s="16" t="s">
        <v>2418</v>
      </c>
      <c r="AI796" s="16" t="s">
        <v>844</v>
      </c>
      <c r="AJ796" s="16" t="s">
        <v>2419</v>
      </c>
      <c r="AK796" s="16" t="s">
        <v>2401</v>
      </c>
      <c r="AL796" s="16" t="s">
        <v>2420</v>
      </c>
      <c r="AM796" s="16"/>
      <c r="AN796" s="16"/>
      <c r="AO796" s="16"/>
      <c r="AP796" s="19" t="s">
        <v>240</v>
      </c>
      <c r="AQ796" s="724" t="str">
        <f>CONCATENATE("REG-",BDEGENER[[#This Row],[FECHA DE SERVICIO]],"-",BDEGENER[[#This Row],[SERIE]],"-",BDEGENER[[#This Row],[HORAS]])</f>
        <v>REG-43778-S-X095140-NR</v>
      </c>
      <c r="AR796" s="29" t="str">
        <f>CONCATENATE("MARCA: ",BDEGENER[[#This Row],[MARCA]],"
 MODELO: ",BDEGENER[[#This Row],[MODELO]])</f>
        <v>MARCA: MODASA
 MODELO: MP-400</v>
      </c>
      <c r="AS796" s="29" t="str">
        <f>CONCATENATE("MARCA: ",BDEGENER[[#This Row],[MARCA DE MOTOR]],"
SERIE: ",BDEGENER[[#This Row],[SERIE DE MOTOR]])</f>
        <v>MARCA: PERKINS
SERIE: TGHF5069-U18007U</v>
      </c>
      <c r="AT796" s="29" t="str">
        <f>CONCATENATE("MARCA: ",BDEGENER[[#This Row],[MARCA ALTERNADOR ]],"
SERIE: ",BDEGENER[[#This Row],[SERIE DE ALTERNADOR]])</f>
        <v>MARCA: STAMFORD
SERIE: M10K477346</v>
      </c>
      <c r="AU796" s="29"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796" s="761">
        <f>COUNTIFS(Q796:Q2796,"MANTENIMIENTO CORRECTIVO",Y796:Y2796,BDEGENER[[#This Row],[SERIE]])</f>
        <v>0</v>
      </c>
      <c r="AW796" s="761">
        <f>COUNTIFS(Q796:Q2796,"MANTENIMIENTO PREVENTIVO",Y796:Y2796,BDEGENER[[#This Row],[SERIE]])</f>
        <v>1</v>
      </c>
      <c r="AX79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96" s="29">
        <f>COUNTIFS(BDEGENER[SERIE],BDEGENER[[#This Row],[SERIE]],BDEGENER[TIPO DE SERVICIO],"MANTENIMIENTO PREVENTIVO")</f>
        <v>2</v>
      </c>
      <c r="AZ796" s="29" t="str">
        <f>CONCATENATE("MANTENIMIENTO PREVENTIVO N°",BDEGENER[[#This Row],[GA1]])</f>
        <v>MANTENIMIENTO PREVENTIVO N°2</v>
      </c>
      <c r="BA796" s="325" t="str">
        <f>IF(BDEGENER[[#This Row],[SERVICIO]]=BDEGENER[[#This Row],[GA2]],BDEGENER[[#This Row],[HORAS]],"0")</f>
        <v>0</v>
      </c>
      <c r="BB796" s="325">
        <f>SUMIF(BDEGENER[SERIE],BDEGENER[[#This Row],[SERIE]],BDEGENER[GA3])</f>
        <v>60.42</v>
      </c>
      <c r="BC796" s="761" t="str">
        <f>CONCATENATE("MANT",COUNTIF($Y$7:Y796,Y796))</f>
        <v>MANT3</v>
      </c>
      <c r="BD796" s="29" t="str">
        <f>CONCATENATE(BDEGENER[[#This Row],[SERIE]],BDEGENER[[#This Row],[GA5]])</f>
        <v>S-X095140MANT3</v>
      </c>
      <c r="BE796" s="29" t="str">
        <f>CONCATENATE(BDEGENER[[#This Row],[CODIGO PATRIMONIAL]],BDEGENER[[#This Row],[GA5]])</f>
        <v>MANT3</v>
      </c>
      <c r="BF796" s="16">
        <f>COUNTIF(BDEGENER[SERIE],BDEGENER[[#This Row],[SERIE]])</f>
        <v>3</v>
      </c>
      <c r="BG796" s="761" t="str">
        <f>CONCATENATE("F",COUNTIF($K$7:K796,K796))</f>
        <v>F2</v>
      </c>
      <c r="BH796" s="325" t="str">
        <f>CONCATENATE(BDEGENER[[#This Row],[FECHA DE SERVICIO]],BDEGENER[[#This Row],[N° DE REGISTROS DEL DIA]])</f>
        <v>43778F2</v>
      </c>
      <c r="BI796" s="324"/>
      <c r="BJ796" s="325"/>
      <c r="BK796" s="326"/>
    </row>
    <row r="797" spans="2:63" ht="69" hidden="1" x14ac:dyDescent="0.3">
      <c r="B797" s="5"/>
      <c r="C797" s="34"/>
      <c r="D797" s="34"/>
      <c r="E797" s="34"/>
      <c r="F797" s="34"/>
      <c r="G797" s="34"/>
      <c r="H797" s="34"/>
      <c r="I797" s="34"/>
      <c r="J797" s="34"/>
      <c r="K797" s="37">
        <v>43778</v>
      </c>
      <c r="L797" s="30" t="s">
        <v>764</v>
      </c>
      <c r="M797" s="683" t="s">
        <v>2715</v>
      </c>
      <c r="N797" s="683" t="s">
        <v>2714</v>
      </c>
      <c r="O797" s="35"/>
      <c r="P797" s="3"/>
      <c r="Q797" s="19" t="s">
        <v>37</v>
      </c>
      <c r="R797" s="85" t="s">
        <v>1782</v>
      </c>
      <c r="S797" s="19" t="s">
        <v>599</v>
      </c>
      <c r="T797" s="85" t="s">
        <v>1782</v>
      </c>
      <c r="U797" s="19" t="s">
        <v>1491</v>
      </c>
      <c r="V797" s="19" t="s">
        <v>154</v>
      </c>
      <c r="W797" s="19" t="s">
        <v>914</v>
      </c>
      <c r="X797" s="19" t="s">
        <v>917</v>
      </c>
      <c r="Y797" s="31" t="s">
        <v>784</v>
      </c>
      <c r="Z797" s="19"/>
      <c r="AA797" s="19" t="s">
        <v>1387</v>
      </c>
      <c r="AB797" s="85" t="s">
        <v>2717</v>
      </c>
      <c r="AC797" s="19" t="s">
        <v>790</v>
      </c>
      <c r="AD797" s="16"/>
      <c r="AE797" s="16"/>
      <c r="AF797" s="31">
        <v>25</v>
      </c>
      <c r="AG797" s="16" t="s">
        <v>243</v>
      </c>
      <c r="AH797" s="16" t="s">
        <v>2713</v>
      </c>
      <c r="AI797" s="16" t="s">
        <v>1966</v>
      </c>
      <c r="AJ797" s="16">
        <v>78392098</v>
      </c>
      <c r="AK797" s="16" t="s">
        <v>1448</v>
      </c>
      <c r="AL797" s="16">
        <v>35211003</v>
      </c>
      <c r="AM797" s="16"/>
      <c r="AN797" s="16"/>
      <c r="AO797" s="16"/>
      <c r="AP797" s="771" t="s">
        <v>240</v>
      </c>
      <c r="AQ797" s="772" t="str">
        <f>CONCATENATE("REG-",BDEGENER[[#This Row],[FECHA DE SERVICIO]],"-",BDEGENER[[#This Row],[SERIE]],"-",BDEGENER[[#This Row],[HORAS]])</f>
        <v>REG-43778-59G12-443-1979-25</v>
      </c>
      <c r="AR797" s="773" t="str">
        <f>CONCATENATE("MARCA: ",BDEGENER[[#This Row],[MARCA]],"
 MODELO: ",BDEGENER[[#This Row],[MODELO]])</f>
        <v>MARCA: GAMMA
 MODELO: GCLS-150I</v>
      </c>
      <c r="AS797" s="29" t="str">
        <f>CONCATENATE("MARCA: ",BDEGENER[[#This Row],[MARCA DE MOTOR]],"
SERIE: ",BDEGENER[[#This Row],[SERIE DE MOTOR]])</f>
        <v>MARCA: CUMMINS
SERIE: 78392098</v>
      </c>
      <c r="AT797" s="29" t="str">
        <f>CONCATENATE("MARCA: ",BDEGENER[[#This Row],[MARCA ALTERNADOR ]],"
SERIE: ",BDEGENER[[#This Row],[SERIE DE ALTERNADOR]])</f>
        <v>MARCA: LEROY SOMER
SERIE: 35211003</v>
      </c>
      <c r="AU797" s="29" t="str">
        <f>CONCATENATE("HORAS: ",BDEGENER[[#This Row],[HORAS]],"
KW-HR: ",BDEGENER[[#This Row],[KW-HORA]],"
VOLT.BATERIA: ",BDEGENER[[#This Row],[VOLTAJE DE BATERIA]],"
TEMPERATURA: ",BDEGENER[[#This Row],[TEMPERATURA DE AGUA]],"
PRES. ACEITE: ",BDEGENER[[#This Row],[PRESION DE ACEITE]])</f>
        <v xml:space="preserve">HORAS: 25
KW-HR: 
VOLT.BATERIA: 
TEMPERATURA: 
PRES. ACEITE: </v>
      </c>
      <c r="AV797" s="683">
        <f>COUNTIFS(Q797:Q2797,"MANTENIMIENTO CORRECTIVO",Y797:Y2797,BDEGENER[[#This Row],[SERIE]])</f>
        <v>0</v>
      </c>
      <c r="AW797" s="683">
        <f>COUNTIFS(Q797:Q2797,"MANTENIMIENTO PREVENTIVO",Y797:Y2797,BDEGENER[[#This Row],[SERIE]])</f>
        <v>1</v>
      </c>
      <c r="AX79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797" s="29">
        <f>COUNTIFS(BDEGENER[SERIE],BDEGENER[[#This Row],[SERIE]],BDEGENER[TIPO DE SERVICIO],"MANTENIMIENTO PREVENTIVO")</f>
        <v>2</v>
      </c>
      <c r="AZ797" s="29" t="str">
        <f>CONCATENATE("MANTENIMIENTO PREVENTIVO N°",BDEGENER[[#This Row],[GA1]])</f>
        <v>MANTENIMIENTO PREVENTIVO N°2</v>
      </c>
      <c r="BA797" s="325" t="str">
        <f>IF(BDEGENER[[#This Row],[SERVICIO]]=BDEGENER[[#This Row],[GA2]],BDEGENER[[#This Row],[HORAS]],"0")</f>
        <v>0</v>
      </c>
      <c r="BB797" s="325">
        <f>SUMIF(BDEGENER[SERIE],BDEGENER[[#This Row],[SERIE]],BDEGENER[GA3])</f>
        <v>30.1</v>
      </c>
      <c r="BC797" s="683" t="str">
        <f>CONCATENATE("MANT",COUNTIF($Y$7:Y797,Y797))</f>
        <v>MANT2</v>
      </c>
      <c r="BD797" s="29" t="str">
        <f>CONCATENATE(BDEGENER[[#This Row],[SERIE]],BDEGENER[[#This Row],[GA5]])</f>
        <v>59G12-443-1979MANT2</v>
      </c>
      <c r="BE797" s="29" t="str">
        <f>CONCATENATE(BDEGENER[[#This Row],[CODIGO PATRIMONIAL]],BDEGENER[[#This Row],[GA5]])</f>
        <v>MANT2</v>
      </c>
      <c r="BF797" s="16">
        <f>COUNTIF(BDEGENER[SERIE],BDEGENER[[#This Row],[SERIE]])</f>
        <v>2</v>
      </c>
      <c r="BG797" s="683" t="str">
        <f>CONCATENATE("F",COUNTIF($K$7:K797,K797))</f>
        <v>F3</v>
      </c>
      <c r="BH797" s="325" t="str">
        <f>CONCATENATE(BDEGENER[[#This Row],[FECHA DE SERVICIO]],BDEGENER[[#This Row],[N° DE REGISTROS DEL DIA]])</f>
        <v>43778F3</v>
      </c>
      <c r="BI797" s="324"/>
      <c r="BJ797" s="683" t="s">
        <v>1544</v>
      </c>
      <c r="BK797" s="326"/>
    </row>
    <row r="798" spans="2:63" ht="69" hidden="1" x14ac:dyDescent="0.3">
      <c r="B798" s="223"/>
      <c r="C798" s="223"/>
      <c r="D798" s="223"/>
      <c r="E798" s="223"/>
      <c r="F798" s="223"/>
      <c r="G798" s="223"/>
      <c r="H798" s="223"/>
      <c r="I798" s="223"/>
      <c r="J798" s="223"/>
      <c r="K798" s="723">
        <v>43777</v>
      </c>
      <c r="L798" s="15" t="s">
        <v>181</v>
      </c>
      <c r="M798" s="683" t="s">
        <v>1388</v>
      </c>
      <c r="N798" s="697" t="s">
        <v>1538</v>
      </c>
      <c r="O798" s="8"/>
      <c r="P798" s="10"/>
      <c r="Q798" s="14" t="s">
        <v>107</v>
      </c>
      <c r="R798" s="85" t="s">
        <v>1782</v>
      </c>
      <c r="S798" s="5" t="s">
        <v>49</v>
      </c>
      <c r="T798" s="85" t="s">
        <v>1782</v>
      </c>
      <c r="U798" s="14" t="s">
        <v>31</v>
      </c>
      <c r="V798" s="14" t="s">
        <v>151</v>
      </c>
      <c r="W798" s="85" t="s">
        <v>914</v>
      </c>
      <c r="X798" s="85" t="s">
        <v>918</v>
      </c>
      <c r="Y798" s="15">
        <v>3004428523</v>
      </c>
      <c r="Z798" s="14"/>
      <c r="AA798" s="14" t="s">
        <v>33</v>
      </c>
      <c r="AB798" s="85" t="s">
        <v>34</v>
      </c>
      <c r="AC798" s="14" t="s">
        <v>230</v>
      </c>
      <c r="AD798" s="16"/>
      <c r="AE798" s="16"/>
      <c r="AF798" s="12">
        <v>117.4</v>
      </c>
      <c r="AG798" s="16" t="s">
        <v>243</v>
      </c>
      <c r="AH798" s="16" t="s">
        <v>220</v>
      </c>
      <c r="AI798" s="16" t="s">
        <v>33</v>
      </c>
      <c r="AJ798" s="16">
        <v>3004426215</v>
      </c>
      <c r="AK798" s="16" t="s">
        <v>33</v>
      </c>
      <c r="AL798" s="16">
        <v>106301030</v>
      </c>
      <c r="AM798" s="16"/>
      <c r="AN798" s="16"/>
      <c r="AO798" s="16"/>
      <c r="AP798" s="808" t="s">
        <v>240</v>
      </c>
      <c r="AQ798" s="809" t="str">
        <f>CONCATENATE("REG-",BDEGENER[[#This Row],[FECHA DE SERVICIO]],"-",BDEGENER[[#This Row],[SERIE]],"-",BDEGENER[[#This Row],[HORAS]])</f>
        <v>REG-43777-3004428523-117,4</v>
      </c>
      <c r="AR798" s="789" t="str">
        <f>CONCATENATE("MARCA: ",BDEGENER[[#This Row],[MARCA]],"
 MODELO: ",BDEGENER[[#This Row],[MODELO]])</f>
        <v>MARCA: GENERAC
 MODELO: PG090</v>
      </c>
      <c r="AS798" s="5" t="str">
        <f>CONCATENATE("MARCA: ",BDEGENER[[#This Row],[MARCA DE MOTOR]],"
SERIE: ",BDEGENER[[#This Row],[SERIE DE MOTOR]])</f>
        <v>MARCA: GENERAC
SERIE: 3004426215</v>
      </c>
      <c r="AT798" s="5" t="str">
        <f>CONCATENATE("MARCA: ",BDEGENER[[#This Row],[MARCA ALTERNADOR ]],"
SERIE: ",BDEGENER[[#This Row],[SERIE DE ALTERNADOR]])</f>
        <v>MARCA: GENERAC
SERIE: 106301030</v>
      </c>
      <c r="AU798" s="5" t="str">
        <f>CONCATENATE("HORAS: ",BDEGENER[[#This Row],[HORAS]],"
KW-HR: ",BDEGENER[[#This Row],[KW-HORA]],"
VOLT.BATERIA: ",BDEGENER[[#This Row],[VOLTAJE DE BATERIA]],"
TEMPERATURA: ",BDEGENER[[#This Row],[TEMPERATURA DE AGUA]],"
PRES. ACEITE: ",BDEGENER[[#This Row],[PRESION DE ACEITE]])</f>
        <v xml:space="preserve">HORAS: 117,4
KW-HR: 
VOLT.BATERIA: 
TEMPERATURA: 
PRES. ACEITE: </v>
      </c>
      <c r="AV798" s="683">
        <f>COUNTIFS(Q798:Q2798,"MANTENIMIENTO CORRECTIVO",Y798:Y2798,BDEGENER[[#This Row],[SERIE]])</f>
        <v>1</v>
      </c>
      <c r="AW798" s="683">
        <f>COUNTIFS(Q798:Q2798,"MANTENIMIENTO PREVENTIVO",Y798:Y2798,BDEGENER[[#This Row],[SERIE]])</f>
        <v>1</v>
      </c>
      <c r="AX79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798" s="29">
        <f>COUNTIFS(BDEGENER[SERIE],BDEGENER[[#This Row],[SERIE]],BDEGENER[TIPO DE SERVICIO],"MANTENIMIENTO PREVENTIVO")</f>
        <v>9</v>
      </c>
      <c r="AZ798" s="29" t="str">
        <f>CONCATENATE("MANTENIMIENTO PREVENTIVO N°",BDEGENER[[#This Row],[GA1]])</f>
        <v>MANTENIMIENTO PREVENTIVO N°9</v>
      </c>
      <c r="BA798" s="325" t="str">
        <f>IF(BDEGENER[[#This Row],[SERVICIO]]=BDEGENER[[#This Row],[GA2]],BDEGENER[[#This Row],[HORAS]],"0")</f>
        <v>0</v>
      </c>
      <c r="BB798" s="325">
        <f>SUMIF(BDEGENER[SERIE],BDEGENER[[#This Row],[SERIE]],BDEGENER[GA3])</f>
        <v>2439.9</v>
      </c>
      <c r="BC798" s="683" t="str">
        <f>CONCATENATE("MANT",COUNTIF($Y$7:Y798,Y798))</f>
        <v>MANT11</v>
      </c>
      <c r="BD798" s="29" t="str">
        <f>CONCATENATE(BDEGENER[[#This Row],[SERIE]],BDEGENER[[#This Row],[GA5]])</f>
        <v>3004428523MANT11</v>
      </c>
      <c r="BE798" s="29" t="str">
        <f>CONCATENATE(BDEGENER[[#This Row],[CODIGO PATRIMONIAL]],BDEGENER[[#This Row],[GA5]])</f>
        <v>MANT11</v>
      </c>
      <c r="BF798" s="16">
        <f>COUNTIF(BDEGENER[SERIE],BDEGENER[[#This Row],[SERIE]])</f>
        <v>14</v>
      </c>
      <c r="BG798" s="683" t="str">
        <f>CONCATENATE("F",COUNTIF($K$7:K798,K798))</f>
        <v>F1</v>
      </c>
      <c r="BH798" s="325" t="str">
        <f>CONCATENATE(BDEGENER[[#This Row],[FECHA DE SERVICIO]],BDEGENER[[#This Row],[N° DE REGISTROS DEL DIA]])</f>
        <v>43777F1</v>
      </c>
      <c r="BI798" s="324"/>
      <c r="BJ798" s="325"/>
      <c r="BK798" s="326"/>
    </row>
    <row r="799" spans="2:63" ht="69" hidden="1" x14ac:dyDescent="0.3">
      <c r="B799" s="129"/>
      <c r="C799" s="129"/>
      <c r="D799" s="129"/>
      <c r="E799" s="129"/>
      <c r="F799" s="129"/>
      <c r="G799" s="129"/>
      <c r="H799" s="129"/>
      <c r="I799" s="129"/>
      <c r="J799" s="129"/>
      <c r="K799" s="131">
        <v>43775</v>
      </c>
      <c r="L799" s="130" t="s">
        <v>561</v>
      </c>
      <c r="M799" s="683" t="s">
        <v>2480</v>
      </c>
      <c r="N799" s="683" t="s">
        <v>2481</v>
      </c>
      <c r="O799" s="85"/>
      <c r="P799" s="9" t="s">
        <v>1131</v>
      </c>
      <c r="Q799" s="85" t="s">
        <v>37</v>
      </c>
      <c r="R799" s="85" t="s">
        <v>1782</v>
      </c>
      <c r="S799" s="6" t="s">
        <v>1129</v>
      </c>
      <c r="T799" s="85" t="s">
        <v>1128</v>
      </c>
      <c r="U799" s="85" t="s">
        <v>1130</v>
      </c>
      <c r="V799" s="85" t="s">
        <v>922</v>
      </c>
      <c r="W799" s="85" t="s">
        <v>913</v>
      </c>
      <c r="X799" s="85" t="s">
        <v>918</v>
      </c>
      <c r="Y799" s="130">
        <v>3004597773</v>
      </c>
      <c r="Z799" s="85" t="s">
        <v>2609</v>
      </c>
      <c r="AA799" s="19" t="s">
        <v>33</v>
      </c>
      <c r="AB799" s="740" t="s">
        <v>217</v>
      </c>
      <c r="AC799" s="85" t="s">
        <v>750</v>
      </c>
      <c r="AD799" s="85"/>
      <c r="AE799" s="85"/>
      <c r="AF799" s="132">
        <v>539.70000000000005</v>
      </c>
      <c r="AG799" s="85" t="s">
        <v>243</v>
      </c>
      <c r="AH799" s="85"/>
      <c r="AI799" s="85"/>
      <c r="AJ799" s="85"/>
      <c r="AK799" s="85"/>
      <c r="AL799" s="85"/>
      <c r="AM799" s="85"/>
      <c r="AN799" s="85"/>
      <c r="AO799" s="85"/>
      <c r="AP799" s="85"/>
      <c r="AQ799" s="200" t="str">
        <f>CONCATENATE("REG-",BDEGENER[[#This Row],[FECHA DE SERVICIO]],"-",BDEGENER[[#This Row],[SERIE]],"-",BDEGENER[[#This Row],[HORAS]])</f>
        <v>REG-43775-3004597773-539,7</v>
      </c>
      <c r="AR799" s="85" t="str">
        <f>CONCATENATE("MARCA: ",BDEGENER[[#This Row],[MARCA]],"
 MODELO: ",BDEGENER[[#This Row],[MODELO]])</f>
        <v>MARCA: GENERAC
 MODELO: RG022</v>
      </c>
      <c r="AS799" s="85" t="str">
        <f>CONCATENATE("MARCA: ",BDEGENER[[#This Row],[MARCA DE MOTOR]],"
SERIE: ",BDEGENER[[#This Row],[SERIE DE MOTOR]])</f>
        <v xml:space="preserve">MARCA: 
SERIE: </v>
      </c>
      <c r="AT799" s="85" t="str">
        <f>CONCATENATE("MARCA: ",BDEGENER[[#This Row],[MARCA ALTERNADOR ]],"
SERIE: ",BDEGENER[[#This Row],[SERIE DE ALTERNADOR]])</f>
        <v xml:space="preserve">MARCA: 
SERIE: </v>
      </c>
      <c r="AU799" s="85" t="str">
        <f>CONCATENATE("HORAS: ",BDEGENER[[#This Row],[HORAS]],"
KW-HR: ",BDEGENER[[#This Row],[KW-HORA]],"
VOLT.BATERIA: ",BDEGENER[[#This Row],[VOLTAJE DE BATERIA]],"
TEMPERATURA: ",BDEGENER[[#This Row],[TEMPERATURA DE AGUA]],"
PRES. ACEITE: ",BDEGENER[[#This Row],[PRESION DE ACEITE]])</f>
        <v xml:space="preserve">HORAS: 539,7
KW-HR: 
VOLT.BATERIA: 
TEMPERATURA: 
PRES. ACEITE: </v>
      </c>
      <c r="AV799" s="761">
        <f>COUNTIFS(Q799:Q2799,"MANTENIMIENTO CORRECTIVO",Y799:Y2799,BDEGENER[[#This Row],[SERIE]])</f>
        <v>0</v>
      </c>
      <c r="AW799" s="761">
        <f>COUNTIFS(Q799:Q2799,"MANTENIMIENTO PREVENTIVO",Y799:Y2799,BDEGENER[[#This Row],[SERIE]])</f>
        <v>4</v>
      </c>
      <c r="AX79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799" s="85">
        <f>COUNTIFS(BDEGENER[SERIE],BDEGENER[[#This Row],[SERIE]],BDEGENER[TIPO DE SERVICIO],"MANTENIMIENTO PREVENTIVO")</f>
        <v>9</v>
      </c>
      <c r="AZ799" s="85" t="str">
        <f>CONCATENATE("MANTENIMIENTO PREVENTIVO N°",BDEGENER[[#This Row],[GA1]])</f>
        <v>MANTENIMIENTO PREVENTIVO N°9</v>
      </c>
      <c r="BA799" s="85" t="str">
        <f>IF(BDEGENER[[#This Row],[SERVICIO]]=BDEGENER[[#This Row],[GA2]],BDEGENER[[#This Row],[HORAS]],"0")</f>
        <v>0</v>
      </c>
      <c r="BB799" s="85">
        <f>SUMIF(BDEGENER[SERIE],BDEGENER[[#This Row],[SERIE]],BDEGENER[GA3])</f>
        <v>3087.7</v>
      </c>
      <c r="BC799" s="761" t="str">
        <f>CONCATENATE("MANT",COUNTIF($Y$7:Y799,Y799))</f>
        <v>MANT7</v>
      </c>
      <c r="BD799" s="85" t="str">
        <f>CONCATENATE(BDEGENER[[#This Row],[SERIE]],BDEGENER[[#This Row],[GA5]])</f>
        <v>3004597773MANT7</v>
      </c>
      <c r="BE799" s="85" t="str">
        <f>CONCATENATE(BDEGENER[[#This Row],[CODIGO PATRIMONIAL]],BDEGENER[[#This Row],[GA5]])</f>
        <v>SUR-GEG-0013MANT7</v>
      </c>
      <c r="BF799" s="129">
        <f>COUNTIF(BDEGENER[SERIE],BDEGENER[[#This Row],[SERIE]])</f>
        <v>11</v>
      </c>
      <c r="BG799" s="761" t="str">
        <f>CONCATENATE("F",COUNTIF($K$7:K799,K799))</f>
        <v>F1</v>
      </c>
      <c r="BH799" s="325" t="str">
        <f>CONCATENATE(BDEGENER[[#This Row],[FECHA DE SERVICIO]],BDEGENER[[#This Row],[N° DE REGISTROS DEL DIA]])</f>
        <v>43775F1</v>
      </c>
      <c r="BI799" s="324"/>
      <c r="BJ799" s="783"/>
      <c r="BK799" s="326"/>
    </row>
    <row r="800" spans="2:63" ht="69" hidden="1" x14ac:dyDescent="0.3">
      <c r="B800" s="129"/>
      <c r="C800" s="129"/>
      <c r="D800" s="129"/>
      <c r="E800" s="129"/>
      <c r="F800" s="129"/>
      <c r="G800" s="129"/>
      <c r="H800" s="129"/>
      <c r="I800" s="129"/>
      <c r="J800" s="129"/>
      <c r="K800" s="131">
        <v>43767</v>
      </c>
      <c r="L800" s="85" t="s">
        <v>181</v>
      </c>
      <c r="M800" s="85" t="s">
        <v>1395</v>
      </c>
      <c r="N800" s="85" t="s">
        <v>1547</v>
      </c>
      <c r="O800" s="85"/>
      <c r="P800" s="85"/>
      <c r="Q800" s="85" t="s">
        <v>107</v>
      </c>
      <c r="R800" s="85" t="s">
        <v>3918</v>
      </c>
      <c r="S800" s="6" t="s">
        <v>3919</v>
      </c>
      <c r="T800" s="85" t="s">
        <v>2546</v>
      </c>
      <c r="U800" s="85" t="s">
        <v>3920</v>
      </c>
      <c r="V800" s="85" t="s">
        <v>149</v>
      </c>
      <c r="W800" s="85" t="s">
        <v>914</v>
      </c>
      <c r="X800" s="85" t="s">
        <v>918</v>
      </c>
      <c r="Y800" s="15">
        <v>3004402508</v>
      </c>
      <c r="Z800" s="85"/>
      <c r="AA800" s="85" t="s">
        <v>33</v>
      </c>
      <c r="AB800" s="85" t="s">
        <v>34</v>
      </c>
      <c r="AC800" s="85" t="s">
        <v>230</v>
      </c>
      <c r="AD800" s="85"/>
      <c r="AE800" s="85"/>
      <c r="AF800" s="132">
        <v>67</v>
      </c>
      <c r="AG800" s="85" t="s">
        <v>243</v>
      </c>
      <c r="AH800" s="85" t="s">
        <v>220</v>
      </c>
      <c r="AI800" s="85" t="s">
        <v>33</v>
      </c>
      <c r="AJ800" s="85">
        <v>3004425773</v>
      </c>
      <c r="AK800" s="85" t="s">
        <v>33</v>
      </c>
      <c r="AL800" s="85">
        <v>106310050</v>
      </c>
      <c r="AM800" s="85"/>
      <c r="AN800" s="85"/>
      <c r="AO800" s="85"/>
      <c r="AP800" s="85" t="s">
        <v>240</v>
      </c>
      <c r="AQ800" s="85" t="str">
        <f>CONCATENATE("REG-",BDEGENER[[#This Row],[FECHA DE SERVICIO]],"-",BDEGENER[[#This Row],[SERIE]],"-",BDEGENER[[#This Row],[HORAS]])</f>
        <v>REG-43767-3004402508-67</v>
      </c>
      <c r="AR800" s="85" t="str">
        <f>CONCATENATE("MARCA: ",BDEGENER[[#This Row],[MARCA]],"
 MODELO: ",BDEGENER[[#This Row],[MODELO]])</f>
        <v>MARCA: GENERAC
 MODELO: PG090</v>
      </c>
      <c r="AS800" s="85" t="str">
        <f>CONCATENATE("MARCA: ",BDEGENER[[#This Row],[MARCA DE MOTOR]],"
SERIE: ",BDEGENER[[#This Row],[SERIE DE MOTOR]])</f>
        <v>MARCA: GENERAC
SERIE: 3004425773</v>
      </c>
      <c r="AT800" s="85" t="str">
        <f>CONCATENATE("MARCA: ",BDEGENER[[#This Row],[MARCA ALTERNADOR ]],"
SERIE: ",BDEGENER[[#This Row],[SERIE DE ALTERNADOR]])</f>
        <v>MARCA: GENERAC
SERIE: 106310050</v>
      </c>
      <c r="AU800" s="85" t="str">
        <f>CONCATENATE("HORAS: ",BDEGENER[[#This Row],[HORAS]],"
KW-HR: ",BDEGENER[[#This Row],[KW-HORA]],"
VOLT.BATERIA: ",BDEGENER[[#This Row],[VOLTAJE DE BATERIA]],"
TEMPERATURA: ",BDEGENER[[#This Row],[TEMPERATURA DE AGUA]],"
PRES. ACEITE: ",BDEGENER[[#This Row],[PRESION DE ACEITE]])</f>
        <v xml:space="preserve">HORAS: 67
KW-HR: 
VOLT.BATERIA: 
TEMPERATURA: 
PRES. ACEITE: </v>
      </c>
      <c r="AV800" s="683">
        <f>COUNTIFS(Q800:Q2800,"MANTENIMIENTO CORRECTIVO",Y800:Y2800,BDEGENER[[#This Row],[SERIE]])</f>
        <v>2</v>
      </c>
      <c r="AW800" s="683">
        <f>COUNTIFS(Q800:Q2800,"MANTENIMIENTO PREVENTIVO",Y800:Y2800,BDEGENER[[#This Row],[SERIE]])</f>
        <v>0</v>
      </c>
      <c r="AX80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800" s="85">
        <f>COUNTIFS(BDEGENER[SERIE],BDEGENER[[#This Row],[SERIE]],BDEGENER[TIPO DE SERVICIO],"MANTENIMIENTO PREVENTIVO")</f>
        <v>8</v>
      </c>
      <c r="AZ800" s="85" t="str">
        <f>CONCATENATE("MANTENIMIENTO PREVENTIVO N°",BDEGENER[[#This Row],[GA1]])</f>
        <v>MANTENIMIENTO PREVENTIVO N°8</v>
      </c>
      <c r="BA800" s="85" t="str">
        <f>IF(BDEGENER[[#This Row],[SERVICIO]]=BDEGENER[[#This Row],[GA2]],BDEGENER[[#This Row],[HORAS]],"0")</f>
        <v>0</v>
      </c>
      <c r="BB800" s="85">
        <f>SUMIF(BDEGENER[SERIE],BDEGENER[[#This Row],[SERIE]],BDEGENER[GA3])</f>
        <v>2186.3000000000002</v>
      </c>
      <c r="BC800" s="683" t="str">
        <f>CONCATENATE("MANT",COUNTIF($Y$7:Y800,Y800))</f>
        <v>MANT13</v>
      </c>
      <c r="BD800" s="85" t="str">
        <f>CONCATENATE(BDEGENER[[#This Row],[SERIE]],BDEGENER[[#This Row],[GA5]])</f>
        <v>3004402508MANT13</v>
      </c>
      <c r="BE800" s="85" t="str">
        <f>CONCATENATE(BDEGENER[[#This Row],[CODIGO PATRIMONIAL]],BDEGENER[[#This Row],[GA5]])</f>
        <v>MANT13</v>
      </c>
      <c r="BF800" s="85">
        <f>COUNTIF(BDEGENER[SERIE],BDEGENER[[#This Row],[SERIE]])</f>
        <v>15</v>
      </c>
      <c r="BG800" s="683" t="str">
        <f>CONCATENATE("F",COUNTIF($K$7:K800,K800))</f>
        <v>F1</v>
      </c>
      <c r="BH800" s="85" t="str">
        <f>CONCATENATE(BDEGENER[[#This Row],[FECHA DE SERVICIO]],BDEGENER[[#This Row],[N° DE REGISTROS DEL DIA]])</f>
        <v>43767F1</v>
      </c>
      <c r="BI800" s="132"/>
      <c r="BJ800" s="85" t="s">
        <v>1544</v>
      </c>
      <c r="BK800" s="680"/>
    </row>
    <row r="801" spans="2:63" ht="69" hidden="1" x14ac:dyDescent="0.3">
      <c r="B801" s="129"/>
      <c r="C801" s="129"/>
      <c r="D801" s="129"/>
      <c r="E801" s="129"/>
      <c r="F801" s="129"/>
      <c r="G801" s="129"/>
      <c r="H801" s="129"/>
      <c r="I801" s="129"/>
      <c r="J801" s="129"/>
      <c r="K801" s="131">
        <v>43767</v>
      </c>
      <c r="L801" s="130" t="s">
        <v>764</v>
      </c>
      <c r="M801" s="683" t="s">
        <v>2074</v>
      </c>
      <c r="N801" s="683" t="s">
        <v>1384</v>
      </c>
      <c r="O801" s="85"/>
      <c r="P801" s="85"/>
      <c r="Q801" s="85" t="s">
        <v>108</v>
      </c>
      <c r="R801" s="85" t="s">
        <v>1782</v>
      </c>
      <c r="S801" s="6" t="s">
        <v>1385</v>
      </c>
      <c r="T801" s="85" t="s">
        <v>1782</v>
      </c>
      <c r="U801" s="85"/>
      <c r="V801" s="85" t="s">
        <v>744</v>
      </c>
      <c r="W801" s="85" t="s">
        <v>914</v>
      </c>
      <c r="X801" s="85" t="s">
        <v>917</v>
      </c>
      <c r="Y801" s="15">
        <v>8754673</v>
      </c>
      <c r="Z801" s="692"/>
      <c r="AA801" s="85" t="s">
        <v>1387</v>
      </c>
      <c r="AB801" s="19" t="s">
        <v>1393</v>
      </c>
      <c r="AC801" s="85" t="s">
        <v>787</v>
      </c>
      <c r="AD801" s="85"/>
      <c r="AE801" s="85"/>
      <c r="AF801" s="132">
        <v>133.80000000000001</v>
      </c>
      <c r="AG801" s="85"/>
      <c r="AH801" s="85" t="s">
        <v>2342</v>
      </c>
      <c r="AI801" s="85" t="s">
        <v>844</v>
      </c>
      <c r="AJ801" s="85" t="s">
        <v>1386</v>
      </c>
      <c r="AK801" s="85"/>
      <c r="AL801" s="85"/>
      <c r="AM801" s="85"/>
      <c r="AN801" s="85"/>
      <c r="AO801" s="85"/>
      <c r="AP801" s="85" t="s">
        <v>240</v>
      </c>
      <c r="AQ801" s="724" t="str">
        <f>CONCATENATE("REG-",BDEGENER[[#This Row],[FECHA DE SERVICIO]],"-",BDEGENER[[#This Row],[SERIE]],"-",BDEGENER[[#This Row],[HORAS]])</f>
        <v>REG-43767-8754673-133,8</v>
      </c>
      <c r="AR801" s="85" t="str">
        <f>CONCATENATE("MARCA: ",BDEGENER[[#This Row],[MARCA]],"
 MODELO: ",BDEGENER[[#This Row],[MODELO]])</f>
        <v>MARCA: GAMMA
 MODELO: GPLS-400I</v>
      </c>
      <c r="AS801" s="85" t="str">
        <f>CONCATENATE("MARCA: ",BDEGENER[[#This Row],[MARCA DE MOTOR]],"
SERIE: ",BDEGENER[[#This Row],[SERIE DE MOTOR]])</f>
        <v>MARCA: PERKINS
SERIE: TGHF5219</v>
      </c>
      <c r="AT801" s="85" t="str">
        <f>CONCATENATE("MARCA: ",BDEGENER[[#This Row],[MARCA ALTERNADOR ]],"
SERIE: ",BDEGENER[[#This Row],[SERIE DE ALTERNADOR]])</f>
        <v xml:space="preserve">MARCA: 
SERIE: </v>
      </c>
      <c r="AU801" s="85" t="str">
        <f>CONCATENATE("HORAS: ",BDEGENER[[#This Row],[HORAS]],"
KW-HR: ",BDEGENER[[#This Row],[KW-HORA]],"
VOLT.BATERIA: ",BDEGENER[[#This Row],[VOLTAJE DE BATERIA]],"
TEMPERATURA: ",BDEGENER[[#This Row],[TEMPERATURA DE AGUA]],"
PRES. ACEITE: ",BDEGENER[[#This Row],[PRESION DE ACEITE]])</f>
        <v xml:space="preserve">HORAS: 133,8
KW-HR: 
VOLT.BATERIA: 
TEMPERATURA: 
PRES. ACEITE: </v>
      </c>
      <c r="AV801" s="683">
        <f>COUNTIFS(Q801:Q2801,"MANTENIMIENTO CORRECTIVO",Y801:Y2801,BDEGENER[[#This Row],[SERIE]])</f>
        <v>0</v>
      </c>
      <c r="AW801" s="683">
        <f>COUNTIFS(Q801:Q2801,"MANTENIMIENTO PREVENTIVO",Y801:Y2801,BDEGENER[[#This Row],[SERIE]])</f>
        <v>0</v>
      </c>
      <c r="AX80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801" s="85">
        <f>COUNTIFS(BDEGENER[SERIE],BDEGENER[[#This Row],[SERIE]],BDEGENER[TIPO DE SERVICIO],"MANTENIMIENTO PREVENTIVO")</f>
        <v>2</v>
      </c>
      <c r="AZ801" s="85" t="str">
        <f>CONCATENATE("MANTENIMIENTO PREVENTIVO N°",BDEGENER[[#This Row],[GA1]])</f>
        <v>MANTENIMIENTO PREVENTIVO N°2</v>
      </c>
      <c r="BA801" s="85" t="str">
        <f>IF(BDEGENER[[#This Row],[SERVICIO]]=BDEGENER[[#This Row],[GA2]],BDEGENER[[#This Row],[HORAS]],"0")</f>
        <v>0</v>
      </c>
      <c r="BB801" s="85">
        <f>SUMIF(BDEGENER[SERIE],BDEGENER[[#This Row],[SERIE]],BDEGENER[GA3])</f>
        <v>152.9</v>
      </c>
      <c r="BC801" s="683" t="str">
        <f>CONCATENATE("MANT",COUNTIF($Y$7:Y801,Y801))</f>
        <v>MANT6</v>
      </c>
      <c r="BD801" s="85" t="str">
        <f>CONCATENATE(BDEGENER[[#This Row],[SERIE]],BDEGENER[[#This Row],[GA5]])</f>
        <v>8754673MANT6</v>
      </c>
      <c r="BE801" s="85" t="str">
        <f>CONCATENATE(BDEGENER[[#This Row],[CODIGO PATRIMONIAL]],BDEGENER[[#This Row],[GA5]])</f>
        <v>MANT6</v>
      </c>
      <c r="BF801" s="129">
        <f>COUNTIF(BDEGENER[SERIE],BDEGENER[[#This Row],[SERIE]])</f>
        <v>6</v>
      </c>
      <c r="BG801" s="683" t="str">
        <f>CONCATENATE("F",COUNTIF($K$7:K801,K801))</f>
        <v>F2</v>
      </c>
      <c r="BH801" s="129" t="str">
        <f>CONCATENATE(BDEGENER[[#This Row],[FECHA DE SERVICIO]],BDEGENER[[#This Row],[N° DE REGISTROS DEL DIA]])</f>
        <v>43767F2</v>
      </c>
      <c r="BI801" s="324"/>
      <c r="BJ801" s="325"/>
      <c r="BK801" s="326"/>
    </row>
    <row r="802" spans="2:63" ht="69" hidden="1" x14ac:dyDescent="0.3">
      <c r="B802" s="129"/>
      <c r="C802" s="129"/>
      <c r="D802" s="129"/>
      <c r="E802" s="129"/>
      <c r="F802" s="129"/>
      <c r="G802" s="129"/>
      <c r="H802" s="129"/>
      <c r="I802" s="129"/>
      <c r="J802" s="129"/>
      <c r="K802" s="131">
        <v>43767</v>
      </c>
      <c r="L802" s="130" t="s">
        <v>248</v>
      </c>
      <c r="M802" s="85" t="s">
        <v>1202</v>
      </c>
      <c r="N802" s="85" t="s">
        <v>254</v>
      </c>
      <c r="O802" s="85"/>
      <c r="P802" s="85"/>
      <c r="Q802" s="85" t="s">
        <v>109</v>
      </c>
      <c r="R802" s="85" t="s">
        <v>1203</v>
      </c>
      <c r="S802" s="6" t="s">
        <v>1204</v>
      </c>
      <c r="T802" s="85" t="s">
        <v>1206</v>
      </c>
      <c r="U802" s="85"/>
      <c r="V802" s="85" t="s">
        <v>149</v>
      </c>
      <c r="W802" s="85" t="s">
        <v>911</v>
      </c>
      <c r="X802" s="85" t="s">
        <v>917</v>
      </c>
      <c r="Y802" s="725">
        <v>3003932013</v>
      </c>
      <c r="Z802" s="85">
        <v>22986</v>
      </c>
      <c r="AA802" s="85" t="s">
        <v>33</v>
      </c>
      <c r="AB802" s="85" t="s">
        <v>1205</v>
      </c>
      <c r="AC802" s="23" t="s">
        <v>529</v>
      </c>
      <c r="AD802" s="85" t="s">
        <v>1200</v>
      </c>
      <c r="AE802" s="85">
        <v>60</v>
      </c>
      <c r="AF802" s="132">
        <v>1332.4</v>
      </c>
      <c r="AG802" s="85"/>
      <c r="AH802" s="683"/>
      <c r="AI802" s="16" t="s">
        <v>523</v>
      </c>
      <c r="AJ802" s="85"/>
      <c r="AK802" s="85"/>
      <c r="AL802" s="85"/>
      <c r="AM802" s="85"/>
      <c r="AN802" s="85"/>
      <c r="AO802" s="85"/>
      <c r="AP802" s="85" t="s">
        <v>240</v>
      </c>
      <c r="AQ802" s="200" t="str">
        <f>CONCATENATE("REG-",BDEGENER[[#This Row],[FECHA DE SERVICIO]],"-",BDEGENER[[#This Row],[SERIE]],"-",BDEGENER[[#This Row],[HORAS]])</f>
        <v>REG-43767-3003932013-1332,4</v>
      </c>
      <c r="AR802" s="85" t="str">
        <f>CONCATENATE("MARCA: ",BDEGENER[[#This Row],[MARCA]],"
 MODELO: ",BDEGENER[[#This Row],[MODELO]])</f>
        <v>MARCA: GENERAC
 MODELO: XD5000E</v>
      </c>
      <c r="AS802" s="85" t="str">
        <f>CONCATENATE("MARCA: ",BDEGENER[[#This Row],[MARCA DE MOTOR]],"
SERIE: ",BDEGENER[[#This Row],[SERIE DE MOTOR]])</f>
        <v xml:space="preserve">MARCA: YANMAR
SERIE: </v>
      </c>
      <c r="AT802" s="85" t="str">
        <f>CONCATENATE("MARCA: ",BDEGENER[[#This Row],[MARCA ALTERNADOR ]],"
SERIE: ",BDEGENER[[#This Row],[SERIE DE ALTERNADOR]])</f>
        <v xml:space="preserve">MARCA: 
SERIE: </v>
      </c>
      <c r="AU802" s="85" t="str">
        <f>CONCATENATE("HORAS: ",BDEGENER[[#This Row],[HORAS]],"
KW-HR: ",BDEGENER[[#This Row],[KW-HORA]],"
VOLT.BATERIA: ",BDEGENER[[#This Row],[VOLTAJE DE BATERIA]],"
TEMPERATURA: ",BDEGENER[[#This Row],[TEMPERATURA DE AGUA]],"
PRES. ACEITE: ",BDEGENER[[#This Row],[PRESION DE ACEITE]])</f>
        <v xml:space="preserve">HORAS: 1332,4
KW-HR: 
VOLT.BATERIA: 
TEMPERATURA: 
PRES. ACEITE: </v>
      </c>
      <c r="AV802" s="761">
        <f>COUNTIFS(Q802:Q2802,"MANTENIMIENTO CORRECTIVO",Y802:Y2802,BDEGENER[[#This Row],[SERIE]])</f>
        <v>0</v>
      </c>
      <c r="AW802" s="761">
        <f>COUNTIFS(Q802:Q2802,"MANTENIMIENTO PREVENTIVO",Y802:Y2802,BDEGENER[[#This Row],[SERIE]])</f>
        <v>1</v>
      </c>
      <c r="AX802"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02" s="85">
        <f>COUNTIFS(BDEGENER[SERIE],BDEGENER[[#This Row],[SERIE]],BDEGENER[TIPO DE SERVICIO],"MANTENIMIENTO PREVENTIVO")</f>
        <v>1</v>
      </c>
      <c r="AZ802" s="85" t="str">
        <f>CONCATENATE("MANTENIMIENTO PREVENTIVO N°",BDEGENER[[#This Row],[GA1]])</f>
        <v>MANTENIMIENTO PREVENTIVO N°1</v>
      </c>
      <c r="BA802" s="85" t="str">
        <f>IF(BDEGENER[[#This Row],[SERVICIO]]=BDEGENER[[#This Row],[GA2]],BDEGENER[[#This Row],[HORAS]],"0")</f>
        <v>0</v>
      </c>
      <c r="BB802" s="85">
        <f>SUMIF(BDEGENER[SERIE],BDEGENER[[#This Row],[SERIE]],BDEGENER[GA3])</f>
        <v>89.6</v>
      </c>
      <c r="BC802" s="761" t="str">
        <f>CONCATENATE("MANT",COUNTIF($Y$7:Y802,Y802))</f>
        <v>MANT2</v>
      </c>
      <c r="BD802" s="85" t="str">
        <f>CONCATENATE(BDEGENER[[#This Row],[SERIE]],BDEGENER[[#This Row],[GA5]])</f>
        <v>3003932013MANT2</v>
      </c>
      <c r="BE802" s="85" t="str">
        <f>CONCATENATE(BDEGENER[[#This Row],[CODIGO PATRIMONIAL]],BDEGENER[[#This Row],[GA5]])</f>
        <v>22986MANT2</v>
      </c>
      <c r="BF802" s="129">
        <f>COUNTIF(BDEGENER[SERIE],BDEGENER[[#This Row],[SERIE]])</f>
        <v>5</v>
      </c>
      <c r="BG802" s="761" t="str">
        <f>CONCATENATE("F",COUNTIF($K$7:K802,K802))</f>
        <v>F3</v>
      </c>
      <c r="BH802" s="325" t="str">
        <f>CONCATENATE(BDEGENER[[#This Row],[FECHA DE SERVICIO]],BDEGENER[[#This Row],[N° DE REGISTROS DEL DIA]])</f>
        <v>43767F3</v>
      </c>
      <c r="BI802" s="324"/>
      <c r="BJ802" s="325"/>
      <c r="BK802" s="326"/>
    </row>
    <row r="803" spans="2:63" ht="69" hidden="1" x14ac:dyDescent="0.3">
      <c r="B803" s="34"/>
      <c r="C803" s="34"/>
      <c r="D803" s="34"/>
      <c r="E803" s="34"/>
      <c r="F803" s="34"/>
      <c r="G803" s="34"/>
      <c r="H803" s="34"/>
      <c r="I803" s="34"/>
      <c r="J803" s="34"/>
      <c r="K803" s="37">
        <v>43762</v>
      </c>
      <c r="L803" s="30" t="s">
        <v>561</v>
      </c>
      <c r="M803" s="85" t="s">
        <v>2439</v>
      </c>
      <c r="N803" s="19" t="s">
        <v>564</v>
      </c>
      <c r="O803" s="19"/>
      <c r="P803" s="19"/>
      <c r="Q803" s="19" t="s">
        <v>37</v>
      </c>
      <c r="R803" s="85" t="s">
        <v>1782</v>
      </c>
      <c r="S803" s="19" t="s">
        <v>1186</v>
      </c>
      <c r="T803" s="85" t="s">
        <v>1782</v>
      </c>
      <c r="U803" s="19" t="s">
        <v>670</v>
      </c>
      <c r="V803" s="19" t="s">
        <v>671</v>
      </c>
      <c r="W803" s="85" t="s">
        <v>914</v>
      </c>
      <c r="X803" s="85" t="s">
        <v>918</v>
      </c>
      <c r="Y803" s="31">
        <v>3003963149</v>
      </c>
      <c r="Z803" s="85" t="s">
        <v>2603</v>
      </c>
      <c r="AA803" s="85" t="s">
        <v>33</v>
      </c>
      <c r="AB803" s="85" t="s">
        <v>34</v>
      </c>
      <c r="AC803" s="85" t="s">
        <v>230</v>
      </c>
      <c r="AD803" s="16"/>
      <c r="AE803" s="16"/>
      <c r="AF803" s="146">
        <v>976.3</v>
      </c>
      <c r="AG803" s="16" t="s">
        <v>243</v>
      </c>
      <c r="AH803" s="16" t="s">
        <v>220</v>
      </c>
      <c r="AI803" s="16"/>
      <c r="AJ803" s="16"/>
      <c r="AK803" s="16"/>
      <c r="AL803" s="16"/>
      <c r="AM803" s="16"/>
      <c r="AN803" s="16"/>
      <c r="AO803" s="16"/>
      <c r="AP803" s="19" t="s">
        <v>240</v>
      </c>
      <c r="AQ803" s="127" t="str">
        <f>CONCATENATE("REG-",BDEGENER[[#This Row],[FECHA DE SERVICIO]],"-",BDEGENER[[#This Row],[SERIE]],"-",BDEGENER[[#This Row],[HORAS]])</f>
        <v>REG-43762-3003963149-976,3</v>
      </c>
      <c r="AR803" s="5" t="str">
        <f>CONCATENATE("MARCA: ",BDEGENER[[#This Row],[MARCA]],"
 MODELO: ",BDEGENER[[#This Row],[MODELO]])</f>
        <v>MARCA: GENERAC
 MODELO: PG090</v>
      </c>
      <c r="AS803" s="5" t="str">
        <f>CONCATENATE("MARCA: ",BDEGENER[[#This Row],[MARCA DE MOTOR]],"
SERIE: ",BDEGENER[[#This Row],[SERIE DE MOTOR]])</f>
        <v xml:space="preserve">MARCA: 
SERIE: </v>
      </c>
      <c r="AT803" s="5" t="str">
        <f>CONCATENATE("MARCA: ",BDEGENER[[#This Row],[MARCA ALTERNADOR ]],"
SERIE: ",BDEGENER[[#This Row],[SERIE DE ALTERNADOR]])</f>
        <v xml:space="preserve">MARCA: 
SERIE: </v>
      </c>
      <c r="AU803" s="29" t="str">
        <f>CONCATENATE("HORAS: ",BDEGENER[[#This Row],[HORAS]],"
KW-HR: ",BDEGENER[[#This Row],[KW-HORA]],"
VOLT.BATERIA: ",BDEGENER[[#This Row],[VOLTAJE DE BATERIA]],"
TEMPERATURA: ",BDEGENER[[#This Row],[TEMPERATURA DE AGUA]],"
PRES. ACEITE: ",BDEGENER[[#This Row],[PRESION DE ACEITE]])</f>
        <v xml:space="preserve">HORAS: 976,3
KW-HR: 
VOLT.BATERIA: 
TEMPERATURA: 
PRES. ACEITE: </v>
      </c>
      <c r="AV803" s="683">
        <f>COUNTIFS(Q803:Q2803,"MANTENIMIENTO CORRECTIVO",Y803:Y2803,BDEGENER[[#This Row],[SERIE]])</f>
        <v>1</v>
      </c>
      <c r="AW803" s="683">
        <f>COUNTIFS(Q803:Q2803,"MANTENIMIENTO PREVENTIVO",Y803:Y2803,BDEGENER[[#This Row],[SERIE]])</f>
        <v>3</v>
      </c>
      <c r="AX80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03" s="29">
        <f>COUNTIFS(BDEGENER[SERIE],BDEGENER[[#This Row],[SERIE]],BDEGENER[TIPO DE SERVICIO],"MANTENIMIENTO PREVENTIVO")</f>
        <v>6</v>
      </c>
      <c r="AZ803" s="29" t="str">
        <f>CONCATENATE("MANTENIMIENTO PREVENTIVO N°",BDEGENER[[#This Row],[GA1]])</f>
        <v>MANTENIMIENTO PREVENTIVO N°6</v>
      </c>
      <c r="BA803" s="325" t="str">
        <f>IF(BDEGENER[[#This Row],[SERVICIO]]=BDEGENER[[#This Row],[GA2]],BDEGENER[[#This Row],[HORAS]],"0")</f>
        <v>0</v>
      </c>
      <c r="BB803" s="325">
        <f>SUMIF(BDEGENER[SERIE],BDEGENER[[#This Row],[SERIE]],BDEGENER[GA3])</f>
        <v>3959.4</v>
      </c>
      <c r="BC803" s="683" t="str">
        <f>CONCATENATE("MANT",COUNTIF($Y$7:Y803,Y803))</f>
        <v>MANT7</v>
      </c>
      <c r="BD803" s="29" t="str">
        <f>CONCATENATE(BDEGENER[[#This Row],[SERIE]],BDEGENER[[#This Row],[GA5]])</f>
        <v>3003963149MANT7</v>
      </c>
      <c r="BE803" s="29" t="str">
        <f>CONCATENATE(BDEGENER[[#This Row],[CODIGO PATRIMONIAL]],BDEGENER[[#This Row],[GA5]])</f>
        <v>SUR-GEG-0007MANT7</v>
      </c>
      <c r="BF803" s="16">
        <f>COUNTIF(BDEGENER[SERIE],BDEGENER[[#This Row],[SERIE]])</f>
        <v>12</v>
      </c>
      <c r="BG803" s="683" t="str">
        <f>CONCATENATE("F",COUNTIF($K$7:K803,K803))</f>
        <v>F1</v>
      </c>
      <c r="BH803" s="325" t="str">
        <f>CONCATENATE(BDEGENER[[#This Row],[FECHA DE SERVICIO]],BDEGENER[[#This Row],[N° DE REGISTROS DEL DIA]])</f>
        <v>43762F1</v>
      </c>
      <c r="BI803" s="324"/>
      <c r="BJ803" s="325"/>
      <c r="BK803" s="326"/>
    </row>
    <row r="804" spans="2:63" ht="82.8" hidden="1" x14ac:dyDescent="0.3">
      <c r="B804" s="5"/>
      <c r="C804" s="34"/>
      <c r="D804" s="34"/>
      <c r="E804" s="34"/>
      <c r="F804" s="34"/>
      <c r="G804" s="34"/>
      <c r="H804" s="34"/>
      <c r="I804" s="34"/>
      <c r="J804" s="34"/>
      <c r="K804" s="37">
        <v>43761</v>
      </c>
      <c r="L804" s="31" t="s">
        <v>791</v>
      </c>
      <c r="M804" s="740" t="s">
        <v>1927</v>
      </c>
      <c r="N804" s="85" t="s">
        <v>794</v>
      </c>
      <c r="O804" s="35"/>
      <c r="P804" s="3"/>
      <c r="Q804" s="19" t="s">
        <v>37</v>
      </c>
      <c r="R804" s="85" t="s">
        <v>1782</v>
      </c>
      <c r="S804" s="19" t="s">
        <v>806</v>
      </c>
      <c r="T804" s="85" t="s">
        <v>2307</v>
      </c>
      <c r="U804" s="19" t="s">
        <v>1189</v>
      </c>
      <c r="V804" s="19" t="s">
        <v>146</v>
      </c>
      <c r="W804" s="19" t="s">
        <v>914</v>
      </c>
      <c r="X804" s="19" t="s">
        <v>917</v>
      </c>
      <c r="Y804" s="31" t="s">
        <v>837</v>
      </c>
      <c r="Z804" s="780"/>
      <c r="AA804" s="740" t="s">
        <v>845</v>
      </c>
      <c r="AB804" s="19" t="s">
        <v>1190</v>
      </c>
      <c r="AC804" s="740" t="s">
        <v>853</v>
      </c>
      <c r="AD804" s="85" t="s">
        <v>2304</v>
      </c>
      <c r="AE804" s="85">
        <v>60.1</v>
      </c>
      <c r="AF804" s="31">
        <v>360</v>
      </c>
      <c r="AG804" s="85" t="s">
        <v>243</v>
      </c>
      <c r="AH804" s="85" t="s">
        <v>2293</v>
      </c>
      <c r="AI804" s="19" t="s">
        <v>867</v>
      </c>
      <c r="AJ804" s="19" t="s">
        <v>862</v>
      </c>
      <c r="AK804" s="16" t="s">
        <v>845</v>
      </c>
      <c r="AL804" s="16">
        <v>66612</v>
      </c>
      <c r="AM804" s="16" t="s">
        <v>1121</v>
      </c>
      <c r="AN804" s="16" t="s">
        <v>2308</v>
      </c>
      <c r="AO804" s="16" t="s">
        <v>1103</v>
      </c>
      <c r="AP804" s="19" t="s">
        <v>240</v>
      </c>
      <c r="AQ804" s="724" t="str">
        <f>CONCATENATE("REG-",BDEGENER[[#This Row],[FECHA DE SERVICIO]],"-",BDEGENER[[#This Row],[SERIE]],"-",BDEGENER[[#This Row],[HORAS]])</f>
        <v>REG-43761-123231-0306-360</v>
      </c>
      <c r="AR804" s="29" t="str">
        <f>CONCATENATE("MARCA: ",BDEGENER[[#This Row],[MARCA]],"
 MODELO: ",BDEGENER[[#This Row],[MODELO]])</f>
        <v>MARCA: KATOLIGHT
 MODELO: SEN25FGN4</v>
      </c>
      <c r="AS804" s="29" t="str">
        <f>CONCATENATE("MARCA: ",BDEGENER[[#This Row],[MARCA DE MOTOR]],"
SERIE: ",BDEGENER[[#This Row],[SERIE DE MOTOR]])</f>
        <v>MARCA: NISSAN
SERIE: 5Y21F</v>
      </c>
      <c r="AT804" s="29" t="str">
        <f>CONCATENATE("MARCA: ",BDEGENER[[#This Row],[MARCA ALTERNADOR ]],"
SERIE: ",BDEGENER[[#This Row],[SERIE DE ALTERNADOR]])</f>
        <v>MARCA: KATOLIGHT
SERIE: 66612</v>
      </c>
      <c r="AU804" s="29" t="str">
        <f>CONCATENATE("HORAS: ",BDEGENER[[#This Row],[HORAS]],"
KW-HR: ",BDEGENER[[#This Row],[KW-HORA]],"
VOLT.BATERIA: ",BDEGENER[[#This Row],[VOLTAJE DE BATERIA]],"
TEMPERATURA: ",BDEGENER[[#This Row],[TEMPERATURA DE AGUA]],"
PRES. ACEITE: ",BDEGENER[[#This Row],[PRESION DE ACEITE]])</f>
        <v>HORAS: 360
KW-HR: 
VOLT.BATERIA: 13.7 V
TEMPERATURA: 138 °F
PRES. ACEITE: 52 PSI</v>
      </c>
      <c r="AV804" s="683">
        <f>COUNTIFS(Q804:Q2804,"MANTENIMIENTO CORRECTIVO",Y804:Y2804,BDEGENER[[#This Row],[SERIE]])</f>
        <v>1</v>
      </c>
      <c r="AW804" s="683">
        <f>COUNTIFS(Q804:Q2804,"MANTENIMIENTO PREVENTIVO",Y804:Y2804,BDEGENER[[#This Row],[SERIE]])</f>
        <v>3</v>
      </c>
      <c r="AX80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04" s="29">
        <f>COUNTIFS(BDEGENER[SERIE],BDEGENER[[#This Row],[SERIE]],BDEGENER[TIPO DE SERVICIO],"MANTENIMIENTO PREVENTIVO")</f>
        <v>4</v>
      </c>
      <c r="AZ804" s="29" t="str">
        <f>CONCATENATE("MANTENIMIENTO PREVENTIVO N°",BDEGENER[[#This Row],[GA1]])</f>
        <v>MANTENIMIENTO PREVENTIVO N°4</v>
      </c>
      <c r="BA804" s="325" t="str">
        <f>IF(BDEGENER[[#This Row],[SERVICIO]]=BDEGENER[[#This Row],[GA2]],BDEGENER[[#This Row],[HORAS]],"0")</f>
        <v>0</v>
      </c>
      <c r="BB804" s="325">
        <f>SUMIF(BDEGENER[SERIE],BDEGENER[[#This Row],[SERIE]],BDEGENER[GA3])</f>
        <v>383</v>
      </c>
      <c r="BC804" s="683" t="str">
        <f>CONCATENATE("MANT",COUNTIF($Y$7:Y804,Y804))</f>
        <v>MANT2</v>
      </c>
      <c r="BD804" s="29" t="str">
        <f>CONCATENATE(BDEGENER[[#This Row],[SERIE]],BDEGENER[[#This Row],[GA5]])</f>
        <v>123231-0306MANT2</v>
      </c>
      <c r="BE804" s="29" t="str">
        <f>CONCATENATE(BDEGENER[[#This Row],[CODIGO PATRIMONIAL]],BDEGENER[[#This Row],[GA5]])</f>
        <v>MANT2</v>
      </c>
      <c r="BF804" s="16">
        <f>COUNTIF(BDEGENER[SERIE],BDEGENER[[#This Row],[SERIE]])</f>
        <v>5</v>
      </c>
      <c r="BG804" s="683" t="str">
        <f>CONCATENATE("F",COUNTIF($K$7:K804,K804))</f>
        <v>F1</v>
      </c>
      <c r="BH804" s="325" t="str">
        <f>CONCATENATE(BDEGENER[[#This Row],[FECHA DE SERVICIO]],BDEGENER[[#This Row],[N° DE REGISTROS DEL DIA]])</f>
        <v>43761F1</v>
      </c>
      <c r="BI804" s="324"/>
      <c r="BJ804" s="325"/>
      <c r="BK804" s="326"/>
    </row>
    <row r="805" spans="2:63" ht="82.8" hidden="1" x14ac:dyDescent="0.3">
      <c r="B805" s="5"/>
      <c r="C805" s="34"/>
      <c r="D805" s="34"/>
      <c r="E805" s="34"/>
      <c r="F805" s="34"/>
      <c r="G805" s="34"/>
      <c r="H805" s="34"/>
      <c r="I805" s="34"/>
      <c r="J805" s="34"/>
      <c r="K805" s="37">
        <v>43761</v>
      </c>
      <c r="L805" s="85" t="s">
        <v>791</v>
      </c>
      <c r="M805" s="19" t="s">
        <v>1926</v>
      </c>
      <c r="N805" s="740" t="s">
        <v>795</v>
      </c>
      <c r="O805" s="35"/>
      <c r="P805" s="3"/>
      <c r="Q805" s="19" t="s">
        <v>37</v>
      </c>
      <c r="R805" s="85" t="s">
        <v>1782</v>
      </c>
      <c r="S805" s="19" t="s">
        <v>806</v>
      </c>
      <c r="T805" s="85" t="s">
        <v>1782</v>
      </c>
      <c r="U805" s="19" t="s">
        <v>1187</v>
      </c>
      <c r="V805" s="19" t="s">
        <v>146</v>
      </c>
      <c r="W805" s="19" t="s">
        <v>914</v>
      </c>
      <c r="X805" s="19" t="s">
        <v>917</v>
      </c>
      <c r="Y805" s="15" t="s">
        <v>838</v>
      </c>
      <c r="Z805" s="16"/>
      <c r="AA805" s="19" t="s">
        <v>845</v>
      </c>
      <c r="AB805" s="19" t="s">
        <v>847</v>
      </c>
      <c r="AC805" s="19" t="s">
        <v>232</v>
      </c>
      <c r="AD805" s="683" t="s">
        <v>2290</v>
      </c>
      <c r="AE805" s="683">
        <v>60.1</v>
      </c>
      <c r="AF805" s="146">
        <v>90</v>
      </c>
      <c r="AG805" s="683" t="s">
        <v>243</v>
      </c>
      <c r="AH805" s="683" t="s">
        <v>2293</v>
      </c>
      <c r="AI805" s="19" t="s">
        <v>1188</v>
      </c>
      <c r="AJ805" s="19" t="s">
        <v>863</v>
      </c>
      <c r="AK805" s="16" t="s">
        <v>845</v>
      </c>
      <c r="AL805" s="16">
        <v>664946</v>
      </c>
      <c r="AM805" s="16" t="s">
        <v>245</v>
      </c>
      <c r="AN805" s="16" t="s">
        <v>2294</v>
      </c>
      <c r="AO805" s="16" t="s">
        <v>1101</v>
      </c>
      <c r="AP805" s="19" t="s">
        <v>240</v>
      </c>
      <c r="AQ805" s="760" t="str">
        <f>CONCATENATE("REG-",BDEGENER[[#This Row],[FECHA DE SERVICIO]],"-",BDEGENER[[#This Row],[SERIE]],"-",BDEGENER[[#This Row],[HORAS]])</f>
        <v>REG-43761-123234-0306-90</v>
      </c>
      <c r="AR805" s="29" t="str">
        <f>CONCATENATE("MARCA: ",BDEGENER[[#This Row],[MARCA]],"
 MODELO: ",BDEGENER[[#This Row],[MODELO]])</f>
        <v>MARCA: KATOLIGHT
 MODELO: SEN40FPG4</v>
      </c>
      <c r="AS805" s="29" t="str">
        <f>CONCATENATE("MARCA: ",BDEGENER[[#This Row],[MARCA DE MOTOR]],"
SERIE: ",BDEGENER[[#This Row],[SERIE DE MOTOR]])</f>
        <v>MARCA: VORTE
SERIE: 4P3L32844</v>
      </c>
      <c r="AT805" s="29" t="str">
        <f>CONCATENATE("MARCA: ",BDEGENER[[#This Row],[MARCA ALTERNADOR ]],"
SERIE: ",BDEGENER[[#This Row],[SERIE DE ALTERNADOR]])</f>
        <v>MARCA: KATOLIGHT
SERIE: 664946</v>
      </c>
      <c r="AU805" s="29" t="str">
        <f>CONCATENATE("HORAS: ",BDEGENER[[#This Row],[HORAS]],"
KW-HR: ",BDEGENER[[#This Row],[KW-HORA]],"
VOLT.BATERIA: ",BDEGENER[[#This Row],[VOLTAJE DE BATERIA]],"
TEMPERATURA: ",BDEGENER[[#This Row],[TEMPERATURA DE AGUA]],"
PRES. ACEITE: ",BDEGENER[[#This Row],[PRESION DE ACEITE]])</f>
        <v>HORAS: 90
KW-HR: 
VOLT.BATERIA: 13.6 V
TEMPERATURA: 152 °C
PRES. ACEITE: 51 PSI</v>
      </c>
      <c r="AV805" s="761">
        <f>COUNTIFS(Q805:Q2805,"MANTENIMIENTO CORRECTIVO",Y805:Y2805,BDEGENER[[#This Row],[SERIE]])</f>
        <v>0</v>
      </c>
      <c r="AW805" s="761">
        <f>COUNTIFS(Q805:Q2805,"MANTENIMIENTO PREVENTIVO",Y805:Y2805,BDEGENER[[#This Row],[SERIE]])</f>
        <v>3</v>
      </c>
      <c r="AX80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05" s="29">
        <f>COUNTIFS(BDEGENER[SERIE],BDEGENER[[#This Row],[SERIE]],BDEGENER[TIPO DE SERVICIO],"MANTENIMIENTO PREVENTIVO")</f>
        <v>4</v>
      </c>
      <c r="AZ805" s="29" t="str">
        <f>CONCATENATE("MANTENIMIENTO PREVENTIVO N°",BDEGENER[[#This Row],[GA1]])</f>
        <v>MANTENIMIENTO PREVENTIVO N°4</v>
      </c>
      <c r="BA805" s="325" t="str">
        <f>IF(BDEGENER[[#This Row],[SERVICIO]]=BDEGENER[[#This Row],[GA2]],BDEGENER[[#This Row],[HORAS]],"0")</f>
        <v>0</v>
      </c>
      <c r="BB805" s="325">
        <f>SUMIF(BDEGENER[SERIE],BDEGENER[[#This Row],[SERIE]],BDEGENER[GA3])</f>
        <v>90</v>
      </c>
      <c r="BC805" s="761" t="str">
        <f>CONCATENATE("MANT",COUNTIF($Y$7:Y805,Y805))</f>
        <v>MANT2</v>
      </c>
      <c r="BD805" s="29" t="str">
        <f>CONCATENATE(BDEGENER[[#This Row],[SERIE]],BDEGENER[[#This Row],[GA5]])</f>
        <v>123234-0306MANT2</v>
      </c>
      <c r="BE805" s="29" t="str">
        <f>CONCATENATE(BDEGENER[[#This Row],[CODIGO PATRIMONIAL]],BDEGENER[[#This Row],[GA5]])</f>
        <v>MANT2</v>
      </c>
      <c r="BF805" s="16">
        <f>COUNTIF(BDEGENER[SERIE],BDEGENER[[#This Row],[SERIE]])</f>
        <v>5</v>
      </c>
      <c r="BG805" s="761" t="str">
        <f>CONCATENATE("F",COUNTIF($K$7:K805,K805))</f>
        <v>F2</v>
      </c>
      <c r="BH805" s="325" t="str">
        <f>CONCATENATE(BDEGENER[[#This Row],[FECHA DE SERVICIO]],BDEGENER[[#This Row],[N° DE REGISTROS DEL DIA]])</f>
        <v>43761F2</v>
      </c>
      <c r="BI805" s="324"/>
      <c r="BJ805" s="325"/>
      <c r="BK805" s="326"/>
    </row>
    <row r="806" spans="2:63" ht="69" hidden="1" x14ac:dyDescent="0.3">
      <c r="B806" s="223"/>
      <c r="C806" s="223"/>
      <c r="D806" s="223"/>
      <c r="E806" s="223"/>
      <c r="F806" s="223"/>
      <c r="G806" s="223"/>
      <c r="H806" s="223"/>
      <c r="I806" s="223"/>
      <c r="J806" s="223"/>
      <c r="K806" s="723">
        <v>43759</v>
      </c>
      <c r="L806" s="15" t="s">
        <v>181</v>
      </c>
      <c r="M806" s="14" t="s">
        <v>186</v>
      </c>
      <c r="N806" s="14" t="s">
        <v>946</v>
      </c>
      <c r="O806" s="8"/>
      <c r="P806" s="157" t="s">
        <v>1207</v>
      </c>
      <c r="Q806" s="14" t="s">
        <v>37</v>
      </c>
      <c r="R806" s="85" t="s">
        <v>1782</v>
      </c>
      <c r="S806" s="5" t="s">
        <v>45</v>
      </c>
      <c r="T806" s="85" t="s">
        <v>1782</v>
      </c>
      <c r="U806" s="14" t="s">
        <v>118</v>
      </c>
      <c r="V806" s="14" t="s">
        <v>146</v>
      </c>
      <c r="W806" s="85" t="s">
        <v>914</v>
      </c>
      <c r="X806" s="85" t="s">
        <v>918</v>
      </c>
      <c r="Y806" s="15">
        <v>3004327724</v>
      </c>
      <c r="Z806" s="14"/>
      <c r="AA806" s="14" t="s">
        <v>33</v>
      </c>
      <c r="AB806" s="85" t="s">
        <v>34</v>
      </c>
      <c r="AC806" s="14" t="s">
        <v>230</v>
      </c>
      <c r="AD806" s="16"/>
      <c r="AE806" s="16"/>
      <c r="AF806" s="12">
        <v>432.7</v>
      </c>
      <c r="AG806" s="16" t="s">
        <v>243</v>
      </c>
      <c r="AH806" s="16" t="s">
        <v>220</v>
      </c>
      <c r="AI806" s="16" t="s">
        <v>33</v>
      </c>
      <c r="AJ806" s="16">
        <v>3004333872</v>
      </c>
      <c r="AK806" s="16" t="s">
        <v>33</v>
      </c>
      <c r="AL806" s="16"/>
      <c r="AM806" s="16"/>
      <c r="AN806" s="16"/>
      <c r="AO806" s="16"/>
      <c r="AP806" s="14" t="s">
        <v>240</v>
      </c>
      <c r="AQ806" s="200" t="str">
        <f>CONCATENATE("REG-",BDEGENER[[#This Row],[FECHA DE SERVICIO]],"-",BDEGENER[[#This Row],[SERIE]],"-",BDEGENER[[#This Row],[HORAS]])</f>
        <v>REG-43759-3004327724-432,7</v>
      </c>
      <c r="AR806" s="5" t="str">
        <f>CONCATENATE("MARCA: ",BDEGENER[[#This Row],[MARCA]],"
 MODELO: ",BDEGENER[[#This Row],[MODELO]])</f>
        <v>MARCA: GENERAC
 MODELO: PG090</v>
      </c>
      <c r="AS806" s="5" t="str">
        <f>CONCATENATE("MARCA: ",BDEGENER[[#This Row],[MARCA DE MOTOR]],"
SERIE: ",BDEGENER[[#This Row],[SERIE DE MOTOR]])</f>
        <v>MARCA: GENERAC
SERIE: 3004333872</v>
      </c>
      <c r="AT806" s="5" t="str">
        <f>CONCATENATE("MARCA: ",BDEGENER[[#This Row],[MARCA ALTERNADOR ]],"
SERIE: ",BDEGENER[[#This Row],[SERIE DE ALTERNADOR]])</f>
        <v xml:space="preserve">MARCA: GENERAC
SERIE: </v>
      </c>
      <c r="AU806" s="5" t="str">
        <f>CONCATENATE("HORAS: ",BDEGENER[[#This Row],[HORAS]],"
KW-HR: ",BDEGENER[[#This Row],[KW-HORA]],"
VOLT.BATERIA: ",BDEGENER[[#This Row],[VOLTAJE DE BATERIA]],"
TEMPERATURA: ",BDEGENER[[#This Row],[TEMPERATURA DE AGUA]],"
PRES. ACEITE: ",BDEGENER[[#This Row],[PRESION DE ACEITE]])</f>
        <v xml:space="preserve">HORAS: 432,7
KW-HR: 
VOLT.BATERIA: 
TEMPERATURA: 
PRES. ACEITE: </v>
      </c>
      <c r="AV806" s="683">
        <f>COUNTIFS(Q806:Q2806,"MANTENIMIENTO CORRECTIVO",Y806:Y2806,BDEGENER[[#This Row],[SERIE]])</f>
        <v>2</v>
      </c>
      <c r="AW806" s="683">
        <f>COUNTIFS(Q806:Q2806,"MANTENIMIENTO PREVENTIVO",Y806:Y2806,BDEGENER[[#This Row],[SERIE]])</f>
        <v>1</v>
      </c>
      <c r="AX80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06" s="29">
        <f>COUNTIFS(BDEGENER[SERIE],BDEGENER[[#This Row],[SERIE]],BDEGENER[TIPO DE SERVICIO],"MANTENIMIENTO PREVENTIVO")</f>
        <v>8</v>
      </c>
      <c r="AZ806" s="29" t="str">
        <f>CONCATENATE("MANTENIMIENTO PREVENTIVO N°",BDEGENER[[#This Row],[GA1]])</f>
        <v>MANTENIMIENTO PREVENTIVO N°8</v>
      </c>
      <c r="BA806" s="325" t="str">
        <f>IF(BDEGENER[[#This Row],[SERVICIO]]=BDEGENER[[#This Row],[GA2]],BDEGENER[[#This Row],[HORAS]],"0")</f>
        <v>0</v>
      </c>
      <c r="BB806" s="325">
        <f>SUMIF(BDEGENER[SERIE],BDEGENER[[#This Row],[SERIE]],BDEGENER[GA3])</f>
        <v>2271.8000000000002</v>
      </c>
      <c r="BC806" s="683" t="str">
        <f>CONCATENATE("MANT",COUNTIF($Y$7:Y806,Y806))</f>
        <v>MANT14</v>
      </c>
      <c r="BD806" s="29" t="str">
        <f>CONCATENATE(BDEGENER[[#This Row],[SERIE]],BDEGENER[[#This Row],[GA5]])</f>
        <v>3004327724MANT14</v>
      </c>
      <c r="BE806" s="29" t="str">
        <f>CONCATENATE(BDEGENER[[#This Row],[CODIGO PATRIMONIAL]],BDEGENER[[#This Row],[GA5]])</f>
        <v>MANT14</v>
      </c>
      <c r="BF806" s="16">
        <f>COUNTIF(BDEGENER[SERIE],BDEGENER[[#This Row],[SERIE]])</f>
        <v>17</v>
      </c>
      <c r="BG806" s="683" t="str">
        <f>CONCATENATE("F",COUNTIF($K$7:K806,K806))</f>
        <v>F1</v>
      </c>
      <c r="BH806" s="325" t="str">
        <f>CONCATENATE(BDEGENER[[#This Row],[FECHA DE SERVICIO]],BDEGENER[[#This Row],[N° DE REGISTROS DEL DIA]])</f>
        <v>43759F1</v>
      </c>
      <c r="BI806" s="324"/>
      <c r="BJ806" s="85" t="s">
        <v>1544</v>
      </c>
      <c r="BK806" s="326"/>
    </row>
    <row r="807" spans="2:63" ht="69" hidden="1" x14ac:dyDescent="0.3">
      <c r="B807" s="223"/>
      <c r="C807" s="223"/>
      <c r="D807" s="223"/>
      <c r="E807" s="223"/>
      <c r="F807" s="223"/>
      <c r="G807" s="223"/>
      <c r="H807" s="223"/>
      <c r="I807" s="223"/>
      <c r="J807" s="223"/>
      <c r="K807" s="723">
        <v>43759</v>
      </c>
      <c r="L807" s="687" t="s">
        <v>181</v>
      </c>
      <c r="M807" s="14" t="s">
        <v>189</v>
      </c>
      <c r="N807" s="14" t="s">
        <v>946</v>
      </c>
      <c r="O807" s="8"/>
      <c r="P807" s="157" t="s">
        <v>1207</v>
      </c>
      <c r="Q807" s="14" t="s">
        <v>37</v>
      </c>
      <c r="R807" s="85" t="s">
        <v>1782</v>
      </c>
      <c r="S807" s="5" t="s">
        <v>45</v>
      </c>
      <c r="T807" s="85" t="s">
        <v>1782</v>
      </c>
      <c r="U807" s="14" t="s">
        <v>118</v>
      </c>
      <c r="V807" s="14" t="s">
        <v>146</v>
      </c>
      <c r="W807" s="85" t="s">
        <v>914</v>
      </c>
      <c r="X807" s="85" t="s">
        <v>918</v>
      </c>
      <c r="Y807" s="687">
        <v>3004331709</v>
      </c>
      <c r="Z807" s="14"/>
      <c r="AA807" s="14" t="s">
        <v>33</v>
      </c>
      <c r="AB807" s="85" t="s">
        <v>34</v>
      </c>
      <c r="AC807" s="14" t="s">
        <v>230</v>
      </c>
      <c r="AD807" s="722"/>
      <c r="AE807" s="722"/>
      <c r="AF807" s="12">
        <v>312.89999999999998</v>
      </c>
      <c r="AG807" s="722" t="s">
        <v>243</v>
      </c>
      <c r="AH807" s="722" t="s">
        <v>220</v>
      </c>
      <c r="AI807" s="16" t="s">
        <v>33</v>
      </c>
      <c r="AJ807" s="16"/>
      <c r="AK807" s="16" t="s">
        <v>33</v>
      </c>
      <c r="AL807" s="85">
        <v>106302870</v>
      </c>
      <c r="AM807" s="16"/>
      <c r="AN807" s="16"/>
      <c r="AO807" s="16"/>
      <c r="AP807" s="14" t="s">
        <v>240</v>
      </c>
      <c r="AQ807" s="742" t="str">
        <f>CONCATENATE("REG-",BDEGENER[[#This Row],[FECHA DE SERVICIO]],"-",BDEGENER[[#This Row],[SERIE]],"-",BDEGENER[[#This Row],[HORAS]])</f>
        <v>REG-43759-3004331709-312,9</v>
      </c>
      <c r="AR807" s="5" t="str">
        <f>CONCATENATE("MARCA: ",BDEGENER[[#This Row],[MARCA]],"
 MODELO: ",BDEGENER[[#This Row],[MODELO]])</f>
        <v>MARCA: GENERAC
 MODELO: PG090</v>
      </c>
      <c r="AS807" s="5" t="str">
        <f>CONCATENATE("MARCA: ",BDEGENER[[#This Row],[MARCA DE MOTOR]],"
SERIE: ",BDEGENER[[#This Row],[SERIE DE MOTOR]])</f>
        <v xml:space="preserve">MARCA: GENERAC
SERIE: </v>
      </c>
      <c r="AT807" s="5" t="str">
        <f>CONCATENATE("MARCA: ",BDEGENER[[#This Row],[MARCA ALTERNADOR ]],"
SERIE: ",BDEGENER[[#This Row],[SERIE DE ALTERNADOR]])</f>
        <v>MARCA: GENERAC
SERIE: 106302870</v>
      </c>
      <c r="AU807" s="5" t="str">
        <f>CONCATENATE("HORAS: ",BDEGENER[[#This Row],[HORAS]],"
KW-HR: ",BDEGENER[[#This Row],[KW-HORA]],"
VOLT.BATERIA: ",BDEGENER[[#This Row],[VOLTAJE DE BATERIA]],"
TEMPERATURA: ",BDEGENER[[#This Row],[TEMPERATURA DE AGUA]],"
PRES. ACEITE: ",BDEGENER[[#This Row],[PRESION DE ACEITE]])</f>
        <v xml:space="preserve">HORAS: 312,9
KW-HR: 
VOLT.BATERIA: 
TEMPERATURA: 
PRES. ACEITE: </v>
      </c>
      <c r="AV807" s="683">
        <f>COUNTIFS(Q807:Q2807,"MANTENIMIENTO CORRECTIVO",Y807:Y2807,BDEGENER[[#This Row],[SERIE]])</f>
        <v>0</v>
      </c>
      <c r="AW807" s="683">
        <f>COUNTIFS(Q807:Q2807,"MANTENIMIENTO PREVENTIVO",Y807:Y2807,BDEGENER[[#This Row],[SERIE]])</f>
        <v>1</v>
      </c>
      <c r="AX80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07" s="29">
        <f>COUNTIFS(BDEGENER[SERIE],BDEGENER[[#This Row],[SERIE]],BDEGENER[TIPO DE SERVICIO],"MANTENIMIENTO PREVENTIVO")</f>
        <v>7</v>
      </c>
      <c r="AZ807" s="29" t="str">
        <f>CONCATENATE("MANTENIMIENTO PREVENTIVO N°",BDEGENER[[#This Row],[GA1]])</f>
        <v>MANTENIMIENTO PREVENTIVO N°7</v>
      </c>
      <c r="BA807" s="325" t="str">
        <f>IF(BDEGENER[[#This Row],[SERVICIO]]=BDEGENER[[#This Row],[GA2]],BDEGENER[[#This Row],[HORAS]],"0")</f>
        <v>0</v>
      </c>
      <c r="BB807" s="325">
        <f>SUMIF(BDEGENER[SERIE],BDEGENER[[#This Row],[SERIE]],BDEGENER[GA3])</f>
        <v>2248.5</v>
      </c>
      <c r="BC807" s="683" t="str">
        <f>CONCATENATE("MANT",COUNTIF($Y$7:Y807,Y807))</f>
        <v>MANT10</v>
      </c>
      <c r="BD807" s="29" t="str">
        <f>CONCATENATE(BDEGENER[[#This Row],[SERIE]],BDEGENER[[#This Row],[GA5]])</f>
        <v>3004331709MANT10</v>
      </c>
      <c r="BE807" s="29" t="str">
        <f>CONCATENATE(BDEGENER[[#This Row],[CODIGO PATRIMONIAL]],BDEGENER[[#This Row],[GA5]])</f>
        <v>MANT10</v>
      </c>
      <c r="BF807" s="16">
        <f>COUNTIF(BDEGENER[SERIE],BDEGENER[[#This Row],[SERIE]])</f>
        <v>11</v>
      </c>
      <c r="BG807" s="683" t="str">
        <f>CONCATENATE("F",COUNTIF($K$7:K807,K807))</f>
        <v>F2</v>
      </c>
      <c r="BH807" s="325" t="str">
        <f>CONCATENATE(BDEGENER[[#This Row],[FECHA DE SERVICIO]],BDEGENER[[#This Row],[N° DE REGISTROS DEL DIA]])</f>
        <v>43759F2</v>
      </c>
      <c r="BI807" s="324"/>
      <c r="BJ807" s="85" t="s">
        <v>1544</v>
      </c>
      <c r="BK807" s="326"/>
    </row>
    <row r="808" spans="2:63" ht="69" x14ac:dyDescent="0.3">
      <c r="B808" s="223"/>
      <c r="C808" s="223"/>
      <c r="D808" s="223"/>
      <c r="E808" s="223"/>
      <c r="F808" s="223"/>
      <c r="G808" s="223"/>
      <c r="H808" s="223"/>
      <c r="I808" s="223"/>
      <c r="J808" s="223"/>
      <c r="K808" s="723">
        <v>43759</v>
      </c>
      <c r="L808" s="15" t="s">
        <v>181</v>
      </c>
      <c r="M808" s="14" t="s">
        <v>186</v>
      </c>
      <c r="N808" s="14" t="s">
        <v>946</v>
      </c>
      <c r="O808" s="8"/>
      <c r="P808" s="157" t="s">
        <v>1207</v>
      </c>
      <c r="Q808" s="14" t="s">
        <v>37</v>
      </c>
      <c r="R808" s="85" t="s">
        <v>1782</v>
      </c>
      <c r="S808" s="5" t="s">
        <v>45</v>
      </c>
      <c r="T808" s="85" t="s">
        <v>1782</v>
      </c>
      <c r="U808" s="14" t="s">
        <v>118</v>
      </c>
      <c r="V808" s="14" t="s">
        <v>146</v>
      </c>
      <c r="W808" s="85" t="s">
        <v>914</v>
      </c>
      <c r="X808" s="85" t="s">
        <v>918</v>
      </c>
      <c r="Y808" s="15">
        <v>3004336198</v>
      </c>
      <c r="Z808" s="14"/>
      <c r="AA808" s="14" t="s">
        <v>33</v>
      </c>
      <c r="AB808" s="85" t="s">
        <v>34</v>
      </c>
      <c r="AC808" s="14" t="s">
        <v>230</v>
      </c>
      <c r="AD808" s="16"/>
      <c r="AE808" s="16"/>
      <c r="AF808" s="12">
        <v>408.4</v>
      </c>
      <c r="AG808" s="16" t="s">
        <v>243</v>
      </c>
      <c r="AH808" s="16" t="s">
        <v>220</v>
      </c>
      <c r="AI808" s="16" t="s">
        <v>33</v>
      </c>
      <c r="AJ808" s="16">
        <v>3004345803</v>
      </c>
      <c r="AK808" s="16" t="s">
        <v>33</v>
      </c>
      <c r="AL808" s="16"/>
      <c r="AM808" s="16"/>
      <c r="AN808" s="16"/>
      <c r="AO808" s="16"/>
      <c r="AP808" s="14" t="s">
        <v>240</v>
      </c>
      <c r="AQ808" s="200" t="str">
        <f>CONCATENATE("REG-",BDEGENER[[#This Row],[FECHA DE SERVICIO]],"-",BDEGENER[[#This Row],[SERIE]],"-",BDEGENER[[#This Row],[HORAS]])</f>
        <v>REG-43759-3004336198-408,4</v>
      </c>
      <c r="AR808" s="5" t="str">
        <f>CONCATENATE("MARCA: ",BDEGENER[[#This Row],[MARCA]],"
 MODELO: ",BDEGENER[[#This Row],[MODELO]])</f>
        <v>MARCA: GENERAC
 MODELO: PG090</v>
      </c>
      <c r="AS808" s="5" t="str">
        <f>CONCATENATE("MARCA: ",BDEGENER[[#This Row],[MARCA DE MOTOR]],"
SERIE: ",BDEGENER[[#This Row],[SERIE DE MOTOR]])</f>
        <v>MARCA: GENERAC
SERIE: 3004345803</v>
      </c>
      <c r="AT808" s="5" t="str">
        <f>CONCATENATE("MARCA: ",BDEGENER[[#This Row],[MARCA ALTERNADOR ]],"
SERIE: ",BDEGENER[[#This Row],[SERIE DE ALTERNADOR]])</f>
        <v xml:space="preserve">MARCA: GENERAC
SERIE: </v>
      </c>
      <c r="AU808" s="5" t="str">
        <f>CONCATENATE("HORAS: ",BDEGENER[[#This Row],[HORAS]],"
KW-HR: ",BDEGENER[[#This Row],[KW-HORA]],"
VOLT.BATERIA: ",BDEGENER[[#This Row],[VOLTAJE DE BATERIA]],"
TEMPERATURA: ",BDEGENER[[#This Row],[TEMPERATURA DE AGUA]],"
PRES. ACEITE: ",BDEGENER[[#This Row],[PRESION DE ACEITE]])</f>
        <v xml:space="preserve">HORAS: 408,4
KW-HR: 
VOLT.BATERIA: 
TEMPERATURA: 
PRES. ACEITE: </v>
      </c>
      <c r="AV808" s="761">
        <f>COUNTIFS(Q808:Q2808,"MANTENIMIENTO CORRECTIVO",Y808:Y2808,BDEGENER[[#This Row],[SERIE]])</f>
        <v>0</v>
      </c>
      <c r="AW808" s="761">
        <f>COUNTIFS(Q808:Q2808,"MANTENIMIENTO PREVENTIVO",Y808:Y2808,BDEGENER[[#This Row],[SERIE]])</f>
        <v>1</v>
      </c>
      <c r="AX80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08" s="29">
        <f>COUNTIFS(BDEGENER[SERIE],BDEGENER[[#This Row],[SERIE]],BDEGENER[TIPO DE SERVICIO],"MANTENIMIENTO PREVENTIVO")</f>
        <v>7</v>
      </c>
      <c r="AZ808" s="29" t="str">
        <f>CONCATENATE("MANTENIMIENTO PREVENTIVO N°",BDEGENER[[#This Row],[GA1]])</f>
        <v>MANTENIMIENTO PREVENTIVO N°7</v>
      </c>
      <c r="BA808" s="325" t="str">
        <f>IF(BDEGENER[[#This Row],[SERVICIO]]=BDEGENER[[#This Row],[GA2]],BDEGENER[[#This Row],[HORAS]],"0")</f>
        <v>0</v>
      </c>
      <c r="BB808" s="325">
        <f>SUMIF(BDEGENER[SERIE],BDEGENER[[#This Row],[SERIE]],BDEGENER[GA3])</f>
        <v>2049.3000000000002</v>
      </c>
      <c r="BC808" s="761" t="str">
        <f>CONCATENATE("MANT",COUNTIF($Y$7:Y808,Y808))</f>
        <v>MANT11</v>
      </c>
      <c r="BD808" s="29" t="str">
        <f>CONCATENATE(BDEGENER[[#This Row],[SERIE]],BDEGENER[[#This Row],[GA5]])</f>
        <v>3004336198MANT11</v>
      </c>
      <c r="BE808" s="29" t="str">
        <f>CONCATENATE(BDEGENER[[#This Row],[CODIGO PATRIMONIAL]],BDEGENER[[#This Row],[GA5]])</f>
        <v>MANT11</v>
      </c>
      <c r="BF808" s="16">
        <f>COUNTIF(BDEGENER[SERIE],BDEGENER[[#This Row],[SERIE]])</f>
        <v>12</v>
      </c>
      <c r="BG808" s="761" t="str">
        <f>CONCATENATE("F",COUNTIF($K$7:K808,K808))</f>
        <v>F3</v>
      </c>
      <c r="BH808" s="325" t="str">
        <f>CONCATENATE(BDEGENER[[#This Row],[FECHA DE SERVICIO]],BDEGENER[[#This Row],[N° DE REGISTROS DEL DIA]])</f>
        <v>43759F3</v>
      </c>
      <c r="BI808" s="324"/>
      <c r="BJ808" s="85" t="s">
        <v>1544</v>
      </c>
      <c r="BK808" s="326"/>
    </row>
    <row r="809" spans="2:63" ht="69" hidden="1" x14ac:dyDescent="0.3">
      <c r="B809" s="223"/>
      <c r="C809" s="223"/>
      <c r="D809" s="223"/>
      <c r="E809" s="223"/>
      <c r="F809" s="223"/>
      <c r="G809" s="223"/>
      <c r="H809" s="223"/>
      <c r="I809" s="223"/>
      <c r="J809" s="223"/>
      <c r="K809" s="723">
        <v>43759</v>
      </c>
      <c r="L809" s="15" t="s">
        <v>181</v>
      </c>
      <c r="M809" s="14" t="s">
        <v>189</v>
      </c>
      <c r="N809" s="14" t="s">
        <v>946</v>
      </c>
      <c r="O809" s="8"/>
      <c r="P809" s="157" t="s">
        <v>1207</v>
      </c>
      <c r="Q809" s="14" t="s">
        <v>37</v>
      </c>
      <c r="R809" s="85" t="s">
        <v>1782</v>
      </c>
      <c r="S809" s="5" t="s">
        <v>45</v>
      </c>
      <c r="T809" s="85" t="s">
        <v>1782</v>
      </c>
      <c r="U809" s="14" t="s">
        <v>118</v>
      </c>
      <c r="V809" s="14" t="s">
        <v>146</v>
      </c>
      <c r="W809" s="85" t="s">
        <v>914</v>
      </c>
      <c r="X809" s="85" t="s">
        <v>918</v>
      </c>
      <c r="Y809" s="15">
        <v>3004331705</v>
      </c>
      <c r="Z809" s="14"/>
      <c r="AA809" s="14" t="s">
        <v>33</v>
      </c>
      <c r="AB809" s="85" t="s">
        <v>34</v>
      </c>
      <c r="AC809" s="14" t="s">
        <v>230</v>
      </c>
      <c r="AD809" s="16"/>
      <c r="AE809" s="16"/>
      <c r="AF809" s="12">
        <v>287.7</v>
      </c>
      <c r="AG809" s="16" t="s">
        <v>243</v>
      </c>
      <c r="AH809" s="16" t="s">
        <v>220</v>
      </c>
      <c r="AI809" s="16" t="s">
        <v>33</v>
      </c>
      <c r="AJ809" s="85">
        <v>3004333867</v>
      </c>
      <c r="AK809" s="16" t="s">
        <v>33</v>
      </c>
      <c r="AL809" s="722"/>
      <c r="AM809" s="16"/>
      <c r="AN809" s="16"/>
      <c r="AO809" s="16"/>
      <c r="AP809" s="14" t="s">
        <v>240</v>
      </c>
      <c r="AQ809" s="200" t="str">
        <f>CONCATENATE("REG-",BDEGENER[[#This Row],[FECHA DE SERVICIO]],"-",BDEGENER[[#This Row],[SERIE]],"-",BDEGENER[[#This Row],[HORAS]])</f>
        <v>REG-43759-3004331705-287,7</v>
      </c>
      <c r="AR809" s="5" t="str">
        <f>CONCATENATE("MARCA: ",BDEGENER[[#This Row],[MARCA]],"
 MODELO: ",BDEGENER[[#This Row],[MODELO]])</f>
        <v>MARCA: GENERAC
 MODELO: PG090</v>
      </c>
      <c r="AS809" s="5" t="str">
        <f>CONCATENATE("MARCA: ",BDEGENER[[#This Row],[MARCA DE MOTOR]],"
SERIE: ",BDEGENER[[#This Row],[SERIE DE MOTOR]])</f>
        <v>MARCA: GENERAC
SERIE: 3004333867</v>
      </c>
      <c r="AT809" s="5" t="str">
        <f>CONCATENATE("MARCA: ",BDEGENER[[#This Row],[MARCA ALTERNADOR ]],"
SERIE: ",BDEGENER[[#This Row],[SERIE DE ALTERNADOR]])</f>
        <v xml:space="preserve">MARCA: GENERAC
SERIE: </v>
      </c>
      <c r="AU809" s="5" t="str">
        <f>CONCATENATE("HORAS: ",BDEGENER[[#This Row],[HORAS]],"
KW-HR: ",BDEGENER[[#This Row],[KW-HORA]],"
VOLT.BATERIA: ",BDEGENER[[#This Row],[VOLTAJE DE BATERIA]],"
TEMPERATURA: ",BDEGENER[[#This Row],[TEMPERATURA DE AGUA]],"
PRES. ACEITE: ",BDEGENER[[#This Row],[PRESION DE ACEITE]])</f>
        <v xml:space="preserve">HORAS: 287,7
KW-HR: 
VOLT.BATERIA: 
TEMPERATURA: 
PRES. ACEITE: </v>
      </c>
      <c r="AV809" s="683">
        <f>COUNTIFS(Q809:Q2809,"MANTENIMIENTO CORRECTIVO",Y809:Y2809,BDEGENER[[#This Row],[SERIE]])</f>
        <v>0</v>
      </c>
      <c r="AW809" s="683">
        <f>COUNTIFS(Q809:Q2809,"MANTENIMIENTO PREVENTIVO",Y809:Y2809,BDEGENER[[#This Row],[SERIE]])</f>
        <v>1</v>
      </c>
      <c r="AX80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09" s="29">
        <f>COUNTIFS(BDEGENER[SERIE],BDEGENER[[#This Row],[SERIE]],BDEGENER[TIPO DE SERVICIO],"MANTENIMIENTO PREVENTIVO")</f>
        <v>8</v>
      </c>
      <c r="AZ809" s="29" t="str">
        <f>CONCATENATE("MANTENIMIENTO PREVENTIVO N°",BDEGENER[[#This Row],[GA1]])</f>
        <v>MANTENIMIENTO PREVENTIVO N°8</v>
      </c>
      <c r="BA809" s="325" t="str">
        <f>IF(BDEGENER[[#This Row],[SERVICIO]]=BDEGENER[[#This Row],[GA2]],BDEGENER[[#This Row],[HORAS]],"0")</f>
        <v>0</v>
      </c>
      <c r="BB809" s="325">
        <f>SUMIF(BDEGENER[SERIE],BDEGENER[[#This Row],[SERIE]],BDEGENER[GA3])</f>
        <v>2381.3000000000002</v>
      </c>
      <c r="BC809" s="683" t="str">
        <f>CONCATENATE("MANT",COUNTIF($Y$7:Y809,Y809))</f>
        <v>MANT9</v>
      </c>
      <c r="BD809" s="29" t="str">
        <f>CONCATENATE(BDEGENER[[#This Row],[SERIE]],BDEGENER[[#This Row],[GA5]])</f>
        <v>3004331705MANT9</v>
      </c>
      <c r="BE809" s="29" t="str">
        <f>CONCATENATE(BDEGENER[[#This Row],[CODIGO PATRIMONIAL]],BDEGENER[[#This Row],[GA5]])</f>
        <v>MANT9</v>
      </c>
      <c r="BF809" s="16">
        <f>COUNTIF(BDEGENER[SERIE],BDEGENER[[#This Row],[SERIE]])</f>
        <v>10</v>
      </c>
      <c r="BG809" s="683" t="str">
        <f>CONCATENATE("F",COUNTIF($K$7:K809,K809))</f>
        <v>F4</v>
      </c>
      <c r="BH809" s="325" t="str">
        <f>CONCATENATE(BDEGENER[[#This Row],[FECHA DE SERVICIO]],BDEGENER[[#This Row],[N° DE REGISTROS DEL DIA]])</f>
        <v>43759F4</v>
      </c>
      <c r="BI809" s="324"/>
      <c r="BJ809" s="85" t="s">
        <v>1544</v>
      </c>
      <c r="BK809" s="326"/>
    </row>
    <row r="810" spans="2:63" ht="69" hidden="1" x14ac:dyDescent="0.3">
      <c r="B810" s="223"/>
      <c r="C810" s="223"/>
      <c r="D810" s="223"/>
      <c r="E810" s="223"/>
      <c r="F810" s="223"/>
      <c r="G810" s="223"/>
      <c r="H810" s="223"/>
      <c r="I810" s="223"/>
      <c r="J810" s="223"/>
      <c r="K810" s="723">
        <v>43759</v>
      </c>
      <c r="L810" s="15" t="s">
        <v>181</v>
      </c>
      <c r="M810" s="14" t="s">
        <v>189</v>
      </c>
      <c r="N810" s="14" t="s">
        <v>946</v>
      </c>
      <c r="O810" s="8"/>
      <c r="P810" s="157" t="s">
        <v>1207</v>
      </c>
      <c r="Q810" s="14" t="s">
        <v>37</v>
      </c>
      <c r="R810" s="85" t="s">
        <v>1782</v>
      </c>
      <c r="S810" s="5" t="s">
        <v>47</v>
      </c>
      <c r="T810" s="85" t="s">
        <v>1782</v>
      </c>
      <c r="U810" s="14" t="s">
        <v>118</v>
      </c>
      <c r="V810" s="14" t="s">
        <v>146</v>
      </c>
      <c r="W810" s="85" t="s">
        <v>914</v>
      </c>
      <c r="X810" s="85" t="s">
        <v>918</v>
      </c>
      <c r="Y810" s="15">
        <v>3004331708</v>
      </c>
      <c r="Z810" s="14"/>
      <c r="AA810" s="14" t="s">
        <v>33</v>
      </c>
      <c r="AB810" s="85" t="s">
        <v>34</v>
      </c>
      <c r="AC810" s="14" t="s">
        <v>230</v>
      </c>
      <c r="AD810" s="16"/>
      <c r="AE810" s="16"/>
      <c r="AF810" s="12">
        <v>280.60000000000002</v>
      </c>
      <c r="AG810" s="85" t="s">
        <v>243</v>
      </c>
      <c r="AH810" s="85" t="s">
        <v>220</v>
      </c>
      <c r="AI810" s="85" t="s">
        <v>33</v>
      </c>
      <c r="AJ810" s="85">
        <v>3004309058</v>
      </c>
      <c r="AK810" s="85" t="s">
        <v>33</v>
      </c>
      <c r="AL810" s="16"/>
      <c r="AM810" s="16"/>
      <c r="AN810" s="16"/>
      <c r="AO810" s="16"/>
      <c r="AP810" s="14" t="s">
        <v>240</v>
      </c>
      <c r="AQ810" s="200" t="str">
        <f>CONCATENATE("REG-",BDEGENER[[#This Row],[FECHA DE SERVICIO]],"-",BDEGENER[[#This Row],[SERIE]],"-",BDEGENER[[#This Row],[HORAS]])</f>
        <v>REG-43759-3004331708-280,6</v>
      </c>
      <c r="AR810" s="5" t="str">
        <f>CONCATENATE("MARCA: ",BDEGENER[[#This Row],[MARCA]],"
 MODELO: ",BDEGENER[[#This Row],[MODELO]])</f>
        <v>MARCA: GENERAC
 MODELO: PG090</v>
      </c>
      <c r="AS810" s="5" t="str">
        <f>CONCATENATE("MARCA: ",BDEGENER[[#This Row],[MARCA DE MOTOR]],"
SERIE: ",BDEGENER[[#This Row],[SERIE DE MOTOR]])</f>
        <v>MARCA: GENERAC
SERIE: 3004309058</v>
      </c>
      <c r="AT810" s="5" t="str">
        <f>CONCATENATE("MARCA: ",BDEGENER[[#This Row],[MARCA ALTERNADOR ]],"
SERIE: ",BDEGENER[[#This Row],[SERIE DE ALTERNADOR]])</f>
        <v xml:space="preserve">MARCA: GENERAC
SERIE: </v>
      </c>
      <c r="AU810" s="5" t="str">
        <f>CONCATENATE("HORAS: ",BDEGENER[[#This Row],[HORAS]],"
KW-HR: ",BDEGENER[[#This Row],[KW-HORA]],"
VOLT.BATERIA: ",BDEGENER[[#This Row],[VOLTAJE DE BATERIA]],"
TEMPERATURA: ",BDEGENER[[#This Row],[TEMPERATURA DE AGUA]],"
PRES. ACEITE: ",BDEGENER[[#This Row],[PRESION DE ACEITE]])</f>
        <v xml:space="preserve">HORAS: 280,6
KW-HR: 
VOLT.BATERIA: 
TEMPERATURA: 
PRES. ACEITE: </v>
      </c>
      <c r="AV810" s="683">
        <f>COUNTIFS(Q810:Q2810,"MANTENIMIENTO CORRECTIVO",Y810:Y2810,BDEGENER[[#This Row],[SERIE]])</f>
        <v>0</v>
      </c>
      <c r="AW810" s="683">
        <f>COUNTIFS(Q810:Q2810,"MANTENIMIENTO PREVENTIVO",Y810:Y2810,BDEGENER[[#This Row],[SERIE]])</f>
        <v>1</v>
      </c>
      <c r="AX81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10" s="29">
        <f>COUNTIFS(BDEGENER[SERIE],BDEGENER[[#This Row],[SERIE]],BDEGENER[TIPO DE SERVICIO],"MANTENIMIENTO PREVENTIVO")</f>
        <v>6</v>
      </c>
      <c r="AZ810" s="29" t="str">
        <f>CONCATENATE("MANTENIMIENTO PREVENTIVO N°",BDEGENER[[#This Row],[GA1]])</f>
        <v>MANTENIMIENTO PREVENTIVO N°6</v>
      </c>
      <c r="BA810" s="325" t="str">
        <f>IF(BDEGENER[[#This Row],[SERVICIO]]=BDEGENER[[#This Row],[GA2]],BDEGENER[[#This Row],[HORAS]],"0")</f>
        <v>0</v>
      </c>
      <c r="BB810" s="325">
        <f>SUMIF(BDEGENER[SERIE],BDEGENER[[#This Row],[SERIE]],BDEGENER[GA3])</f>
        <v>1635.5</v>
      </c>
      <c r="BC810" s="683" t="str">
        <f>CONCATENATE("MANT",COUNTIF($Y$7:Y810,Y810))</f>
        <v>MANT12</v>
      </c>
      <c r="BD810" s="29" t="str">
        <f>CONCATENATE(BDEGENER[[#This Row],[SERIE]],BDEGENER[[#This Row],[GA5]])</f>
        <v>3004331708MANT12</v>
      </c>
      <c r="BE810" s="29" t="str">
        <f>CONCATENATE(BDEGENER[[#This Row],[CODIGO PATRIMONIAL]],BDEGENER[[#This Row],[GA5]])</f>
        <v>MANT12</v>
      </c>
      <c r="BF810" s="16">
        <f>COUNTIF(BDEGENER[SERIE],BDEGENER[[#This Row],[SERIE]])</f>
        <v>13</v>
      </c>
      <c r="BG810" s="683" t="str">
        <f>CONCATENATE("F",COUNTIF($K$7:K810,K810))</f>
        <v>F5</v>
      </c>
      <c r="BH810" s="325" t="str">
        <f>CONCATENATE(BDEGENER[[#This Row],[FECHA DE SERVICIO]],BDEGENER[[#This Row],[N° DE REGISTROS DEL DIA]])</f>
        <v>43759F5</v>
      </c>
      <c r="BI810" s="324"/>
      <c r="BJ810" s="85" t="s">
        <v>1544</v>
      </c>
      <c r="BK810" s="326"/>
    </row>
    <row r="811" spans="2:63" ht="69" hidden="1" x14ac:dyDescent="0.3">
      <c r="B811" s="223"/>
      <c r="C811" s="223"/>
      <c r="D811" s="223"/>
      <c r="E811" s="223"/>
      <c r="F811" s="223"/>
      <c r="G811" s="223"/>
      <c r="H811" s="223"/>
      <c r="I811" s="223"/>
      <c r="J811" s="223"/>
      <c r="K811" s="723">
        <v>43759</v>
      </c>
      <c r="L811" s="15" t="s">
        <v>181</v>
      </c>
      <c r="M811" s="14" t="s">
        <v>189</v>
      </c>
      <c r="N811" s="14" t="s">
        <v>946</v>
      </c>
      <c r="O811" s="8"/>
      <c r="P811" s="157" t="s">
        <v>1207</v>
      </c>
      <c r="Q811" s="14" t="s">
        <v>37</v>
      </c>
      <c r="R811" s="85" t="s">
        <v>1782</v>
      </c>
      <c r="S811" s="5" t="s">
        <v>47</v>
      </c>
      <c r="T811" s="85" t="s">
        <v>1782</v>
      </c>
      <c r="U811" s="14" t="s">
        <v>118</v>
      </c>
      <c r="V811" s="14" t="s">
        <v>146</v>
      </c>
      <c r="W811" s="85" t="s">
        <v>914</v>
      </c>
      <c r="X811" s="85" t="s">
        <v>918</v>
      </c>
      <c r="Y811" s="15">
        <v>3004327723</v>
      </c>
      <c r="Z811" s="14"/>
      <c r="AA811" s="14" t="s">
        <v>33</v>
      </c>
      <c r="AB811" s="85" t="s">
        <v>34</v>
      </c>
      <c r="AC811" s="14" t="s">
        <v>230</v>
      </c>
      <c r="AD811" s="16"/>
      <c r="AE811" s="16"/>
      <c r="AF811" s="12">
        <v>249.3</v>
      </c>
      <c r="AG811" s="85" t="s">
        <v>243</v>
      </c>
      <c r="AH811" s="85" t="s">
        <v>220</v>
      </c>
      <c r="AI811" s="85" t="s">
        <v>33</v>
      </c>
      <c r="AJ811" s="683">
        <v>3004346813</v>
      </c>
      <c r="AK811" s="85" t="s">
        <v>33</v>
      </c>
      <c r="AL811" s="85">
        <v>106302070</v>
      </c>
      <c r="AM811" s="16"/>
      <c r="AN811" s="16"/>
      <c r="AO811" s="16"/>
      <c r="AP811" s="14" t="s">
        <v>240</v>
      </c>
      <c r="AQ811" s="200" t="str">
        <f>CONCATENATE("REG-",BDEGENER[[#This Row],[FECHA DE SERVICIO]],"-",BDEGENER[[#This Row],[SERIE]],"-",BDEGENER[[#This Row],[HORAS]])</f>
        <v>REG-43759-3004327723-249,3</v>
      </c>
      <c r="AR811" s="5" t="str">
        <f>CONCATENATE("MARCA: ",BDEGENER[[#This Row],[MARCA]],"
 MODELO: ",BDEGENER[[#This Row],[MODELO]])</f>
        <v>MARCA: GENERAC
 MODELO: PG090</v>
      </c>
      <c r="AS811" s="5" t="str">
        <f>CONCATENATE("MARCA: ",BDEGENER[[#This Row],[MARCA DE MOTOR]],"
SERIE: ",BDEGENER[[#This Row],[SERIE DE MOTOR]])</f>
        <v>MARCA: GENERAC
SERIE: 3004346813</v>
      </c>
      <c r="AT811" s="5" t="str">
        <f>CONCATENATE("MARCA: ",BDEGENER[[#This Row],[MARCA ALTERNADOR ]],"
SERIE: ",BDEGENER[[#This Row],[SERIE DE ALTERNADOR]])</f>
        <v>MARCA: GENERAC
SERIE: 106302070</v>
      </c>
      <c r="AU811" s="5" t="str">
        <f>CONCATENATE("HORAS: ",BDEGENER[[#This Row],[HORAS]],"
KW-HR: ",BDEGENER[[#This Row],[KW-HORA]],"
VOLT.BATERIA: ",BDEGENER[[#This Row],[VOLTAJE DE BATERIA]],"
TEMPERATURA: ",BDEGENER[[#This Row],[TEMPERATURA DE AGUA]],"
PRES. ACEITE: ",BDEGENER[[#This Row],[PRESION DE ACEITE]])</f>
        <v xml:space="preserve">HORAS: 249,3
KW-HR: 
VOLT.BATERIA: 
TEMPERATURA: 
PRES. ACEITE: </v>
      </c>
      <c r="AV811" s="761">
        <f>COUNTIFS(Q811:Q2811,"MANTENIMIENTO CORRECTIVO",Y811:Y2811,BDEGENER[[#This Row],[SERIE]])</f>
        <v>0</v>
      </c>
      <c r="AW811" s="761">
        <f>COUNTIFS(Q811:Q2811,"MANTENIMIENTO PREVENTIVO",Y811:Y2811,BDEGENER[[#This Row],[SERIE]])</f>
        <v>1</v>
      </c>
      <c r="AX81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11" s="29">
        <f>COUNTIFS(BDEGENER[SERIE],BDEGENER[[#This Row],[SERIE]],BDEGENER[TIPO DE SERVICIO],"MANTENIMIENTO PREVENTIVO")</f>
        <v>8</v>
      </c>
      <c r="AZ811" s="29" t="str">
        <f>CONCATENATE("MANTENIMIENTO PREVENTIVO N°",BDEGENER[[#This Row],[GA1]])</f>
        <v>MANTENIMIENTO PREVENTIVO N°8</v>
      </c>
      <c r="BA811" s="325" t="str">
        <f>IF(BDEGENER[[#This Row],[SERVICIO]]=BDEGENER[[#This Row],[GA2]],BDEGENER[[#This Row],[HORAS]],"0")</f>
        <v>0</v>
      </c>
      <c r="BB811" s="325">
        <f>SUMIF(BDEGENER[SERIE],BDEGENER[[#This Row],[SERIE]],BDEGENER[GA3])</f>
        <v>6883.3</v>
      </c>
      <c r="BC811" s="761" t="str">
        <f>CONCATENATE("MANT",COUNTIF($Y$7:Y811,Y811))</f>
        <v>MANT10</v>
      </c>
      <c r="BD811" s="29" t="str">
        <f>CONCATENATE(BDEGENER[[#This Row],[SERIE]],BDEGENER[[#This Row],[GA5]])</f>
        <v>3004327723MANT10</v>
      </c>
      <c r="BE811" s="29" t="str">
        <f>CONCATENATE(BDEGENER[[#This Row],[CODIGO PATRIMONIAL]],BDEGENER[[#This Row],[GA5]])</f>
        <v>MANT10</v>
      </c>
      <c r="BF811" s="16">
        <f>COUNTIF(BDEGENER[SERIE],BDEGENER[[#This Row],[SERIE]])</f>
        <v>11</v>
      </c>
      <c r="BG811" s="761" t="str">
        <f>CONCATENATE("F",COUNTIF($K$7:K811,K811))</f>
        <v>F6</v>
      </c>
      <c r="BH811" s="325" t="str">
        <f>CONCATENATE(BDEGENER[[#This Row],[FECHA DE SERVICIO]],BDEGENER[[#This Row],[N° DE REGISTROS DEL DIA]])</f>
        <v>43759F6</v>
      </c>
      <c r="BI811" s="324"/>
      <c r="BJ811" s="85" t="s">
        <v>1544</v>
      </c>
      <c r="BK811" s="326"/>
    </row>
    <row r="812" spans="2:63" ht="69" hidden="1" x14ac:dyDescent="0.3">
      <c r="B812" s="223"/>
      <c r="C812" s="223"/>
      <c r="D812" s="223"/>
      <c r="E812" s="223"/>
      <c r="F812" s="223"/>
      <c r="G812" s="223"/>
      <c r="H812" s="223"/>
      <c r="I812" s="223"/>
      <c r="J812" s="223"/>
      <c r="K812" s="723">
        <v>43759</v>
      </c>
      <c r="L812" s="15" t="s">
        <v>181</v>
      </c>
      <c r="M812" s="14" t="s">
        <v>186</v>
      </c>
      <c r="N812" s="14" t="s">
        <v>946</v>
      </c>
      <c r="O812" s="8"/>
      <c r="P812" s="157" t="s">
        <v>1207</v>
      </c>
      <c r="Q812" s="14" t="s">
        <v>37</v>
      </c>
      <c r="R812" s="85" t="s">
        <v>1782</v>
      </c>
      <c r="S812" s="5" t="s">
        <v>45</v>
      </c>
      <c r="T812" s="85" t="s">
        <v>1782</v>
      </c>
      <c r="U812" s="14" t="s">
        <v>118</v>
      </c>
      <c r="V812" s="14" t="s">
        <v>146</v>
      </c>
      <c r="W812" s="85" t="s">
        <v>914</v>
      </c>
      <c r="X812" s="85" t="s">
        <v>918</v>
      </c>
      <c r="Y812" s="15">
        <v>3004327722</v>
      </c>
      <c r="Z812" s="14"/>
      <c r="AA812" s="14" t="s">
        <v>33</v>
      </c>
      <c r="AB812" s="85" t="s">
        <v>34</v>
      </c>
      <c r="AC812" s="14" t="s">
        <v>230</v>
      </c>
      <c r="AD812" s="16"/>
      <c r="AE812" s="16"/>
      <c r="AF812" s="12">
        <v>245.6</v>
      </c>
      <c r="AG812" s="16" t="s">
        <v>243</v>
      </c>
      <c r="AH812" s="16" t="s">
        <v>220</v>
      </c>
      <c r="AI812" s="16" t="s">
        <v>33</v>
      </c>
      <c r="AJ812" s="16">
        <v>3004346816</v>
      </c>
      <c r="AK812" s="16" t="s">
        <v>33</v>
      </c>
      <c r="AL812" s="16"/>
      <c r="AM812" s="16"/>
      <c r="AN812" s="16"/>
      <c r="AO812" s="16"/>
      <c r="AP812" s="14" t="s">
        <v>240</v>
      </c>
      <c r="AQ812" s="200" t="str">
        <f>CONCATENATE("REG-",BDEGENER[[#This Row],[FECHA DE SERVICIO]],"-",BDEGENER[[#This Row],[SERIE]],"-",BDEGENER[[#This Row],[HORAS]])</f>
        <v>REG-43759-3004327722-245,6</v>
      </c>
      <c r="AR812" s="6" t="str">
        <f>CONCATENATE("MARCA: ",BDEGENER[[#This Row],[MARCA]],"
 MODELO: ",BDEGENER[[#This Row],[MODELO]])</f>
        <v>MARCA: GENERAC
 MODELO: PG090</v>
      </c>
      <c r="AS812" s="6" t="str">
        <f>CONCATENATE("MARCA: ",BDEGENER[[#This Row],[MARCA DE MOTOR]],"
SERIE: ",BDEGENER[[#This Row],[SERIE DE MOTOR]])</f>
        <v>MARCA: GENERAC
SERIE: 3004346816</v>
      </c>
      <c r="AT812" s="6" t="str">
        <f>CONCATENATE("MARCA: ",BDEGENER[[#This Row],[MARCA ALTERNADOR ]],"
SERIE: ",BDEGENER[[#This Row],[SERIE DE ALTERNADOR]])</f>
        <v xml:space="preserve">MARCA: GENERAC
SERIE: </v>
      </c>
      <c r="AU812" s="6" t="str">
        <f>CONCATENATE("HORAS: ",BDEGENER[[#This Row],[HORAS]],"
KW-HR: ",BDEGENER[[#This Row],[KW-HORA]],"
VOLT.BATERIA: ",BDEGENER[[#This Row],[VOLTAJE DE BATERIA]],"
TEMPERATURA: ",BDEGENER[[#This Row],[TEMPERATURA DE AGUA]],"
PRES. ACEITE: ",BDEGENER[[#This Row],[PRESION DE ACEITE]])</f>
        <v xml:space="preserve">HORAS: 245,6
KW-HR: 
VOLT.BATERIA: 
TEMPERATURA: 
PRES. ACEITE: </v>
      </c>
      <c r="AV812" s="683">
        <f>COUNTIFS(Q812:Q2812,"MANTENIMIENTO CORRECTIVO",Y812:Y2812,BDEGENER[[#This Row],[SERIE]])</f>
        <v>0</v>
      </c>
      <c r="AW812" s="683">
        <f>COUNTIFS(Q812:Q2812,"MANTENIMIENTO PREVENTIVO",Y812:Y2812,BDEGENER[[#This Row],[SERIE]])</f>
        <v>1</v>
      </c>
      <c r="AX812"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12" s="325">
        <f>COUNTIFS(BDEGENER[SERIE],BDEGENER[[#This Row],[SERIE]],BDEGENER[TIPO DE SERVICIO],"MANTENIMIENTO PREVENTIVO")</f>
        <v>8</v>
      </c>
      <c r="AZ812" s="325" t="str">
        <f>CONCATENATE("MANTENIMIENTO PREVENTIVO N°",BDEGENER[[#This Row],[GA1]])</f>
        <v>MANTENIMIENTO PREVENTIVO N°8</v>
      </c>
      <c r="BA812" s="325" t="str">
        <f>IF(BDEGENER[[#This Row],[SERVICIO]]=BDEGENER[[#This Row],[GA2]],BDEGENER[[#This Row],[HORAS]],"0")</f>
        <v>0</v>
      </c>
      <c r="BB812" s="325">
        <f>SUMIF(BDEGENER[SERIE],BDEGENER[[#This Row],[SERIE]],BDEGENER[GA3])</f>
        <v>2102.5</v>
      </c>
      <c r="BC812" s="683" t="str">
        <f>CONCATENATE("MANT",COUNTIF($Y$7:Y812,Y812))</f>
        <v>MANT9</v>
      </c>
      <c r="BD812" s="325" t="str">
        <f>CONCATENATE(BDEGENER[[#This Row],[SERIE]],BDEGENER[[#This Row],[GA5]])</f>
        <v>3004327722MANT9</v>
      </c>
      <c r="BE812" s="325" t="str">
        <f>CONCATENATE(BDEGENER[[#This Row],[CODIGO PATRIMONIAL]],BDEGENER[[#This Row],[GA5]])</f>
        <v>MANT9</v>
      </c>
      <c r="BF812" s="16">
        <f>COUNTIF(BDEGENER[SERIE],BDEGENER[[#This Row],[SERIE]])</f>
        <v>10</v>
      </c>
      <c r="BG812" s="683" t="str">
        <f>CONCATENATE("F",COUNTIF($K$7:K812,K812))</f>
        <v>F7</v>
      </c>
      <c r="BH812" s="325" t="str">
        <f>CONCATENATE(BDEGENER[[#This Row],[FECHA DE SERVICIO]],BDEGENER[[#This Row],[N° DE REGISTROS DEL DIA]])</f>
        <v>43759F7</v>
      </c>
      <c r="BI812" s="326"/>
      <c r="BJ812" s="85" t="s">
        <v>1544</v>
      </c>
      <c r="BK812" s="326"/>
    </row>
    <row r="813" spans="2:63" ht="69" hidden="1" x14ac:dyDescent="0.3">
      <c r="B813" s="223"/>
      <c r="C813" s="223"/>
      <c r="D813" s="223"/>
      <c r="E813" s="223"/>
      <c r="F813" s="223"/>
      <c r="G813" s="223"/>
      <c r="H813" s="223"/>
      <c r="I813" s="223"/>
      <c r="J813" s="223"/>
      <c r="K813" s="723">
        <v>43759</v>
      </c>
      <c r="L813" s="15" t="s">
        <v>181</v>
      </c>
      <c r="M813" s="14" t="s">
        <v>186</v>
      </c>
      <c r="N813" s="14" t="s">
        <v>946</v>
      </c>
      <c r="O813" s="8"/>
      <c r="P813" s="157" t="s">
        <v>1207</v>
      </c>
      <c r="Q813" s="14" t="s">
        <v>37</v>
      </c>
      <c r="R813" s="85" t="s">
        <v>1782</v>
      </c>
      <c r="S813" s="5" t="s">
        <v>45</v>
      </c>
      <c r="T813" s="85" t="s">
        <v>1782</v>
      </c>
      <c r="U813" s="14" t="s">
        <v>118</v>
      </c>
      <c r="V813" s="14" t="s">
        <v>146</v>
      </c>
      <c r="W813" s="85" t="s">
        <v>914</v>
      </c>
      <c r="X813" s="85" t="s">
        <v>918</v>
      </c>
      <c r="Y813" s="15">
        <v>3004327721</v>
      </c>
      <c r="Z813" s="14"/>
      <c r="AA813" s="14" t="s">
        <v>33</v>
      </c>
      <c r="AB813" s="85" t="s">
        <v>34</v>
      </c>
      <c r="AC813" s="14" t="s">
        <v>230</v>
      </c>
      <c r="AD813" s="16"/>
      <c r="AE813" s="16"/>
      <c r="AF813" s="12">
        <v>150.6</v>
      </c>
      <c r="AG813" s="16" t="s">
        <v>243</v>
      </c>
      <c r="AH813" s="16" t="s">
        <v>244</v>
      </c>
      <c r="AI813" s="16" t="s">
        <v>33</v>
      </c>
      <c r="AJ813" s="16">
        <v>3004346806</v>
      </c>
      <c r="AK813" s="16" t="s">
        <v>33</v>
      </c>
      <c r="AL813" s="16"/>
      <c r="AM813" s="16"/>
      <c r="AN813" s="16"/>
      <c r="AO813" s="16"/>
      <c r="AP813" s="14" t="s">
        <v>240</v>
      </c>
      <c r="AQ813" s="200" t="str">
        <f>CONCATENATE("REG-",BDEGENER[[#This Row],[FECHA DE SERVICIO]],"-",BDEGENER[[#This Row],[SERIE]],"-",BDEGENER[[#This Row],[HORAS]])</f>
        <v>REG-43759-3004327721-150,6</v>
      </c>
      <c r="AR813" s="5" t="str">
        <f>CONCATENATE("MARCA: ",BDEGENER[[#This Row],[MARCA]],"
 MODELO: ",BDEGENER[[#This Row],[MODELO]])</f>
        <v>MARCA: GENERAC
 MODELO: PG090</v>
      </c>
      <c r="AS813" s="5" t="str">
        <f>CONCATENATE("MARCA: ",BDEGENER[[#This Row],[MARCA DE MOTOR]],"
SERIE: ",BDEGENER[[#This Row],[SERIE DE MOTOR]])</f>
        <v>MARCA: GENERAC
SERIE: 3004346806</v>
      </c>
      <c r="AT813" s="5" t="str">
        <f>CONCATENATE("MARCA: ",BDEGENER[[#This Row],[MARCA ALTERNADOR ]],"
SERIE: ",BDEGENER[[#This Row],[SERIE DE ALTERNADOR]])</f>
        <v xml:space="preserve">MARCA: GENERAC
SERIE: </v>
      </c>
      <c r="AU813" s="5" t="str">
        <f>CONCATENATE("HORAS: ",BDEGENER[[#This Row],[HORAS]],"
KW-HR: ",BDEGENER[[#This Row],[KW-HORA]],"
VOLT.BATERIA: ",BDEGENER[[#This Row],[VOLTAJE DE BATERIA]],"
TEMPERATURA: ",BDEGENER[[#This Row],[TEMPERATURA DE AGUA]],"
PRES. ACEITE: ",BDEGENER[[#This Row],[PRESION DE ACEITE]])</f>
        <v xml:space="preserve">HORAS: 150,6
KW-HR: 
VOLT.BATERIA: 
TEMPERATURA: 
PRES. ACEITE: </v>
      </c>
      <c r="AV813" s="683">
        <f>COUNTIFS(Q813:Q2813,"MANTENIMIENTO CORRECTIVO",Y813:Y2813,BDEGENER[[#This Row],[SERIE]])</f>
        <v>0</v>
      </c>
      <c r="AW813" s="683">
        <f>COUNTIFS(Q813:Q2813,"MANTENIMIENTO PREVENTIVO",Y813:Y2813,BDEGENER[[#This Row],[SERIE]])</f>
        <v>1</v>
      </c>
      <c r="AX81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13" s="29">
        <f>COUNTIFS(BDEGENER[SERIE],BDEGENER[[#This Row],[SERIE]],BDEGENER[TIPO DE SERVICIO],"MANTENIMIENTO PREVENTIVO")</f>
        <v>7</v>
      </c>
      <c r="AZ813" s="29" t="str">
        <f>CONCATENATE("MANTENIMIENTO PREVENTIVO N°",BDEGENER[[#This Row],[GA1]])</f>
        <v>MANTENIMIENTO PREVENTIVO N°7</v>
      </c>
      <c r="BA813" s="325" t="str">
        <f>IF(BDEGENER[[#This Row],[SERVICIO]]=BDEGENER[[#This Row],[GA2]],BDEGENER[[#This Row],[HORAS]],"0")</f>
        <v>0</v>
      </c>
      <c r="BB813" s="325">
        <f>SUMIF(BDEGENER[SERIE],BDEGENER[[#This Row],[SERIE]],BDEGENER[GA3])</f>
        <v>2098.4</v>
      </c>
      <c r="BC813" s="683" t="str">
        <f>CONCATENATE("MANT",COUNTIF($Y$7:Y813,Y813))</f>
        <v>MANT10</v>
      </c>
      <c r="BD813" s="29" t="str">
        <f>CONCATENATE(BDEGENER[[#This Row],[SERIE]],BDEGENER[[#This Row],[GA5]])</f>
        <v>3004327721MANT10</v>
      </c>
      <c r="BE813" s="29" t="str">
        <f>CONCATENATE(BDEGENER[[#This Row],[CODIGO PATRIMONIAL]],BDEGENER[[#This Row],[GA5]])</f>
        <v>MANT10</v>
      </c>
      <c r="BF813" s="16">
        <f>COUNTIF(BDEGENER[SERIE],BDEGENER[[#This Row],[SERIE]])</f>
        <v>11</v>
      </c>
      <c r="BG813" s="683" t="str">
        <f>CONCATENATE("F",COUNTIF($K$7:K813,K813))</f>
        <v>F8</v>
      </c>
      <c r="BH813" s="325" t="str">
        <f>CONCATENATE(BDEGENER[[#This Row],[FECHA DE SERVICIO]],BDEGENER[[#This Row],[N° DE REGISTROS DEL DIA]])</f>
        <v>43759F8</v>
      </c>
      <c r="BI813" s="324"/>
      <c r="BJ813" s="85" t="s">
        <v>1544</v>
      </c>
      <c r="BK813" s="326"/>
    </row>
    <row r="814" spans="2:63" ht="69" hidden="1" x14ac:dyDescent="0.3">
      <c r="B814" s="34"/>
      <c r="C814" s="34"/>
      <c r="D814" s="34"/>
      <c r="E814" s="34"/>
      <c r="F814" s="34"/>
      <c r="G814" s="34"/>
      <c r="H814" s="34"/>
      <c r="I814" s="34"/>
      <c r="J814" s="34"/>
      <c r="K814" s="37">
        <v>43756</v>
      </c>
      <c r="L814" s="30" t="s">
        <v>561</v>
      </c>
      <c r="M814" s="19" t="s">
        <v>565</v>
      </c>
      <c r="N814" s="19" t="s">
        <v>566</v>
      </c>
      <c r="O814" s="19"/>
      <c r="P814" s="19"/>
      <c r="Q814" s="19" t="s">
        <v>107</v>
      </c>
      <c r="R814" s="85" t="s">
        <v>1782</v>
      </c>
      <c r="S814" s="19" t="s">
        <v>597</v>
      </c>
      <c r="T814" s="3" t="s">
        <v>1191</v>
      </c>
      <c r="U814" s="19" t="s">
        <v>1192</v>
      </c>
      <c r="V814" s="19" t="s">
        <v>149</v>
      </c>
      <c r="W814" s="85" t="s">
        <v>913</v>
      </c>
      <c r="X814" s="85" t="s">
        <v>918</v>
      </c>
      <c r="Y814" s="31">
        <v>3004370193</v>
      </c>
      <c r="Z814" s="85" t="s">
        <v>2599</v>
      </c>
      <c r="AA814" s="19" t="s">
        <v>33</v>
      </c>
      <c r="AB814" s="19" t="s">
        <v>217</v>
      </c>
      <c r="AC814" s="19" t="s">
        <v>749</v>
      </c>
      <c r="AD814" s="16"/>
      <c r="AE814" s="16">
        <v>60</v>
      </c>
      <c r="AF814" s="146">
        <v>1022</v>
      </c>
      <c r="AG814" s="16" t="s">
        <v>243</v>
      </c>
      <c r="AH814" s="16"/>
      <c r="AI814" s="16"/>
      <c r="AJ814" s="16"/>
      <c r="AK814" s="16"/>
      <c r="AL814" s="16"/>
      <c r="AM814" s="16" t="s">
        <v>1193</v>
      </c>
      <c r="AN814" s="16"/>
      <c r="AO814" s="16"/>
      <c r="AP814" s="19" t="s">
        <v>240</v>
      </c>
      <c r="AQ814" s="127" t="str">
        <f>CONCATENATE("REG-",BDEGENER[[#This Row],[FECHA DE SERVICIO]],"-",BDEGENER[[#This Row],[SERIE]],"-",BDEGENER[[#This Row],[HORAS]])</f>
        <v>REG-43756-3004370193-1022</v>
      </c>
      <c r="AR814" s="5" t="str">
        <f>CONCATENATE("MARCA: ",BDEGENER[[#This Row],[MARCA]],"
 MODELO: ",BDEGENER[[#This Row],[MODELO]])</f>
        <v>MARCA: GENERAC
 MODELO: RG022</v>
      </c>
      <c r="AS814" s="5" t="str">
        <f>CONCATENATE("MARCA: ",BDEGENER[[#This Row],[MARCA DE MOTOR]],"
SERIE: ",BDEGENER[[#This Row],[SERIE DE MOTOR]])</f>
        <v xml:space="preserve">MARCA: 
SERIE: </v>
      </c>
      <c r="AT814" s="5" t="str">
        <f>CONCATENATE("MARCA: ",BDEGENER[[#This Row],[MARCA ALTERNADOR ]],"
SERIE: ",BDEGENER[[#This Row],[SERIE DE ALTERNADOR]])</f>
        <v xml:space="preserve">MARCA: 
SERIE: </v>
      </c>
      <c r="AU814" s="29" t="str">
        <f>CONCATENATE("HORAS: ",BDEGENER[[#This Row],[HORAS]],"
KW-HR: ",BDEGENER[[#This Row],[KW-HORA]],"
VOLT.BATERIA: ",BDEGENER[[#This Row],[VOLTAJE DE BATERIA]],"
TEMPERATURA: ",BDEGENER[[#This Row],[TEMPERATURA DE AGUA]],"
PRES. ACEITE: ",BDEGENER[[#This Row],[PRESION DE ACEITE]])</f>
        <v xml:space="preserve">HORAS: 1022
KW-HR: 
VOLT.BATERIA: 13.1 V
TEMPERATURA: 
PRES. ACEITE: </v>
      </c>
      <c r="AV814" s="761">
        <f>COUNTIFS(Q814:Q2814,"MANTENIMIENTO CORRECTIVO",Y814:Y2814,BDEGENER[[#This Row],[SERIE]])</f>
        <v>2</v>
      </c>
      <c r="AW814" s="761">
        <f>COUNTIFS(Q814:Q2814,"MANTENIMIENTO PREVENTIVO",Y814:Y2814,BDEGENER[[#This Row],[SERIE]])</f>
        <v>3</v>
      </c>
      <c r="AX81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814" s="29">
        <f>COUNTIFS(BDEGENER[SERIE],BDEGENER[[#This Row],[SERIE]],BDEGENER[TIPO DE SERVICIO],"MANTENIMIENTO PREVENTIVO")</f>
        <v>9</v>
      </c>
      <c r="AZ814" s="29" t="str">
        <f>CONCATENATE("MANTENIMIENTO PREVENTIVO N°",BDEGENER[[#This Row],[GA1]])</f>
        <v>MANTENIMIENTO PREVENTIVO N°9</v>
      </c>
      <c r="BA814" s="325" t="str">
        <f>IF(BDEGENER[[#This Row],[SERVICIO]]=BDEGENER[[#This Row],[GA2]],BDEGENER[[#This Row],[HORAS]],"0")</f>
        <v>0</v>
      </c>
      <c r="BB814" s="325">
        <f>SUMIF(BDEGENER[SERIE],BDEGENER[[#This Row],[SERIE]],BDEGENER[GA3])</f>
        <v>3580.3</v>
      </c>
      <c r="BC814" s="761" t="str">
        <f>CONCATENATE("MANT",COUNTIF($Y$7:Y814,Y814))</f>
        <v>MANT11</v>
      </c>
      <c r="BD814" s="29" t="str">
        <f>CONCATENATE(BDEGENER[[#This Row],[SERIE]],BDEGENER[[#This Row],[GA5]])</f>
        <v>3004370193MANT11</v>
      </c>
      <c r="BE814" s="29" t="str">
        <f>CONCATENATE(BDEGENER[[#This Row],[CODIGO PATRIMONIAL]],BDEGENER[[#This Row],[GA5]])</f>
        <v>SUR-GEG-0003MANT11</v>
      </c>
      <c r="BF814" s="16">
        <f>COUNTIF(BDEGENER[SERIE],BDEGENER[[#This Row],[SERIE]])</f>
        <v>16</v>
      </c>
      <c r="BG814" s="761" t="str">
        <f>CONCATENATE("F",COUNTIF($K$7:K814,K814))</f>
        <v>F1</v>
      </c>
      <c r="BH814" s="325" t="str">
        <f>CONCATENATE(BDEGENER[[#This Row],[FECHA DE SERVICIO]],BDEGENER[[#This Row],[N° DE REGISTROS DEL DIA]])</f>
        <v>43756F1</v>
      </c>
      <c r="BI814" s="324"/>
      <c r="BJ814" s="325"/>
      <c r="BK814" s="326"/>
    </row>
    <row r="815" spans="2:63" ht="69" hidden="1" x14ac:dyDescent="0.3">
      <c r="B815" s="34"/>
      <c r="C815" s="34"/>
      <c r="D815" s="34"/>
      <c r="E815" s="34"/>
      <c r="F815" s="34"/>
      <c r="G815" s="34"/>
      <c r="H815" s="34"/>
      <c r="I815" s="34"/>
      <c r="J815" s="34"/>
      <c r="K815" s="37">
        <v>43754</v>
      </c>
      <c r="L815" s="30" t="s">
        <v>561</v>
      </c>
      <c r="M815" s="19" t="s">
        <v>567</v>
      </c>
      <c r="N815" s="19" t="s">
        <v>568</v>
      </c>
      <c r="O815" s="19"/>
      <c r="P815" s="19"/>
      <c r="Q815" s="19" t="s">
        <v>37</v>
      </c>
      <c r="R815" s="85" t="s">
        <v>1782</v>
      </c>
      <c r="S815" s="19" t="s">
        <v>598</v>
      </c>
      <c r="T815" s="85" t="s">
        <v>1782</v>
      </c>
      <c r="U815" s="19" t="s">
        <v>1194</v>
      </c>
      <c r="V815" s="19" t="s">
        <v>148</v>
      </c>
      <c r="W815" s="85" t="s">
        <v>914</v>
      </c>
      <c r="X815" s="85" t="s">
        <v>918</v>
      </c>
      <c r="Y815" s="31">
        <v>3003962766</v>
      </c>
      <c r="Z815" s="692" t="s">
        <v>2602</v>
      </c>
      <c r="AA815" s="85" t="s">
        <v>33</v>
      </c>
      <c r="AB815" s="85" t="s">
        <v>34</v>
      </c>
      <c r="AC815" s="19" t="s">
        <v>235</v>
      </c>
      <c r="AD815" s="16"/>
      <c r="AE815" s="16"/>
      <c r="AF815" s="146">
        <v>691.8</v>
      </c>
      <c r="AG815" s="16"/>
      <c r="AH815" s="16"/>
      <c r="AI815" s="16"/>
      <c r="AJ815" s="16"/>
      <c r="AK815" s="16"/>
      <c r="AL815" s="16"/>
      <c r="AM815" s="16"/>
      <c r="AN815" s="16"/>
      <c r="AO815" s="16"/>
      <c r="AP815" s="19" t="s">
        <v>240</v>
      </c>
      <c r="AQ815" s="200" t="str">
        <f>CONCATENATE("REG-",BDEGENER[[#This Row],[FECHA DE SERVICIO]],"-",BDEGENER[[#This Row],[SERIE]],"-",BDEGENER[[#This Row],[HORAS]])</f>
        <v>REG-43754-3003962766-691,8</v>
      </c>
      <c r="AR815" s="5" t="str">
        <f>CONCATENATE("MARCA: ",BDEGENER[[#This Row],[MARCA]],"
 MODELO: ",BDEGENER[[#This Row],[MODELO]])</f>
        <v>MARCA: GENERAC
 MODELO: PG090</v>
      </c>
      <c r="AS815" s="5" t="str">
        <f>CONCATENATE("MARCA: ",BDEGENER[[#This Row],[MARCA DE MOTOR]],"
SERIE: ",BDEGENER[[#This Row],[SERIE DE MOTOR]])</f>
        <v xml:space="preserve">MARCA: 
SERIE: </v>
      </c>
      <c r="AT815" s="5" t="str">
        <f>CONCATENATE("MARCA: ",BDEGENER[[#This Row],[MARCA ALTERNADOR ]],"
SERIE: ",BDEGENER[[#This Row],[SERIE DE ALTERNADOR]])</f>
        <v xml:space="preserve">MARCA: 
SERIE: </v>
      </c>
      <c r="AU815" s="29" t="str">
        <f>CONCATENATE("HORAS: ",BDEGENER[[#This Row],[HORAS]],"
KW-HR: ",BDEGENER[[#This Row],[KW-HORA]],"
VOLT.BATERIA: ",BDEGENER[[#This Row],[VOLTAJE DE BATERIA]],"
TEMPERATURA: ",BDEGENER[[#This Row],[TEMPERATURA DE AGUA]],"
PRES. ACEITE: ",BDEGENER[[#This Row],[PRESION DE ACEITE]])</f>
        <v xml:space="preserve">HORAS: 691,8
KW-HR: 
VOLT.BATERIA: 
TEMPERATURA: 
PRES. ACEITE: </v>
      </c>
      <c r="AV815" s="683">
        <f>COUNTIFS(Q815:Q2815,"MANTENIMIENTO CORRECTIVO",Y815:Y2815,BDEGENER[[#This Row],[SERIE]])</f>
        <v>1</v>
      </c>
      <c r="AW815" s="683">
        <f>COUNTIFS(Q815:Q2815,"MANTENIMIENTO PREVENTIVO",Y815:Y2815,BDEGENER[[#This Row],[SERIE]])</f>
        <v>4</v>
      </c>
      <c r="AX81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815" s="29">
        <f>COUNTIFS(BDEGENER[SERIE],BDEGENER[[#This Row],[SERIE]],BDEGENER[TIPO DE SERVICIO],"MANTENIMIENTO PREVENTIVO")</f>
        <v>9</v>
      </c>
      <c r="AZ815" s="29" t="str">
        <f>CONCATENATE("MANTENIMIENTO PREVENTIVO N°",BDEGENER[[#This Row],[GA1]])</f>
        <v>MANTENIMIENTO PREVENTIVO N°9</v>
      </c>
      <c r="BA815" s="325" t="str">
        <f>IF(BDEGENER[[#This Row],[SERVICIO]]=BDEGENER[[#This Row],[GA2]],BDEGENER[[#This Row],[HORAS]],"0")</f>
        <v>0</v>
      </c>
      <c r="BB815" s="325">
        <f>SUMIF(BDEGENER[SERIE],BDEGENER[[#This Row],[SERIE]],BDEGENER[GA3])</f>
        <v>4662.2</v>
      </c>
      <c r="BC815" s="683" t="str">
        <f>CONCATENATE("MANT",COUNTIF($Y$7:Y815,Y815))</f>
        <v>MANT11</v>
      </c>
      <c r="BD815" s="29" t="str">
        <f>CONCATENATE(BDEGENER[[#This Row],[SERIE]],BDEGENER[[#This Row],[GA5]])</f>
        <v>3003962766MANT11</v>
      </c>
      <c r="BE815" s="29" t="str">
        <f>CONCATENATE(BDEGENER[[#This Row],[CODIGO PATRIMONIAL]],BDEGENER[[#This Row],[GA5]])</f>
        <v>SUR-GEG-0006MANT11</v>
      </c>
      <c r="BF815" s="16">
        <f>COUNTIF(BDEGENER[SERIE],BDEGENER[[#This Row],[SERIE]])</f>
        <v>16</v>
      </c>
      <c r="BG815" s="683" t="str">
        <f>CONCATENATE("F",COUNTIF($K$7:K815,K815))</f>
        <v>F1</v>
      </c>
      <c r="BH815" s="325" t="str">
        <f>CONCATENATE(BDEGENER[[#This Row],[FECHA DE SERVICIO]],BDEGENER[[#This Row],[N° DE REGISTROS DEL DIA]])</f>
        <v>43754F1</v>
      </c>
      <c r="BI815" s="324"/>
      <c r="BJ815" s="325"/>
      <c r="BK815" s="326"/>
    </row>
    <row r="816" spans="2:63" ht="69" hidden="1" x14ac:dyDescent="0.3">
      <c r="B816" s="223"/>
      <c r="C816" s="223"/>
      <c r="D816" s="223"/>
      <c r="E816" s="223"/>
      <c r="F816" s="223"/>
      <c r="G816" s="223"/>
      <c r="H816" s="223"/>
      <c r="I816" s="223"/>
      <c r="J816" s="223"/>
      <c r="K816" s="723">
        <v>43754</v>
      </c>
      <c r="L816" s="15" t="s">
        <v>181</v>
      </c>
      <c r="M816" s="14" t="s">
        <v>193</v>
      </c>
      <c r="N816" s="14" t="s">
        <v>194</v>
      </c>
      <c r="O816" s="8" t="s">
        <v>162</v>
      </c>
      <c r="P816" s="15" t="s">
        <v>159</v>
      </c>
      <c r="Q816" s="14" t="s">
        <v>107</v>
      </c>
      <c r="R816" s="85" t="s">
        <v>1782</v>
      </c>
      <c r="S816" s="5" t="s">
        <v>50</v>
      </c>
      <c r="T816" s="85" t="s">
        <v>1782</v>
      </c>
      <c r="U816" s="14" t="s">
        <v>126</v>
      </c>
      <c r="V816" s="14" t="s">
        <v>146</v>
      </c>
      <c r="W816" s="14"/>
      <c r="X816" s="14" t="s">
        <v>918</v>
      </c>
      <c r="Y816" s="15">
        <v>9073651</v>
      </c>
      <c r="Z816" s="779" t="s">
        <v>211</v>
      </c>
      <c r="AA816" s="697" t="s">
        <v>33</v>
      </c>
      <c r="AB816" s="14" t="s">
        <v>212</v>
      </c>
      <c r="AC816" s="14" t="s">
        <v>232</v>
      </c>
      <c r="AD816" s="16"/>
      <c r="AE816" s="16"/>
      <c r="AF816" s="12">
        <v>3706.9</v>
      </c>
      <c r="AG816" s="16"/>
      <c r="AH816" s="16"/>
      <c r="AI816" s="16"/>
      <c r="AJ816" s="16"/>
      <c r="AK816" s="16"/>
      <c r="AL816" s="16"/>
      <c r="AM816" s="16"/>
      <c r="AN816" s="16"/>
      <c r="AO816" s="16"/>
      <c r="AP816" s="14" t="s">
        <v>240</v>
      </c>
      <c r="AQ816" s="200" t="str">
        <f>CONCATENATE("REG-",BDEGENER[[#This Row],[FECHA DE SERVICIO]],"-",BDEGENER[[#This Row],[SERIE]],"-",BDEGENER[[#This Row],[HORAS]])</f>
        <v>REG-43754-9073651-3706,9</v>
      </c>
      <c r="AR816" s="5" t="str">
        <f>CONCATENATE("MARCA: ",BDEGENER[[#This Row],[MARCA]],"
 MODELO: ",BDEGENER[[#This Row],[MODELO]])</f>
        <v>MARCA: GENERAC
 MODELO: PG040</v>
      </c>
      <c r="AS816" s="5" t="str">
        <f>CONCATENATE("MARCA: ",BDEGENER[[#This Row],[MARCA DE MOTOR]],"
SERIE: ",BDEGENER[[#This Row],[SERIE DE MOTOR]])</f>
        <v xml:space="preserve">MARCA: 
SERIE: </v>
      </c>
      <c r="AT816" s="5" t="str">
        <f>CONCATENATE("MARCA: ",BDEGENER[[#This Row],[MARCA ALTERNADOR ]],"
SERIE: ",BDEGENER[[#This Row],[SERIE DE ALTERNADOR]])</f>
        <v xml:space="preserve">MARCA: 
SERIE: </v>
      </c>
      <c r="AU816" s="5" t="str">
        <f>CONCATENATE("HORAS: ",BDEGENER[[#This Row],[HORAS]],"
KW-HR: ",BDEGENER[[#This Row],[KW-HORA]],"
VOLT.BATERIA: ",BDEGENER[[#This Row],[VOLTAJE DE BATERIA]],"
TEMPERATURA: ",BDEGENER[[#This Row],[TEMPERATURA DE AGUA]],"
PRES. ACEITE: ",BDEGENER[[#This Row],[PRESION DE ACEITE]])</f>
        <v xml:space="preserve">HORAS: 3706,9
KW-HR: 
VOLT.BATERIA: 
TEMPERATURA: 
PRES. ACEITE: </v>
      </c>
      <c r="AV816" s="683">
        <f>COUNTIFS(Q816:Q2816,"MANTENIMIENTO CORRECTIVO",Y816:Y2816,BDEGENER[[#This Row],[SERIE]])</f>
        <v>1</v>
      </c>
      <c r="AW816" s="683">
        <f>COUNTIFS(Q816:Q2816,"MANTENIMIENTO PREVENTIVO",Y816:Y2816,BDEGENER[[#This Row],[SERIE]])</f>
        <v>0</v>
      </c>
      <c r="AX81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16" s="29">
        <f>COUNTIFS(BDEGENER[SERIE],BDEGENER[[#This Row],[SERIE]],BDEGENER[TIPO DE SERVICIO],"MANTENIMIENTO PREVENTIVO")</f>
        <v>0</v>
      </c>
      <c r="AZ816" s="29" t="str">
        <f>CONCATENATE("MANTENIMIENTO PREVENTIVO N°",BDEGENER[[#This Row],[GA1]])</f>
        <v>MANTENIMIENTO PREVENTIVO N°0</v>
      </c>
      <c r="BA816" s="325" t="str">
        <f>IF(BDEGENER[[#This Row],[SERVICIO]]=BDEGENER[[#This Row],[GA2]],BDEGENER[[#This Row],[HORAS]],"0")</f>
        <v>0</v>
      </c>
      <c r="BB816" s="325">
        <f>SUMIF(BDEGENER[SERIE],BDEGENER[[#This Row],[SERIE]],BDEGENER[GA3])</f>
        <v>0</v>
      </c>
      <c r="BC816" s="683" t="str">
        <f>CONCATENATE("MANT",COUNTIF($Y$7:Y816,Y816))</f>
        <v>MANT1</v>
      </c>
      <c r="BD816" s="29" t="str">
        <f>CONCATENATE(BDEGENER[[#This Row],[SERIE]],BDEGENER[[#This Row],[GA5]])</f>
        <v>9073651MANT1</v>
      </c>
      <c r="BE816" s="29" t="str">
        <f>CONCATENATE(BDEGENER[[#This Row],[CODIGO PATRIMONIAL]],BDEGENER[[#This Row],[GA5]])</f>
        <v>GEGA019MANT1</v>
      </c>
      <c r="BF816" s="16">
        <f>COUNTIF(BDEGENER[SERIE],BDEGENER[[#This Row],[SERIE]])</f>
        <v>1</v>
      </c>
      <c r="BG816" s="683" t="str">
        <f>CONCATENATE("F",COUNTIF($K$7:K816,K816))</f>
        <v>F2</v>
      </c>
      <c r="BH816" s="325" t="str">
        <f>CONCATENATE(BDEGENER[[#This Row],[FECHA DE SERVICIO]],BDEGENER[[#This Row],[N° DE REGISTROS DEL DIA]])</f>
        <v>43754F2</v>
      </c>
      <c r="BI816" s="324"/>
      <c r="BJ816" s="325"/>
      <c r="BK816" s="326"/>
    </row>
    <row r="817" spans="2:63" ht="69" hidden="1" x14ac:dyDescent="0.3">
      <c r="B817" s="223"/>
      <c r="C817" s="223"/>
      <c r="D817" s="223"/>
      <c r="E817" s="223"/>
      <c r="F817" s="223"/>
      <c r="G817" s="223"/>
      <c r="H817" s="223"/>
      <c r="I817" s="223"/>
      <c r="J817" s="223"/>
      <c r="K817" s="723">
        <v>43754</v>
      </c>
      <c r="L817" s="15" t="s">
        <v>181</v>
      </c>
      <c r="M817" s="14" t="s">
        <v>193</v>
      </c>
      <c r="N817" s="14" t="s">
        <v>194</v>
      </c>
      <c r="O817" s="8" t="s">
        <v>162</v>
      </c>
      <c r="P817" s="15" t="s">
        <v>159</v>
      </c>
      <c r="Q817" s="14" t="s">
        <v>107</v>
      </c>
      <c r="R817" s="85" t="s">
        <v>1782</v>
      </c>
      <c r="S817" s="5" t="s">
        <v>50</v>
      </c>
      <c r="T817" s="85" t="s">
        <v>1782</v>
      </c>
      <c r="U817" s="14" t="s">
        <v>126</v>
      </c>
      <c r="V817" s="14" t="s">
        <v>146</v>
      </c>
      <c r="W817" s="14"/>
      <c r="X817" s="14" t="s">
        <v>918</v>
      </c>
      <c r="Y817" s="15">
        <v>9227292</v>
      </c>
      <c r="Z817" s="14" t="s">
        <v>213</v>
      </c>
      <c r="AA817" s="14" t="s">
        <v>33</v>
      </c>
      <c r="AB817" s="14" t="s">
        <v>212</v>
      </c>
      <c r="AC817" s="14" t="s">
        <v>232</v>
      </c>
      <c r="AD817" s="16"/>
      <c r="AE817" s="16"/>
      <c r="AF817" s="12">
        <v>2574.4</v>
      </c>
      <c r="AG817" s="16"/>
      <c r="AH817" s="16"/>
      <c r="AI817" s="16"/>
      <c r="AJ817" s="16"/>
      <c r="AK817" s="16"/>
      <c r="AL817" s="16"/>
      <c r="AM817" s="16"/>
      <c r="AN817" s="16"/>
      <c r="AO817" s="16"/>
      <c r="AP817" s="14" t="s">
        <v>240</v>
      </c>
      <c r="AQ817" s="200" t="str">
        <f>CONCATENATE("REG-",BDEGENER[[#This Row],[FECHA DE SERVICIO]],"-",BDEGENER[[#This Row],[SERIE]],"-",BDEGENER[[#This Row],[HORAS]])</f>
        <v>REG-43754-9227292-2574,4</v>
      </c>
      <c r="AR817" s="5" t="str">
        <f>CONCATENATE("MARCA: ",BDEGENER[[#This Row],[MARCA]],"
 MODELO: ",BDEGENER[[#This Row],[MODELO]])</f>
        <v>MARCA: GENERAC
 MODELO: PG040</v>
      </c>
      <c r="AS817" s="5" t="str">
        <f>CONCATENATE("MARCA: ",BDEGENER[[#This Row],[MARCA DE MOTOR]],"
SERIE: ",BDEGENER[[#This Row],[SERIE DE MOTOR]])</f>
        <v xml:space="preserve">MARCA: 
SERIE: </v>
      </c>
      <c r="AT817" s="5" t="str">
        <f>CONCATENATE("MARCA: ",BDEGENER[[#This Row],[MARCA ALTERNADOR ]],"
SERIE: ",BDEGENER[[#This Row],[SERIE DE ALTERNADOR]])</f>
        <v xml:space="preserve">MARCA: 
SERIE: </v>
      </c>
      <c r="AU817" s="5" t="str">
        <f>CONCATENATE("HORAS: ",BDEGENER[[#This Row],[HORAS]],"
KW-HR: ",BDEGENER[[#This Row],[KW-HORA]],"
VOLT.BATERIA: ",BDEGENER[[#This Row],[VOLTAJE DE BATERIA]],"
TEMPERATURA: ",BDEGENER[[#This Row],[TEMPERATURA DE AGUA]],"
PRES. ACEITE: ",BDEGENER[[#This Row],[PRESION DE ACEITE]])</f>
        <v xml:space="preserve">HORAS: 2574,4
KW-HR: 
VOLT.BATERIA: 
TEMPERATURA: 
PRES. ACEITE: </v>
      </c>
      <c r="AV817" s="761">
        <f>COUNTIFS(Q817:Q2817,"MANTENIMIENTO CORRECTIVO",Y817:Y2817,BDEGENER[[#This Row],[SERIE]])</f>
        <v>1</v>
      </c>
      <c r="AW817" s="761">
        <f>COUNTIFS(Q817:Q2817,"MANTENIMIENTO PREVENTIVO",Y817:Y2817,BDEGENER[[#This Row],[SERIE]])</f>
        <v>0</v>
      </c>
      <c r="AX81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17" s="29">
        <f>COUNTIFS(BDEGENER[SERIE],BDEGENER[[#This Row],[SERIE]],BDEGENER[TIPO DE SERVICIO],"MANTENIMIENTO PREVENTIVO")</f>
        <v>0</v>
      </c>
      <c r="AZ817" s="29" t="str">
        <f>CONCATENATE("MANTENIMIENTO PREVENTIVO N°",BDEGENER[[#This Row],[GA1]])</f>
        <v>MANTENIMIENTO PREVENTIVO N°0</v>
      </c>
      <c r="BA817" s="325" t="str">
        <f>IF(BDEGENER[[#This Row],[SERVICIO]]=BDEGENER[[#This Row],[GA2]],BDEGENER[[#This Row],[HORAS]],"0")</f>
        <v>0</v>
      </c>
      <c r="BB817" s="325">
        <f>SUMIF(BDEGENER[SERIE],BDEGENER[[#This Row],[SERIE]],BDEGENER[GA3])</f>
        <v>0</v>
      </c>
      <c r="BC817" s="761" t="str">
        <f>CONCATENATE("MANT",COUNTIF($Y$7:Y817,Y817))</f>
        <v>MANT1</v>
      </c>
      <c r="BD817" s="29" t="str">
        <f>CONCATENATE(BDEGENER[[#This Row],[SERIE]],BDEGENER[[#This Row],[GA5]])</f>
        <v>9227292MANT1</v>
      </c>
      <c r="BE817" s="29" t="str">
        <f>CONCATENATE(BDEGENER[[#This Row],[CODIGO PATRIMONIAL]],BDEGENER[[#This Row],[GA5]])</f>
        <v>GEGA020MANT1</v>
      </c>
      <c r="BF817" s="16">
        <f>COUNTIF(BDEGENER[SERIE],BDEGENER[[#This Row],[SERIE]])</f>
        <v>1</v>
      </c>
      <c r="BG817" s="761" t="str">
        <f>CONCATENATE("F",COUNTIF($K$7:K817,K817))</f>
        <v>F3</v>
      </c>
      <c r="BH817" s="325" t="str">
        <f>CONCATENATE(BDEGENER[[#This Row],[FECHA DE SERVICIO]],BDEGENER[[#This Row],[N° DE REGISTROS DEL DIA]])</f>
        <v>43754F3</v>
      </c>
      <c r="BI817" s="324"/>
      <c r="BJ817" s="325"/>
      <c r="BK817" s="326"/>
    </row>
    <row r="818" spans="2:63" ht="69" hidden="1" x14ac:dyDescent="0.3">
      <c r="B818" s="223"/>
      <c r="C818" s="223"/>
      <c r="D818" s="223"/>
      <c r="E818" s="223"/>
      <c r="F818" s="223"/>
      <c r="G818" s="223"/>
      <c r="H818" s="223"/>
      <c r="I818" s="223"/>
      <c r="J818" s="223"/>
      <c r="K818" s="723">
        <v>43754</v>
      </c>
      <c r="L818" s="15" t="s">
        <v>181</v>
      </c>
      <c r="M818" s="85" t="s">
        <v>1388</v>
      </c>
      <c r="N818" s="14" t="s">
        <v>1538</v>
      </c>
      <c r="O818" s="8">
        <v>4500800535</v>
      </c>
      <c r="P818" s="10"/>
      <c r="Q818" s="14" t="s">
        <v>37</v>
      </c>
      <c r="R818" s="85" t="s">
        <v>1782</v>
      </c>
      <c r="S818" s="5" t="s">
        <v>1344</v>
      </c>
      <c r="T818" s="85" t="s">
        <v>1782</v>
      </c>
      <c r="U818" s="14" t="s">
        <v>118</v>
      </c>
      <c r="V818" s="14" t="s">
        <v>148</v>
      </c>
      <c r="W818" s="85" t="s">
        <v>914</v>
      </c>
      <c r="X818" s="85" t="s">
        <v>918</v>
      </c>
      <c r="Y818" s="15">
        <v>3004428523</v>
      </c>
      <c r="Z818" s="14"/>
      <c r="AA818" s="14" t="s">
        <v>33</v>
      </c>
      <c r="AB818" s="85" t="s">
        <v>34</v>
      </c>
      <c r="AC818" s="14" t="s">
        <v>230</v>
      </c>
      <c r="AD818" s="16"/>
      <c r="AE818" s="16"/>
      <c r="AF818" s="12">
        <v>51.2</v>
      </c>
      <c r="AG818" s="16" t="s">
        <v>243</v>
      </c>
      <c r="AH818" s="16" t="s">
        <v>220</v>
      </c>
      <c r="AI818" s="16" t="s">
        <v>33</v>
      </c>
      <c r="AJ818" s="16">
        <v>3004426215</v>
      </c>
      <c r="AK818" s="16" t="s">
        <v>33</v>
      </c>
      <c r="AL818" s="16">
        <v>106301030</v>
      </c>
      <c r="AM818" s="16"/>
      <c r="AN818" s="16"/>
      <c r="AO818" s="16"/>
      <c r="AP818" s="14" t="s">
        <v>240</v>
      </c>
      <c r="AQ818" s="200" t="str">
        <f>CONCATENATE("REG-",BDEGENER[[#This Row],[FECHA DE SERVICIO]],"-",BDEGENER[[#This Row],[SERIE]],"-",BDEGENER[[#This Row],[HORAS]])</f>
        <v>REG-43754-3004428523-51,2</v>
      </c>
      <c r="AR818" s="5" t="str">
        <f>CONCATENATE("MARCA: ",BDEGENER[[#This Row],[MARCA]],"
 MODELO: ",BDEGENER[[#This Row],[MODELO]])</f>
        <v>MARCA: GENERAC
 MODELO: PG090</v>
      </c>
      <c r="AS818" s="5" t="str">
        <f>CONCATENATE("MARCA: ",BDEGENER[[#This Row],[MARCA DE MOTOR]],"
SERIE: ",BDEGENER[[#This Row],[SERIE DE MOTOR]])</f>
        <v>MARCA: GENERAC
SERIE: 3004426215</v>
      </c>
      <c r="AT818" s="5" t="str">
        <f>CONCATENATE("MARCA: ",BDEGENER[[#This Row],[MARCA ALTERNADOR ]],"
SERIE: ",BDEGENER[[#This Row],[SERIE DE ALTERNADOR]])</f>
        <v>MARCA: GENERAC
SERIE: 106301030</v>
      </c>
      <c r="AU818" s="5" t="str">
        <f>CONCATENATE("HORAS: ",BDEGENER[[#This Row],[HORAS]],"
KW-HR: ",BDEGENER[[#This Row],[KW-HORA]],"
VOLT.BATERIA: ",BDEGENER[[#This Row],[VOLTAJE DE BATERIA]],"
TEMPERATURA: ",BDEGENER[[#This Row],[TEMPERATURA DE AGUA]],"
PRES. ACEITE: ",BDEGENER[[#This Row],[PRESION DE ACEITE]])</f>
        <v xml:space="preserve">HORAS: 51,2
KW-HR: 
VOLT.BATERIA: 
TEMPERATURA: 
PRES. ACEITE: </v>
      </c>
      <c r="AV818" s="683">
        <f>COUNTIFS(Q818:Q2818,"MANTENIMIENTO CORRECTIVO",Y818:Y2818,BDEGENER[[#This Row],[SERIE]])</f>
        <v>0</v>
      </c>
      <c r="AW818" s="683">
        <f>COUNTIFS(Q818:Q2818,"MANTENIMIENTO PREVENTIVO",Y818:Y2818,BDEGENER[[#This Row],[SERIE]])</f>
        <v>1</v>
      </c>
      <c r="AX81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18" s="29">
        <f>COUNTIFS(BDEGENER[SERIE],BDEGENER[[#This Row],[SERIE]],BDEGENER[TIPO DE SERVICIO],"MANTENIMIENTO PREVENTIVO")</f>
        <v>9</v>
      </c>
      <c r="AZ818" s="29" t="str">
        <f>CONCATENATE("MANTENIMIENTO PREVENTIVO N°",BDEGENER[[#This Row],[GA1]])</f>
        <v>MANTENIMIENTO PREVENTIVO N°9</v>
      </c>
      <c r="BA818" s="325" t="str">
        <f>IF(BDEGENER[[#This Row],[SERVICIO]]=BDEGENER[[#This Row],[GA2]],BDEGENER[[#This Row],[HORAS]],"0")</f>
        <v>0</v>
      </c>
      <c r="BB818" s="325">
        <f>SUMIF(BDEGENER[SERIE],BDEGENER[[#This Row],[SERIE]],BDEGENER[GA3])</f>
        <v>2439.9</v>
      </c>
      <c r="BC818" s="683" t="str">
        <f>CONCATENATE("MANT",COUNTIF($Y$7:Y818,Y818))</f>
        <v>MANT12</v>
      </c>
      <c r="BD818" s="29" t="str">
        <f>CONCATENATE(BDEGENER[[#This Row],[SERIE]],BDEGENER[[#This Row],[GA5]])</f>
        <v>3004428523MANT12</v>
      </c>
      <c r="BE818" s="29" t="str">
        <f>CONCATENATE(BDEGENER[[#This Row],[CODIGO PATRIMONIAL]],BDEGENER[[#This Row],[GA5]])</f>
        <v>MANT12</v>
      </c>
      <c r="BF818" s="16">
        <f>COUNTIF(BDEGENER[SERIE],BDEGENER[[#This Row],[SERIE]])</f>
        <v>14</v>
      </c>
      <c r="BG818" s="683" t="str">
        <f>CONCATENATE("F",COUNTIF($K$7:K818,K818))</f>
        <v>F4</v>
      </c>
      <c r="BH818" s="325" t="str">
        <f>CONCATENATE(BDEGENER[[#This Row],[FECHA DE SERVICIO]],BDEGENER[[#This Row],[N° DE REGISTROS DEL DIA]])</f>
        <v>43754F4</v>
      </c>
      <c r="BI818" s="324"/>
      <c r="BJ818" s="325"/>
      <c r="BK818" s="326"/>
    </row>
    <row r="819" spans="2:63" ht="69" hidden="1" x14ac:dyDescent="0.3">
      <c r="B819" s="223"/>
      <c r="C819" s="223"/>
      <c r="D819" s="223"/>
      <c r="E819" s="223"/>
      <c r="F819" s="223"/>
      <c r="G819" s="223"/>
      <c r="H819" s="223"/>
      <c r="I819" s="223"/>
      <c r="J819" s="223"/>
      <c r="K819" s="723">
        <v>43753</v>
      </c>
      <c r="L819" s="15" t="s">
        <v>181</v>
      </c>
      <c r="M819" s="14" t="s">
        <v>184</v>
      </c>
      <c r="N819" s="14" t="s">
        <v>183</v>
      </c>
      <c r="O819" s="8" t="s">
        <v>161</v>
      </c>
      <c r="P819" s="15" t="s">
        <v>159</v>
      </c>
      <c r="Q819" s="14" t="s">
        <v>37</v>
      </c>
      <c r="R819" s="85" t="s">
        <v>1782</v>
      </c>
      <c r="S819" s="5" t="s">
        <v>40</v>
      </c>
      <c r="T819" s="14" t="s">
        <v>86</v>
      </c>
      <c r="U819" s="14" t="s">
        <v>118</v>
      </c>
      <c r="V819" s="14" t="s">
        <v>146</v>
      </c>
      <c r="W819" s="85" t="s">
        <v>914</v>
      </c>
      <c r="X819" s="85" t="s">
        <v>918</v>
      </c>
      <c r="Y819" s="15">
        <v>3004416580</v>
      </c>
      <c r="Z819" s="14"/>
      <c r="AA819" s="14" t="s">
        <v>33</v>
      </c>
      <c r="AB819" s="85" t="s">
        <v>34</v>
      </c>
      <c r="AC819" s="14" t="s">
        <v>230</v>
      </c>
      <c r="AD819" s="16" t="s">
        <v>1195</v>
      </c>
      <c r="AE819" s="16"/>
      <c r="AF819" s="12">
        <v>79.599999999999994</v>
      </c>
      <c r="AG819" s="16" t="s">
        <v>243</v>
      </c>
      <c r="AH819" s="16" t="s">
        <v>220</v>
      </c>
      <c r="AI819" s="16" t="s">
        <v>33</v>
      </c>
      <c r="AJ819" s="16">
        <v>3004426061</v>
      </c>
      <c r="AK819" s="16" t="s">
        <v>33</v>
      </c>
      <c r="AL819" s="16">
        <v>107746810</v>
      </c>
      <c r="AM819" s="16" t="s">
        <v>1193</v>
      </c>
      <c r="AN819" s="16"/>
      <c r="AO819" s="16"/>
      <c r="AP819" s="14" t="s">
        <v>240</v>
      </c>
      <c r="AQ819" s="200" t="str">
        <f>CONCATENATE("REG-",BDEGENER[[#This Row],[FECHA DE SERVICIO]],"-",BDEGENER[[#This Row],[SERIE]],"-",BDEGENER[[#This Row],[HORAS]])</f>
        <v>REG-43753-3004416580-79,6</v>
      </c>
      <c r="AR819" s="5" t="str">
        <f>CONCATENATE("MARCA: ",BDEGENER[[#This Row],[MARCA]],"
 MODELO: ",BDEGENER[[#This Row],[MODELO]])</f>
        <v>MARCA: GENERAC
 MODELO: PG090</v>
      </c>
      <c r="AS819" s="5" t="str">
        <f>CONCATENATE("MARCA: ",BDEGENER[[#This Row],[MARCA DE MOTOR]],"
SERIE: ",BDEGENER[[#This Row],[SERIE DE MOTOR]])</f>
        <v>MARCA: GENERAC
SERIE: 3004426061</v>
      </c>
      <c r="AT819" s="5" t="str">
        <f>CONCATENATE("MARCA: ",BDEGENER[[#This Row],[MARCA ALTERNADOR ]],"
SERIE: ",BDEGENER[[#This Row],[SERIE DE ALTERNADOR]])</f>
        <v>MARCA: GENERAC
SERIE: 107746810</v>
      </c>
      <c r="AU819" s="5" t="str">
        <f>CONCATENATE("HORAS: ",BDEGENER[[#This Row],[HORAS]],"
KW-HR: ",BDEGENER[[#This Row],[KW-HORA]],"
VOLT.BATERIA: ",BDEGENER[[#This Row],[VOLTAJE DE BATERIA]],"
TEMPERATURA: ",BDEGENER[[#This Row],[TEMPERATURA DE AGUA]],"
PRES. ACEITE: ",BDEGENER[[#This Row],[PRESION DE ACEITE]])</f>
        <v xml:space="preserve">HORAS: 79,6
KW-HR: 
VOLT.BATERIA: 13.1 V
TEMPERATURA: 
PRES. ACEITE: </v>
      </c>
      <c r="AV819" s="683">
        <f>COUNTIFS(Q819:Q2819,"MANTENIMIENTO CORRECTIVO",Y819:Y2819,BDEGENER[[#This Row],[SERIE]])</f>
        <v>1</v>
      </c>
      <c r="AW819" s="683">
        <f>COUNTIFS(Q819:Q2819,"MANTENIMIENTO PREVENTIVO",Y819:Y2819,BDEGENER[[#This Row],[SERIE]])</f>
        <v>1</v>
      </c>
      <c r="AX81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19" s="29">
        <f>COUNTIFS(BDEGENER[SERIE],BDEGENER[[#This Row],[SERIE]],BDEGENER[TIPO DE SERVICIO],"MANTENIMIENTO PREVENTIVO")</f>
        <v>8</v>
      </c>
      <c r="AZ819" s="29" t="str">
        <f>CONCATENATE("MANTENIMIENTO PREVENTIVO N°",BDEGENER[[#This Row],[GA1]])</f>
        <v>MANTENIMIENTO PREVENTIVO N°8</v>
      </c>
      <c r="BA819" s="325" t="str">
        <f>IF(BDEGENER[[#This Row],[SERVICIO]]=BDEGENER[[#This Row],[GA2]],BDEGENER[[#This Row],[HORAS]],"0")</f>
        <v>0</v>
      </c>
      <c r="BB819" s="325">
        <f>SUMIF(BDEGENER[SERIE],BDEGENER[[#This Row],[SERIE]],BDEGENER[GA3])</f>
        <v>3113.9</v>
      </c>
      <c r="BC819" s="683" t="str">
        <f>CONCATENATE("MANT",COUNTIF($Y$7:Y819,Y819))</f>
        <v>MANT12</v>
      </c>
      <c r="BD819" s="29" t="str">
        <f>CONCATENATE(BDEGENER[[#This Row],[SERIE]],BDEGENER[[#This Row],[GA5]])</f>
        <v>3004416580MANT12</v>
      </c>
      <c r="BE819" s="29" t="str">
        <f>CONCATENATE(BDEGENER[[#This Row],[CODIGO PATRIMONIAL]],BDEGENER[[#This Row],[GA5]])</f>
        <v>MANT12</v>
      </c>
      <c r="BF819" s="16">
        <f>COUNTIF(BDEGENER[SERIE],BDEGENER[[#This Row],[SERIE]])</f>
        <v>14</v>
      </c>
      <c r="BG819" s="683" t="str">
        <f>CONCATENATE("F",COUNTIF($K$7:K819,K819))</f>
        <v>F1</v>
      </c>
      <c r="BH819" s="325" t="str">
        <f>CONCATENATE(BDEGENER[[#This Row],[FECHA DE SERVICIO]],BDEGENER[[#This Row],[N° DE REGISTROS DEL DIA]])</f>
        <v>43753F1</v>
      </c>
      <c r="BI819" s="324"/>
      <c r="BJ819" s="85" t="s">
        <v>1544</v>
      </c>
      <c r="BK819" s="326"/>
    </row>
    <row r="820" spans="2:63" ht="69" hidden="1" x14ac:dyDescent="0.3">
      <c r="B820" s="223"/>
      <c r="C820" s="223"/>
      <c r="D820" s="223"/>
      <c r="E820" s="223"/>
      <c r="F820" s="223"/>
      <c r="G820" s="223"/>
      <c r="H820" s="223"/>
      <c r="I820" s="223"/>
      <c r="J820" s="223"/>
      <c r="K820" s="723">
        <v>43753</v>
      </c>
      <c r="L820" s="15" t="s">
        <v>181</v>
      </c>
      <c r="M820" s="14" t="s">
        <v>190</v>
      </c>
      <c r="N820" s="14" t="s">
        <v>191</v>
      </c>
      <c r="O820" s="8" t="s">
        <v>161</v>
      </c>
      <c r="P820" s="15" t="s">
        <v>159</v>
      </c>
      <c r="Q820" s="14" t="s">
        <v>37</v>
      </c>
      <c r="R820" s="85" t="s">
        <v>1782</v>
      </c>
      <c r="S820" s="5" t="s">
        <v>40</v>
      </c>
      <c r="T820" s="14" t="s">
        <v>86</v>
      </c>
      <c r="U820" s="14" t="s">
        <v>118</v>
      </c>
      <c r="V820" s="14" t="s">
        <v>146</v>
      </c>
      <c r="W820" s="85" t="s">
        <v>914</v>
      </c>
      <c r="X820" s="85" t="s">
        <v>918</v>
      </c>
      <c r="Y820" s="15">
        <v>3004416582</v>
      </c>
      <c r="Z820" s="14"/>
      <c r="AA820" s="14" t="s">
        <v>33</v>
      </c>
      <c r="AB820" s="85" t="s">
        <v>34</v>
      </c>
      <c r="AC820" s="14" t="s">
        <v>230</v>
      </c>
      <c r="AD820" s="16" t="s">
        <v>1195</v>
      </c>
      <c r="AE820" s="16"/>
      <c r="AF820" s="12">
        <v>112.4</v>
      </c>
      <c r="AG820" s="16" t="s">
        <v>243</v>
      </c>
      <c r="AH820" s="16" t="s">
        <v>220</v>
      </c>
      <c r="AI820" s="16" t="s">
        <v>33</v>
      </c>
      <c r="AJ820" s="16">
        <v>3004309061</v>
      </c>
      <c r="AK820" s="16" t="s">
        <v>33</v>
      </c>
      <c r="AL820" s="16">
        <v>107748830</v>
      </c>
      <c r="AM820" s="16" t="s">
        <v>1196</v>
      </c>
      <c r="AN820" s="16"/>
      <c r="AO820" s="16"/>
      <c r="AP820" s="14" t="s">
        <v>240</v>
      </c>
      <c r="AQ820" s="200" t="str">
        <f>CONCATENATE("REG-",BDEGENER[[#This Row],[FECHA DE SERVICIO]],"-",BDEGENER[[#This Row],[SERIE]],"-",BDEGENER[[#This Row],[HORAS]])</f>
        <v>REG-43753-3004416582-112,4</v>
      </c>
      <c r="AR820" s="5" t="str">
        <f>CONCATENATE("MARCA: ",BDEGENER[[#This Row],[MARCA]],"
 MODELO: ",BDEGENER[[#This Row],[MODELO]])</f>
        <v>MARCA: GENERAC
 MODELO: PG090</v>
      </c>
      <c r="AS820" s="5" t="str">
        <f>CONCATENATE("MARCA: ",BDEGENER[[#This Row],[MARCA DE MOTOR]],"
SERIE: ",BDEGENER[[#This Row],[SERIE DE MOTOR]])</f>
        <v>MARCA: GENERAC
SERIE: 3004309061</v>
      </c>
      <c r="AT820" s="5" t="str">
        <f>CONCATENATE("MARCA: ",BDEGENER[[#This Row],[MARCA ALTERNADOR ]],"
SERIE: ",BDEGENER[[#This Row],[SERIE DE ALTERNADOR]])</f>
        <v>MARCA: GENERAC
SERIE: 107748830</v>
      </c>
      <c r="AU820" s="5" t="str">
        <f>CONCATENATE("HORAS: ",BDEGENER[[#This Row],[HORAS]],"
KW-HR: ",BDEGENER[[#This Row],[KW-HORA]],"
VOLT.BATERIA: ",BDEGENER[[#This Row],[VOLTAJE DE BATERIA]],"
TEMPERATURA: ",BDEGENER[[#This Row],[TEMPERATURA DE AGUA]],"
PRES. ACEITE: ",BDEGENER[[#This Row],[PRESION DE ACEITE]])</f>
        <v xml:space="preserve">HORAS: 112,4
KW-HR: 
VOLT.BATERIA: 13.2 V
TEMPERATURA: 
PRES. ACEITE: </v>
      </c>
      <c r="AV820" s="761">
        <f>COUNTIFS(Q820:Q2820,"MANTENIMIENTO CORRECTIVO",Y820:Y2820,BDEGENER[[#This Row],[SERIE]])</f>
        <v>1</v>
      </c>
      <c r="AW820" s="761">
        <f>COUNTIFS(Q820:Q2820,"MANTENIMIENTO PREVENTIVO",Y820:Y2820,BDEGENER[[#This Row],[SERIE]])</f>
        <v>1</v>
      </c>
      <c r="AX82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20" s="29">
        <f>COUNTIFS(BDEGENER[SERIE],BDEGENER[[#This Row],[SERIE]],BDEGENER[TIPO DE SERVICIO],"MANTENIMIENTO PREVENTIVO")</f>
        <v>7</v>
      </c>
      <c r="AZ820" s="29" t="str">
        <f>CONCATENATE("MANTENIMIENTO PREVENTIVO N°",BDEGENER[[#This Row],[GA1]])</f>
        <v>MANTENIMIENTO PREVENTIVO N°7</v>
      </c>
      <c r="BA820" s="325" t="str">
        <f>IF(BDEGENER[[#This Row],[SERVICIO]]=BDEGENER[[#This Row],[GA2]],BDEGENER[[#This Row],[HORAS]],"0")</f>
        <v>0</v>
      </c>
      <c r="BB820" s="325">
        <f>SUMIF(BDEGENER[SERIE],BDEGENER[[#This Row],[SERIE]],BDEGENER[GA3])</f>
        <v>2342.3000000000002</v>
      </c>
      <c r="BC820" s="761" t="str">
        <f>CONCATENATE("MANT",COUNTIF($Y$7:Y820,Y820))</f>
        <v>MANT9</v>
      </c>
      <c r="BD820" s="29" t="str">
        <f>CONCATENATE(BDEGENER[[#This Row],[SERIE]],BDEGENER[[#This Row],[GA5]])</f>
        <v>3004416582MANT9</v>
      </c>
      <c r="BE820" s="29" t="str">
        <f>CONCATENATE(BDEGENER[[#This Row],[CODIGO PATRIMONIAL]],BDEGENER[[#This Row],[GA5]])</f>
        <v>MANT9</v>
      </c>
      <c r="BF820" s="16">
        <f>COUNTIF(BDEGENER[SERIE],BDEGENER[[#This Row],[SERIE]])</f>
        <v>11</v>
      </c>
      <c r="BG820" s="761" t="str">
        <f>CONCATENATE("F",COUNTIF($K$7:K820,K820))</f>
        <v>F2</v>
      </c>
      <c r="BH820" s="325" t="str">
        <f>CONCATENATE(BDEGENER[[#This Row],[FECHA DE SERVICIO]],BDEGENER[[#This Row],[N° DE REGISTROS DEL DIA]])</f>
        <v>43753F2</v>
      </c>
      <c r="BI820" s="324"/>
      <c r="BJ820" s="85" t="s">
        <v>1544</v>
      </c>
      <c r="BK820" s="326"/>
    </row>
    <row r="821" spans="2:63" ht="69" hidden="1" x14ac:dyDescent="0.3">
      <c r="B821" s="223"/>
      <c r="C821" s="223"/>
      <c r="D821" s="223"/>
      <c r="E821" s="223"/>
      <c r="F821" s="223"/>
      <c r="G821" s="223"/>
      <c r="H821" s="223"/>
      <c r="I821" s="223"/>
      <c r="J821" s="223"/>
      <c r="K821" s="723">
        <v>43753</v>
      </c>
      <c r="L821" s="15" t="s">
        <v>181</v>
      </c>
      <c r="M821" s="14" t="s">
        <v>190</v>
      </c>
      <c r="N821" s="14" t="s">
        <v>191</v>
      </c>
      <c r="O821" s="8" t="s">
        <v>161</v>
      </c>
      <c r="P821" s="15" t="s">
        <v>159</v>
      </c>
      <c r="Q821" s="14" t="s">
        <v>37</v>
      </c>
      <c r="R821" s="85" t="s">
        <v>1782</v>
      </c>
      <c r="S821" s="5" t="s">
        <v>40</v>
      </c>
      <c r="T821" s="14" t="s">
        <v>86</v>
      </c>
      <c r="U821" s="14" t="s">
        <v>118</v>
      </c>
      <c r="V821" s="14" t="s">
        <v>146</v>
      </c>
      <c r="W821" s="85" t="s">
        <v>914</v>
      </c>
      <c r="X821" s="85" t="s">
        <v>918</v>
      </c>
      <c r="Y821" s="15">
        <v>3004416581</v>
      </c>
      <c r="Z821" s="14"/>
      <c r="AA821" s="14" t="s">
        <v>33</v>
      </c>
      <c r="AB821" s="85" t="s">
        <v>34</v>
      </c>
      <c r="AC821" s="14" t="s">
        <v>230</v>
      </c>
      <c r="AD821" s="16" t="s">
        <v>1360</v>
      </c>
      <c r="AE821" s="16"/>
      <c r="AF821" s="12">
        <v>114.4</v>
      </c>
      <c r="AG821" s="85" t="s">
        <v>243</v>
      </c>
      <c r="AH821" s="85" t="s">
        <v>220</v>
      </c>
      <c r="AI821" s="85" t="s">
        <v>33</v>
      </c>
      <c r="AJ821" s="16">
        <v>3004309056</v>
      </c>
      <c r="AK821" s="85" t="s">
        <v>33</v>
      </c>
      <c r="AL821" s="16">
        <v>107748810</v>
      </c>
      <c r="AM821" s="16" t="s">
        <v>245</v>
      </c>
      <c r="AN821" s="16"/>
      <c r="AO821" s="16"/>
      <c r="AP821" s="14" t="s">
        <v>240</v>
      </c>
      <c r="AQ821" s="200" t="str">
        <f>CONCATENATE("REG-",BDEGENER[[#This Row],[FECHA DE SERVICIO]],"-",BDEGENER[[#This Row],[SERIE]],"-",BDEGENER[[#This Row],[HORAS]])</f>
        <v>REG-43753-3004416581-114,4</v>
      </c>
      <c r="AR821" s="5" t="str">
        <f>CONCATENATE("MARCA: ",BDEGENER[[#This Row],[MARCA]],"
 MODELO: ",BDEGENER[[#This Row],[MODELO]])</f>
        <v>MARCA: GENERAC
 MODELO: PG090</v>
      </c>
      <c r="AS821" s="5" t="str">
        <f>CONCATENATE("MARCA: ",BDEGENER[[#This Row],[MARCA DE MOTOR]],"
SERIE: ",BDEGENER[[#This Row],[SERIE DE MOTOR]])</f>
        <v>MARCA: GENERAC
SERIE: 3004309056</v>
      </c>
      <c r="AT821" s="5" t="str">
        <f>CONCATENATE("MARCA: ",BDEGENER[[#This Row],[MARCA ALTERNADOR ]],"
SERIE: ",BDEGENER[[#This Row],[SERIE DE ALTERNADOR]])</f>
        <v>MARCA: GENERAC
SERIE: 107748810</v>
      </c>
      <c r="AU821" s="5" t="str">
        <f>CONCATENATE("HORAS: ",BDEGENER[[#This Row],[HORAS]],"
KW-HR: ",BDEGENER[[#This Row],[KW-HORA]],"
VOLT.BATERIA: ",BDEGENER[[#This Row],[VOLTAJE DE BATERIA]],"
TEMPERATURA: ",BDEGENER[[#This Row],[TEMPERATURA DE AGUA]],"
PRES. ACEITE: ",BDEGENER[[#This Row],[PRESION DE ACEITE]])</f>
        <v xml:space="preserve">HORAS: 114,4
KW-HR: 
VOLT.BATERIA: 13.6 V
TEMPERATURA: 
PRES. ACEITE: </v>
      </c>
      <c r="AV821" s="683">
        <f>COUNTIFS(Q821:Q2821,"MANTENIMIENTO CORRECTIVO",Y821:Y2821,BDEGENER[[#This Row],[SERIE]])</f>
        <v>0</v>
      </c>
      <c r="AW821" s="683">
        <f>COUNTIFS(Q821:Q2821,"MANTENIMIENTO PREVENTIVO",Y821:Y2821,BDEGENER[[#This Row],[SERIE]])</f>
        <v>1</v>
      </c>
      <c r="AX82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21" s="29">
        <f>COUNTIFS(BDEGENER[SERIE],BDEGENER[[#This Row],[SERIE]],BDEGENER[TIPO DE SERVICIO],"MANTENIMIENTO PREVENTIVO")</f>
        <v>6</v>
      </c>
      <c r="AZ821" s="29" t="str">
        <f>CONCATENATE("MANTENIMIENTO PREVENTIVO N°",BDEGENER[[#This Row],[GA1]])</f>
        <v>MANTENIMIENTO PREVENTIVO N°6</v>
      </c>
      <c r="BA821" s="325" t="str">
        <f>IF(BDEGENER[[#This Row],[SERVICIO]]=BDEGENER[[#This Row],[GA2]],BDEGENER[[#This Row],[HORAS]],"0")</f>
        <v>0</v>
      </c>
      <c r="BB821" s="325">
        <f>SUMIF(BDEGENER[SERIE],BDEGENER[[#This Row],[SERIE]],BDEGENER[GA3])</f>
        <v>1659.1</v>
      </c>
      <c r="BC821" s="683" t="str">
        <f>CONCATENATE("MANT",COUNTIF($Y$7:Y821,Y821))</f>
        <v>MANT10</v>
      </c>
      <c r="BD821" s="29" t="str">
        <f>CONCATENATE(BDEGENER[[#This Row],[SERIE]],BDEGENER[[#This Row],[GA5]])</f>
        <v>3004416581MANT10</v>
      </c>
      <c r="BE821" s="29" t="str">
        <f>CONCATENATE(BDEGENER[[#This Row],[CODIGO PATRIMONIAL]],BDEGENER[[#This Row],[GA5]])</f>
        <v>MANT10</v>
      </c>
      <c r="BF821" s="16">
        <f>COUNTIF(BDEGENER[SERIE],BDEGENER[[#This Row],[SERIE]])</f>
        <v>11</v>
      </c>
      <c r="BG821" s="683" t="str">
        <f>CONCATENATE("F",COUNTIF($K$7:K821,K821))</f>
        <v>F3</v>
      </c>
      <c r="BH821" s="325" t="str">
        <f>CONCATENATE(BDEGENER[[#This Row],[FECHA DE SERVICIO]],BDEGENER[[#This Row],[N° DE REGISTROS DEL DIA]])</f>
        <v>43753F3</v>
      </c>
      <c r="BI821" s="324"/>
      <c r="BJ821" s="85" t="s">
        <v>1544</v>
      </c>
      <c r="BK821" s="326"/>
    </row>
    <row r="822" spans="2:63" ht="69" hidden="1" x14ac:dyDescent="0.3">
      <c r="B822" s="223"/>
      <c r="C822" s="223"/>
      <c r="D822" s="223"/>
      <c r="E822" s="223"/>
      <c r="F822" s="223"/>
      <c r="G822" s="223"/>
      <c r="H822" s="223"/>
      <c r="I822" s="223"/>
      <c r="J822" s="223"/>
      <c r="K822" s="723">
        <v>43753</v>
      </c>
      <c r="L822" s="15" t="s">
        <v>181</v>
      </c>
      <c r="M822" s="14" t="s">
        <v>184</v>
      </c>
      <c r="N822" s="14" t="s">
        <v>183</v>
      </c>
      <c r="O822" s="8" t="s">
        <v>161</v>
      </c>
      <c r="P822" s="15" t="s">
        <v>159</v>
      </c>
      <c r="Q822" s="14" t="s">
        <v>37</v>
      </c>
      <c r="R822" s="85" t="s">
        <v>1782</v>
      </c>
      <c r="S822" s="5" t="s">
        <v>40</v>
      </c>
      <c r="T822" s="14" t="s">
        <v>86</v>
      </c>
      <c r="U822" s="14" t="s">
        <v>118</v>
      </c>
      <c r="V822" s="14" t="s">
        <v>146</v>
      </c>
      <c r="W822" s="85" t="s">
        <v>914</v>
      </c>
      <c r="X822" s="85" t="s">
        <v>918</v>
      </c>
      <c r="Y822" s="15">
        <v>3004337388</v>
      </c>
      <c r="Z822" s="14"/>
      <c r="AA822" s="14" t="s">
        <v>33</v>
      </c>
      <c r="AB822" s="85" t="s">
        <v>34</v>
      </c>
      <c r="AC822" s="14" t="s">
        <v>230</v>
      </c>
      <c r="AD822" s="16" t="s">
        <v>1195</v>
      </c>
      <c r="AE822" s="16"/>
      <c r="AF822" s="12">
        <v>60.5</v>
      </c>
      <c r="AG822" s="85" t="s">
        <v>243</v>
      </c>
      <c r="AH822" s="85" t="s">
        <v>220</v>
      </c>
      <c r="AI822" s="85" t="s">
        <v>33</v>
      </c>
      <c r="AJ822" s="16">
        <v>3004346829</v>
      </c>
      <c r="AK822" s="85" t="s">
        <v>33</v>
      </c>
      <c r="AL822" s="16">
        <v>106308710</v>
      </c>
      <c r="AM822" s="16" t="s">
        <v>1345</v>
      </c>
      <c r="AN822" s="16"/>
      <c r="AO822" s="16"/>
      <c r="AP822" s="14" t="s">
        <v>240</v>
      </c>
      <c r="AQ822" s="200" t="str">
        <f>CONCATENATE("REG-",BDEGENER[[#This Row],[FECHA DE SERVICIO]],"-",BDEGENER[[#This Row],[SERIE]],"-",BDEGENER[[#This Row],[HORAS]])</f>
        <v>REG-43753-3004337388-60,5</v>
      </c>
      <c r="AR822" s="5" t="str">
        <f>CONCATENATE("MARCA: ",BDEGENER[[#This Row],[MARCA]],"
 MODELO: ",BDEGENER[[#This Row],[MODELO]])</f>
        <v>MARCA: GENERAC
 MODELO: PG090</v>
      </c>
      <c r="AS822" s="5" t="str">
        <f>CONCATENATE("MARCA: ",BDEGENER[[#This Row],[MARCA DE MOTOR]],"
SERIE: ",BDEGENER[[#This Row],[SERIE DE MOTOR]])</f>
        <v>MARCA: GENERAC
SERIE: 3004346829</v>
      </c>
      <c r="AT822" s="5" t="str">
        <f>CONCATENATE("MARCA: ",BDEGENER[[#This Row],[MARCA ALTERNADOR ]],"
SERIE: ",BDEGENER[[#This Row],[SERIE DE ALTERNADOR]])</f>
        <v>MARCA: GENERAC
SERIE: 106308710</v>
      </c>
      <c r="AU822" s="5" t="str">
        <f>CONCATENATE("HORAS: ",BDEGENER[[#This Row],[HORAS]],"
KW-HR: ",BDEGENER[[#This Row],[KW-HORA]],"
VOLT.BATERIA: ",BDEGENER[[#This Row],[VOLTAJE DE BATERIA]],"
TEMPERATURA: ",BDEGENER[[#This Row],[TEMPERATURA DE AGUA]],"
PRES. ACEITE: ",BDEGENER[[#This Row],[PRESION DE ACEITE]])</f>
        <v xml:space="preserve">HORAS: 60,5
KW-HR: 
VOLT.BATERIA: 13.0 V
TEMPERATURA: 
PRES. ACEITE: </v>
      </c>
      <c r="AV822" s="683">
        <f>COUNTIFS(Q822:Q2822,"MANTENIMIENTO CORRECTIVO",Y822:Y2822,BDEGENER[[#This Row],[SERIE]])</f>
        <v>1</v>
      </c>
      <c r="AW822" s="683">
        <f>COUNTIFS(Q822:Q2822,"MANTENIMIENTO PREVENTIVO",Y822:Y2822,BDEGENER[[#This Row],[SERIE]])</f>
        <v>1</v>
      </c>
      <c r="AX82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22" s="29">
        <f>COUNTIFS(BDEGENER[SERIE],BDEGENER[[#This Row],[SERIE]],BDEGENER[TIPO DE SERVICIO],"MANTENIMIENTO PREVENTIVO")</f>
        <v>7</v>
      </c>
      <c r="AZ822" s="29" t="str">
        <f>CONCATENATE("MANTENIMIENTO PREVENTIVO N°",BDEGENER[[#This Row],[GA1]])</f>
        <v>MANTENIMIENTO PREVENTIVO N°7</v>
      </c>
      <c r="BA822" s="325" t="str">
        <f>IF(BDEGENER[[#This Row],[SERVICIO]]=BDEGENER[[#This Row],[GA2]],BDEGENER[[#This Row],[HORAS]],"0")</f>
        <v>0</v>
      </c>
      <c r="BB822" s="325">
        <f>SUMIF(BDEGENER[SERIE],BDEGENER[[#This Row],[SERIE]],BDEGENER[GA3])</f>
        <v>2129.8000000000002</v>
      </c>
      <c r="BC822" s="683" t="str">
        <f>CONCATENATE("MANT",COUNTIF($Y$7:Y822,Y822))</f>
        <v>MANT12</v>
      </c>
      <c r="BD822" s="29" t="str">
        <f>CONCATENATE(BDEGENER[[#This Row],[SERIE]],BDEGENER[[#This Row],[GA5]])</f>
        <v>3004337388MANT12</v>
      </c>
      <c r="BE822" s="29" t="str">
        <f>CONCATENATE(BDEGENER[[#This Row],[CODIGO PATRIMONIAL]],BDEGENER[[#This Row],[GA5]])</f>
        <v>MANT12</v>
      </c>
      <c r="BF822" s="16">
        <f>COUNTIF(BDEGENER[SERIE],BDEGENER[[#This Row],[SERIE]])</f>
        <v>14</v>
      </c>
      <c r="BG822" s="683" t="str">
        <f>CONCATENATE("F",COUNTIF($K$7:K822,K822))</f>
        <v>F4</v>
      </c>
      <c r="BH822" s="325" t="str">
        <f>CONCATENATE(BDEGENER[[#This Row],[FECHA DE SERVICIO]],BDEGENER[[#This Row],[N° DE REGISTROS DEL DIA]])</f>
        <v>43753F4</v>
      </c>
      <c r="BI822" s="324"/>
      <c r="BJ822" s="85" t="s">
        <v>1544</v>
      </c>
      <c r="BK822" s="326"/>
    </row>
    <row r="823" spans="2:63" ht="69" hidden="1" x14ac:dyDescent="0.3">
      <c r="B823" s="129"/>
      <c r="C823" s="129"/>
      <c r="D823" s="129"/>
      <c r="E823" s="129"/>
      <c r="F823" s="129"/>
      <c r="G823" s="129"/>
      <c r="H823" s="129"/>
      <c r="I823" s="129"/>
      <c r="J823" s="129"/>
      <c r="K823" s="131">
        <v>43749</v>
      </c>
      <c r="L823" s="18" t="s">
        <v>248</v>
      </c>
      <c r="M823" s="85" t="s">
        <v>1197</v>
      </c>
      <c r="N823" s="85" t="s">
        <v>255</v>
      </c>
      <c r="O823" s="85"/>
      <c r="P823" s="85"/>
      <c r="Q823" s="85" t="s">
        <v>107</v>
      </c>
      <c r="R823" s="85" t="s">
        <v>1198</v>
      </c>
      <c r="S823" s="6" t="s">
        <v>1199</v>
      </c>
      <c r="T823" s="85" t="s">
        <v>1782</v>
      </c>
      <c r="U823" s="85"/>
      <c r="V823" s="85" t="s">
        <v>149</v>
      </c>
      <c r="W823" s="85" t="s">
        <v>913</v>
      </c>
      <c r="X823" s="85" t="s">
        <v>917</v>
      </c>
      <c r="Y823" s="130" t="s">
        <v>499</v>
      </c>
      <c r="Z823" s="85">
        <v>23894</v>
      </c>
      <c r="AA823" s="85" t="s">
        <v>33</v>
      </c>
      <c r="AB823" s="85" t="s">
        <v>500</v>
      </c>
      <c r="AC823" s="23" t="s">
        <v>530</v>
      </c>
      <c r="AD823" s="85" t="s">
        <v>1200</v>
      </c>
      <c r="AE823" s="85">
        <v>62.5</v>
      </c>
      <c r="AF823" s="132">
        <v>171.6</v>
      </c>
      <c r="AG823" s="85" t="s">
        <v>243</v>
      </c>
      <c r="AH823" s="85" t="s">
        <v>1236</v>
      </c>
      <c r="AI823" s="85" t="s">
        <v>844</v>
      </c>
      <c r="AJ823" s="85"/>
      <c r="AK823" s="85" t="s">
        <v>1235</v>
      </c>
      <c r="AL823" s="85"/>
      <c r="AM823" s="85" t="s">
        <v>1201</v>
      </c>
      <c r="AN823" s="85"/>
      <c r="AO823" s="85"/>
      <c r="AP823" s="85" t="s">
        <v>240</v>
      </c>
      <c r="AQ823" s="200" t="str">
        <f>CONCATENATE("REG-",BDEGENER[[#This Row],[FECHA DE SERVICIO]],"-",BDEGENER[[#This Row],[SERIE]],"-",BDEGENER[[#This Row],[HORAS]])</f>
        <v>REG-43749-PEE2626870-171,6</v>
      </c>
      <c r="AR823" s="85" t="str">
        <f>CONCATENATE("MARCA: ",BDEGENER[[#This Row],[MARCA]],"
 MODELO: ",BDEGENER[[#This Row],[MODELO]])</f>
        <v>MARCA: GENERAC
 MODELO: PMY20B</v>
      </c>
      <c r="AS823" s="85" t="str">
        <f>CONCATENATE("MARCA: ",BDEGENER[[#This Row],[MARCA DE MOTOR]],"
SERIE: ",BDEGENER[[#This Row],[SERIE DE MOTOR]])</f>
        <v xml:space="preserve">MARCA: PERKINS
SERIE: </v>
      </c>
      <c r="AT823" s="85" t="str">
        <f>CONCATENATE("MARCA: ",BDEGENER[[#This Row],[MARCA ALTERNADOR ]],"
SERIE: ",BDEGENER[[#This Row],[SERIE DE ALTERNADOR]])</f>
        <v xml:space="preserve">MARCA: MECC ALTE
SERIE: </v>
      </c>
      <c r="AU823" s="85" t="str">
        <f>CONCATENATE("HORAS: ",BDEGENER[[#This Row],[HORAS]],"
KW-HR: ",BDEGENER[[#This Row],[KW-HORA]],"
VOLT.BATERIA: ",BDEGENER[[#This Row],[VOLTAJE DE BATERIA]],"
TEMPERATURA: ",BDEGENER[[#This Row],[TEMPERATURA DE AGUA]],"
PRES. ACEITE: ",BDEGENER[[#This Row],[PRESION DE ACEITE]])</f>
        <v xml:space="preserve">HORAS: 171,6
KW-HR: 
VOLT.BATERIA: 14.2 V
TEMPERATURA: 
PRES. ACEITE: </v>
      </c>
      <c r="AV823" s="761">
        <f>COUNTIFS(Q823:Q2823,"MANTENIMIENTO CORRECTIVO",Y823:Y2823,BDEGENER[[#This Row],[SERIE]])</f>
        <v>1</v>
      </c>
      <c r="AW823" s="761">
        <f>COUNTIFS(Q823:Q2823,"MANTENIMIENTO PREVENTIVO",Y823:Y2823,BDEGENER[[#This Row],[SERIE]])</f>
        <v>0</v>
      </c>
      <c r="AX823"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23" s="85">
        <f>COUNTIFS(BDEGENER[SERIE],BDEGENER[[#This Row],[SERIE]],BDEGENER[TIPO DE SERVICIO],"MANTENIMIENTO PREVENTIVO")</f>
        <v>0</v>
      </c>
      <c r="AZ823" s="85" t="str">
        <f>CONCATENATE("MANTENIMIENTO PREVENTIVO N°",BDEGENER[[#This Row],[GA1]])</f>
        <v>MANTENIMIENTO PREVENTIVO N°0</v>
      </c>
      <c r="BA823" s="85" t="str">
        <f>IF(BDEGENER[[#This Row],[SERVICIO]]=BDEGENER[[#This Row],[GA2]],BDEGENER[[#This Row],[HORAS]],"0")</f>
        <v>0</v>
      </c>
      <c r="BB823" s="85">
        <f>SUMIF(BDEGENER[SERIE],BDEGENER[[#This Row],[SERIE]],BDEGENER[GA3])</f>
        <v>0</v>
      </c>
      <c r="BC823" s="761" t="str">
        <f>CONCATENATE("MANT",COUNTIF($Y$7:Y823,Y823))</f>
        <v>MANT1</v>
      </c>
      <c r="BD823" s="85" t="str">
        <f>CONCATENATE(BDEGENER[[#This Row],[SERIE]],BDEGENER[[#This Row],[GA5]])</f>
        <v>PEE2626870MANT1</v>
      </c>
      <c r="BE823" s="85" t="str">
        <f>CONCATENATE(BDEGENER[[#This Row],[CODIGO PATRIMONIAL]],BDEGENER[[#This Row],[GA5]])</f>
        <v>23894MANT1</v>
      </c>
      <c r="BF823" s="129">
        <f>COUNTIF(BDEGENER[SERIE],BDEGENER[[#This Row],[SERIE]])</f>
        <v>1</v>
      </c>
      <c r="BG823" s="761" t="str">
        <f>CONCATENATE("F",COUNTIF($K$7:K823,K823))</f>
        <v>F1</v>
      </c>
      <c r="BH823" s="325" t="str">
        <f>CONCATENATE(BDEGENER[[#This Row],[FECHA DE SERVICIO]],BDEGENER[[#This Row],[N° DE REGISTROS DEL DIA]])</f>
        <v>43749F1</v>
      </c>
      <c r="BI823" s="324"/>
      <c r="BJ823" s="325"/>
      <c r="BK823" s="326"/>
    </row>
    <row r="824" spans="2:63" ht="69" hidden="1" x14ac:dyDescent="0.3">
      <c r="B824" s="129"/>
      <c r="C824" s="129"/>
      <c r="D824" s="129"/>
      <c r="E824" s="129"/>
      <c r="F824" s="129"/>
      <c r="G824" s="129"/>
      <c r="H824" s="129"/>
      <c r="I824" s="129"/>
      <c r="J824" s="129"/>
      <c r="K824" s="131">
        <v>43748</v>
      </c>
      <c r="L824" s="130" t="s">
        <v>181</v>
      </c>
      <c r="M824" s="85" t="s">
        <v>184</v>
      </c>
      <c r="N824" s="85" t="s">
        <v>183</v>
      </c>
      <c r="O824" s="85"/>
      <c r="P824" s="85"/>
      <c r="Q824" s="85" t="s">
        <v>107</v>
      </c>
      <c r="R824" s="85" t="s">
        <v>1663</v>
      </c>
      <c r="S824" s="6" t="s">
        <v>1664</v>
      </c>
      <c r="T824" s="85" t="s">
        <v>1665</v>
      </c>
      <c r="U824" s="85" t="s">
        <v>1666</v>
      </c>
      <c r="V824" s="85" t="s">
        <v>149</v>
      </c>
      <c r="W824" s="85" t="s">
        <v>914</v>
      </c>
      <c r="X824" s="85" t="s">
        <v>918</v>
      </c>
      <c r="Y824" s="15">
        <v>3004418791</v>
      </c>
      <c r="Z824" s="85"/>
      <c r="AA824" s="85" t="s">
        <v>33</v>
      </c>
      <c r="AB824" s="85" t="s">
        <v>34</v>
      </c>
      <c r="AC824" s="85" t="s">
        <v>230</v>
      </c>
      <c r="AD824" s="85"/>
      <c r="AE824" s="85"/>
      <c r="AF824" s="132">
        <v>35.4</v>
      </c>
      <c r="AG824" s="85" t="s">
        <v>243</v>
      </c>
      <c r="AH824" s="85" t="s">
        <v>220</v>
      </c>
      <c r="AI824" s="85" t="s">
        <v>33</v>
      </c>
      <c r="AJ824" s="85">
        <v>3004426135</v>
      </c>
      <c r="AK824" s="85" t="s">
        <v>33</v>
      </c>
      <c r="AL824" s="85">
        <v>107745330</v>
      </c>
      <c r="AM824" s="85"/>
      <c r="AN824" s="85"/>
      <c r="AO824" s="85"/>
      <c r="AP824" s="85" t="s">
        <v>240</v>
      </c>
      <c r="AQ824" s="85" t="str">
        <f>CONCATENATE("REG-",BDEGENER[[#This Row],[FECHA DE SERVICIO]],"-",BDEGENER[[#This Row],[SERIE]],"-",BDEGENER[[#This Row],[HORAS]])</f>
        <v>REG-43748-3004418791-35,4</v>
      </c>
      <c r="AR824" s="85" t="str">
        <f>CONCATENATE("MARCA: ",BDEGENER[[#This Row],[MARCA]],"
 MODELO: ",BDEGENER[[#This Row],[MODELO]])</f>
        <v>MARCA: GENERAC
 MODELO: PG090</v>
      </c>
      <c r="AS824" s="85" t="str">
        <f>CONCATENATE("MARCA: ",BDEGENER[[#This Row],[MARCA DE MOTOR]],"
SERIE: ",BDEGENER[[#This Row],[SERIE DE MOTOR]])</f>
        <v>MARCA: GENERAC
SERIE: 3004426135</v>
      </c>
      <c r="AT824" s="85" t="str">
        <f>CONCATENATE("MARCA: ",BDEGENER[[#This Row],[MARCA ALTERNADOR ]],"
SERIE: ",BDEGENER[[#This Row],[SERIE DE ALTERNADOR]])</f>
        <v>MARCA: GENERAC
SERIE: 107745330</v>
      </c>
      <c r="AU824" s="85" t="str">
        <f>CONCATENATE("HORAS: ",BDEGENER[[#This Row],[HORAS]],"
KW-HR: ",BDEGENER[[#This Row],[KW-HORA]],"
VOLT.BATERIA: ",BDEGENER[[#This Row],[VOLTAJE DE BATERIA]],"
TEMPERATURA: ",BDEGENER[[#This Row],[TEMPERATURA DE AGUA]],"
PRES. ACEITE: ",BDEGENER[[#This Row],[PRESION DE ACEITE]])</f>
        <v xml:space="preserve">HORAS: 35,4
KW-HR: 
VOLT.BATERIA: 
TEMPERATURA: 
PRES. ACEITE: </v>
      </c>
      <c r="AV824" s="683">
        <f>COUNTIFS(Q824:Q2824,"MANTENIMIENTO CORRECTIVO",Y824:Y2824,BDEGENER[[#This Row],[SERIE]])</f>
        <v>3</v>
      </c>
      <c r="AW824" s="683">
        <f>COUNTIFS(Q824:Q2824,"MANTENIMIENTO PREVENTIVO",Y824:Y2824,BDEGENER[[#This Row],[SERIE]])</f>
        <v>0</v>
      </c>
      <c r="AX82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824" s="85">
        <f>COUNTIFS(BDEGENER[SERIE],BDEGENER[[#This Row],[SERIE]],BDEGENER[TIPO DE SERVICIO],"MANTENIMIENTO PREVENTIVO")</f>
        <v>7</v>
      </c>
      <c r="AZ824" s="85" t="str">
        <f>CONCATENATE("MANTENIMIENTO PREVENTIVO N°",BDEGENER[[#This Row],[GA1]])</f>
        <v>MANTENIMIENTO PREVENTIVO N°7</v>
      </c>
      <c r="BA824" s="85" t="str">
        <f>IF(BDEGENER[[#This Row],[SERVICIO]]=BDEGENER[[#This Row],[GA2]],BDEGENER[[#This Row],[HORAS]],"0")</f>
        <v>0</v>
      </c>
      <c r="BB824" s="85">
        <f>SUMIF(BDEGENER[SERIE],BDEGENER[[#This Row],[SERIE]],BDEGENER[GA3])</f>
        <v>2074.3000000000002</v>
      </c>
      <c r="BC824" s="683" t="str">
        <f>CONCATENATE("MANT",COUNTIF($Y$7:Y824,Y824))</f>
        <v>MANT13</v>
      </c>
      <c r="BD824" s="85" t="str">
        <f>CONCATENATE(BDEGENER[[#This Row],[SERIE]],BDEGENER[[#This Row],[GA5]])</f>
        <v>3004418791MANT13</v>
      </c>
      <c r="BE824" s="85" t="str">
        <f>CONCATENATE(BDEGENER[[#This Row],[CODIGO PATRIMONIAL]],BDEGENER[[#This Row],[GA5]])</f>
        <v>MANT13</v>
      </c>
      <c r="BF824" s="85">
        <f>COUNTIF(BDEGENER[SERIE],BDEGENER[[#This Row],[SERIE]])</f>
        <v>16</v>
      </c>
      <c r="BG824" s="683" t="str">
        <f>CONCATENATE("F",COUNTIF($K$7:K824,K824))</f>
        <v>F1</v>
      </c>
      <c r="BH824" s="85" t="str">
        <f>CONCATENATE(BDEGENER[[#This Row],[FECHA DE SERVICIO]],BDEGENER[[#This Row],[N° DE REGISTROS DEL DIA]])</f>
        <v>43748F1</v>
      </c>
      <c r="BI824" s="132"/>
      <c r="BJ824" s="85" t="s">
        <v>1544</v>
      </c>
      <c r="BK824" s="326"/>
    </row>
    <row r="825" spans="2:63" ht="69" hidden="1" x14ac:dyDescent="0.3">
      <c r="B825" s="34"/>
      <c r="C825" s="34"/>
      <c r="D825" s="34"/>
      <c r="E825" s="34"/>
      <c r="F825" s="34"/>
      <c r="G825" s="34"/>
      <c r="H825" s="34"/>
      <c r="I825" s="34"/>
      <c r="J825" s="34"/>
      <c r="K825" s="37">
        <v>43748</v>
      </c>
      <c r="L825" s="30" t="s">
        <v>561</v>
      </c>
      <c r="M825" s="19" t="s">
        <v>569</v>
      </c>
      <c r="N825" s="19" t="s">
        <v>570</v>
      </c>
      <c r="O825" s="19"/>
      <c r="P825" s="19"/>
      <c r="Q825" s="19" t="s">
        <v>37</v>
      </c>
      <c r="R825" s="85" t="s">
        <v>1782</v>
      </c>
      <c r="S825" s="19" t="s">
        <v>599</v>
      </c>
      <c r="T825" s="85" t="s">
        <v>1782</v>
      </c>
      <c r="U825" s="19" t="s">
        <v>672</v>
      </c>
      <c r="V825" s="19" t="s">
        <v>146</v>
      </c>
      <c r="W825" s="85" t="s">
        <v>913</v>
      </c>
      <c r="X825" s="85" t="s">
        <v>918</v>
      </c>
      <c r="Y825" s="31">
        <v>3004555912</v>
      </c>
      <c r="Z825" s="85" t="s">
        <v>2607</v>
      </c>
      <c r="AA825" s="19" t="s">
        <v>33</v>
      </c>
      <c r="AB825" s="19" t="s">
        <v>217</v>
      </c>
      <c r="AC825" s="19" t="s">
        <v>749</v>
      </c>
      <c r="AD825" s="16"/>
      <c r="AE825" s="16"/>
      <c r="AF825" s="146">
        <v>445.6</v>
      </c>
      <c r="AG825" s="85" t="s">
        <v>243</v>
      </c>
      <c r="AH825" s="16"/>
      <c r="AI825" s="16"/>
      <c r="AJ825" s="16"/>
      <c r="AK825" s="16"/>
      <c r="AL825" s="16"/>
      <c r="AM825" s="16"/>
      <c r="AN825" s="16"/>
      <c r="AO825" s="16"/>
      <c r="AP825" s="19" t="s">
        <v>240</v>
      </c>
      <c r="AQ825" s="127" t="str">
        <f>CONCATENATE("REG-",BDEGENER[[#This Row],[FECHA DE SERVICIO]],"-",BDEGENER[[#This Row],[SERIE]],"-",BDEGENER[[#This Row],[HORAS]])</f>
        <v>REG-43748-3004555912-445,6</v>
      </c>
      <c r="AR825" s="5" t="str">
        <f>CONCATENATE("MARCA: ",BDEGENER[[#This Row],[MARCA]],"
 MODELO: ",BDEGENER[[#This Row],[MODELO]])</f>
        <v>MARCA: GENERAC
 MODELO: RG022</v>
      </c>
      <c r="AS825" s="5" t="str">
        <f>CONCATENATE("MARCA: ",BDEGENER[[#This Row],[MARCA DE MOTOR]],"
SERIE: ",BDEGENER[[#This Row],[SERIE DE MOTOR]])</f>
        <v xml:space="preserve">MARCA: 
SERIE: </v>
      </c>
      <c r="AT825" s="5" t="str">
        <f>CONCATENATE("MARCA: ",BDEGENER[[#This Row],[MARCA ALTERNADOR ]],"
SERIE: ",BDEGENER[[#This Row],[SERIE DE ALTERNADOR]])</f>
        <v xml:space="preserve">MARCA: 
SERIE: </v>
      </c>
      <c r="AU825" s="29" t="str">
        <f>CONCATENATE("HORAS: ",BDEGENER[[#This Row],[HORAS]],"
KW-HR: ",BDEGENER[[#This Row],[KW-HORA]],"
VOLT.BATERIA: ",BDEGENER[[#This Row],[VOLTAJE DE BATERIA]],"
TEMPERATURA: ",BDEGENER[[#This Row],[TEMPERATURA DE AGUA]],"
PRES. ACEITE: ",BDEGENER[[#This Row],[PRESION DE ACEITE]])</f>
        <v xml:space="preserve">HORAS: 445,6
KW-HR: 
VOLT.BATERIA: 
TEMPERATURA: 
PRES. ACEITE: </v>
      </c>
      <c r="AV825" s="683">
        <f>COUNTIFS(Q825:Q2825,"MANTENIMIENTO CORRECTIVO",Y825:Y2825,BDEGENER[[#This Row],[SERIE]])</f>
        <v>0</v>
      </c>
      <c r="AW825" s="683">
        <f>COUNTIFS(Q825:Q2825,"MANTENIMIENTO PREVENTIVO",Y825:Y2825,BDEGENER[[#This Row],[SERIE]])</f>
        <v>3</v>
      </c>
      <c r="AX82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25" s="29">
        <f>COUNTIFS(BDEGENER[SERIE],BDEGENER[[#This Row],[SERIE]],BDEGENER[TIPO DE SERVICIO],"MANTENIMIENTO PREVENTIVO")</f>
        <v>6</v>
      </c>
      <c r="AZ825" s="29" t="str">
        <f>CONCATENATE("MANTENIMIENTO PREVENTIVO N°",BDEGENER[[#This Row],[GA1]])</f>
        <v>MANTENIMIENTO PREVENTIVO N°6</v>
      </c>
      <c r="BA825" s="325" t="str">
        <f>IF(BDEGENER[[#This Row],[SERVICIO]]=BDEGENER[[#This Row],[GA2]],BDEGENER[[#This Row],[HORAS]],"0")</f>
        <v>0</v>
      </c>
      <c r="BB825" s="325">
        <f>SUMIF(BDEGENER[SERIE],BDEGENER[[#This Row],[SERIE]],BDEGENER[GA3])</f>
        <v>2869.9</v>
      </c>
      <c r="BC825" s="683" t="str">
        <f>CONCATENATE("MANT",COUNTIF($Y$7:Y825,Y825))</f>
        <v>MANT8</v>
      </c>
      <c r="BD825" s="29" t="str">
        <f>CONCATENATE(BDEGENER[[#This Row],[SERIE]],BDEGENER[[#This Row],[GA5]])</f>
        <v>3004555912MANT8</v>
      </c>
      <c r="BE825" s="29" t="str">
        <f>CONCATENATE(BDEGENER[[#This Row],[CODIGO PATRIMONIAL]],BDEGENER[[#This Row],[GA5]])</f>
        <v>SUR-GEG-0011MANT8</v>
      </c>
      <c r="BF825" s="16">
        <f>COUNTIF(BDEGENER[SERIE],BDEGENER[[#This Row],[SERIE]])</f>
        <v>11</v>
      </c>
      <c r="BG825" s="683" t="str">
        <f>CONCATENATE("F",COUNTIF($K$7:K825,K825))</f>
        <v>F2</v>
      </c>
      <c r="BH825" s="325" t="str">
        <f>CONCATENATE(BDEGENER[[#This Row],[FECHA DE SERVICIO]],BDEGENER[[#This Row],[N° DE REGISTROS DEL DIA]])</f>
        <v>43748F2</v>
      </c>
      <c r="BI825" s="324"/>
      <c r="BJ825" s="325"/>
      <c r="BK825" s="326"/>
    </row>
    <row r="826" spans="2:63" ht="69" hidden="1" x14ac:dyDescent="0.3">
      <c r="B826" s="34"/>
      <c r="C826" s="34"/>
      <c r="D826" s="34"/>
      <c r="E826" s="34"/>
      <c r="F826" s="34"/>
      <c r="G826" s="34"/>
      <c r="H826" s="34"/>
      <c r="I826" s="34"/>
      <c r="J826" s="34"/>
      <c r="K826" s="37">
        <v>43748</v>
      </c>
      <c r="L826" s="30" t="s">
        <v>561</v>
      </c>
      <c r="M826" s="19" t="s">
        <v>571</v>
      </c>
      <c r="N826" s="19" t="s">
        <v>572</v>
      </c>
      <c r="O826" s="19"/>
      <c r="P826" s="19"/>
      <c r="Q826" s="19" t="s">
        <v>107</v>
      </c>
      <c r="R826" s="85" t="s">
        <v>1782</v>
      </c>
      <c r="S826" s="19" t="s">
        <v>600</v>
      </c>
      <c r="T826" s="85" t="s">
        <v>1782</v>
      </c>
      <c r="U826" s="19" t="s">
        <v>673</v>
      </c>
      <c r="V826" s="19" t="s">
        <v>149</v>
      </c>
      <c r="W826" s="740" t="s">
        <v>913</v>
      </c>
      <c r="X826" s="741" t="s">
        <v>918</v>
      </c>
      <c r="Y826" s="31">
        <v>3004370203</v>
      </c>
      <c r="Z826" s="767" t="s">
        <v>2598</v>
      </c>
      <c r="AA826" s="19" t="s">
        <v>33</v>
      </c>
      <c r="AB826" s="19" t="s">
        <v>217</v>
      </c>
      <c r="AC826" s="19" t="s">
        <v>749</v>
      </c>
      <c r="AD826" s="16"/>
      <c r="AE826" s="16"/>
      <c r="AF826" s="146">
        <v>707</v>
      </c>
      <c r="AG826" s="722"/>
      <c r="AH826" s="16"/>
      <c r="AI826" s="16"/>
      <c r="AJ826" s="16"/>
      <c r="AK826" s="16"/>
      <c r="AL826" s="16"/>
      <c r="AM826" s="16"/>
      <c r="AN826" s="16"/>
      <c r="AO826" s="16"/>
      <c r="AP826" s="19" t="s">
        <v>240</v>
      </c>
      <c r="AQ826" s="127" t="str">
        <f>CONCATENATE("REG-",BDEGENER[[#This Row],[FECHA DE SERVICIO]],"-",BDEGENER[[#This Row],[SERIE]],"-",BDEGENER[[#This Row],[HORAS]])</f>
        <v>REG-43748-3004370203-707</v>
      </c>
      <c r="AR826" s="5" t="str">
        <f>CONCATENATE("MARCA: ",BDEGENER[[#This Row],[MARCA]],"
 MODELO: ",BDEGENER[[#This Row],[MODELO]])</f>
        <v>MARCA: GENERAC
 MODELO: RG022</v>
      </c>
      <c r="AS826" s="5" t="str">
        <f>CONCATENATE("MARCA: ",BDEGENER[[#This Row],[MARCA DE MOTOR]],"
SERIE: ",BDEGENER[[#This Row],[SERIE DE MOTOR]])</f>
        <v xml:space="preserve">MARCA: 
SERIE: </v>
      </c>
      <c r="AT826" s="5" t="str">
        <f>CONCATENATE("MARCA: ",BDEGENER[[#This Row],[MARCA ALTERNADOR ]],"
SERIE: ",BDEGENER[[#This Row],[SERIE DE ALTERNADOR]])</f>
        <v xml:space="preserve">MARCA: 
SERIE: </v>
      </c>
      <c r="AU826" s="29" t="str">
        <f>CONCATENATE("HORAS: ",BDEGENER[[#This Row],[HORAS]],"
KW-HR: ",BDEGENER[[#This Row],[KW-HORA]],"
VOLT.BATERIA: ",BDEGENER[[#This Row],[VOLTAJE DE BATERIA]],"
TEMPERATURA: ",BDEGENER[[#This Row],[TEMPERATURA DE AGUA]],"
PRES. ACEITE: ",BDEGENER[[#This Row],[PRESION DE ACEITE]])</f>
        <v xml:space="preserve">HORAS: 707
KW-HR: 
VOLT.BATERIA: 
TEMPERATURA: 
PRES. ACEITE: </v>
      </c>
      <c r="AV826" s="761">
        <f>COUNTIFS(Q826:Q2826,"MANTENIMIENTO CORRECTIVO",Y826:Y2826,BDEGENER[[#This Row],[SERIE]])</f>
        <v>1</v>
      </c>
      <c r="AW826" s="761">
        <f>COUNTIFS(Q826:Q2826,"MANTENIMIENTO PREVENTIVO",Y826:Y2826,BDEGENER[[#This Row],[SERIE]])</f>
        <v>3</v>
      </c>
      <c r="AX82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26" s="29">
        <f>COUNTIFS(BDEGENER[SERIE],BDEGENER[[#This Row],[SERIE]],BDEGENER[TIPO DE SERVICIO],"MANTENIMIENTO PREVENTIVO")</f>
        <v>6</v>
      </c>
      <c r="AZ826" s="29" t="str">
        <f>CONCATENATE("MANTENIMIENTO PREVENTIVO N°",BDEGENER[[#This Row],[GA1]])</f>
        <v>MANTENIMIENTO PREVENTIVO N°6</v>
      </c>
      <c r="BA826" s="325" t="str">
        <f>IF(BDEGENER[[#This Row],[SERVICIO]]=BDEGENER[[#This Row],[GA2]],BDEGENER[[#This Row],[HORAS]],"0")</f>
        <v>0</v>
      </c>
      <c r="BB826" s="325">
        <f>SUMIF(BDEGENER[SERIE],BDEGENER[[#This Row],[SERIE]],BDEGENER[GA3])</f>
        <v>2885.1</v>
      </c>
      <c r="BC826" s="761" t="str">
        <f>CONCATENATE("MANT",COUNTIF($Y$7:Y826,Y826))</f>
        <v>MANT10</v>
      </c>
      <c r="BD826" s="29" t="str">
        <f>CONCATENATE(BDEGENER[[#This Row],[SERIE]],BDEGENER[[#This Row],[GA5]])</f>
        <v>3004370203MANT10</v>
      </c>
      <c r="BE826" s="29" t="str">
        <f>CONCATENATE(BDEGENER[[#This Row],[CODIGO PATRIMONIAL]],BDEGENER[[#This Row],[GA5]])</f>
        <v>SUR-GEG-0002MANT10</v>
      </c>
      <c r="BF826" s="16">
        <f>COUNTIF(BDEGENER[SERIE],BDEGENER[[#This Row],[SERIE]])</f>
        <v>14</v>
      </c>
      <c r="BG826" s="761" t="str">
        <f>CONCATENATE("F",COUNTIF($K$7:K826,K826))</f>
        <v>F3</v>
      </c>
      <c r="BH826" s="325" t="str">
        <f>CONCATENATE(BDEGENER[[#This Row],[FECHA DE SERVICIO]],BDEGENER[[#This Row],[N° DE REGISTROS DEL DIA]])</f>
        <v>43748F3</v>
      </c>
      <c r="BI826" s="324"/>
      <c r="BJ826" s="325"/>
      <c r="BK826" s="326"/>
    </row>
    <row r="827" spans="2:63" ht="69" hidden="1" x14ac:dyDescent="0.3">
      <c r="B827" s="34"/>
      <c r="C827" s="34"/>
      <c r="D827" s="34"/>
      <c r="E827" s="34"/>
      <c r="F827" s="34"/>
      <c r="G827" s="34"/>
      <c r="H827" s="34"/>
      <c r="I827" s="34"/>
      <c r="J827" s="34"/>
      <c r="K827" s="37">
        <v>43748</v>
      </c>
      <c r="L827" s="30" t="s">
        <v>561</v>
      </c>
      <c r="M827" s="19" t="s">
        <v>573</v>
      </c>
      <c r="N827" s="19" t="s">
        <v>574</v>
      </c>
      <c r="O827" s="19"/>
      <c r="P827" s="19"/>
      <c r="Q827" s="19" t="s">
        <v>37</v>
      </c>
      <c r="R827" s="85" t="s">
        <v>1782</v>
      </c>
      <c r="S827" s="19" t="s">
        <v>601</v>
      </c>
      <c r="T827" s="85" t="s">
        <v>1782</v>
      </c>
      <c r="U827" s="19" t="s">
        <v>674</v>
      </c>
      <c r="V827" s="19" t="s">
        <v>146</v>
      </c>
      <c r="W827" s="85" t="s">
        <v>913</v>
      </c>
      <c r="X827" s="85" t="s">
        <v>918</v>
      </c>
      <c r="Y827" s="31">
        <v>3004555915</v>
      </c>
      <c r="Z827" s="85" t="s">
        <v>2610</v>
      </c>
      <c r="AA827" s="19" t="s">
        <v>33</v>
      </c>
      <c r="AB827" s="19" t="s">
        <v>217</v>
      </c>
      <c r="AC827" s="19" t="s">
        <v>749</v>
      </c>
      <c r="AD827" s="16"/>
      <c r="AE827" s="16"/>
      <c r="AF827" s="146">
        <v>506.8</v>
      </c>
      <c r="AG827" s="16"/>
      <c r="AH827" s="16"/>
      <c r="AI827" s="16"/>
      <c r="AJ827" s="16"/>
      <c r="AK827" s="16"/>
      <c r="AL827" s="16"/>
      <c r="AM827" s="16"/>
      <c r="AN827" s="16"/>
      <c r="AO827" s="16"/>
      <c r="AP827" s="19" t="s">
        <v>240</v>
      </c>
      <c r="AQ827" s="200" t="str">
        <f>CONCATENATE("REG-",BDEGENER[[#This Row],[FECHA DE SERVICIO]],"-",BDEGENER[[#This Row],[SERIE]],"-",BDEGENER[[#This Row],[HORAS]])</f>
        <v>REG-43748-3004555915-506,8</v>
      </c>
      <c r="AR827" s="5" t="str">
        <f>CONCATENATE("MARCA: ",BDEGENER[[#This Row],[MARCA]],"
 MODELO: ",BDEGENER[[#This Row],[MODELO]])</f>
        <v>MARCA: GENERAC
 MODELO: RG022</v>
      </c>
      <c r="AS827" s="5" t="str">
        <f>CONCATENATE("MARCA: ",BDEGENER[[#This Row],[MARCA DE MOTOR]],"
SERIE: ",BDEGENER[[#This Row],[SERIE DE MOTOR]])</f>
        <v xml:space="preserve">MARCA: 
SERIE: </v>
      </c>
      <c r="AT827" s="5" t="str">
        <f>CONCATENATE("MARCA: ",BDEGENER[[#This Row],[MARCA ALTERNADOR ]],"
SERIE: ",BDEGENER[[#This Row],[SERIE DE ALTERNADOR]])</f>
        <v xml:space="preserve">MARCA: 
SERIE: </v>
      </c>
      <c r="AU827" s="29" t="str">
        <f>CONCATENATE("HORAS: ",BDEGENER[[#This Row],[HORAS]],"
KW-HR: ",BDEGENER[[#This Row],[KW-HORA]],"
VOLT.BATERIA: ",BDEGENER[[#This Row],[VOLTAJE DE BATERIA]],"
TEMPERATURA: ",BDEGENER[[#This Row],[TEMPERATURA DE AGUA]],"
PRES. ACEITE: ",BDEGENER[[#This Row],[PRESION DE ACEITE]])</f>
        <v xml:space="preserve">HORAS: 506,8
KW-HR: 
VOLT.BATERIA: 
TEMPERATURA: 
PRES. ACEITE: </v>
      </c>
      <c r="AV827" s="683">
        <f>COUNTIFS(Q827:Q2827,"MANTENIMIENTO CORRECTIVO",Y827:Y2827,BDEGENER[[#This Row],[SERIE]])</f>
        <v>0</v>
      </c>
      <c r="AW827" s="683">
        <f>COUNTIFS(Q827:Q2827,"MANTENIMIENTO PREVENTIVO",Y827:Y2827,BDEGENER[[#This Row],[SERIE]])</f>
        <v>3</v>
      </c>
      <c r="AX82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27" s="29">
        <f>COUNTIFS(BDEGENER[SERIE],BDEGENER[[#This Row],[SERIE]],BDEGENER[TIPO DE SERVICIO],"MANTENIMIENTO PREVENTIVO")</f>
        <v>7</v>
      </c>
      <c r="AZ827" s="29" t="str">
        <f>CONCATENATE("MANTENIMIENTO PREVENTIVO N°",BDEGENER[[#This Row],[GA1]])</f>
        <v>MANTENIMIENTO PREVENTIVO N°7</v>
      </c>
      <c r="BA827" s="325" t="str">
        <f>IF(BDEGENER[[#This Row],[SERVICIO]]=BDEGENER[[#This Row],[GA2]],BDEGENER[[#This Row],[HORAS]],"0")</f>
        <v>0</v>
      </c>
      <c r="BB827" s="325">
        <f>SUMIF(BDEGENER[SERIE],BDEGENER[[#This Row],[SERIE]],BDEGENER[GA3])</f>
        <v>3379.4</v>
      </c>
      <c r="BC827" s="683" t="str">
        <f>CONCATENATE("MANT",COUNTIF($Y$7:Y827,Y827))</f>
        <v>MANT7</v>
      </c>
      <c r="BD827" s="29" t="str">
        <f>CONCATENATE(BDEGENER[[#This Row],[SERIE]],BDEGENER[[#This Row],[GA5]])</f>
        <v>3004555915MANT7</v>
      </c>
      <c r="BE827" s="29" t="str">
        <f>CONCATENATE(BDEGENER[[#This Row],[CODIGO PATRIMONIAL]],BDEGENER[[#This Row],[GA5]])</f>
        <v>SUR-GEG-0022MANT7</v>
      </c>
      <c r="BF827" s="16">
        <f>COUNTIF(BDEGENER[SERIE],BDEGENER[[#This Row],[SERIE]])</f>
        <v>9</v>
      </c>
      <c r="BG827" s="683" t="str">
        <f>CONCATENATE("F",COUNTIF($K$7:K827,K827))</f>
        <v>F4</v>
      </c>
      <c r="BH827" s="325" t="str">
        <f>CONCATENATE(BDEGENER[[#This Row],[FECHA DE SERVICIO]],BDEGENER[[#This Row],[N° DE REGISTROS DEL DIA]])</f>
        <v>43748F4</v>
      </c>
      <c r="BI827" s="324"/>
      <c r="BJ827" s="325"/>
      <c r="BK827" s="326"/>
    </row>
    <row r="828" spans="2:63" ht="69" hidden="1" x14ac:dyDescent="0.3">
      <c r="B828" s="34"/>
      <c r="C828" s="34"/>
      <c r="D828" s="34"/>
      <c r="E828" s="34"/>
      <c r="F828" s="34"/>
      <c r="G828" s="34"/>
      <c r="H828" s="34"/>
      <c r="I828" s="34"/>
      <c r="J828" s="34"/>
      <c r="K828" s="37">
        <v>43748</v>
      </c>
      <c r="L828" s="30" t="s">
        <v>561</v>
      </c>
      <c r="M828" s="19" t="s">
        <v>569</v>
      </c>
      <c r="N828" s="19" t="s">
        <v>570</v>
      </c>
      <c r="O828" s="19"/>
      <c r="P828" s="19"/>
      <c r="Q828" s="19" t="s">
        <v>37</v>
      </c>
      <c r="R828" s="85" t="s">
        <v>1782</v>
      </c>
      <c r="S828" s="19" t="s">
        <v>602</v>
      </c>
      <c r="T828" s="85" t="s">
        <v>1782</v>
      </c>
      <c r="U828" s="19" t="s">
        <v>675</v>
      </c>
      <c r="V828" s="19" t="s">
        <v>146</v>
      </c>
      <c r="W828" s="683" t="s">
        <v>913</v>
      </c>
      <c r="X828" s="691" t="s">
        <v>918</v>
      </c>
      <c r="Y828" s="31">
        <v>3004597775</v>
      </c>
      <c r="Z828" s="692" t="s">
        <v>2608</v>
      </c>
      <c r="AA828" s="19" t="s">
        <v>33</v>
      </c>
      <c r="AB828" s="19" t="s">
        <v>217</v>
      </c>
      <c r="AC828" s="19" t="s">
        <v>749</v>
      </c>
      <c r="AD828" s="16"/>
      <c r="AE828" s="16"/>
      <c r="AF828" s="146">
        <v>485</v>
      </c>
      <c r="AG828" s="16"/>
      <c r="AH828" s="16"/>
      <c r="AI828" s="16"/>
      <c r="AJ828" s="16"/>
      <c r="AK828" s="16"/>
      <c r="AL828" s="16"/>
      <c r="AM828" s="16"/>
      <c r="AN828" s="16"/>
      <c r="AO828" s="16"/>
      <c r="AP828" s="19" t="s">
        <v>240</v>
      </c>
      <c r="AQ828" s="127" t="str">
        <f>CONCATENATE("REG-",BDEGENER[[#This Row],[FECHA DE SERVICIO]],"-",BDEGENER[[#This Row],[SERIE]],"-",BDEGENER[[#This Row],[HORAS]])</f>
        <v>REG-43748-3004597775-485</v>
      </c>
      <c r="AR828" s="5" t="str">
        <f>CONCATENATE("MARCA: ",BDEGENER[[#This Row],[MARCA]],"
 MODELO: ",BDEGENER[[#This Row],[MODELO]])</f>
        <v>MARCA: GENERAC
 MODELO: RG022</v>
      </c>
      <c r="AS828" s="5" t="str">
        <f>CONCATENATE("MARCA: ",BDEGENER[[#This Row],[MARCA DE MOTOR]],"
SERIE: ",BDEGENER[[#This Row],[SERIE DE MOTOR]])</f>
        <v xml:space="preserve">MARCA: 
SERIE: </v>
      </c>
      <c r="AT828" s="5" t="str">
        <f>CONCATENATE("MARCA: ",BDEGENER[[#This Row],[MARCA ALTERNADOR ]],"
SERIE: ",BDEGENER[[#This Row],[SERIE DE ALTERNADOR]])</f>
        <v xml:space="preserve">MARCA: 
SERIE: </v>
      </c>
      <c r="AU828" s="29" t="str">
        <f>CONCATENATE("HORAS: ",BDEGENER[[#This Row],[HORAS]],"
KW-HR: ",BDEGENER[[#This Row],[KW-HORA]],"
VOLT.BATERIA: ",BDEGENER[[#This Row],[VOLTAJE DE BATERIA]],"
TEMPERATURA: ",BDEGENER[[#This Row],[TEMPERATURA DE AGUA]],"
PRES. ACEITE: ",BDEGENER[[#This Row],[PRESION DE ACEITE]])</f>
        <v xml:space="preserve">HORAS: 485
KW-HR: 
VOLT.BATERIA: 
TEMPERATURA: 
PRES. ACEITE: </v>
      </c>
      <c r="AV828" s="683">
        <f>COUNTIFS(Q828:Q2828,"MANTENIMIENTO CORRECTIVO",Y828:Y2828,BDEGENER[[#This Row],[SERIE]])</f>
        <v>0</v>
      </c>
      <c r="AW828" s="683">
        <f>COUNTIFS(Q828:Q2828,"MANTENIMIENTO PREVENTIVO",Y828:Y2828,BDEGENER[[#This Row],[SERIE]])</f>
        <v>3</v>
      </c>
      <c r="AX82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28" s="29">
        <f>COUNTIFS(BDEGENER[SERIE],BDEGENER[[#This Row],[SERIE]],BDEGENER[TIPO DE SERVICIO],"MANTENIMIENTO PREVENTIVO")</f>
        <v>7</v>
      </c>
      <c r="AZ828" s="29" t="str">
        <f>CONCATENATE("MANTENIMIENTO PREVENTIVO N°",BDEGENER[[#This Row],[GA1]])</f>
        <v>MANTENIMIENTO PREVENTIVO N°7</v>
      </c>
      <c r="BA828" s="325" t="str">
        <f>IF(BDEGENER[[#This Row],[SERVICIO]]=BDEGENER[[#This Row],[GA2]],BDEGENER[[#This Row],[HORAS]],"0")</f>
        <v>0</v>
      </c>
      <c r="BB828" s="325">
        <f>SUMIF(BDEGENER[SERIE],BDEGENER[[#This Row],[SERIE]],BDEGENER[GA3])</f>
        <v>2487</v>
      </c>
      <c r="BC828" s="683" t="str">
        <f>CONCATENATE("MANT",COUNTIF($Y$7:Y828,Y828))</f>
        <v>MANT6</v>
      </c>
      <c r="BD828" s="29" t="str">
        <f>CONCATENATE(BDEGENER[[#This Row],[SERIE]],BDEGENER[[#This Row],[GA5]])</f>
        <v>3004597775MANT6</v>
      </c>
      <c r="BE828" s="29" t="str">
        <f>CONCATENATE(BDEGENER[[#This Row],[CODIGO PATRIMONIAL]],BDEGENER[[#This Row],[GA5]])</f>
        <v>SUR-GEG-0012MANT6</v>
      </c>
      <c r="BF828" s="16">
        <f>COUNTIF(BDEGENER[SERIE],BDEGENER[[#This Row],[SERIE]])</f>
        <v>8</v>
      </c>
      <c r="BG828" s="683" t="str">
        <f>CONCATENATE("F",COUNTIF($K$7:K828,K828))</f>
        <v>F5</v>
      </c>
      <c r="BH828" s="325" t="str">
        <f>CONCATENATE(BDEGENER[[#This Row],[FECHA DE SERVICIO]],BDEGENER[[#This Row],[N° DE REGISTROS DEL DIA]])</f>
        <v>43748F5</v>
      </c>
      <c r="BI828" s="324"/>
      <c r="BJ828" s="325"/>
      <c r="BK828" s="326"/>
    </row>
    <row r="829" spans="2:63" ht="69" hidden="1" x14ac:dyDescent="0.3">
      <c r="B829" s="34"/>
      <c r="C829" s="34"/>
      <c r="D829" s="34"/>
      <c r="E829" s="34"/>
      <c r="F829" s="34"/>
      <c r="G829" s="34"/>
      <c r="H829" s="34"/>
      <c r="I829" s="34"/>
      <c r="J829" s="34"/>
      <c r="K829" s="37">
        <v>43740</v>
      </c>
      <c r="L829" s="30" t="s">
        <v>561</v>
      </c>
      <c r="M829" s="19" t="s">
        <v>565</v>
      </c>
      <c r="N829" s="19" t="s">
        <v>566</v>
      </c>
      <c r="O829" s="19"/>
      <c r="P829" s="19"/>
      <c r="Q829" s="19" t="s">
        <v>107</v>
      </c>
      <c r="R829" s="85" t="s">
        <v>1782</v>
      </c>
      <c r="S829" s="19" t="s">
        <v>603</v>
      </c>
      <c r="T829" s="85" t="s">
        <v>1782</v>
      </c>
      <c r="U829" s="19"/>
      <c r="V829" s="19" t="s">
        <v>148</v>
      </c>
      <c r="W829" s="683" t="s">
        <v>913</v>
      </c>
      <c r="X829" s="691" t="s">
        <v>918</v>
      </c>
      <c r="Y829" s="31">
        <v>3004370193</v>
      </c>
      <c r="Z829" s="692" t="s">
        <v>2599</v>
      </c>
      <c r="AA829" s="19" t="s">
        <v>33</v>
      </c>
      <c r="AB829" s="19" t="s">
        <v>217</v>
      </c>
      <c r="AC829" s="19" t="s">
        <v>749</v>
      </c>
      <c r="AD829" s="16"/>
      <c r="AE829" s="16"/>
      <c r="AF829" s="146" t="s">
        <v>177</v>
      </c>
      <c r="AG829" s="16"/>
      <c r="AH829" s="16"/>
      <c r="AI829" s="16"/>
      <c r="AJ829" s="16"/>
      <c r="AK829" s="16"/>
      <c r="AL829" s="16"/>
      <c r="AM829" s="16"/>
      <c r="AN829" s="16"/>
      <c r="AO829" s="16"/>
      <c r="AP829" s="19" t="s">
        <v>557</v>
      </c>
      <c r="AQ829" s="127" t="str">
        <f>CONCATENATE("REG-",BDEGENER[[#This Row],[FECHA DE SERVICIO]],"-",BDEGENER[[#This Row],[SERIE]],"-",BDEGENER[[#This Row],[HORAS]])</f>
        <v>REG-43740-3004370193-NR</v>
      </c>
      <c r="AR829" s="5" t="str">
        <f>CONCATENATE("MARCA: ",BDEGENER[[#This Row],[MARCA]],"
 MODELO: ",BDEGENER[[#This Row],[MODELO]])</f>
        <v>MARCA: GENERAC
 MODELO: RG022</v>
      </c>
      <c r="AS829" s="5" t="str">
        <f>CONCATENATE("MARCA: ",BDEGENER[[#This Row],[MARCA DE MOTOR]],"
SERIE: ",BDEGENER[[#This Row],[SERIE DE MOTOR]])</f>
        <v xml:space="preserve">MARCA: 
SERIE: </v>
      </c>
      <c r="AT829" s="5" t="str">
        <f>CONCATENATE("MARCA: ",BDEGENER[[#This Row],[MARCA ALTERNADOR ]],"
SERIE: ",BDEGENER[[#This Row],[SERIE DE ALTERNADOR]])</f>
        <v xml:space="preserve">MARCA: 
SERIE: </v>
      </c>
      <c r="AU829" s="29"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29" s="761">
        <f>COUNTIFS(Q829:Q2829,"MANTENIMIENTO CORRECTIVO",Y829:Y2829,BDEGENER[[#This Row],[SERIE]])</f>
        <v>1</v>
      </c>
      <c r="AW829" s="761">
        <f>COUNTIFS(Q829:Q2829,"MANTENIMIENTO PREVENTIVO",Y829:Y2829,BDEGENER[[#This Row],[SERIE]])</f>
        <v>3</v>
      </c>
      <c r="AX82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29" s="29">
        <f>COUNTIFS(BDEGENER[SERIE],BDEGENER[[#This Row],[SERIE]],BDEGENER[TIPO DE SERVICIO],"MANTENIMIENTO PREVENTIVO")</f>
        <v>9</v>
      </c>
      <c r="AZ829" s="29" t="str">
        <f>CONCATENATE("MANTENIMIENTO PREVENTIVO N°",BDEGENER[[#This Row],[GA1]])</f>
        <v>MANTENIMIENTO PREVENTIVO N°9</v>
      </c>
      <c r="BA829" s="325" t="str">
        <f>IF(BDEGENER[[#This Row],[SERVICIO]]=BDEGENER[[#This Row],[GA2]],BDEGENER[[#This Row],[HORAS]],"0")</f>
        <v>0</v>
      </c>
      <c r="BB829" s="325">
        <f>SUMIF(BDEGENER[SERIE],BDEGENER[[#This Row],[SERIE]],BDEGENER[GA3])</f>
        <v>3580.3</v>
      </c>
      <c r="BC829" s="761" t="str">
        <f>CONCATENATE("MANT",COUNTIF($Y$7:Y829,Y829))</f>
        <v>MANT12</v>
      </c>
      <c r="BD829" s="29" t="str">
        <f>CONCATENATE(BDEGENER[[#This Row],[SERIE]],BDEGENER[[#This Row],[GA5]])</f>
        <v>3004370193MANT12</v>
      </c>
      <c r="BE829" s="29" t="str">
        <f>CONCATENATE(BDEGENER[[#This Row],[CODIGO PATRIMONIAL]],BDEGENER[[#This Row],[GA5]])</f>
        <v>SUR-GEG-0003MANT12</v>
      </c>
      <c r="BF829" s="16">
        <f>COUNTIF(BDEGENER[SERIE],BDEGENER[[#This Row],[SERIE]])</f>
        <v>16</v>
      </c>
      <c r="BG829" s="761" t="str">
        <f>CONCATENATE("F",COUNTIF($K$7:K829,K829))</f>
        <v>F1</v>
      </c>
      <c r="BH829" s="325" t="str">
        <f>CONCATENATE(BDEGENER[[#This Row],[FECHA DE SERVICIO]],BDEGENER[[#This Row],[N° DE REGISTROS DEL DIA]])</f>
        <v>43740F1</v>
      </c>
      <c r="BI829" s="324"/>
      <c r="BJ829" s="325"/>
      <c r="BK829" s="326"/>
    </row>
    <row r="830" spans="2:63" ht="69" hidden="1" x14ac:dyDescent="0.3">
      <c r="B830" s="34"/>
      <c r="C830" s="34"/>
      <c r="D830" s="34"/>
      <c r="E830" s="34"/>
      <c r="F830" s="34"/>
      <c r="G830" s="34"/>
      <c r="H830" s="34"/>
      <c r="I830" s="34"/>
      <c r="J830" s="34"/>
      <c r="K830" s="37">
        <v>43740</v>
      </c>
      <c r="L830" s="30" t="s">
        <v>561</v>
      </c>
      <c r="M830" s="85" t="s">
        <v>2439</v>
      </c>
      <c r="N830" s="19" t="s">
        <v>564</v>
      </c>
      <c r="O830" s="19"/>
      <c r="P830" s="19"/>
      <c r="Q830" s="19" t="s">
        <v>107</v>
      </c>
      <c r="R830" s="85" t="s">
        <v>1782</v>
      </c>
      <c r="S830" s="19" t="s">
        <v>604</v>
      </c>
      <c r="T830" s="85" t="s">
        <v>1782</v>
      </c>
      <c r="U830" s="19" t="s">
        <v>676</v>
      </c>
      <c r="V830" s="19" t="s">
        <v>677</v>
      </c>
      <c r="W830" s="85" t="s">
        <v>914</v>
      </c>
      <c r="X830" s="85" t="s">
        <v>918</v>
      </c>
      <c r="Y830" s="31">
        <v>3003963149</v>
      </c>
      <c r="Z830" s="692" t="s">
        <v>2603</v>
      </c>
      <c r="AA830" s="85" t="s">
        <v>33</v>
      </c>
      <c r="AB830" s="85" t="s">
        <v>34</v>
      </c>
      <c r="AC830" s="85" t="s">
        <v>230</v>
      </c>
      <c r="AD830" s="16"/>
      <c r="AE830" s="16"/>
      <c r="AF830" s="146">
        <v>666</v>
      </c>
      <c r="AG830" s="16"/>
      <c r="AH830" s="16"/>
      <c r="AI830" s="16"/>
      <c r="AJ830" s="16"/>
      <c r="AK830" s="16"/>
      <c r="AL830" s="16"/>
      <c r="AM830" s="16"/>
      <c r="AN830" s="16"/>
      <c r="AO830" s="16"/>
      <c r="AP830" s="19" t="s">
        <v>240</v>
      </c>
      <c r="AQ830" s="127" t="str">
        <f>CONCATENATE("REG-",BDEGENER[[#This Row],[FECHA DE SERVICIO]],"-",BDEGENER[[#This Row],[SERIE]],"-",BDEGENER[[#This Row],[HORAS]])</f>
        <v>REG-43740-3003963149-666</v>
      </c>
      <c r="AR830" s="5" t="str">
        <f>CONCATENATE("MARCA: ",BDEGENER[[#This Row],[MARCA]],"
 MODELO: ",BDEGENER[[#This Row],[MODELO]])</f>
        <v>MARCA: GENERAC
 MODELO: PG090</v>
      </c>
      <c r="AS830" s="5" t="str">
        <f>CONCATENATE("MARCA: ",BDEGENER[[#This Row],[MARCA DE MOTOR]],"
SERIE: ",BDEGENER[[#This Row],[SERIE DE MOTOR]])</f>
        <v xml:space="preserve">MARCA: 
SERIE: </v>
      </c>
      <c r="AT830" s="5" t="str">
        <f>CONCATENATE("MARCA: ",BDEGENER[[#This Row],[MARCA ALTERNADOR ]],"
SERIE: ",BDEGENER[[#This Row],[SERIE DE ALTERNADOR]])</f>
        <v xml:space="preserve">MARCA: 
SERIE: </v>
      </c>
      <c r="AU830" s="29" t="str">
        <f>CONCATENATE("HORAS: ",BDEGENER[[#This Row],[HORAS]],"
KW-HR: ",BDEGENER[[#This Row],[KW-HORA]],"
VOLT.BATERIA: ",BDEGENER[[#This Row],[VOLTAJE DE BATERIA]],"
TEMPERATURA: ",BDEGENER[[#This Row],[TEMPERATURA DE AGUA]],"
PRES. ACEITE: ",BDEGENER[[#This Row],[PRESION DE ACEITE]])</f>
        <v xml:space="preserve">HORAS: 666
KW-HR: 
VOLT.BATERIA: 
TEMPERATURA: 
PRES. ACEITE: </v>
      </c>
      <c r="AV830" s="683">
        <f>COUNTIFS(Q830:Q2830,"MANTENIMIENTO CORRECTIVO",Y830:Y2830,BDEGENER[[#This Row],[SERIE]])</f>
        <v>1</v>
      </c>
      <c r="AW830" s="683">
        <f>COUNTIFS(Q830:Q2830,"MANTENIMIENTO PREVENTIVO",Y830:Y2830,BDEGENER[[#This Row],[SERIE]])</f>
        <v>2</v>
      </c>
      <c r="AX83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30" s="29">
        <f>COUNTIFS(BDEGENER[SERIE],BDEGENER[[#This Row],[SERIE]],BDEGENER[TIPO DE SERVICIO],"MANTENIMIENTO PREVENTIVO")</f>
        <v>6</v>
      </c>
      <c r="AZ830" s="29" t="str">
        <f>CONCATENATE("MANTENIMIENTO PREVENTIVO N°",BDEGENER[[#This Row],[GA1]])</f>
        <v>MANTENIMIENTO PREVENTIVO N°6</v>
      </c>
      <c r="BA830" s="325" t="str">
        <f>IF(BDEGENER[[#This Row],[SERVICIO]]=BDEGENER[[#This Row],[GA2]],BDEGENER[[#This Row],[HORAS]],"0")</f>
        <v>0</v>
      </c>
      <c r="BB830" s="325">
        <f>SUMIF(BDEGENER[SERIE],BDEGENER[[#This Row],[SERIE]],BDEGENER[GA3])</f>
        <v>3959.4</v>
      </c>
      <c r="BC830" s="683" t="str">
        <f>CONCATENATE("MANT",COUNTIF($Y$7:Y830,Y830))</f>
        <v>MANT8</v>
      </c>
      <c r="BD830" s="29" t="str">
        <f>CONCATENATE(BDEGENER[[#This Row],[SERIE]],BDEGENER[[#This Row],[GA5]])</f>
        <v>3003963149MANT8</v>
      </c>
      <c r="BE830" s="29" t="str">
        <f>CONCATENATE(BDEGENER[[#This Row],[CODIGO PATRIMONIAL]],BDEGENER[[#This Row],[GA5]])</f>
        <v>SUR-GEG-0007MANT8</v>
      </c>
      <c r="BF830" s="16">
        <f>COUNTIF(BDEGENER[SERIE],BDEGENER[[#This Row],[SERIE]])</f>
        <v>12</v>
      </c>
      <c r="BG830" s="683" t="str">
        <f>CONCATENATE("F",COUNTIF($K$7:K830,K830))</f>
        <v>F2</v>
      </c>
      <c r="BH830" s="325" t="str">
        <f>CONCATENATE(BDEGENER[[#This Row],[FECHA DE SERVICIO]],BDEGENER[[#This Row],[N° DE REGISTROS DEL DIA]])</f>
        <v>43740F2</v>
      </c>
      <c r="BI830" s="324"/>
      <c r="BJ830" s="325"/>
      <c r="BK830" s="326"/>
    </row>
    <row r="831" spans="2:63" ht="69" hidden="1" x14ac:dyDescent="0.3">
      <c r="B831" s="34"/>
      <c r="C831" s="34"/>
      <c r="D831" s="34"/>
      <c r="E831" s="34"/>
      <c r="F831" s="34"/>
      <c r="G831" s="34"/>
      <c r="H831" s="34"/>
      <c r="I831" s="34"/>
      <c r="J831" s="34"/>
      <c r="K831" s="37">
        <v>43740</v>
      </c>
      <c r="L831" s="30" t="s">
        <v>561</v>
      </c>
      <c r="M831" s="683" t="s">
        <v>2439</v>
      </c>
      <c r="N831" s="19" t="s">
        <v>564</v>
      </c>
      <c r="O831" s="19"/>
      <c r="P831" s="19"/>
      <c r="Q831" s="19" t="s">
        <v>107</v>
      </c>
      <c r="R831" s="85" t="s">
        <v>1782</v>
      </c>
      <c r="S831" s="19" t="s">
        <v>604</v>
      </c>
      <c r="T831" s="85" t="s">
        <v>1782</v>
      </c>
      <c r="U831" s="19" t="s">
        <v>678</v>
      </c>
      <c r="V831" s="19" t="s">
        <v>677</v>
      </c>
      <c r="W831" s="19"/>
      <c r="X831" s="19"/>
      <c r="Y831" s="31">
        <v>3003415539</v>
      </c>
      <c r="Z831" s="692" t="s">
        <v>2600</v>
      </c>
      <c r="AA831" s="740" t="s">
        <v>33</v>
      </c>
      <c r="AB831" s="19" t="s">
        <v>217</v>
      </c>
      <c r="AC831" s="740" t="s">
        <v>749</v>
      </c>
      <c r="AD831" s="16"/>
      <c r="AE831" s="16"/>
      <c r="AF831" s="146">
        <v>3215.4</v>
      </c>
      <c r="AG831" s="16"/>
      <c r="AH831" s="16"/>
      <c r="AI831" s="16"/>
      <c r="AJ831" s="16"/>
      <c r="AK831" s="16"/>
      <c r="AL831" s="16"/>
      <c r="AM831" s="16"/>
      <c r="AN831" s="16"/>
      <c r="AO831" s="16"/>
      <c r="AP831" s="19" t="s">
        <v>240</v>
      </c>
      <c r="AQ831" s="127" t="str">
        <f>CONCATENATE("REG-",BDEGENER[[#This Row],[FECHA DE SERVICIO]],"-",BDEGENER[[#This Row],[SERIE]],"-",BDEGENER[[#This Row],[HORAS]])</f>
        <v>REG-43740-3003415539-3215,4</v>
      </c>
      <c r="AR831" s="5" t="str">
        <f>CONCATENATE("MARCA: ",BDEGENER[[#This Row],[MARCA]],"
 MODELO: ",BDEGENER[[#This Row],[MODELO]])</f>
        <v>MARCA: GENERAC
 MODELO: RG022</v>
      </c>
      <c r="AS831" s="5" t="str">
        <f>CONCATENATE("MARCA: ",BDEGENER[[#This Row],[MARCA DE MOTOR]],"
SERIE: ",BDEGENER[[#This Row],[SERIE DE MOTOR]])</f>
        <v xml:space="preserve">MARCA: 
SERIE: </v>
      </c>
      <c r="AT831" s="5" t="str">
        <f>CONCATENATE("MARCA: ",BDEGENER[[#This Row],[MARCA ALTERNADOR ]],"
SERIE: ",BDEGENER[[#This Row],[SERIE DE ALTERNADOR]])</f>
        <v xml:space="preserve">MARCA: 
SERIE: </v>
      </c>
      <c r="AU831" s="29" t="str">
        <f>CONCATENATE("HORAS: ",BDEGENER[[#This Row],[HORAS]],"
KW-HR: ",BDEGENER[[#This Row],[KW-HORA]],"
VOLT.BATERIA: ",BDEGENER[[#This Row],[VOLTAJE DE BATERIA]],"
TEMPERATURA: ",BDEGENER[[#This Row],[TEMPERATURA DE AGUA]],"
PRES. ACEITE: ",BDEGENER[[#This Row],[PRESION DE ACEITE]])</f>
        <v xml:space="preserve">HORAS: 3215,4
KW-HR: 
VOLT.BATERIA: 
TEMPERATURA: 
PRES. ACEITE: </v>
      </c>
      <c r="AV831" s="683">
        <f>COUNTIFS(Q831:Q2831,"MANTENIMIENTO CORRECTIVO",Y831:Y2831,BDEGENER[[#This Row],[SERIE]])</f>
        <v>2</v>
      </c>
      <c r="AW831" s="683">
        <f>COUNTIFS(Q831:Q2831,"MANTENIMIENTO PREVENTIVO",Y831:Y2831,BDEGENER[[#This Row],[SERIE]])</f>
        <v>6</v>
      </c>
      <c r="AX83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831" s="29">
        <f>COUNTIFS(BDEGENER[SERIE],BDEGENER[[#This Row],[SERIE]],BDEGENER[TIPO DE SERVICIO],"MANTENIMIENTO PREVENTIVO")</f>
        <v>11</v>
      </c>
      <c r="AZ831" s="29" t="str">
        <f>CONCATENATE("MANTENIMIENTO PREVENTIVO N°",BDEGENER[[#This Row],[GA1]])</f>
        <v>MANTENIMIENTO PREVENTIVO N°11</v>
      </c>
      <c r="BA831" s="325" t="str">
        <f>IF(BDEGENER[[#This Row],[SERVICIO]]=BDEGENER[[#This Row],[GA2]],BDEGENER[[#This Row],[HORAS]],"0")</f>
        <v>0</v>
      </c>
      <c r="BB831" s="325">
        <f>SUMIF(BDEGENER[SERIE],BDEGENER[[#This Row],[SERIE]],BDEGENER[GA3])</f>
        <v>5881.6</v>
      </c>
      <c r="BC831" s="683" t="str">
        <f>CONCATENATE("MANT",COUNTIF($Y$7:Y831,Y831))</f>
        <v>MANT9</v>
      </c>
      <c r="BD831" s="29" t="str">
        <f>CONCATENATE(BDEGENER[[#This Row],[SERIE]],BDEGENER[[#This Row],[GA5]])</f>
        <v>3003415539MANT9</v>
      </c>
      <c r="BE831" s="29" t="str">
        <f>CONCATENATE(BDEGENER[[#This Row],[CODIGO PATRIMONIAL]],BDEGENER[[#This Row],[GA5]])</f>
        <v>SUR-GEG-0004MANT9</v>
      </c>
      <c r="BF831" s="16">
        <f>COUNTIF(BDEGENER[SERIE],BDEGENER[[#This Row],[SERIE]])</f>
        <v>16</v>
      </c>
      <c r="BG831" s="683" t="str">
        <f>CONCATENATE("F",COUNTIF($K$7:K831,K831))</f>
        <v>F3</v>
      </c>
      <c r="BH831" s="325" t="str">
        <f>CONCATENATE(BDEGENER[[#This Row],[FECHA DE SERVICIO]],BDEGENER[[#This Row],[N° DE REGISTROS DEL DIA]])</f>
        <v>43740F3</v>
      </c>
      <c r="BI831" s="324"/>
      <c r="BJ831" s="325"/>
      <c r="BK831" s="326"/>
    </row>
    <row r="832" spans="2:63" ht="69" hidden="1" x14ac:dyDescent="0.3">
      <c r="B832" s="34"/>
      <c r="C832" s="34"/>
      <c r="D832" s="34"/>
      <c r="E832" s="34"/>
      <c r="F832" s="34"/>
      <c r="G832" s="34"/>
      <c r="H832" s="34"/>
      <c r="I832" s="34"/>
      <c r="J832" s="34"/>
      <c r="K832" s="37">
        <v>43740</v>
      </c>
      <c r="L832" s="30" t="s">
        <v>561</v>
      </c>
      <c r="M832" s="740" t="s">
        <v>575</v>
      </c>
      <c r="N832" s="19" t="s">
        <v>576</v>
      </c>
      <c r="O832" s="19"/>
      <c r="P832" s="19"/>
      <c r="Q832" s="19" t="s">
        <v>107</v>
      </c>
      <c r="R832" s="85" t="s">
        <v>1782</v>
      </c>
      <c r="S832" s="19" t="s">
        <v>605</v>
      </c>
      <c r="T832" s="85" t="s">
        <v>1782</v>
      </c>
      <c r="U832" s="19" t="s">
        <v>679</v>
      </c>
      <c r="V832" s="19" t="s">
        <v>148</v>
      </c>
      <c r="W832" s="85" t="s">
        <v>913</v>
      </c>
      <c r="X832" s="85" t="s">
        <v>918</v>
      </c>
      <c r="Y832" s="31">
        <v>3004370195</v>
      </c>
      <c r="Z832" s="692" t="s">
        <v>2597</v>
      </c>
      <c r="AA832" s="19" t="s">
        <v>33</v>
      </c>
      <c r="AB832" s="19" t="s">
        <v>217</v>
      </c>
      <c r="AC832" s="19" t="s">
        <v>749</v>
      </c>
      <c r="AD832" s="16"/>
      <c r="AE832" s="16"/>
      <c r="AF832" s="146">
        <v>842.6</v>
      </c>
      <c r="AG832" s="16"/>
      <c r="AH832" s="16"/>
      <c r="AI832" s="16"/>
      <c r="AJ832" s="16"/>
      <c r="AK832" s="16"/>
      <c r="AL832" s="16"/>
      <c r="AM832" s="16"/>
      <c r="AN832" s="16"/>
      <c r="AO832" s="16"/>
      <c r="AP832" s="19" t="s">
        <v>240</v>
      </c>
      <c r="AQ832" s="724" t="str">
        <f>CONCATENATE("REG-",BDEGENER[[#This Row],[FECHA DE SERVICIO]],"-",BDEGENER[[#This Row],[SERIE]],"-",BDEGENER[[#This Row],[HORAS]])</f>
        <v>REG-43740-3004370195-842,6</v>
      </c>
      <c r="AR832" s="5" t="str">
        <f>CONCATENATE("MARCA: ",BDEGENER[[#This Row],[MARCA]],"
 MODELO: ",BDEGENER[[#This Row],[MODELO]])</f>
        <v>MARCA: GENERAC
 MODELO: RG022</v>
      </c>
      <c r="AS832" s="5" t="str">
        <f>CONCATENATE("MARCA: ",BDEGENER[[#This Row],[MARCA DE MOTOR]],"
SERIE: ",BDEGENER[[#This Row],[SERIE DE MOTOR]])</f>
        <v xml:space="preserve">MARCA: 
SERIE: </v>
      </c>
      <c r="AT832" s="5" t="str">
        <f>CONCATENATE("MARCA: ",BDEGENER[[#This Row],[MARCA ALTERNADOR ]],"
SERIE: ",BDEGENER[[#This Row],[SERIE DE ALTERNADOR]])</f>
        <v xml:space="preserve">MARCA: 
SERIE: </v>
      </c>
      <c r="AU832" s="29" t="str">
        <f>CONCATENATE("HORAS: ",BDEGENER[[#This Row],[HORAS]],"
KW-HR: ",BDEGENER[[#This Row],[KW-HORA]],"
VOLT.BATERIA: ",BDEGENER[[#This Row],[VOLTAJE DE BATERIA]],"
TEMPERATURA: ",BDEGENER[[#This Row],[TEMPERATURA DE AGUA]],"
PRES. ACEITE: ",BDEGENER[[#This Row],[PRESION DE ACEITE]])</f>
        <v xml:space="preserve">HORAS: 842,6
KW-HR: 
VOLT.BATERIA: 
TEMPERATURA: 
PRES. ACEITE: </v>
      </c>
      <c r="AV832" s="761">
        <f>COUNTIFS(Q832:Q2832,"MANTENIMIENTO CORRECTIVO",Y832:Y2832,BDEGENER[[#This Row],[SERIE]])</f>
        <v>1</v>
      </c>
      <c r="AW832" s="761">
        <f>COUNTIFS(Q832:Q2832,"MANTENIMIENTO PREVENTIVO",Y832:Y2832,BDEGENER[[#This Row],[SERIE]])</f>
        <v>3</v>
      </c>
      <c r="AX83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32" s="29">
        <f>COUNTIFS(BDEGENER[SERIE],BDEGENER[[#This Row],[SERIE]],BDEGENER[TIPO DE SERVICIO],"MANTENIMIENTO PREVENTIVO")</f>
        <v>7</v>
      </c>
      <c r="AZ832" s="29" t="str">
        <f>CONCATENATE("MANTENIMIENTO PREVENTIVO N°",BDEGENER[[#This Row],[GA1]])</f>
        <v>MANTENIMIENTO PREVENTIVO N°7</v>
      </c>
      <c r="BA832" s="325" t="str">
        <f>IF(BDEGENER[[#This Row],[SERVICIO]]=BDEGENER[[#This Row],[GA2]],BDEGENER[[#This Row],[HORAS]],"0")</f>
        <v>0</v>
      </c>
      <c r="BB832" s="325">
        <f>SUMIF(BDEGENER[SERIE],BDEGENER[[#This Row],[SERIE]],BDEGENER[GA3])</f>
        <v>3519.7</v>
      </c>
      <c r="BC832" s="761" t="str">
        <f>CONCATENATE("MANT",COUNTIF($Y$7:Y832,Y832))</f>
        <v>MANT8</v>
      </c>
      <c r="BD832" s="29" t="str">
        <f>CONCATENATE(BDEGENER[[#This Row],[SERIE]],BDEGENER[[#This Row],[GA5]])</f>
        <v>3004370195MANT8</v>
      </c>
      <c r="BE832" s="29" t="str">
        <f>CONCATENATE(BDEGENER[[#This Row],[CODIGO PATRIMONIAL]],BDEGENER[[#This Row],[GA5]])</f>
        <v>SUR-GEG-0001MANT8</v>
      </c>
      <c r="BF832" s="16">
        <f>COUNTIF(BDEGENER[SERIE],BDEGENER[[#This Row],[SERIE]])</f>
        <v>12</v>
      </c>
      <c r="BG832" s="761" t="str">
        <f>CONCATENATE("F",COUNTIF($K$7:K832,K832))</f>
        <v>F4</v>
      </c>
      <c r="BH832" s="325" t="str">
        <f>CONCATENATE(BDEGENER[[#This Row],[FECHA DE SERVICIO]],BDEGENER[[#This Row],[N° DE REGISTROS DEL DIA]])</f>
        <v>43740F4</v>
      </c>
      <c r="BI832" s="324"/>
      <c r="BJ832" s="325"/>
      <c r="BK832" s="326"/>
    </row>
    <row r="833" spans="2:63" ht="69" hidden="1" x14ac:dyDescent="0.3">
      <c r="B833" s="129"/>
      <c r="C833" s="129"/>
      <c r="D833" s="129"/>
      <c r="E833" s="129"/>
      <c r="F833" s="129"/>
      <c r="G833" s="129"/>
      <c r="H833" s="129"/>
      <c r="I833" s="129"/>
      <c r="J833" s="129"/>
      <c r="K833" s="131">
        <v>43738</v>
      </c>
      <c r="L833" s="130" t="s">
        <v>181</v>
      </c>
      <c r="M833" s="85" t="s">
        <v>184</v>
      </c>
      <c r="N833" s="85" t="s">
        <v>183</v>
      </c>
      <c r="O833" s="85"/>
      <c r="P833" s="85"/>
      <c r="Q833" s="85" t="s">
        <v>107</v>
      </c>
      <c r="R833" s="85" t="s">
        <v>1659</v>
      </c>
      <c r="S833" s="6" t="s">
        <v>1660</v>
      </c>
      <c r="T833" s="85" t="s">
        <v>1662</v>
      </c>
      <c r="U833" s="85" t="s">
        <v>1661</v>
      </c>
      <c r="V833" s="85" t="s">
        <v>149</v>
      </c>
      <c r="W833" s="683" t="s">
        <v>914</v>
      </c>
      <c r="X833" s="691" t="s">
        <v>918</v>
      </c>
      <c r="Y833" s="15">
        <v>3004418791</v>
      </c>
      <c r="Z833" s="692"/>
      <c r="AA833" s="85" t="s">
        <v>33</v>
      </c>
      <c r="AB833" s="85" t="s">
        <v>34</v>
      </c>
      <c r="AC833" s="85" t="s">
        <v>230</v>
      </c>
      <c r="AD833" s="85"/>
      <c r="AE833" s="85"/>
      <c r="AF833" s="132">
        <v>15</v>
      </c>
      <c r="AG833" s="85" t="s">
        <v>243</v>
      </c>
      <c r="AH833" s="85" t="s">
        <v>220</v>
      </c>
      <c r="AI833" s="85" t="s">
        <v>33</v>
      </c>
      <c r="AJ833" s="85">
        <v>3004426135</v>
      </c>
      <c r="AK833" s="85" t="s">
        <v>33</v>
      </c>
      <c r="AL833" s="85">
        <v>107745330</v>
      </c>
      <c r="AM833" s="85"/>
      <c r="AN833" s="85"/>
      <c r="AO833" s="85"/>
      <c r="AP833" s="85" t="s">
        <v>240</v>
      </c>
      <c r="AQ833" s="781" t="str">
        <f>CONCATENATE("REG-",BDEGENER[[#This Row],[FECHA DE SERVICIO]],"-",BDEGENER[[#This Row],[SERIE]],"-",BDEGENER[[#This Row],[HORAS]])</f>
        <v>REG-43738-3004418791-15</v>
      </c>
      <c r="AR833" s="85" t="str">
        <f>CONCATENATE("MARCA: ",BDEGENER[[#This Row],[MARCA]],"
 MODELO: ",BDEGENER[[#This Row],[MODELO]])</f>
        <v>MARCA: GENERAC
 MODELO: PG090</v>
      </c>
      <c r="AS833" s="85" t="str">
        <f>CONCATENATE("MARCA: ",BDEGENER[[#This Row],[MARCA DE MOTOR]],"
SERIE: ",BDEGENER[[#This Row],[SERIE DE MOTOR]])</f>
        <v>MARCA: GENERAC
SERIE: 3004426135</v>
      </c>
      <c r="AT833" s="85" t="str">
        <f>CONCATENATE("MARCA: ",BDEGENER[[#This Row],[MARCA ALTERNADOR ]],"
SERIE: ",BDEGENER[[#This Row],[SERIE DE ALTERNADOR]])</f>
        <v>MARCA: GENERAC
SERIE: 107745330</v>
      </c>
      <c r="AU833" s="85" t="str">
        <f>CONCATENATE("HORAS: ",BDEGENER[[#This Row],[HORAS]],"
KW-HR: ",BDEGENER[[#This Row],[KW-HORA]],"
VOLT.BATERIA: ",BDEGENER[[#This Row],[VOLTAJE DE BATERIA]],"
TEMPERATURA: ",BDEGENER[[#This Row],[TEMPERATURA DE AGUA]],"
PRES. ACEITE: ",BDEGENER[[#This Row],[PRESION DE ACEITE]])</f>
        <v xml:space="preserve">HORAS: 15
KW-HR: 
VOLT.BATERIA: 
TEMPERATURA: 
PRES. ACEITE: </v>
      </c>
      <c r="AV833" s="683">
        <f>COUNTIFS(Q833:Q2833,"MANTENIMIENTO CORRECTIVO",Y833:Y2833,BDEGENER[[#This Row],[SERIE]])</f>
        <v>2</v>
      </c>
      <c r="AW833" s="683">
        <f>COUNTIFS(Q833:Q2833,"MANTENIMIENTO PREVENTIVO",Y833:Y2833,BDEGENER[[#This Row],[SERIE]])</f>
        <v>0</v>
      </c>
      <c r="AX833"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833" s="85">
        <f>COUNTIFS(BDEGENER[SERIE],BDEGENER[[#This Row],[SERIE]],BDEGENER[TIPO DE SERVICIO],"MANTENIMIENTO PREVENTIVO")</f>
        <v>7</v>
      </c>
      <c r="AZ833" s="85" t="str">
        <f>CONCATENATE("MANTENIMIENTO PREVENTIVO N°",BDEGENER[[#This Row],[GA1]])</f>
        <v>MANTENIMIENTO PREVENTIVO N°7</v>
      </c>
      <c r="BA833" s="85" t="str">
        <f>IF(BDEGENER[[#This Row],[SERVICIO]]=BDEGENER[[#This Row],[GA2]],BDEGENER[[#This Row],[HORAS]],"0")</f>
        <v>0</v>
      </c>
      <c r="BB833" s="85">
        <f>SUMIF(BDEGENER[SERIE],BDEGENER[[#This Row],[SERIE]],BDEGENER[GA3])</f>
        <v>2074.3000000000002</v>
      </c>
      <c r="BC833" s="683" t="str">
        <f>CONCATENATE("MANT",COUNTIF($Y$7:Y833,Y833))</f>
        <v>MANT14</v>
      </c>
      <c r="BD833" s="85" t="str">
        <f>CONCATENATE(BDEGENER[[#This Row],[SERIE]],BDEGENER[[#This Row],[GA5]])</f>
        <v>3004418791MANT14</v>
      </c>
      <c r="BE833" s="85" t="str">
        <f>CONCATENATE(BDEGENER[[#This Row],[CODIGO PATRIMONIAL]],BDEGENER[[#This Row],[GA5]])</f>
        <v>MANT14</v>
      </c>
      <c r="BF833" s="85">
        <f>COUNTIF(BDEGENER[SERIE],BDEGENER[[#This Row],[SERIE]])</f>
        <v>16</v>
      </c>
      <c r="BG833" s="683" t="str">
        <f>CONCATENATE("F",COUNTIF($K$7:K833,K833))</f>
        <v>F1</v>
      </c>
      <c r="BH833" s="85" t="str">
        <f>CONCATENATE(BDEGENER[[#This Row],[FECHA DE SERVICIO]],BDEGENER[[#This Row],[N° DE REGISTROS DEL DIA]])</f>
        <v>43738F1</v>
      </c>
      <c r="BI833" s="132"/>
      <c r="BJ833" s="85" t="s">
        <v>1544</v>
      </c>
      <c r="BK833" s="326"/>
    </row>
    <row r="834" spans="2:63" ht="69" hidden="1" x14ac:dyDescent="0.3">
      <c r="B834" s="129"/>
      <c r="C834" s="129"/>
      <c r="D834" s="129"/>
      <c r="E834" s="129"/>
      <c r="F834" s="129"/>
      <c r="G834" s="129"/>
      <c r="H834" s="129"/>
      <c r="I834" s="129"/>
      <c r="J834" s="129"/>
      <c r="K834" s="131">
        <v>43737</v>
      </c>
      <c r="L834" s="130" t="s">
        <v>181</v>
      </c>
      <c r="M834" s="85" t="s">
        <v>186</v>
      </c>
      <c r="N834" s="85" t="s">
        <v>946</v>
      </c>
      <c r="O834" s="85"/>
      <c r="P834" s="85"/>
      <c r="Q834" s="85" t="s">
        <v>107</v>
      </c>
      <c r="R834" s="85" t="s">
        <v>1677</v>
      </c>
      <c r="S834" s="6" t="s">
        <v>1678</v>
      </c>
      <c r="T834" s="85" t="s">
        <v>1679</v>
      </c>
      <c r="U834" s="85" t="s">
        <v>1680</v>
      </c>
      <c r="V834" s="85" t="s">
        <v>149</v>
      </c>
      <c r="W834" s="85" t="s">
        <v>914</v>
      </c>
      <c r="X834" s="85" t="s">
        <v>918</v>
      </c>
      <c r="Y834" s="15">
        <v>3004327724</v>
      </c>
      <c r="Z834" s="85"/>
      <c r="AA834" s="85" t="s">
        <v>33</v>
      </c>
      <c r="AB834" s="85" t="s">
        <v>34</v>
      </c>
      <c r="AC834" s="85" t="s">
        <v>230</v>
      </c>
      <c r="AD834" s="85"/>
      <c r="AE834" s="85"/>
      <c r="AF834" s="132">
        <v>69</v>
      </c>
      <c r="AG834" s="85" t="s">
        <v>243</v>
      </c>
      <c r="AH834" s="85" t="s">
        <v>220</v>
      </c>
      <c r="AI834" s="85" t="s">
        <v>33</v>
      </c>
      <c r="AJ834" s="85">
        <v>3004333872</v>
      </c>
      <c r="AK834" s="85" t="s">
        <v>33</v>
      </c>
      <c r="AL834" s="85"/>
      <c r="AM834" s="85"/>
      <c r="AN834" s="85"/>
      <c r="AO834" s="85"/>
      <c r="AP834" s="85" t="s">
        <v>240</v>
      </c>
      <c r="AQ834" s="85" t="str">
        <f>CONCATENATE("REG-",BDEGENER[[#This Row],[FECHA DE SERVICIO]],"-",BDEGENER[[#This Row],[SERIE]],"-",BDEGENER[[#This Row],[HORAS]])</f>
        <v>REG-43737-3004327724-69</v>
      </c>
      <c r="AR834" s="85" t="str">
        <f>CONCATENATE("MARCA: ",BDEGENER[[#This Row],[MARCA]],"
 MODELO: ",BDEGENER[[#This Row],[MODELO]])</f>
        <v>MARCA: GENERAC
 MODELO: PG090</v>
      </c>
      <c r="AS834" s="85" t="str">
        <f>CONCATENATE("MARCA: ",BDEGENER[[#This Row],[MARCA DE MOTOR]],"
SERIE: ",BDEGENER[[#This Row],[SERIE DE MOTOR]])</f>
        <v>MARCA: GENERAC
SERIE: 3004333872</v>
      </c>
      <c r="AT834" s="85" t="str">
        <f>CONCATENATE("MARCA: ",BDEGENER[[#This Row],[MARCA ALTERNADOR ]],"
SERIE: ",BDEGENER[[#This Row],[SERIE DE ALTERNADOR]])</f>
        <v xml:space="preserve">MARCA: GENERAC
SERIE: </v>
      </c>
      <c r="AU834" s="85" t="str">
        <f>CONCATENATE("HORAS: ",BDEGENER[[#This Row],[HORAS]],"
KW-HR: ",BDEGENER[[#This Row],[KW-HORA]],"
VOLT.BATERIA: ",BDEGENER[[#This Row],[VOLTAJE DE BATERIA]],"
TEMPERATURA: ",BDEGENER[[#This Row],[TEMPERATURA DE AGUA]],"
PRES. ACEITE: ",BDEGENER[[#This Row],[PRESION DE ACEITE]])</f>
        <v xml:space="preserve">HORAS: 69
KW-HR: 
VOLT.BATERIA: 
TEMPERATURA: 
PRES. ACEITE: </v>
      </c>
      <c r="AV834" s="683">
        <f>COUNTIFS(Q834:Q2834,"MANTENIMIENTO CORRECTIVO",Y834:Y2834,BDEGENER[[#This Row],[SERIE]])</f>
        <v>2</v>
      </c>
      <c r="AW834" s="683">
        <f>COUNTIFS(Q834:Q2834,"MANTENIMIENTO PREVENTIVO",Y834:Y2834,BDEGENER[[#This Row],[SERIE]])</f>
        <v>0</v>
      </c>
      <c r="AX83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834" s="85">
        <f>COUNTIFS(BDEGENER[SERIE],BDEGENER[[#This Row],[SERIE]],BDEGENER[TIPO DE SERVICIO],"MANTENIMIENTO PREVENTIVO")</f>
        <v>8</v>
      </c>
      <c r="AZ834" s="85" t="str">
        <f>CONCATENATE("MANTENIMIENTO PREVENTIVO N°",BDEGENER[[#This Row],[GA1]])</f>
        <v>MANTENIMIENTO PREVENTIVO N°8</v>
      </c>
      <c r="BA834" s="85" t="str">
        <f>IF(BDEGENER[[#This Row],[SERVICIO]]=BDEGENER[[#This Row],[GA2]],BDEGENER[[#This Row],[HORAS]],"0")</f>
        <v>0</v>
      </c>
      <c r="BB834" s="85">
        <f>SUMIF(BDEGENER[SERIE],BDEGENER[[#This Row],[SERIE]],BDEGENER[GA3])</f>
        <v>2271.8000000000002</v>
      </c>
      <c r="BC834" s="683" t="str">
        <f>CONCATENATE("MANT",COUNTIF($Y$7:Y834,Y834))</f>
        <v>MANT15</v>
      </c>
      <c r="BD834" s="85" t="str">
        <f>CONCATENATE(BDEGENER[[#This Row],[SERIE]],BDEGENER[[#This Row],[GA5]])</f>
        <v>3004327724MANT15</v>
      </c>
      <c r="BE834" s="85" t="str">
        <f>CONCATENATE(BDEGENER[[#This Row],[CODIGO PATRIMONIAL]],BDEGENER[[#This Row],[GA5]])</f>
        <v>MANT15</v>
      </c>
      <c r="BF834" s="85">
        <f>COUNTIF(BDEGENER[SERIE],BDEGENER[[#This Row],[SERIE]])</f>
        <v>17</v>
      </c>
      <c r="BG834" s="683" t="str">
        <f>CONCATENATE("F",COUNTIF($K$7:K834,K834))</f>
        <v>F1</v>
      </c>
      <c r="BH834" s="85" t="str">
        <f>CONCATENATE(BDEGENER[[#This Row],[FECHA DE SERVICIO]],BDEGENER[[#This Row],[N° DE REGISTROS DEL DIA]])</f>
        <v>43737F1</v>
      </c>
      <c r="BI834" s="132"/>
      <c r="BJ834" s="85" t="s">
        <v>1544</v>
      </c>
      <c r="BK834" s="326"/>
    </row>
    <row r="835" spans="2:63" ht="69" hidden="1" x14ac:dyDescent="0.3">
      <c r="B835" s="129"/>
      <c r="C835" s="129"/>
      <c r="D835" s="129"/>
      <c r="E835" s="129"/>
      <c r="F835" s="129"/>
      <c r="G835" s="129"/>
      <c r="H835" s="129"/>
      <c r="I835" s="129"/>
      <c r="J835" s="129"/>
      <c r="K835" s="131">
        <v>43735</v>
      </c>
      <c r="L835" s="130" t="s">
        <v>248</v>
      </c>
      <c r="M835" s="85" t="s">
        <v>1404</v>
      </c>
      <c r="N835" s="85" t="s">
        <v>1405</v>
      </c>
      <c r="O835" s="85"/>
      <c r="P835" s="85"/>
      <c r="Q835" s="85" t="s">
        <v>108</v>
      </c>
      <c r="R835" s="85" t="s">
        <v>1782</v>
      </c>
      <c r="S835" s="6" t="s">
        <v>1406</v>
      </c>
      <c r="T835" s="85" t="s">
        <v>1782</v>
      </c>
      <c r="U835" s="85"/>
      <c r="V835" s="85" t="s">
        <v>148</v>
      </c>
      <c r="W835" s="85" t="s">
        <v>914</v>
      </c>
      <c r="X835" s="85" t="s">
        <v>917</v>
      </c>
      <c r="Y835" s="130" t="s">
        <v>177</v>
      </c>
      <c r="Z835" s="85">
        <v>14473</v>
      </c>
      <c r="AA835" s="85"/>
      <c r="AB835" s="85"/>
      <c r="AC835" s="85" t="s">
        <v>1407</v>
      </c>
      <c r="AD835" s="85"/>
      <c r="AE835" s="85"/>
      <c r="AF835" s="132">
        <v>3078.9</v>
      </c>
      <c r="AG835" s="85"/>
      <c r="AH835" s="85"/>
      <c r="AI835" s="85"/>
      <c r="AJ835" s="85"/>
      <c r="AK835" s="85"/>
      <c r="AL835" s="85"/>
      <c r="AM835" s="85"/>
      <c r="AN835" s="85"/>
      <c r="AO835" s="85"/>
      <c r="AP835" s="85" t="s">
        <v>240</v>
      </c>
      <c r="AQ835" s="85" t="str">
        <f>CONCATENATE("REG-",BDEGENER[[#This Row],[FECHA DE SERVICIO]],"-",BDEGENER[[#This Row],[SERIE]],"-",BDEGENER[[#This Row],[HORAS]])</f>
        <v>REG-43735-NR-3078,9</v>
      </c>
      <c r="AR835" s="85" t="str">
        <f>CONCATENATE("MARCA: ",BDEGENER[[#This Row],[MARCA]],"
 MODELO: ",BDEGENER[[#This Row],[MODELO]])</f>
        <v xml:space="preserve">MARCA: 
 MODELO: </v>
      </c>
      <c r="AS835" s="85" t="str">
        <f>CONCATENATE("MARCA: ",BDEGENER[[#This Row],[MARCA DE MOTOR]],"
SERIE: ",BDEGENER[[#This Row],[SERIE DE MOTOR]])</f>
        <v xml:space="preserve">MARCA: 
SERIE: </v>
      </c>
      <c r="AT835" s="85" t="str">
        <f>CONCATENATE("MARCA: ",BDEGENER[[#This Row],[MARCA ALTERNADOR ]],"
SERIE: ",BDEGENER[[#This Row],[SERIE DE ALTERNADOR]])</f>
        <v xml:space="preserve">MARCA: 
SERIE: </v>
      </c>
      <c r="AU835" s="85" t="str">
        <f>CONCATENATE("HORAS: ",BDEGENER[[#This Row],[HORAS]],"
KW-HR: ",BDEGENER[[#This Row],[KW-HORA]],"
VOLT.BATERIA: ",BDEGENER[[#This Row],[VOLTAJE DE BATERIA]],"
TEMPERATURA: ",BDEGENER[[#This Row],[TEMPERATURA DE AGUA]],"
PRES. ACEITE: ",BDEGENER[[#This Row],[PRESION DE ACEITE]])</f>
        <v xml:space="preserve">HORAS: 3078,9
KW-HR: 
VOLT.BATERIA: 
TEMPERATURA: 
PRES. ACEITE: </v>
      </c>
      <c r="AV835" s="761">
        <f>COUNTIFS(Q835:Q2835,"MANTENIMIENTO CORRECTIVO",Y835:Y2835,BDEGENER[[#This Row],[SERIE]])</f>
        <v>1</v>
      </c>
      <c r="AW835" s="761">
        <f>COUNTIFS(Q835:Q2835,"MANTENIMIENTO PREVENTIVO",Y835:Y2835,BDEGENER[[#This Row],[SERIE]])</f>
        <v>0</v>
      </c>
      <c r="AX83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835" s="85">
        <f>COUNTIFS(BDEGENER[SERIE],BDEGENER[[#This Row],[SERIE]],BDEGENER[TIPO DE SERVICIO],"MANTENIMIENTO PREVENTIVO")</f>
        <v>0</v>
      </c>
      <c r="AZ835" s="85" t="str">
        <f>CONCATENATE("MANTENIMIENTO PREVENTIVO N°",BDEGENER[[#This Row],[GA1]])</f>
        <v>MANTENIMIENTO PREVENTIVO N°0</v>
      </c>
      <c r="BA835" s="85" t="str">
        <f>IF(BDEGENER[[#This Row],[SERVICIO]]=BDEGENER[[#This Row],[GA2]],BDEGENER[[#This Row],[HORAS]],"0")</f>
        <v>0</v>
      </c>
      <c r="BB835" s="85">
        <f>SUMIF(BDEGENER[SERIE],BDEGENER[[#This Row],[SERIE]],BDEGENER[GA3])</f>
        <v>0</v>
      </c>
      <c r="BC835" s="761" t="str">
        <f>CONCATENATE("MANT",COUNTIF($Y$7:Y835,Y835))</f>
        <v>MANT1</v>
      </c>
      <c r="BD835" s="85" t="str">
        <f>CONCATENATE(BDEGENER[[#This Row],[SERIE]],BDEGENER[[#This Row],[GA5]])</f>
        <v>NRMANT1</v>
      </c>
      <c r="BE835" s="85" t="str">
        <f>CONCATENATE(BDEGENER[[#This Row],[CODIGO PATRIMONIAL]],BDEGENER[[#This Row],[GA5]])</f>
        <v>14473MANT1</v>
      </c>
      <c r="BF835" s="129">
        <f>COUNTIF(BDEGENER[SERIE],BDEGENER[[#This Row],[SERIE]])</f>
        <v>5</v>
      </c>
      <c r="BG835" s="761" t="str">
        <f>CONCATENATE("F",COUNTIF($K$7:K835,K835))</f>
        <v>F1</v>
      </c>
      <c r="BH835" s="129" t="str">
        <f>CONCATENATE(BDEGENER[[#This Row],[FECHA DE SERVICIO]],BDEGENER[[#This Row],[N° DE REGISTROS DEL DIA]])</f>
        <v>43735F1</v>
      </c>
      <c r="BI835" s="324"/>
      <c r="BJ835" s="325"/>
      <c r="BK835" s="326"/>
    </row>
    <row r="836" spans="2:63" ht="69" hidden="1" x14ac:dyDescent="0.3">
      <c r="B836" s="33"/>
      <c r="C836" s="33"/>
      <c r="D836" s="33"/>
      <c r="E836" s="33"/>
      <c r="F836" s="33"/>
      <c r="G836" s="33"/>
      <c r="H836" s="33"/>
      <c r="I836" s="33"/>
      <c r="J836" s="33"/>
      <c r="K836" s="38">
        <v>43735</v>
      </c>
      <c r="L836" s="18" t="s">
        <v>248</v>
      </c>
      <c r="M836" s="23" t="s">
        <v>1403</v>
      </c>
      <c r="N836" s="23" t="s">
        <v>1401</v>
      </c>
      <c r="O836" s="23"/>
      <c r="P836" s="21"/>
      <c r="Q836" s="23" t="s">
        <v>108</v>
      </c>
      <c r="R836" s="85" t="s">
        <v>1782</v>
      </c>
      <c r="S836" s="6" t="s">
        <v>1406</v>
      </c>
      <c r="T836" s="85" t="s">
        <v>1782</v>
      </c>
      <c r="U836" s="25"/>
      <c r="V836" s="25" t="s">
        <v>148</v>
      </c>
      <c r="W836" s="85" t="s">
        <v>914</v>
      </c>
      <c r="X836" s="85" t="s">
        <v>917</v>
      </c>
      <c r="Y836" s="130" t="s">
        <v>177</v>
      </c>
      <c r="Z836" s="16">
        <v>7750</v>
      </c>
      <c r="AA836" s="16"/>
      <c r="AB836" s="16"/>
      <c r="AC836" s="85" t="s">
        <v>1407</v>
      </c>
      <c r="AD836" s="16"/>
      <c r="AE836" s="16"/>
      <c r="AF836" s="27">
        <v>4735.8999999999996</v>
      </c>
      <c r="AG836" s="16"/>
      <c r="AH836" s="16"/>
      <c r="AI836" s="16"/>
      <c r="AJ836" s="16"/>
      <c r="AK836" s="16"/>
      <c r="AL836" s="16"/>
      <c r="AM836" s="16"/>
      <c r="AN836" s="16"/>
      <c r="AO836" s="16"/>
      <c r="AP836" s="23" t="s">
        <v>240</v>
      </c>
      <c r="AQ836" s="6" t="str">
        <f>CONCATENATE("REG-",BDEGENER[[#This Row],[FECHA DE SERVICIO]],"-",BDEGENER[[#This Row],[SERIE]],"-",BDEGENER[[#This Row],[HORAS]])</f>
        <v>REG-43735-NR-4735,9</v>
      </c>
      <c r="AR836" s="5" t="str">
        <f>CONCATENATE("MARCA: ",BDEGENER[[#This Row],[MARCA]],"
 MODELO: ",BDEGENER[[#This Row],[MODELO]])</f>
        <v xml:space="preserve">MARCA: 
 MODELO: </v>
      </c>
      <c r="AS836" s="5" t="str">
        <f>CONCATENATE("MARCA: ",BDEGENER[[#This Row],[MARCA DE MOTOR]],"
SERIE: ",BDEGENER[[#This Row],[SERIE DE MOTOR]])</f>
        <v xml:space="preserve">MARCA: 
SERIE: </v>
      </c>
      <c r="AT836" s="5" t="str">
        <f>CONCATENATE("MARCA: ",BDEGENER[[#This Row],[MARCA ALTERNADOR ]],"
SERIE: ",BDEGENER[[#This Row],[SERIE DE ALTERNADOR]])</f>
        <v xml:space="preserve">MARCA: 
SERIE: </v>
      </c>
      <c r="AU836" s="5" t="str">
        <f>CONCATENATE("HORAS: ",BDEGENER[[#This Row],[HORAS]],"
KW-HR: ",BDEGENER[[#This Row],[KW-HORA]],"
VOLT.BATERIA: ",BDEGENER[[#This Row],[VOLTAJE DE BATERIA]],"
TEMPERATURA: ",BDEGENER[[#This Row],[TEMPERATURA DE AGUA]],"
PRES. ACEITE: ",BDEGENER[[#This Row],[PRESION DE ACEITE]])</f>
        <v xml:space="preserve">HORAS: 4735,9
KW-HR: 
VOLT.BATERIA: 
TEMPERATURA: 
PRES. ACEITE: </v>
      </c>
      <c r="AV836" s="683">
        <f>COUNTIFS(Q836:Q2836,"MANTENIMIENTO CORRECTIVO",Y836:Y2836,BDEGENER[[#This Row],[SERIE]])</f>
        <v>1</v>
      </c>
      <c r="AW836" s="683">
        <f>COUNTIFS(Q836:Q2836,"MANTENIMIENTO PREVENTIVO",Y836:Y2836,BDEGENER[[#This Row],[SERIE]])</f>
        <v>0</v>
      </c>
      <c r="AX83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836" s="29">
        <f>COUNTIFS(BDEGENER[SERIE],BDEGENER[[#This Row],[SERIE]],BDEGENER[TIPO DE SERVICIO],"MANTENIMIENTO PREVENTIVO")</f>
        <v>0</v>
      </c>
      <c r="AZ836" s="29" t="str">
        <f>CONCATENATE("MANTENIMIENTO PREVENTIVO N°",BDEGENER[[#This Row],[GA1]])</f>
        <v>MANTENIMIENTO PREVENTIVO N°0</v>
      </c>
      <c r="BA836" s="325" t="str">
        <f>IF(BDEGENER[[#This Row],[SERVICIO]]=BDEGENER[[#This Row],[GA2]],BDEGENER[[#This Row],[HORAS]],"0")</f>
        <v>0</v>
      </c>
      <c r="BB836" s="325">
        <f>SUMIF(BDEGENER[SERIE],BDEGENER[[#This Row],[SERIE]],BDEGENER[GA3])</f>
        <v>0</v>
      </c>
      <c r="BC836" s="683" t="str">
        <f>CONCATENATE("MANT",COUNTIF($Y$7:Y836,Y836))</f>
        <v>MANT2</v>
      </c>
      <c r="BD836" s="29" t="str">
        <f>CONCATENATE(BDEGENER[[#This Row],[SERIE]],BDEGENER[[#This Row],[GA5]])</f>
        <v>NRMANT2</v>
      </c>
      <c r="BE836" s="29" t="str">
        <f>CONCATENATE(BDEGENER[[#This Row],[CODIGO PATRIMONIAL]],BDEGENER[[#This Row],[GA5]])</f>
        <v>7750MANT2</v>
      </c>
      <c r="BF836" s="16">
        <f>COUNTIF(BDEGENER[SERIE],BDEGENER[[#This Row],[SERIE]])</f>
        <v>5</v>
      </c>
      <c r="BG836" s="683" t="str">
        <f>CONCATENATE("F",COUNTIF($K$7:K836,K836))</f>
        <v>F2</v>
      </c>
      <c r="BH836" s="325" t="str">
        <f>CONCATENATE(BDEGENER[[#This Row],[FECHA DE SERVICIO]],BDEGENER[[#This Row],[N° DE REGISTROS DEL DIA]])</f>
        <v>43735F2</v>
      </c>
      <c r="BI836" s="324"/>
      <c r="BJ836" s="325"/>
      <c r="BK836" s="326"/>
    </row>
    <row r="837" spans="2:63" ht="69" hidden="1" x14ac:dyDescent="0.3">
      <c r="B837" s="33"/>
      <c r="C837" s="33"/>
      <c r="D837" s="33"/>
      <c r="E837" s="33"/>
      <c r="F837" s="33"/>
      <c r="G837" s="33"/>
      <c r="H837" s="33"/>
      <c r="I837" s="33"/>
      <c r="J837" s="33"/>
      <c r="K837" s="38">
        <v>43735</v>
      </c>
      <c r="L837" s="18" t="s">
        <v>248</v>
      </c>
      <c r="M837" s="23" t="s">
        <v>279</v>
      </c>
      <c r="N837" s="23" t="s">
        <v>1402</v>
      </c>
      <c r="O837" s="23"/>
      <c r="P837" s="21"/>
      <c r="Q837" s="23" t="s">
        <v>108</v>
      </c>
      <c r="R837" s="85" t="s">
        <v>1782</v>
      </c>
      <c r="S837" s="6" t="s">
        <v>1406</v>
      </c>
      <c r="T837" s="85" t="s">
        <v>1782</v>
      </c>
      <c r="U837" s="25"/>
      <c r="V837" s="25" t="s">
        <v>148</v>
      </c>
      <c r="W837" s="85" t="s">
        <v>914</v>
      </c>
      <c r="X837" s="85" t="s">
        <v>917</v>
      </c>
      <c r="Y837" s="130" t="s">
        <v>177</v>
      </c>
      <c r="Z837" s="16">
        <v>5319</v>
      </c>
      <c r="AA837" s="16"/>
      <c r="AB837" s="16"/>
      <c r="AC837" s="85" t="s">
        <v>1407</v>
      </c>
      <c r="AD837" s="16"/>
      <c r="AE837" s="16"/>
      <c r="AF837" s="27">
        <v>5888</v>
      </c>
      <c r="AG837" s="16"/>
      <c r="AH837" s="16"/>
      <c r="AI837" s="16"/>
      <c r="AJ837" s="16"/>
      <c r="AK837" s="16"/>
      <c r="AL837" s="16"/>
      <c r="AM837" s="16"/>
      <c r="AN837" s="16"/>
      <c r="AO837" s="16"/>
      <c r="AP837" s="23" t="s">
        <v>240</v>
      </c>
      <c r="AQ837" s="6" t="str">
        <f>CONCATENATE("REG-",BDEGENER[[#This Row],[FECHA DE SERVICIO]],"-",BDEGENER[[#This Row],[SERIE]],"-",BDEGENER[[#This Row],[HORAS]])</f>
        <v>REG-43735-NR-5888</v>
      </c>
      <c r="AR837" s="5" t="str">
        <f>CONCATENATE("MARCA: ",BDEGENER[[#This Row],[MARCA]],"
 MODELO: ",BDEGENER[[#This Row],[MODELO]])</f>
        <v xml:space="preserve">MARCA: 
 MODELO: </v>
      </c>
      <c r="AS837" s="5" t="str">
        <f>CONCATENATE("MARCA: ",BDEGENER[[#This Row],[MARCA DE MOTOR]],"
SERIE: ",BDEGENER[[#This Row],[SERIE DE MOTOR]])</f>
        <v xml:space="preserve">MARCA: 
SERIE: </v>
      </c>
      <c r="AT837" s="5" t="str">
        <f>CONCATENATE("MARCA: ",BDEGENER[[#This Row],[MARCA ALTERNADOR ]],"
SERIE: ",BDEGENER[[#This Row],[SERIE DE ALTERNADOR]])</f>
        <v xml:space="preserve">MARCA: 
SERIE: </v>
      </c>
      <c r="AU837" s="5" t="str">
        <f>CONCATENATE("HORAS: ",BDEGENER[[#This Row],[HORAS]],"
KW-HR: ",BDEGENER[[#This Row],[KW-HORA]],"
VOLT.BATERIA: ",BDEGENER[[#This Row],[VOLTAJE DE BATERIA]],"
TEMPERATURA: ",BDEGENER[[#This Row],[TEMPERATURA DE AGUA]],"
PRES. ACEITE: ",BDEGENER[[#This Row],[PRESION DE ACEITE]])</f>
        <v xml:space="preserve">HORAS: 5888
KW-HR: 
VOLT.BATERIA: 
TEMPERATURA: 
PRES. ACEITE: </v>
      </c>
      <c r="AV837" s="683">
        <f>COUNTIFS(Q837:Q2837,"MANTENIMIENTO CORRECTIVO",Y837:Y2837,BDEGENER[[#This Row],[SERIE]])</f>
        <v>1</v>
      </c>
      <c r="AW837" s="683">
        <f>COUNTIFS(Q837:Q2837,"MANTENIMIENTO PREVENTIVO",Y837:Y2837,BDEGENER[[#This Row],[SERIE]])</f>
        <v>0</v>
      </c>
      <c r="AX83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837" s="29">
        <f>COUNTIFS(BDEGENER[SERIE],BDEGENER[[#This Row],[SERIE]],BDEGENER[TIPO DE SERVICIO],"MANTENIMIENTO PREVENTIVO")</f>
        <v>0</v>
      </c>
      <c r="AZ837" s="29" t="str">
        <f>CONCATENATE("MANTENIMIENTO PREVENTIVO N°",BDEGENER[[#This Row],[GA1]])</f>
        <v>MANTENIMIENTO PREVENTIVO N°0</v>
      </c>
      <c r="BA837" s="325" t="str">
        <f>IF(BDEGENER[[#This Row],[SERVICIO]]=BDEGENER[[#This Row],[GA2]],BDEGENER[[#This Row],[HORAS]],"0")</f>
        <v>0</v>
      </c>
      <c r="BB837" s="325">
        <f>SUMIF(BDEGENER[SERIE],BDEGENER[[#This Row],[SERIE]],BDEGENER[GA3])</f>
        <v>0</v>
      </c>
      <c r="BC837" s="683" t="str">
        <f>CONCATENATE("MANT",COUNTIF($Y$7:Y837,Y837))</f>
        <v>MANT3</v>
      </c>
      <c r="BD837" s="29" t="str">
        <f>CONCATENATE(BDEGENER[[#This Row],[SERIE]],BDEGENER[[#This Row],[GA5]])</f>
        <v>NRMANT3</v>
      </c>
      <c r="BE837" s="29" t="str">
        <f>CONCATENATE(BDEGENER[[#This Row],[CODIGO PATRIMONIAL]],BDEGENER[[#This Row],[GA5]])</f>
        <v>5319MANT3</v>
      </c>
      <c r="BF837" s="16">
        <f>COUNTIF(BDEGENER[SERIE],BDEGENER[[#This Row],[SERIE]])</f>
        <v>5</v>
      </c>
      <c r="BG837" s="683" t="str">
        <f>CONCATENATE("F",COUNTIF($K$7:K837,K837))</f>
        <v>F3</v>
      </c>
      <c r="BH837" s="325" t="str">
        <f>CONCATENATE(BDEGENER[[#This Row],[FECHA DE SERVICIO]],BDEGENER[[#This Row],[N° DE REGISTROS DEL DIA]])</f>
        <v>43735F3</v>
      </c>
      <c r="BI837" s="324"/>
      <c r="BJ837" s="325"/>
      <c r="BK837" s="326"/>
    </row>
    <row r="838" spans="2:63" ht="69" hidden="1" x14ac:dyDescent="0.3">
      <c r="B838" s="33"/>
      <c r="C838" s="33"/>
      <c r="D838" s="33"/>
      <c r="E838" s="33"/>
      <c r="F838" s="33"/>
      <c r="G838" s="33"/>
      <c r="H838" s="33"/>
      <c r="I838" s="33"/>
      <c r="J838" s="33"/>
      <c r="K838" s="38">
        <v>43734</v>
      </c>
      <c r="L838" s="18" t="s">
        <v>248</v>
      </c>
      <c r="M838" s="23" t="s">
        <v>257</v>
      </c>
      <c r="N838" s="23" t="s">
        <v>258</v>
      </c>
      <c r="O838" s="23"/>
      <c r="P838" s="21"/>
      <c r="Q838" s="22" t="s">
        <v>37</v>
      </c>
      <c r="R838" s="85" t="s">
        <v>1782</v>
      </c>
      <c r="S838" s="25" t="s">
        <v>320</v>
      </c>
      <c r="T838" s="85" t="s">
        <v>1782</v>
      </c>
      <c r="U838" s="25" t="s">
        <v>321</v>
      </c>
      <c r="V838" s="25" t="s">
        <v>146</v>
      </c>
      <c r="W838" s="85" t="s">
        <v>913</v>
      </c>
      <c r="X838" s="85" t="s">
        <v>917</v>
      </c>
      <c r="Y838" s="31" t="s">
        <v>503</v>
      </c>
      <c r="Z838" s="16">
        <v>23894</v>
      </c>
      <c r="AA838" s="85" t="s">
        <v>33</v>
      </c>
      <c r="AB838" s="85" t="s">
        <v>500</v>
      </c>
      <c r="AC838" s="23" t="s">
        <v>530</v>
      </c>
      <c r="AD838" s="16"/>
      <c r="AE838" s="16"/>
      <c r="AF838" s="27">
        <v>151.80000000000001</v>
      </c>
      <c r="AG838" s="85" t="s">
        <v>243</v>
      </c>
      <c r="AH838" s="85" t="s">
        <v>1236</v>
      </c>
      <c r="AI838" s="85" t="s">
        <v>844</v>
      </c>
      <c r="AJ838" s="16"/>
      <c r="AK838" s="85" t="s">
        <v>1235</v>
      </c>
      <c r="AL838" s="16"/>
      <c r="AM838" s="16"/>
      <c r="AN838" s="16"/>
      <c r="AO838" s="16"/>
      <c r="AP838" s="22" t="s">
        <v>240</v>
      </c>
      <c r="AQ838" s="200" t="str">
        <f>CONCATENATE("REG-",BDEGENER[[#This Row],[FECHA DE SERVICIO]],"-",BDEGENER[[#This Row],[SERIE]],"-",BDEGENER[[#This Row],[HORAS]])</f>
        <v>REG-43734-PEE2626600-151,8</v>
      </c>
      <c r="AR838" s="5" t="str">
        <f>CONCATENATE("MARCA: ",BDEGENER[[#This Row],[MARCA]],"
 MODELO: ",BDEGENER[[#This Row],[MODELO]])</f>
        <v>MARCA: GENERAC
 MODELO: PMY20B</v>
      </c>
      <c r="AS838" s="5" t="str">
        <f>CONCATENATE("MARCA: ",BDEGENER[[#This Row],[MARCA DE MOTOR]],"
SERIE: ",BDEGENER[[#This Row],[SERIE DE MOTOR]])</f>
        <v xml:space="preserve">MARCA: PERKINS
SERIE: </v>
      </c>
      <c r="AT838" s="5" t="str">
        <f>CONCATENATE("MARCA: ",BDEGENER[[#This Row],[MARCA ALTERNADOR ]],"
SERIE: ",BDEGENER[[#This Row],[SERIE DE ALTERNADOR]])</f>
        <v xml:space="preserve">MARCA: MECC ALTE
SERIE: </v>
      </c>
      <c r="AU838" s="5" t="str">
        <f>CONCATENATE("HORAS: ",BDEGENER[[#This Row],[HORAS]],"
KW-HR: ",BDEGENER[[#This Row],[KW-HORA]],"
VOLT.BATERIA: ",BDEGENER[[#This Row],[VOLTAJE DE BATERIA]],"
TEMPERATURA: ",BDEGENER[[#This Row],[TEMPERATURA DE AGUA]],"
PRES. ACEITE: ",BDEGENER[[#This Row],[PRESION DE ACEITE]])</f>
        <v xml:space="preserve">HORAS: 151,8
KW-HR: 
VOLT.BATERIA: 
TEMPERATURA: 
PRES. ACEITE: </v>
      </c>
      <c r="AV838" s="761">
        <f>COUNTIFS(Q838:Q2838,"MANTENIMIENTO CORRECTIVO",Y838:Y2838,BDEGENER[[#This Row],[SERIE]])</f>
        <v>0</v>
      </c>
      <c r="AW838" s="761">
        <f>COUNTIFS(Q838:Q2838,"MANTENIMIENTO PREVENTIVO",Y838:Y2838,BDEGENER[[#This Row],[SERIE]])</f>
        <v>1</v>
      </c>
      <c r="AX83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38" s="29">
        <f>COUNTIFS(BDEGENER[SERIE],BDEGENER[[#This Row],[SERIE]],BDEGENER[TIPO DE SERVICIO],"MANTENIMIENTO PREVENTIVO")</f>
        <v>1</v>
      </c>
      <c r="AZ838" s="29" t="str">
        <f>CONCATENATE("MANTENIMIENTO PREVENTIVO N°",BDEGENER[[#This Row],[GA1]])</f>
        <v>MANTENIMIENTO PREVENTIVO N°1</v>
      </c>
      <c r="BA838" s="325">
        <f>IF(BDEGENER[[#This Row],[SERVICIO]]=BDEGENER[[#This Row],[GA2]],BDEGENER[[#This Row],[HORAS]],"0")</f>
        <v>151.80000000000001</v>
      </c>
      <c r="BB838" s="325">
        <f>SUMIF(BDEGENER[SERIE],BDEGENER[[#This Row],[SERIE]],BDEGENER[GA3])</f>
        <v>151.80000000000001</v>
      </c>
      <c r="BC838" s="761" t="str">
        <f>CONCATENATE("MANT",COUNTIF($Y$7:Y838,Y838))</f>
        <v>MANT1</v>
      </c>
      <c r="BD838" s="29" t="str">
        <f>CONCATENATE(BDEGENER[[#This Row],[SERIE]],BDEGENER[[#This Row],[GA5]])</f>
        <v>PEE2626600MANT1</v>
      </c>
      <c r="BE838" s="29" t="str">
        <f>CONCATENATE(BDEGENER[[#This Row],[CODIGO PATRIMONIAL]],BDEGENER[[#This Row],[GA5]])</f>
        <v>23894MANT1</v>
      </c>
      <c r="BF838" s="16">
        <f>COUNTIF(BDEGENER[SERIE],BDEGENER[[#This Row],[SERIE]])</f>
        <v>1</v>
      </c>
      <c r="BG838" s="761" t="str">
        <f>CONCATENATE("F",COUNTIF($K$7:K838,K838))</f>
        <v>F1</v>
      </c>
      <c r="BH838" s="325" t="str">
        <f>CONCATENATE(BDEGENER[[#This Row],[FECHA DE SERVICIO]],BDEGENER[[#This Row],[N° DE REGISTROS DEL DIA]])</f>
        <v>43734F1</v>
      </c>
      <c r="BI838" s="324"/>
      <c r="BJ838" s="325"/>
      <c r="BK838" s="326"/>
    </row>
    <row r="839" spans="2:63" ht="69" hidden="1" x14ac:dyDescent="0.3">
      <c r="B839" s="33"/>
      <c r="C839" s="33"/>
      <c r="D839" s="33"/>
      <c r="E839" s="33"/>
      <c r="F839" s="33"/>
      <c r="G839" s="33"/>
      <c r="H839" s="33"/>
      <c r="I839" s="33"/>
      <c r="J839" s="33"/>
      <c r="K839" s="38">
        <v>43734</v>
      </c>
      <c r="L839" s="18" t="s">
        <v>248</v>
      </c>
      <c r="M839" s="23" t="s">
        <v>259</v>
      </c>
      <c r="N839" s="23" t="s">
        <v>258</v>
      </c>
      <c r="O839" s="23"/>
      <c r="P839" s="21"/>
      <c r="Q839" s="22" t="s">
        <v>37</v>
      </c>
      <c r="R839" s="85" t="s">
        <v>1782</v>
      </c>
      <c r="S839" s="25" t="s">
        <v>320</v>
      </c>
      <c r="T839" s="85" t="s">
        <v>1782</v>
      </c>
      <c r="U839" s="25" t="s">
        <v>321</v>
      </c>
      <c r="V839" s="25" t="s">
        <v>146</v>
      </c>
      <c r="W839" s="85" t="s">
        <v>913</v>
      </c>
      <c r="X839" s="85" t="s">
        <v>917</v>
      </c>
      <c r="Y839" s="31" t="s">
        <v>504</v>
      </c>
      <c r="Z839" s="16">
        <v>23895</v>
      </c>
      <c r="AA839" s="85" t="s">
        <v>33</v>
      </c>
      <c r="AB839" s="85" t="s">
        <v>500</v>
      </c>
      <c r="AC839" s="23" t="s">
        <v>530</v>
      </c>
      <c r="AD839" s="16"/>
      <c r="AE839" s="16"/>
      <c r="AF839" s="27">
        <v>192.1</v>
      </c>
      <c r="AG839" s="85" t="s">
        <v>243</v>
      </c>
      <c r="AH839" s="85" t="s">
        <v>1236</v>
      </c>
      <c r="AI839" s="85" t="s">
        <v>844</v>
      </c>
      <c r="AJ839" s="16"/>
      <c r="AK839" s="85" t="s">
        <v>1235</v>
      </c>
      <c r="AL839" s="16"/>
      <c r="AM839" s="16"/>
      <c r="AN839" s="16"/>
      <c r="AO839" s="16"/>
      <c r="AP839" s="22" t="s">
        <v>240</v>
      </c>
      <c r="AQ839" s="200" t="str">
        <f>CONCATENATE("REG-",BDEGENER[[#This Row],[FECHA DE SERVICIO]],"-",BDEGENER[[#This Row],[SERIE]],"-",BDEGENER[[#This Row],[HORAS]])</f>
        <v>REG-43734-PEE2626877-192,1</v>
      </c>
      <c r="AR839" s="5" t="str">
        <f>CONCATENATE("MARCA: ",BDEGENER[[#This Row],[MARCA]],"
 MODELO: ",BDEGENER[[#This Row],[MODELO]])</f>
        <v>MARCA: GENERAC
 MODELO: PMY20B</v>
      </c>
      <c r="AS839" s="5" t="str">
        <f>CONCATENATE("MARCA: ",BDEGENER[[#This Row],[MARCA DE MOTOR]],"
SERIE: ",BDEGENER[[#This Row],[SERIE DE MOTOR]])</f>
        <v xml:space="preserve">MARCA: PERKINS
SERIE: </v>
      </c>
      <c r="AT839" s="5" t="str">
        <f>CONCATENATE("MARCA: ",BDEGENER[[#This Row],[MARCA ALTERNADOR ]],"
SERIE: ",BDEGENER[[#This Row],[SERIE DE ALTERNADOR]])</f>
        <v xml:space="preserve">MARCA: MECC ALTE
SERIE: </v>
      </c>
      <c r="AU839" s="5" t="str">
        <f>CONCATENATE("HORAS: ",BDEGENER[[#This Row],[HORAS]],"
KW-HR: ",BDEGENER[[#This Row],[KW-HORA]],"
VOLT.BATERIA: ",BDEGENER[[#This Row],[VOLTAJE DE BATERIA]],"
TEMPERATURA: ",BDEGENER[[#This Row],[TEMPERATURA DE AGUA]],"
PRES. ACEITE: ",BDEGENER[[#This Row],[PRESION DE ACEITE]])</f>
        <v xml:space="preserve">HORAS: 192,1
KW-HR: 
VOLT.BATERIA: 
TEMPERATURA: 
PRES. ACEITE: </v>
      </c>
      <c r="AV839" s="683">
        <f>COUNTIFS(Q839:Q2839,"MANTENIMIENTO CORRECTIVO",Y839:Y2839,BDEGENER[[#This Row],[SERIE]])</f>
        <v>0</v>
      </c>
      <c r="AW839" s="683">
        <f>COUNTIFS(Q839:Q2839,"MANTENIMIENTO PREVENTIVO",Y839:Y2839,BDEGENER[[#This Row],[SERIE]])</f>
        <v>1</v>
      </c>
      <c r="AX83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39" s="29">
        <f>COUNTIFS(BDEGENER[SERIE],BDEGENER[[#This Row],[SERIE]],BDEGENER[TIPO DE SERVICIO],"MANTENIMIENTO PREVENTIVO")</f>
        <v>1</v>
      </c>
      <c r="AZ839" s="29" t="str">
        <f>CONCATENATE("MANTENIMIENTO PREVENTIVO N°",BDEGENER[[#This Row],[GA1]])</f>
        <v>MANTENIMIENTO PREVENTIVO N°1</v>
      </c>
      <c r="BA839" s="325">
        <f>IF(BDEGENER[[#This Row],[SERVICIO]]=BDEGENER[[#This Row],[GA2]],BDEGENER[[#This Row],[HORAS]],"0")</f>
        <v>192.1</v>
      </c>
      <c r="BB839" s="325">
        <f>SUMIF(BDEGENER[SERIE],BDEGENER[[#This Row],[SERIE]],BDEGENER[GA3])</f>
        <v>192.1</v>
      </c>
      <c r="BC839" s="683" t="str">
        <f>CONCATENATE("MANT",COUNTIF($Y$7:Y839,Y839))</f>
        <v>MANT1</v>
      </c>
      <c r="BD839" s="29" t="str">
        <f>CONCATENATE(BDEGENER[[#This Row],[SERIE]],BDEGENER[[#This Row],[GA5]])</f>
        <v>PEE2626877MANT1</v>
      </c>
      <c r="BE839" s="29" t="str">
        <f>CONCATENATE(BDEGENER[[#This Row],[CODIGO PATRIMONIAL]],BDEGENER[[#This Row],[GA5]])</f>
        <v>23895MANT1</v>
      </c>
      <c r="BF839" s="16">
        <f>COUNTIF(BDEGENER[SERIE],BDEGENER[[#This Row],[SERIE]])</f>
        <v>1</v>
      </c>
      <c r="BG839" s="683" t="str">
        <f>CONCATENATE("F",COUNTIF($K$7:K839,K839))</f>
        <v>F2</v>
      </c>
      <c r="BH839" s="325" t="str">
        <f>CONCATENATE(BDEGENER[[#This Row],[FECHA DE SERVICIO]],BDEGENER[[#This Row],[N° DE REGISTROS DEL DIA]])</f>
        <v>43734F2</v>
      </c>
      <c r="BI839" s="324"/>
      <c r="BJ839" s="325"/>
      <c r="BK839" s="326"/>
    </row>
    <row r="840" spans="2:63" ht="69" hidden="1" x14ac:dyDescent="0.3">
      <c r="B840" s="33"/>
      <c r="C840" s="33"/>
      <c r="D840" s="33"/>
      <c r="E840" s="33"/>
      <c r="F840" s="33"/>
      <c r="G840" s="33"/>
      <c r="H840" s="33"/>
      <c r="I840" s="33"/>
      <c r="J840" s="33"/>
      <c r="K840" s="38">
        <v>43734</v>
      </c>
      <c r="L840" s="18" t="s">
        <v>248</v>
      </c>
      <c r="M840" s="23" t="s">
        <v>260</v>
      </c>
      <c r="N840" s="23" t="s">
        <v>261</v>
      </c>
      <c r="O840" s="23"/>
      <c r="P840" s="21"/>
      <c r="Q840" s="22" t="s">
        <v>37</v>
      </c>
      <c r="R840" s="85" t="s">
        <v>1782</v>
      </c>
      <c r="S840" s="25" t="s">
        <v>322</v>
      </c>
      <c r="T840" s="85" t="s">
        <v>1782</v>
      </c>
      <c r="U840" s="25" t="s">
        <v>323</v>
      </c>
      <c r="V840" s="25" t="s">
        <v>146</v>
      </c>
      <c r="W840" s="25" t="s">
        <v>911</v>
      </c>
      <c r="X840" s="25" t="s">
        <v>917</v>
      </c>
      <c r="Y840" s="31">
        <v>3003932011</v>
      </c>
      <c r="Z840" s="16">
        <v>23878</v>
      </c>
      <c r="AA840" s="16" t="s">
        <v>33</v>
      </c>
      <c r="AB840" s="16" t="s">
        <v>1205</v>
      </c>
      <c r="AC840" s="23" t="s">
        <v>529</v>
      </c>
      <c r="AD840" s="16"/>
      <c r="AE840" s="16"/>
      <c r="AF840" s="27">
        <v>141</v>
      </c>
      <c r="AG840" s="16"/>
      <c r="AH840" s="16"/>
      <c r="AI840" s="16" t="s">
        <v>523</v>
      </c>
      <c r="AJ840" s="16">
        <v>5219</v>
      </c>
      <c r="AK840" s="16"/>
      <c r="AL840" s="16"/>
      <c r="AM840" s="16"/>
      <c r="AN840" s="16"/>
      <c r="AO840" s="16"/>
      <c r="AP840" s="22" t="s">
        <v>240</v>
      </c>
      <c r="AQ840" s="200" t="str">
        <f>CONCATENATE("REG-",BDEGENER[[#This Row],[FECHA DE SERVICIO]],"-",BDEGENER[[#This Row],[SERIE]],"-",BDEGENER[[#This Row],[HORAS]])</f>
        <v>REG-43734-3003932011-141</v>
      </c>
      <c r="AR840" s="5" t="str">
        <f>CONCATENATE("MARCA: ",BDEGENER[[#This Row],[MARCA]],"
 MODELO: ",BDEGENER[[#This Row],[MODELO]])</f>
        <v>MARCA: GENERAC
 MODELO: XD5000E</v>
      </c>
      <c r="AS840" s="5" t="str">
        <f>CONCATENATE("MARCA: ",BDEGENER[[#This Row],[MARCA DE MOTOR]],"
SERIE: ",BDEGENER[[#This Row],[SERIE DE MOTOR]])</f>
        <v>MARCA: YANMAR
SERIE: 5219</v>
      </c>
      <c r="AT840" s="5" t="str">
        <f>CONCATENATE("MARCA: ",BDEGENER[[#This Row],[MARCA ALTERNADOR ]],"
SERIE: ",BDEGENER[[#This Row],[SERIE DE ALTERNADOR]])</f>
        <v xml:space="preserve">MARCA: 
SERIE: </v>
      </c>
      <c r="AU840" s="5" t="str">
        <f>CONCATENATE("HORAS: ",BDEGENER[[#This Row],[HORAS]],"
KW-HR: ",BDEGENER[[#This Row],[KW-HORA]],"
VOLT.BATERIA: ",BDEGENER[[#This Row],[VOLTAJE DE BATERIA]],"
TEMPERATURA: ",BDEGENER[[#This Row],[TEMPERATURA DE AGUA]],"
PRES. ACEITE: ",BDEGENER[[#This Row],[PRESION DE ACEITE]])</f>
        <v xml:space="preserve">HORAS: 141
KW-HR: 
VOLT.BATERIA: 
TEMPERATURA: 
PRES. ACEITE: </v>
      </c>
      <c r="AV840" s="683">
        <f>COUNTIFS(Q840:Q2840,"MANTENIMIENTO CORRECTIVO",Y840:Y2840,BDEGENER[[#This Row],[SERIE]])</f>
        <v>0</v>
      </c>
      <c r="AW840" s="683">
        <f>COUNTIFS(Q840:Q2840,"MANTENIMIENTO PREVENTIVO",Y840:Y2840,BDEGENER[[#This Row],[SERIE]])</f>
        <v>2</v>
      </c>
      <c r="AX84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840" s="29">
        <f>COUNTIFS(BDEGENER[SERIE],BDEGENER[[#This Row],[SERIE]],BDEGENER[TIPO DE SERVICIO],"MANTENIMIENTO PREVENTIVO")</f>
        <v>2</v>
      </c>
      <c r="AZ840" s="29" t="str">
        <f>CONCATENATE("MANTENIMIENTO PREVENTIVO N°",BDEGENER[[#This Row],[GA1]])</f>
        <v>MANTENIMIENTO PREVENTIVO N°2</v>
      </c>
      <c r="BA840" s="325">
        <f>IF(BDEGENER[[#This Row],[SERVICIO]]=BDEGENER[[#This Row],[GA2]],BDEGENER[[#This Row],[HORAS]],"0")</f>
        <v>141</v>
      </c>
      <c r="BB840" s="325">
        <f>SUMIF(BDEGENER[SERIE],BDEGENER[[#This Row],[SERIE]],BDEGENER[GA3])</f>
        <v>141</v>
      </c>
      <c r="BC840" s="683" t="str">
        <f>CONCATENATE("MANT",COUNTIF($Y$7:Y840,Y840))</f>
        <v>MANT1</v>
      </c>
      <c r="BD840" s="29" t="str">
        <f>CONCATENATE(BDEGENER[[#This Row],[SERIE]],BDEGENER[[#This Row],[GA5]])</f>
        <v>3003932011MANT1</v>
      </c>
      <c r="BE840" s="29" t="str">
        <f>CONCATENATE(BDEGENER[[#This Row],[CODIGO PATRIMONIAL]],BDEGENER[[#This Row],[GA5]])</f>
        <v>23878MANT1</v>
      </c>
      <c r="BF840" s="16">
        <f>COUNTIF(BDEGENER[SERIE],BDEGENER[[#This Row],[SERIE]])</f>
        <v>2</v>
      </c>
      <c r="BG840" s="683" t="str">
        <f>CONCATENATE("F",COUNTIF($K$7:K840,K840))</f>
        <v>F3</v>
      </c>
      <c r="BH840" s="325" t="str">
        <f>CONCATENATE(BDEGENER[[#This Row],[FECHA DE SERVICIO]],BDEGENER[[#This Row],[N° DE REGISTROS DEL DIA]])</f>
        <v>43734F3</v>
      </c>
      <c r="BI840" s="324"/>
      <c r="BJ840" s="325"/>
      <c r="BK840" s="326"/>
    </row>
    <row r="841" spans="2:63" ht="69" hidden="1" x14ac:dyDescent="0.3">
      <c r="B841" s="33"/>
      <c r="C841" s="33"/>
      <c r="D841" s="33"/>
      <c r="E841" s="33"/>
      <c r="F841" s="33"/>
      <c r="G841" s="33"/>
      <c r="H841" s="33"/>
      <c r="I841" s="33"/>
      <c r="J841" s="33"/>
      <c r="K841" s="38">
        <v>43734</v>
      </c>
      <c r="L841" s="18" t="s">
        <v>248</v>
      </c>
      <c r="M841" s="23" t="s">
        <v>260</v>
      </c>
      <c r="N841" s="23" t="s">
        <v>261</v>
      </c>
      <c r="O841" s="23"/>
      <c r="P841" s="21"/>
      <c r="Q841" s="22" t="s">
        <v>37</v>
      </c>
      <c r="R841" s="85" t="s">
        <v>1782</v>
      </c>
      <c r="S841" s="25" t="s">
        <v>324</v>
      </c>
      <c r="T841" s="25" t="s">
        <v>325</v>
      </c>
      <c r="U841" s="25" t="s">
        <v>323</v>
      </c>
      <c r="V841" s="25" t="s">
        <v>146</v>
      </c>
      <c r="W841" s="23" t="s">
        <v>911</v>
      </c>
      <c r="X841" s="23" t="s">
        <v>917</v>
      </c>
      <c r="Y841" s="31">
        <v>3003932010</v>
      </c>
      <c r="Z841" s="16">
        <v>23877</v>
      </c>
      <c r="AA841" s="16" t="s">
        <v>33</v>
      </c>
      <c r="AB841" s="16" t="s">
        <v>1205</v>
      </c>
      <c r="AC841" s="23" t="s">
        <v>529</v>
      </c>
      <c r="AD841" s="16"/>
      <c r="AE841" s="16"/>
      <c r="AF841" s="27">
        <v>218.3</v>
      </c>
      <c r="AG841" s="16"/>
      <c r="AH841" s="16"/>
      <c r="AI841" s="16" t="s">
        <v>523</v>
      </c>
      <c r="AJ841" s="16">
        <v>5223</v>
      </c>
      <c r="AK841" s="16"/>
      <c r="AL841" s="16"/>
      <c r="AM841" s="16"/>
      <c r="AN841" s="16"/>
      <c r="AO841" s="16"/>
      <c r="AP841" s="22" t="s">
        <v>240</v>
      </c>
      <c r="AQ841" s="200" t="str">
        <f>CONCATENATE("REG-",BDEGENER[[#This Row],[FECHA DE SERVICIO]],"-",BDEGENER[[#This Row],[SERIE]],"-",BDEGENER[[#This Row],[HORAS]])</f>
        <v>REG-43734-3003932010-218,3</v>
      </c>
      <c r="AR841" s="5" t="str">
        <f>CONCATENATE("MARCA: ",BDEGENER[[#This Row],[MARCA]],"
 MODELO: ",BDEGENER[[#This Row],[MODELO]])</f>
        <v>MARCA: GENERAC
 MODELO: XD5000E</v>
      </c>
      <c r="AS841" s="5" t="str">
        <f>CONCATENATE("MARCA: ",BDEGENER[[#This Row],[MARCA DE MOTOR]],"
SERIE: ",BDEGENER[[#This Row],[SERIE DE MOTOR]])</f>
        <v>MARCA: YANMAR
SERIE: 5223</v>
      </c>
      <c r="AT841" s="5" t="str">
        <f>CONCATENATE("MARCA: ",BDEGENER[[#This Row],[MARCA ALTERNADOR ]],"
SERIE: ",BDEGENER[[#This Row],[SERIE DE ALTERNADOR]])</f>
        <v xml:space="preserve">MARCA: 
SERIE: </v>
      </c>
      <c r="AU841" s="5" t="str">
        <f>CONCATENATE("HORAS: ",BDEGENER[[#This Row],[HORAS]],"
KW-HR: ",BDEGENER[[#This Row],[KW-HORA]],"
VOLT.BATERIA: ",BDEGENER[[#This Row],[VOLTAJE DE BATERIA]],"
TEMPERATURA: ",BDEGENER[[#This Row],[TEMPERATURA DE AGUA]],"
PRES. ACEITE: ",BDEGENER[[#This Row],[PRESION DE ACEITE]])</f>
        <v xml:space="preserve">HORAS: 218,3
KW-HR: 
VOLT.BATERIA: 
TEMPERATURA: 
PRES. ACEITE: </v>
      </c>
      <c r="AV841" s="761">
        <f>COUNTIFS(Q841:Q2841,"MANTENIMIENTO CORRECTIVO",Y841:Y2841,BDEGENER[[#This Row],[SERIE]])</f>
        <v>1</v>
      </c>
      <c r="AW841" s="761">
        <f>COUNTIFS(Q841:Q2841,"MANTENIMIENTO PREVENTIVO",Y841:Y2841,BDEGENER[[#This Row],[SERIE]])</f>
        <v>2</v>
      </c>
      <c r="AX84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841" s="29">
        <f>COUNTIFS(BDEGENER[SERIE],BDEGENER[[#This Row],[SERIE]],BDEGENER[TIPO DE SERVICIO],"MANTENIMIENTO PREVENTIVO")</f>
        <v>2</v>
      </c>
      <c r="AZ841" s="29" t="str">
        <f>CONCATENATE("MANTENIMIENTO PREVENTIVO N°",BDEGENER[[#This Row],[GA1]])</f>
        <v>MANTENIMIENTO PREVENTIVO N°2</v>
      </c>
      <c r="BA841" s="325">
        <f>IF(BDEGENER[[#This Row],[SERVICIO]]=BDEGENER[[#This Row],[GA2]],BDEGENER[[#This Row],[HORAS]],"0")</f>
        <v>218.3</v>
      </c>
      <c r="BB841" s="325">
        <f>SUMIF(BDEGENER[SERIE],BDEGENER[[#This Row],[SERIE]],BDEGENER[GA3])</f>
        <v>218.3</v>
      </c>
      <c r="BC841" s="761" t="str">
        <f>CONCATENATE("MANT",COUNTIF($Y$7:Y841,Y841))</f>
        <v>MANT1</v>
      </c>
      <c r="BD841" s="29" t="str">
        <f>CONCATENATE(BDEGENER[[#This Row],[SERIE]],BDEGENER[[#This Row],[GA5]])</f>
        <v>3003932010MANT1</v>
      </c>
      <c r="BE841" s="29" t="str">
        <f>CONCATENATE(BDEGENER[[#This Row],[CODIGO PATRIMONIAL]],BDEGENER[[#This Row],[GA5]])</f>
        <v>23877MANT1</v>
      </c>
      <c r="BF841" s="16">
        <f>COUNTIF(BDEGENER[SERIE],BDEGENER[[#This Row],[SERIE]])</f>
        <v>3</v>
      </c>
      <c r="BG841" s="761" t="str">
        <f>CONCATENATE("F",COUNTIF($K$7:K841,K841))</f>
        <v>F4</v>
      </c>
      <c r="BH841" s="325" t="str">
        <f>CONCATENATE(BDEGENER[[#This Row],[FECHA DE SERVICIO]],BDEGENER[[#This Row],[N° DE REGISTROS DEL DIA]])</f>
        <v>43734F4</v>
      </c>
      <c r="BI841" s="324"/>
      <c r="BJ841" s="325"/>
      <c r="BK841" s="326"/>
    </row>
    <row r="842" spans="2:63" ht="69" hidden="1" x14ac:dyDescent="0.3">
      <c r="B842" s="34"/>
      <c r="C842" s="34"/>
      <c r="D842" s="34"/>
      <c r="E842" s="34"/>
      <c r="F842" s="34"/>
      <c r="G842" s="34"/>
      <c r="H842" s="34"/>
      <c r="I842" s="34"/>
      <c r="J842" s="34"/>
      <c r="K842" s="37">
        <v>43733</v>
      </c>
      <c r="L842" s="30" t="s">
        <v>561</v>
      </c>
      <c r="M842" s="19" t="s">
        <v>562</v>
      </c>
      <c r="N842" s="19" t="s">
        <v>563</v>
      </c>
      <c r="O842" s="19"/>
      <c r="P842" s="19"/>
      <c r="Q842" s="19" t="s">
        <v>108</v>
      </c>
      <c r="R842" s="85" t="s">
        <v>1782</v>
      </c>
      <c r="S842" s="19" t="s">
        <v>606</v>
      </c>
      <c r="T842" s="85" t="s">
        <v>1782</v>
      </c>
      <c r="U842" s="19"/>
      <c r="V842" s="19" t="s">
        <v>148</v>
      </c>
      <c r="W842" s="85" t="s">
        <v>913</v>
      </c>
      <c r="X842" s="85" t="s">
        <v>918</v>
      </c>
      <c r="Y842" s="31">
        <v>3004555914</v>
      </c>
      <c r="Z842" s="85" t="s">
        <v>2611</v>
      </c>
      <c r="AA842" s="19" t="s">
        <v>33</v>
      </c>
      <c r="AB842" s="19" t="s">
        <v>217</v>
      </c>
      <c r="AC842" s="19" t="s">
        <v>749</v>
      </c>
      <c r="AD842" s="16"/>
      <c r="AE842" s="16"/>
      <c r="AF842" s="146">
        <v>294.7</v>
      </c>
      <c r="AG842" s="16"/>
      <c r="AH842" s="16"/>
      <c r="AI842" s="16"/>
      <c r="AJ842" s="16"/>
      <c r="AK842" s="16"/>
      <c r="AL842" s="16"/>
      <c r="AM842" s="16"/>
      <c r="AN842" s="16"/>
      <c r="AO842" s="16"/>
      <c r="AP842" s="19" t="s">
        <v>240</v>
      </c>
      <c r="AQ842" s="6" t="str">
        <f>CONCATENATE("REG-",BDEGENER[[#This Row],[FECHA DE SERVICIO]],"-",BDEGENER[[#This Row],[SERIE]],"-",BDEGENER[[#This Row],[HORAS]])</f>
        <v>REG-43733-3004555914-294,7</v>
      </c>
      <c r="AR842" s="5" t="str">
        <f>CONCATENATE("MARCA: ",BDEGENER[[#This Row],[MARCA]],"
 MODELO: ",BDEGENER[[#This Row],[MODELO]])</f>
        <v>MARCA: GENERAC
 MODELO: RG022</v>
      </c>
      <c r="AS842" s="5" t="str">
        <f>CONCATENATE("MARCA: ",BDEGENER[[#This Row],[MARCA DE MOTOR]],"
SERIE: ",BDEGENER[[#This Row],[SERIE DE MOTOR]])</f>
        <v xml:space="preserve">MARCA: 
SERIE: </v>
      </c>
      <c r="AT842" s="5" t="str">
        <f>CONCATENATE("MARCA: ",BDEGENER[[#This Row],[MARCA ALTERNADOR ]],"
SERIE: ",BDEGENER[[#This Row],[SERIE DE ALTERNADOR]])</f>
        <v xml:space="preserve">MARCA: 
SERIE: </v>
      </c>
      <c r="AU842" s="29" t="str">
        <f>CONCATENATE("HORAS: ",BDEGENER[[#This Row],[HORAS]],"
KW-HR: ",BDEGENER[[#This Row],[KW-HORA]],"
VOLT.BATERIA: ",BDEGENER[[#This Row],[VOLTAJE DE BATERIA]],"
TEMPERATURA: ",BDEGENER[[#This Row],[TEMPERATURA DE AGUA]],"
PRES. ACEITE: ",BDEGENER[[#This Row],[PRESION DE ACEITE]])</f>
        <v xml:space="preserve">HORAS: 294,7
KW-HR: 
VOLT.BATERIA: 
TEMPERATURA: 
PRES. ACEITE: </v>
      </c>
      <c r="AV842" s="683">
        <f>COUNTIFS(Q842:Q2842,"MANTENIMIENTO CORRECTIVO",Y842:Y2842,BDEGENER[[#This Row],[SERIE]])</f>
        <v>0</v>
      </c>
      <c r="AW842" s="683">
        <f>COUNTIFS(Q842:Q2842,"MANTENIMIENTO PREVENTIVO",Y842:Y2842,BDEGENER[[#This Row],[SERIE]])</f>
        <v>1</v>
      </c>
      <c r="AX84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842" s="29">
        <f>COUNTIFS(BDEGENER[SERIE],BDEGENER[[#This Row],[SERIE]],BDEGENER[TIPO DE SERVICIO],"MANTENIMIENTO PREVENTIVO")</f>
        <v>5</v>
      </c>
      <c r="AZ842" s="29" t="str">
        <f>CONCATENATE("MANTENIMIENTO PREVENTIVO N°",BDEGENER[[#This Row],[GA1]])</f>
        <v>MANTENIMIENTO PREVENTIVO N°5</v>
      </c>
      <c r="BA842" s="325" t="str">
        <f>IF(BDEGENER[[#This Row],[SERVICIO]]=BDEGENER[[#This Row],[GA2]],BDEGENER[[#This Row],[HORAS]],"0")</f>
        <v>0</v>
      </c>
      <c r="BB842" s="325">
        <f>SUMIF(BDEGENER[SERIE],BDEGENER[[#This Row],[SERIE]],BDEGENER[GA3])</f>
        <v>2894.4</v>
      </c>
      <c r="BC842" s="683" t="str">
        <f>CONCATENATE("MANT",COUNTIF($Y$7:Y842,Y842))</f>
        <v>MANT9</v>
      </c>
      <c r="BD842" s="29" t="str">
        <f>CONCATENATE(BDEGENER[[#This Row],[SERIE]],BDEGENER[[#This Row],[GA5]])</f>
        <v>3004555914MANT9</v>
      </c>
      <c r="BE842" s="29" t="str">
        <f>CONCATENATE(BDEGENER[[#This Row],[CODIGO PATRIMONIAL]],BDEGENER[[#This Row],[GA5]])</f>
        <v>SUR-GEG-0023MANT9</v>
      </c>
      <c r="BF842" s="16">
        <f>COUNTIF(BDEGENER[SERIE],BDEGENER[[#This Row],[SERIE]])</f>
        <v>11</v>
      </c>
      <c r="BG842" s="683" t="str">
        <f>CONCATENATE("F",COUNTIF($K$7:K842,K842))</f>
        <v>F1</v>
      </c>
      <c r="BH842" s="325" t="str">
        <f>CONCATENATE(BDEGENER[[#This Row],[FECHA DE SERVICIO]],BDEGENER[[#This Row],[N° DE REGISTROS DEL DIA]])</f>
        <v>43733F1</v>
      </c>
      <c r="BI842" s="324"/>
      <c r="BJ842" s="325"/>
      <c r="BK842" s="326"/>
    </row>
    <row r="843" spans="2:63" ht="69" hidden="1" x14ac:dyDescent="0.3">
      <c r="B843" s="129"/>
      <c r="C843" s="129"/>
      <c r="D843" s="129"/>
      <c r="E843" s="129"/>
      <c r="F843" s="129"/>
      <c r="G843" s="129"/>
      <c r="H843" s="129"/>
      <c r="I843" s="129"/>
      <c r="J843" s="129"/>
      <c r="K843" s="131">
        <v>43731</v>
      </c>
      <c r="L843" s="130" t="s">
        <v>796</v>
      </c>
      <c r="M843" s="85" t="s">
        <v>796</v>
      </c>
      <c r="N843" s="85" t="s">
        <v>1083</v>
      </c>
      <c r="O843" s="85"/>
      <c r="P843" s="85"/>
      <c r="Q843" s="85" t="s">
        <v>37</v>
      </c>
      <c r="R843" s="85" t="s">
        <v>1782</v>
      </c>
      <c r="S843" s="6" t="s">
        <v>1597</v>
      </c>
      <c r="T843" s="85" t="s">
        <v>1782</v>
      </c>
      <c r="U843" s="85" t="s">
        <v>1598</v>
      </c>
      <c r="V843" s="85" t="s">
        <v>149</v>
      </c>
      <c r="W843" s="683" t="s">
        <v>915</v>
      </c>
      <c r="X843" s="691" t="s">
        <v>917</v>
      </c>
      <c r="Y843" s="15">
        <v>1603600</v>
      </c>
      <c r="Z843" s="692"/>
      <c r="AA843" s="85" t="s">
        <v>33</v>
      </c>
      <c r="AB843" s="85" t="s">
        <v>1120</v>
      </c>
      <c r="AC843" s="85" t="s">
        <v>231</v>
      </c>
      <c r="AD843" s="85"/>
      <c r="AE843" s="85"/>
      <c r="AF843" s="132">
        <v>1244</v>
      </c>
      <c r="AG843" s="85" t="s">
        <v>243</v>
      </c>
      <c r="AH843" s="85" t="s">
        <v>1578</v>
      </c>
      <c r="AI843" s="85" t="s">
        <v>868</v>
      </c>
      <c r="AJ843" s="85" t="s">
        <v>1592</v>
      </c>
      <c r="AK843" s="85" t="s">
        <v>1572</v>
      </c>
      <c r="AL843" s="85"/>
      <c r="AM843" s="85"/>
      <c r="AN843" s="85"/>
      <c r="AO843" s="85"/>
      <c r="AP843" s="85" t="s">
        <v>240</v>
      </c>
      <c r="AQ843" s="85" t="str">
        <f>CONCATENATE("REG-",BDEGENER[[#This Row],[FECHA DE SERVICIO]],"-",BDEGENER[[#This Row],[SERIE]],"-",BDEGENER[[#This Row],[HORAS]])</f>
        <v>REG-43731-1603600-1244</v>
      </c>
      <c r="AR843" s="85" t="str">
        <f>CONCATENATE("MARCA: ",BDEGENER[[#This Row],[MARCA]],"
 MODELO: ",BDEGENER[[#This Row],[MODELO]])</f>
        <v>MARCA: GENERAC
 MODELO: VT8 K3</v>
      </c>
      <c r="AS843" s="85" t="str">
        <f>CONCATENATE("MARCA: ",BDEGENER[[#This Row],[MARCA DE MOTOR]],"
SERIE: ",BDEGENER[[#This Row],[SERIE DE MOTOR]])</f>
        <v>MARCA: KUBOTA
SERIE: 1GL1631</v>
      </c>
      <c r="AT843" s="85" t="str">
        <f>CONCATENATE("MARCA: ",BDEGENER[[#This Row],[MARCA ALTERNADOR ]],"
SERIE: ",BDEGENER[[#This Row],[SERIE DE ALTERNADOR]])</f>
        <v xml:space="preserve">MARCA: LINZ
SERIE: </v>
      </c>
      <c r="AU843" s="85" t="str">
        <f>CONCATENATE("HORAS: ",BDEGENER[[#This Row],[HORAS]],"
KW-HR: ",BDEGENER[[#This Row],[KW-HORA]],"
VOLT.BATERIA: ",BDEGENER[[#This Row],[VOLTAJE DE BATERIA]],"
TEMPERATURA: ",BDEGENER[[#This Row],[TEMPERATURA DE AGUA]],"
PRES. ACEITE: ",BDEGENER[[#This Row],[PRESION DE ACEITE]])</f>
        <v xml:space="preserve">HORAS: 1244
KW-HR: 
VOLT.BATERIA: 
TEMPERATURA: 
PRES. ACEITE: </v>
      </c>
      <c r="AV843" s="683">
        <f>COUNTIFS(Q843:Q2843,"MANTENIMIENTO CORRECTIVO",Y843:Y2843,BDEGENER[[#This Row],[SERIE]])</f>
        <v>0</v>
      </c>
      <c r="AW843" s="683">
        <f>COUNTIFS(Q843:Q2843,"MANTENIMIENTO PREVENTIVO",Y843:Y2843,BDEGENER[[#This Row],[SERIE]])</f>
        <v>3</v>
      </c>
      <c r="AX843"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43" s="85">
        <f>COUNTIFS(BDEGENER[SERIE],BDEGENER[[#This Row],[SERIE]],BDEGENER[TIPO DE SERVICIO],"MANTENIMIENTO PREVENTIVO")</f>
        <v>4</v>
      </c>
      <c r="AZ843" s="85" t="str">
        <f>CONCATENATE("MANTENIMIENTO PREVENTIVO N°",BDEGENER[[#This Row],[GA1]])</f>
        <v>MANTENIMIENTO PREVENTIVO N°4</v>
      </c>
      <c r="BA843" s="85" t="str">
        <f>IF(BDEGENER[[#This Row],[SERVICIO]]=BDEGENER[[#This Row],[GA2]],BDEGENER[[#This Row],[HORAS]],"0")</f>
        <v>0</v>
      </c>
      <c r="BB843" s="85">
        <f>SUMIF(BDEGENER[SERIE],BDEGENER[[#This Row],[SERIE]],BDEGENER[GA3])</f>
        <v>1493</v>
      </c>
      <c r="BC843" s="683" t="str">
        <f>CONCATENATE("MANT",COUNTIF($Y$7:Y843,Y843))</f>
        <v>MANT2</v>
      </c>
      <c r="BD843" s="85" t="str">
        <f>CONCATENATE(BDEGENER[[#This Row],[SERIE]],BDEGENER[[#This Row],[GA5]])</f>
        <v>1603600MANT2</v>
      </c>
      <c r="BE843" s="85" t="str">
        <f>CONCATENATE(BDEGENER[[#This Row],[CODIGO PATRIMONIAL]],BDEGENER[[#This Row],[GA5]])</f>
        <v>MANT2</v>
      </c>
      <c r="BF843" s="85">
        <f>COUNTIF(BDEGENER[SERIE],BDEGENER[[#This Row],[SERIE]])</f>
        <v>4</v>
      </c>
      <c r="BG843" s="683" t="str">
        <f>CONCATENATE("F",COUNTIF($K$7:K843,K843))</f>
        <v>F1</v>
      </c>
      <c r="BH843" s="85" t="str">
        <f>CONCATENATE(BDEGENER[[#This Row],[FECHA DE SERVICIO]],BDEGENER[[#This Row],[N° DE REGISTROS DEL DIA]])</f>
        <v>43731F1</v>
      </c>
      <c r="BI843" s="132"/>
      <c r="BJ843" s="85" t="s">
        <v>1545</v>
      </c>
      <c r="BK843" s="326"/>
    </row>
    <row r="844" spans="2:63" ht="110.4" hidden="1" x14ac:dyDescent="0.3">
      <c r="B844" s="129"/>
      <c r="C844" s="129"/>
      <c r="D844" s="129"/>
      <c r="E844" s="129"/>
      <c r="F844" s="129"/>
      <c r="G844" s="129"/>
      <c r="H844" s="129"/>
      <c r="I844" s="129"/>
      <c r="J844" s="129"/>
      <c r="K844" s="131">
        <v>43731</v>
      </c>
      <c r="L844" s="130" t="s">
        <v>796</v>
      </c>
      <c r="M844" s="85" t="s">
        <v>796</v>
      </c>
      <c r="N844" s="85" t="s">
        <v>1083</v>
      </c>
      <c r="O844" s="85"/>
      <c r="P844" s="85"/>
      <c r="Q844" s="85" t="s">
        <v>37</v>
      </c>
      <c r="R844" s="85" t="s">
        <v>1782</v>
      </c>
      <c r="S844" s="6" t="s">
        <v>1575</v>
      </c>
      <c r="T844" s="85" t="s">
        <v>1782</v>
      </c>
      <c r="U844" s="85" t="s">
        <v>1576</v>
      </c>
      <c r="V844" s="85" t="s">
        <v>149</v>
      </c>
      <c r="W844" s="85" t="s">
        <v>915</v>
      </c>
      <c r="X844" s="85" t="s">
        <v>917</v>
      </c>
      <c r="Y844" s="15">
        <v>1603595</v>
      </c>
      <c r="Z844" s="85"/>
      <c r="AA844" s="85" t="s">
        <v>33</v>
      </c>
      <c r="AB844" s="85" t="s">
        <v>1120</v>
      </c>
      <c r="AC844" s="85" t="s">
        <v>231</v>
      </c>
      <c r="AD844" s="85"/>
      <c r="AE844" s="85"/>
      <c r="AF844" s="132">
        <v>1242</v>
      </c>
      <c r="AG844" s="85" t="s">
        <v>243</v>
      </c>
      <c r="AH844" s="85" t="s">
        <v>1088</v>
      </c>
      <c r="AI844" s="85" t="s">
        <v>868</v>
      </c>
      <c r="AJ844" s="85" t="s">
        <v>1571</v>
      </c>
      <c r="AK844" s="85" t="s">
        <v>1572</v>
      </c>
      <c r="AL844" s="85"/>
      <c r="AM844" s="85"/>
      <c r="AN844" s="85"/>
      <c r="AO844" s="85"/>
      <c r="AP844" s="85" t="s">
        <v>240</v>
      </c>
      <c r="AQ844" s="85" t="str">
        <f>CONCATENATE("REG-",BDEGENER[[#This Row],[FECHA DE SERVICIO]],"-",BDEGENER[[#This Row],[SERIE]],"-",BDEGENER[[#This Row],[HORAS]])</f>
        <v>REG-43731-1603595-1242</v>
      </c>
      <c r="AR844" s="85" t="str">
        <f>CONCATENATE("MARCA: ",BDEGENER[[#This Row],[MARCA]],"
 MODELO: ",BDEGENER[[#This Row],[MODELO]])</f>
        <v>MARCA: GENERAC
 MODELO: VT8 K3</v>
      </c>
      <c r="AS844" s="85" t="str">
        <f>CONCATENATE("MARCA: ",BDEGENER[[#This Row],[MARCA DE MOTOR]],"
SERIE: ",BDEGENER[[#This Row],[SERIE DE MOTOR]])</f>
        <v>MARCA: KUBOTA
SERIE: 1GL0885</v>
      </c>
      <c r="AT844" s="85" t="str">
        <f>CONCATENATE("MARCA: ",BDEGENER[[#This Row],[MARCA ALTERNADOR ]],"
SERIE: ",BDEGENER[[#This Row],[SERIE DE ALTERNADOR]])</f>
        <v xml:space="preserve">MARCA: LINZ
SERIE: </v>
      </c>
      <c r="AU844" s="85" t="str">
        <f>CONCATENATE("HORAS: ",BDEGENER[[#This Row],[HORAS]],"
KW-HR: ",BDEGENER[[#This Row],[KW-HORA]],"
VOLT.BATERIA: ",BDEGENER[[#This Row],[VOLTAJE DE BATERIA]],"
TEMPERATURA: ",BDEGENER[[#This Row],[TEMPERATURA DE AGUA]],"
PRES. ACEITE: ",BDEGENER[[#This Row],[PRESION DE ACEITE]])</f>
        <v xml:space="preserve">HORAS: 1242
KW-HR: 
VOLT.BATERIA: 
TEMPERATURA: 
PRES. ACEITE: </v>
      </c>
      <c r="AV844" s="761">
        <f>COUNTIFS(Q844:Q2844,"MANTENIMIENTO CORRECTIVO",Y844:Y2844,BDEGENER[[#This Row],[SERIE]])</f>
        <v>1</v>
      </c>
      <c r="AW844" s="761">
        <f>COUNTIFS(Q844:Q2844,"MANTENIMIENTO PREVENTIVO",Y844:Y2844,BDEGENER[[#This Row],[SERIE]])</f>
        <v>3</v>
      </c>
      <c r="AX84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44" s="85">
        <f>COUNTIFS(BDEGENER[SERIE],BDEGENER[[#This Row],[SERIE]],BDEGENER[TIPO DE SERVICIO],"MANTENIMIENTO PREVENTIVO")</f>
        <v>3</v>
      </c>
      <c r="AZ844" s="85" t="str">
        <f>CONCATENATE("MANTENIMIENTO PREVENTIVO N°",BDEGENER[[#This Row],[GA1]])</f>
        <v>MANTENIMIENTO PREVENTIVO N°3</v>
      </c>
      <c r="BA844" s="85">
        <f>IF(BDEGENER[[#This Row],[SERVICIO]]=BDEGENER[[#This Row],[GA2]],BDEGENER[[#This Row],[HORAS]],"0")</f>
        <v>1242</v>
      </c>
      <c r="BB844" s="85">
        <f>SUMIF(BDEGENER[SERIE],BDEGENER[[#This Row],[SERIE]],BDEGENER[GA3])</f>
        <v>1242</v>
      </c>
      <c r="BC844" s="761" t="str">
        <f>CONCATENATE("MANT",COUNTIF($Y$7:Y844,Y844))</f>
        <v>MANT1</v>
      </c>
      <c r="BD844" s="85" t="str">
        <f>CONCATENATE(BDEGENER[[#This Row],[SERIE]],BDEGENER[[#This Row],[GA5]])</f>
        <v>1603595MANT1</v>
      </c>
      <c r="BE844" s="85" t="str">
        <f>CONCATENATE(BDEGENER[[#This Row],[CODIGO PATRIMONIAL]],BDEGENER[[#This Row],[GA5]])</f>
        <v>MANT1</v>
      </c>
      <c r="BF844" s="85">
        <f>COUNTIF(BDEGENER[SERIE],BDEGENER[[#This Row],[SERIE]])</f>
        <v>4</v>
      </c>
      <c r="BG844" s="761" t="str">
        <f>CONCATENATE("F",COUNTIF($K$7:K844,K844))</f>
        <v>F2</v>
      </c>
      <c r="BH844" s="85" t="str">
        <f>CONCATENATE(BDEGENER[[#This Row],[FECHA DE SERVICIO]],BDEGENER[[#This Row],[N° DE REGISTROS DEL DIA]])</f>
        <v>43731F2</v>
      </c>
      <c r="BI844" s="132"/>
      <c r="BJ844" s="85" t="s">
        <v>1545</v>
      </c>
      <c r="BK844" s="326"/>
    </row>
    <row r="845" spans="2:63" ht="69" hidden="1" x14ac:dyDescent="0.3">
      <c r="B845" s="34"/>
      <c r="C845" s="34"/>
      <c r="D845" s="34"/>
      <c r="E845" s="34"/>
      <c r="F845" s="34"/>
      <c r="G845" s="34"/>
      <c r="H845" s="34"/>
      <c r="I845" s="34"/>
      <c r="J845" s="34"/>
      <c r="K845" s="37">
        <v>43728</v>
      </c>
      <c r="L845" s="30" t="s">
        <v>561</v>
      </c>
      <c r="M845" s="19" t="s">
        <v>573</v>
      </c>
      <c r="N845" s="19" t="s">
        <v>574</v>
      </c>
      <c r="O845" s="19"/>
      <c r="P845" s="19"/>
      <c r="Q845" s="19" t="s">
        <v>37</v>
      </c>
      <c r="R845" s="85" t="s">
        <v>1782</v>
      </c>
      <c r="S845" s="19" t="s">
        <v>607</v>
      </c>
      <c r="T845" s="85" t="s">
        <v>1782</v>
      </c>
      <c r="U845" s="19" t="s">
        <v>680</v>
      </c>
      <c r="V845" s="19" t="s">
        <v>149</v>
      </c>
      <c r="W845" s="85" t="s">
        <v>913</v>
      </c>
      <c r="X845" s="85" t="s">
        <v>918</v>
      </c>
      <c r="Y845" s="31">
        <v>3004555915</v>
      </c>
      <c r="Z845" s="85" t="s">
        <v>2610</v>
      </c>
      <c r="AA845" s="19" t="s">
        <v>33</v>
      </c>
      <c r="AB845" s="19" t="s">
        <v>217</v>
      </c>
      <c r="AC845" s="19" t="s">
        <v>749</v>
      </c>
      <c r="AD845" s="16"/>
      <c r="AE845" s="16"/>
      <c r="AF845" s="146">
        <v>359</v>
      </c>
      <c r="AG845" s="16"/>
      <c r="AH845" s="16"/>
      <c r="AI845" s="16"/>
      <c r="AJ845" s="16"/>
      <c r="AK845" s="16"/>
      <c r="AL845" s="16"/>
      <c r="AM845" s="16"/>
      <c r="AN845" s="16"/>
      <c r="AO845" s="16"/>
      <c r="AP845" s="19" t="s">
        <v>240</v>
      </c>
      <c r="AQ845" s="6" t="str">
        <f>CONCATENATE("REG-",BDEGENER[[#This Row],[FECHA DE SERVICIO]],"-",BDEGENER[[#This Row],[SERIE]],"-",BDEGENER[[#This Row],[HORAS]])</f>
        <v>REG-43728-3004555915-359</v>
      </c>
      <c r="AR845" s="5" t="str">
        <f>CONCATENATE("MARCA: ",BDEGENER[[#This Row],[MARCA]],"
 MODELO: ",BDEGENER[[#This Row],[MODELO]])</f>
        <v>MARCA: GENERAC
 MODELO: RG022</v>
      </c>
      <c r="AS845" s="5" t="str">
        <f>CONCATENATE("MARCA: ",BDEGENER[[#This Row],[MARCA DE MOTOR]],"
SERIE: ",BDEGENER[[#This Row],[SERIE DE MOTOR]])</f>
        <v xml:space="preserve">MARCA: 
SERIE: </v>
      </c>
      <c r="AT845" s="5" t="str">
        <f>CONCATENATE("MARCA: ",BDEGENER[[#This Row],[MARCA ALTERNADOR ]],"
SERIE: ",BDEGENER[[#This Row],[SERIE DE ALTERNADOR]])</f>
        <v xml:space="preserve">MARCA: 
SERIE: </v>
      </c>
      <c r="AU845" s="29" t="str">
        <f>CONCATENATE("HORAS: ",BDEGENER[[#This Row],[HORAS]],"
KW-HR: ",BDEGENER[[#This Row],[KW-HORA]],"
VOLT.BATERIA: ",BDEGENER[[#This Row],[VOLTAJE DE BATERIA]],"
TEMPERATURA: ",BDEGENER[[#This Row],[TEMPERATURA DE AGUA]],"
PRES. ACEITE: ",BDEGENER[[#This Row],[PRESION DE ACEITE]])</f>
        <v xml:space="preserve">HORAS: 359
KW-HR: 
VOLT.BATERIA: 
TEMPERATURA: 
PRES. ACEITE: </v>
      </c>
      <c r="AV845" s="683">
        <f>COUNTIFS(Q845:Q2845,"MANTENIMIENTO CORRECTIVO",Y845:Y2845,BDEGENER[[#This Row],[SERIE]])</f>
        <v>0</v>
      </c>
      <c r="AW845" s="683">
        <f>COUNTIFS(Q845:Q2845,"MANTENIMIENTO PREVENTIVO",Y845:Y2845,BDEGENER[[#This Row],[SERIE]])</f>
        <v>2</v>
      </c>
      <c r="AX84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845" s="29">
        <f>COUNTIFS(BDEGENER[SERIE],BDEGENER[[#This Row],[SERIE]],BDEGENER[TIPO DE SERVICIO],"MANTENIMIENTO PREVENTIVO")</f>
        <v>7</v>
      </c>
      <c r="AZ845" s="29" t="str">
        <f>CONCATENATE("MANTENIMIENTO PREVENTIVO N°",BDEGENER[[#This Row],[GA1]])</f>
        <v>MANTENIMIENTO PREVENTIVO N°7</v>
      </c>
      <c r="BA845" s="325" t="str">
        <f>IF(BDEGENER[[#This Row],[SERVICIO]]=BDEGENER[[#This Row],[GA2]],BDEGENER[[#This Row],[HORAS]],"0")</f>
        <v>0</v>
      </c>
      <c r="BB845" s="325">
        <f>SUMIF(BDEGENER[SERIE],BDEGENER[[#This Row],[SERIE]],BDEGENER[GA3])</f>
        <v>3379.4</v>
      </c>
      <c r="BC845" s="683" t="str">
        <f>CONCATENATE("MANT",COUNTIF($Y$7:Y845,Y845))</f>
        <v>MANT8</v>
      </c>
      <c r="BD845" s="29" t="str">
        <f>CONCATENATE(BDEGENER[[#This Row],[SERIE]],BDEGENER[[#This Row],[GA5]])</f>
        <v>3004555915MANT8</v>
      </c>
      <c r="BE845" s="29" t="str">
        <f>CONCATENATE(BDEGENER[[#This Row],[CODIGO PATRIMONIAL]],BDEGENER[[#This Row],[GA5]])</f>
        <v>SUR-GEG-0022MANT8</v>
      </c>
      <c r="BF845" s="16">
        <f>COUNTIF(BDEGENER[SERIE],BDEGENER[[#This Row],[SERIE]])</f>
        <v>9</v>
      </c>
      <c r="BG845" s="683" t="str">
        <f>CONCATENATE("F",COUNTIF($K$7:K845,K845))</f>
        <v>F1</v>
      </c>
      <c r="BH845" s="325" t="str">
        <f>CONCATENATE(BDEGENER[[#This Row],[FECHA DE SERVICIO]],BDEGENER[[#This Row],[N° DE REGISTROS DEL DIA]])</f>
        <v>43728F1</v>
      </c>
      <c r="BI845" s="324"/>
      <c r="BJ845" s="325"/>
      <c r="BK845" s="326"/>
    </row>
    <row r="846" spans="2:63" ht="69" hidden="1" x14ac:dyDescent="0.3">
      <c r="B846" s="223"/>
      <c r="C846" s="223"/>
      <c r="D846" s="223"/>
      <c r="E846" s="223"/>
      <c r="F846" s="223"/>
      <c r="G846" s="223"/>
      <c r="H846" s="223"/>
      <c r="I846" s="223"/>
      <c r="J846" s="223"/>
      <c r="K846" s="723">
        <v>43728</v>
      </c>
      <c r="L846" s="15" t="s">
        <v>181</v>
      </c>
      <c r="M846" s="85" t="s">
        <v>1388</v>
      </c>
      <c r="N846" s="14" t="s">
        <v>1538</v>
      </c>
      <c r="O846" s="8" t="s">
        <v>159</v>
      </c>
      <c r="P846" s="15" t="s">
        <v>159</v>
      </c>
      <c r="Q846" s="14" t="s">
        <v>108</v>
      </c>
      <c r="R846" s="85" t="s">
        <v>1782</v>
      </c>
      <c r="S846" s="5" t="s">
        <v>1782</v>
      </c>
      <c r="T846" s="14" t="s">
        <v>93</v>
      </c>
      <c r="U846" s="14"/>
      <c r="V846" s="14" t="s">
        <v>149</v>
      </c>
      <c r="W846" s="683" t="s">
        <v>914</v>
      </c>
      <c r="X846" s="691" t="s">
        <v>918</v>
      </c>
      <c r="Y846" s="15">
        <v>3004428523</v>
      </c>
      <c r="Z846" s="779"/>
      <c r="AA846" s="14" t="s">
        <v>33</v>
      </c>
      <c r="AB846" s="85" t="s">
        <v>34</v>
      </c>
      <c r="AC846" s="14" t="s">
        <v>230</v>
      </c>
      <c r="AD846" s="16" t="s">
        <v>1355</v>
      </c>
      <c r="AE846" s="16">
        <v>60</v>
      </c>
      <c r="AF846" s="12">
        <v>14.8</v>
      </c>
      <c r="AG846" s="16" t="s">
        <v>243</v>
      </c>
      <c r="AH846" s="16" t="s">
        <v>220</v>
      </c>
      <c r="AI846" s="16" t="s">
        <v>33</v>
      </c>
      <c r="AJ846" s="16">
        <v>3004426215</v>
      </c>
      <c r="AK846" s="16" t="s">
        <v>33</v>
      </c>
      <c r="AL846" s="16">
        <v>106301030</v>
      </c>
      <c r="AM846" s="16" t="s">
        <v>1356</v>
      </c>
      <c r="AN846" s="16" t="s">
        <v>1357</v>
      </c>
      <c r="AO846" s="16" t="s">
        <v>1358</v>
      </c>
      <c r="AP846" s="14" t="s">
        <v>177</v>
      </c>
      <c r="AQ846" s="200" t="str">
        <f>CONCATENATE("REG-",BDEGENER[[#This Row],[FECHA DE SERVICIO]],"-",BDEGENER[[#This Row],[SERIE]],"-",BDEGENER[[#This Row],[HORAS]])</f>
        <v>REG-43728-3004428523-14,8</v>
      </c>
      <c r="AR846" s="5" t="str">
        <f>CONCATENATE("MARCA: ",BDEGENER[[#This Row],[MARCA]],"
 MODELO: ",BDEGENER[[#This Row],[MODELO]])</f>
        <v>MARCA: GENERAC
 MODELO: PG090</v>
      </c>
      <c r="AS846" s="5" t="str">
        <f>CONCATENATE("MARCA: ",BDEGENER[[#This Row],[MARCA DE MOTOR]],"
SERIE: ",BDEGENER[[#This Row],[SERIE DE MOTOR]])</f>
        <v>MARCA: GENERAC
SERIE: 3004426215</v>
      </c>
      <c r="AT846" s="5" t="str">
        <f>CONCATENATE("MARCA: ",BDEGENER[[#This Row],[MARCA ALTERNADOR ]],"
SERIE: ",BDEGENER[[#This Row],[SERIE DE ALTERNADOR]])</f>
        <v>MARCA: GENERAC
SERIE: 106301030</v>
      </c>
      <c r="AU846" s="5" t="str">
        <f>CONCATENATE("HORAS: ",BDEGENER[[#This Row],[HORAS]],"
KW-HR: ",BDEGENER[[#This Row],[KW-HORA]],"
VOLT.BATERIA: ",BDEGENER[[#This Row],[VOLTAJE DE BATERIA]],"
TEMPERATURA: ",BDEGENER[[#This Row],[TEMPERATURA DE AGUA]],"
PRES. ACEITE: ",BDEGENER[[#This Row],[PRESION DE ACEITE]])</f>
        <v>HORAS: 14,8
KW-HR: 
VOLT.BATERIA: 12.2 V
TEMPERATURA: 145 °F
PRES. ACEITE: 74 PSI</v>
      </c>
      <c r="AV846" s="683">
        <f>COUNTIFS(Q846:Q2846,"MANTENIMIENTO CORRECTIVO",Y846:Y2846,BDEGENER[[#This Row],[SERIE]])</f>
        <v>0</v>
      </c>
      <c r="AW846" s="683">
        <f>COUNTIFS(Q846:Q2846,"MANTENIMIENTO PREVENTIVO",Y846:Y2846,BDEGENER[[#This Row],[SERIE]])</f>
        <v>0</v>
      </c>
      <c r="AX84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846" s="29">
        <f>COUNTIFS(BDEGENER[SERIE],BDEGENER[[#This Row],[SERIE]],BDEGENER[TIPO DE SERVICIO],"MANTENIMIENTO PREVENTIVO")</f>
        <v>9</v>
      </c>
      <c r="AZ846" s="29" t="str">
        <f>CONCATENATE("MANTENIMIENTO PREVENTIVO N°",BDEGENER[[#This Row],[GA1]])</f>
        <v>MANTENIMIENTO PREVENTIVO N°9</v>
      </c>
      <c r="BA846" s="325" t="str">
        <f>IF(BDEGENER[[#This Row],[SERVICIO]]=BDEGENER[[#This Row],[GA2]],BDEGENER[[#This Row],[HORAS]],"0")</f>
        <v>0</v>
      </c>
      <c r="BB846" s="325">
        <f>SUMIF(BDEGENER[SERIE],BDEGENER[[#This Row],[SERIE]],BDEGENER[GA3])</f>
        <v>2439.9</v>
      </c>
      <c r="BC846" s="683" t="str">
        <f>CONCATENATE("MANT",COUNTIF($Y$7:Y846,Y846))</f>
        <v>MANT13</v>
      </c>
      <c r="BD846" s="29" t="str">
        <f>CONCATENATE(BDEGENER[[#This Row],[SERIE]],BDEGENER[[#This Row],[GA5]])</f>
        <v>3004428523MANT13</v>
      </c>
      <c r="BE846" s="29" t="str">
        <f>CONCATENATE(BDEGENER[[#This Row],[CODIGO PATRIMONIAL]],BDEGENER[[#This Row],[GA5]])</f>
        <v>MANT13</v>
      </c>
      <c r="BF846" s="16">
        <f>COUNTIF(BDEGENER[SERIE],BDEGENER[[#This Row],[SERIE]])</f>
        <v>14</v>
      </c>
      <c r="BG846" s="683" t="str">
        <f>CONCATENATE("F",COUNTIF($K$7:K846,K846))</f>
        <v>F2</v>
      </c>
      <c r="BH846" s="325" t="str">
        <f>CONCATENATE(BDEGENER[[#This Row],[FECHA DE SERVICIO]],BDEGENER[[#This Row],[N° DE REGISTROS DEL DIA]])</f>
        <v>43728F2</v>
      </c>
      <c r="BI846" s="324"/>
      <c r="BJ846" s="325"/>
      <c r="BK846" s="326"/>
    </row>
    <row r="847" spans="2:63" ht="69" hidden="1" x14ac:dyDescent="0.3">
      <c r="B847" s="5"/>
      <c r="C847" s="34"/>
      <c r="D847" s="34"/>
      <c r="E847" s="34"/>
      <c r="F847" s="34"/>
      <c r="G847" s="34"/>
      <c r="H847" s="34"/>
      <c r="I847" s="34"/>
      <c r="J847" s="34"/>
      <c r="K847" s="37">
        <v>43727</v>
      </c>
      <c r="L847" s="130" t="s">
        <v>796</v>
      </c>
      <c r="M847" s="85" t="s">
        <v>796</v>
      </c>
      <c r="N847" s="85" t="s">
        <v>1083</v>
      </c>
      <c r="O847" s="35"/>
      <c r="P847" s="3"/>
      <c r="Q847" s="19" t="s">
        <v>107</v>
      </c>
      <c r="R847" s="85" t="s">
        <v>1782</v>
      </c>
      <c r="S847" s="19" t="s">
        <v>807</v>
      </c>
      <c r="T847" s="19" t="s">
        <v>808</v>
      </c>
      <c r="U847" s="19" t="s">
        <v>809</v>
      </c>
      <c r="V847" s="19" t="s">
        <v>149</v>
      </c>
      <c r="W847" s="85" t="s">
        <v>915</v>
      </c>
      <c r="X847" s="85" t="s">
        <v>917</v>
      </c>
      <c r="Y847" s="31">
        <v>1603597</v>
      </c>
      <c r="Z847" s="16"/>
      <c r="AA847" s="19" t="s">
        <v>33</v>
      </c>
      <c r="AB847" s="85" t="s">
        <v>1120</v>
      </c>
      <c r="AC847" s="85" t="s">
        <v>231</v>
      </c>
      <c r="AD847" s="16"/>
      <c r="AE847" s="16"/>
      <c r="AF847" s="146">
        <v>1192</v>
      </c>
      <c r="AG847" s="85" t="s">
        <v>243</v>
      </c>
      <c r="AH847" s="85" t="s">
        <v>1088</v>
      </c>
      <c r="AI847" s="85" t="s">
        <v>868</v>
      </c>
      <c r="AJ847" s="19" t="s">
        <v>1564</v>
      </c>
      <c r="AK847" s="85" t="s">
        <v>33</v>
      </c>
      <c r="AL847" s="16"/>
      <c r="AM847" s="16"/>
      <c r="AN847" s="16"/>
      <c r="AO847" s="16"/>
      <c r="AP847" s="19" t="s">
        <v>240</v>
      </c>
      <c r="AQ847" s="6" t="str">
        <f>CONCATENATE("REG-",BDEGENER[[#This Row],[FECHA DE SERVICIO]],"-",BDEGENER[[#This Row],[SERIE]],"-",BDEGENER[[#This Row],[HORAS]])</f>
        <v>REG-43727-1603597-1192</v>
      </c>
      <c r="AR847" s="29" t="str">
        <f>CONCATENATE("MARCA: ",BDEGENER[[#This Row],[MARCA]],"
 MODELO: ",BDEGENER[[#This Row],[MODELO]])</f>
        <v>MARCA: GENERAC
 MODELO: VT8 K3</v>
      </c>
      <c r="AS847" s="29" t="str">
        <f>CONCATENATE("MARCA: ",BDEGENER[[#This Row],[MARCA DE MOTOR]],"
SERIE: ",BDEGENER[[#This Row],[SERIE DE MOTOR]])</f>
        <v>MARCA: KUBOTA
SERIE: 1GL0716</v>
      </c>
      <c r="AT847" s="29" t="str">
        <f>CONCATENATE("MARCA: ",BDEGENER[[#This Row],[MARCA ALTERNADOR ]],"
SERIE: ",BDEGENER[[#This Row],[SERIE DE ALTERNADOR]])</f>
        <v xml:space="preserve">MARCA: GENERAC
SERIE: </v>
      </c>
      <c r="AU847" s="29" t="str">
        <f>CONCATENATE("HORAS: ",BDEGENER[[#This Row],[HORAS]],"
KW-HR: ",BDEGENER[[#This Row],[KW-HORA]],"
VOLT.BATERIA: ",BDEGENER[[#This Row],[VOLTAJE DE BATERIA]],"
TEMPERATURA: ",BDEGENER[[#This Row],[TEMPERATURA DE AGUA]],"
PRES. ACEITE: ",BDEGENER[[#This Row],[PRESION DE ACEITE]])</f>
        <v xml:space="preserve">HORAS: 1192
KW-HR: 
VOLT.BATERIA: 
TEMPERATURA: 
PRES. ACEITE: </v>
      </c>
      <c r="AV847" s="761">
        <f>COUNTIFS(Q847:Q2847,"MANTENIMIENTO CORRECTIVO",Y847:Y2847,BDEGENER[[#This Row],[SERIE]])</f>
        <v>1</v>
      </c>
      <c r="AW847" s="761">
        <f>COUNTIFS(Q847:Q2847,"MANTENIMIENTO PREVENTIVO",Y847:Y2847,BDEGENER[[#This Row],[SERIE]])</f>
        <v>1</v>
      </c>
      <c r="AX84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47" s="29">
        <f>COUNTIFS(BDEGENER[SERIE],BDEGENER[[#This Row],[SERIE]],BDEGENER[TIPO DE SERVICIO],"MANTENIMIENTO PREVENTIVO")</f>
        <v>2</v>
      </c>
      <c r="AZ847" s="29" t="str">
        <f>CONCATENATE("MANTENIMIENTO PREVENTIVO N°",BDEGENER[[#This Row],[GA1]])</f>
        <v>MANTENIMIENTO PREVENTIVO N°2</v>
      </c>
      <c r="BA847" s="325" t="str">
        <f>IF(BDEGENER[[#This Row],[SERVICIO]]=BDEGENER[[#This Row],[GA2]],BDEGENER[[#This Row],[HORAS]],"0")</f>
        <v>0</v>
      </c>
      <c r="BB847" s="325">
        <f>SUMIF(BDEGENER[SERIE],BDEGENER[[#This Row],[SERIE]],BDEGENER[GA3])</f>
        <v>1468</v>
      </c>
      <c r="BC847" s="761" t="str">
        <f>CONCATENATE("MANT",COUNTIF($Y$7:Y847,Y847))</f>
        <v>MANT2</v>
      </c>
      <c r="BD847" s="29" t="str">
        <f>CONCATENATE(BDEGENER[[#This Row],[SERIE]],BDEGENER[[#This Row],[GA5]])</f>
        <v>1603597MANT2</v>
      </c>
      <c r="BE847" s="29" t="str">
        <f>CONCATENATE(BDEGENER[[#This Row],[CODIGO PATRIMONIAL]],BDEGENER[[#This Row],[GA5]])</f>
        <v>MANT2</v>
      </c>
      <c r="BF847" s="16">
        <f>COUNTIF(BDEGENER[SERIE],BDEGENER[[#This Row],[SERIE]])</f>
        <v>3</v>
      </c>
      <c r="BG847" s="761" t="str">
        <f>CONCATENATE("F",COUNTIF($K$7:K847,K847))</f>
        <v>F1</v>
      </c>
      <c r="BH847" s="325" t="str">
        <f>CONCATENATE(BDEGENER[[#This Row],[FECHA DE SERVICIO]],BDEGENER[[#This Row],[N° DE REGISTROS DEL DIA]])</f>
        <v>43727F1</v>
      </c>
      <c r="BI847" s="324"/>
      <c r="BJ847" s="85" t="s">
        <v>1545</v>
      </c>
      <c r="BK847" s="326"/>
    </row>
    <row r="848" spans="2:63" ht="96.6" hidden="1" x14ac:dyDescent="0.3">
      <c r="B848" s="5"/>
      <c r="C848" s="34"/>
      <c r="D848" s="34"/>
      <c r="E848" s="34"/>
      <c r="F848" s="34"/>
      <c r="G848" s="34"/>
      <c r="H848" s="34"/>
      <c r="I848" s="34"/>
      <c r="J848" s="34"/>
      <c r="K848" s="37">
        <v>43727</v>
      </c>
      <c r="L848" s="31" t="s">
        <v>791</v>
      </c>
      <c r="M848" s="85" t="s">
        <v>1174</v>
      </c>
      <c r="N848" s="19" t="s">
        <v>793</v>
      </c>
      <c r="O848" s="35"/>
      <c r="P848" s="3"/>
      <c r="Q848" s="19" t="s">
        <v>37</v>
      </c>
      <c r="R848" s="85" t="s">
        <v>1782</v>
      </c>
      <c r="S848" s="19" t="s">
        <v>810</v>
      </c>
      <c r="T848" s="85" t="s">
        <v>1782</v>
      </c>
      <c r="U848" s="19"/>
      <c r="V848" s="19" t="s">
        <v>146</v>
      </c>
      <c r="W848" s="19" t="s">
        <v>914</v>
      </c>
      <c r="X848" s="19" t="s">
        <v>917</v>
      </c>
      <c r="Y848" s="31" t="s">
        <v>836</v>
      </c>
      <c r="Z848" s="16"/>
      <c r="AA848" s="19" t="s">
        <v>841</v>
      </c>
      <c r="AB848" s="19" t="s">
        <v>1171</v>
      </c>
      <c r="AC848" s="19" t="s">
        <v>854</v>
      </c>
      <c r="AD848" s="16"/>
      <c r="AE848" s="16"/>
      <c r="AF848" s="31" t="s">
        <v>858</v>
      </c>
      <c r="AG848" s="16"/>
      <c r="AH848" s="16"/>
      <c r="AI848" s="19" t="s">
        <v>841</v>
      </c>
      <c r="AJ848" s="19" t="s">
        <v>864</v>
      </c>
      <c r="AK848" s="16" t="s">
        <v>841</v>
      </c>
      <c r="AL848" s="16" t="s">
        <v>836</v>
      </c>
      <c r="AM848" s="16"/>
      <c r="AN848" s="16"/>
      <c r="AO848" s="16"/>
      <c r="AP848" s="19" t="s">
        <v>240</v>
      </c>
      <c r="AQ848" s="6" t="str">
        <f>CONCATENATE("REG-",BDEGENER[[#This Row],[FECHA DE SERVICIO]],"-",BDEGENER[[#This Row],[SERIE]],"-",BDEGENER[[#This Row],[HORAS]])</f>
        <v>REG-43727-6JA02715-119,6</v>
      </c>
      <c r="AR848" s="29" t="str">
        <f>CONCATENATE("MARCA: ",BDEGENER[[#This Row],[MARCA]],"
 MODELO: ",BDEGENER[[#This Row],[MODELO]])</f>
        <v>MARCA: CATERPILLAR
 MODELO: SR4</v>
      </c>
      <c r="AS848" s="29" t="str">
        <f>CONCATENATE("MARCA: ",BDEGENER[[#This Row],[MARCA DE MOTOR]],"
SERIE: ",BDEGENER[[#This Row],[SERIE DE MOTOR]])</f>
        <v>MARCA: CATERPILLAR
SERIE: 3OAO4135</v>
      </c>
      <c r="AT848" s="29" t="str">
        <f>CONCATENATE("MARCA: ",BDEGENER[[#This Row],[MARCA ALTERNADOR ]],"
SERIE: ",BDEGENER[[#This Row],[SERIE DE ALTERNADOR]])</f>
        <v>MARCA: CATERPILLAR
SERIE: 6JA02715</v>
      </c>
      <c r="AU848" s="29" t="str">
        <f>CONCATENATE("HORAS: ",BDEGENER[[#This Row],[HORAS]],"
KW-HR: ",BDEGENER[[#This Row],[KW-HORA]],"
VOLT.BATERIA: ",BDEGENER[[#This Row],[VOLTAJE DE BATERIA]],"
TEMPERATURA: ",BDEGENER[[#This Row],[TEMPERATURA DE AGUA]],"
PRES. ACEITE: ",BDEGENER[[#This Row],[PRESION DE ACEITE]])</f>
        <v xml:space="preserve">HORAS: 119,6
KW-HR: 
VOLT.BATERIA: 
TEMPERATURA: 
PRES. ACEITE: </v>
      </c>
      <c r="AV848" s="683">
        <f>COUNTIFS(Q848:Q2848,"MANTENIMIENTO CORRECTIVO",Y848:Y2848,BDEGENER[[#This Row],[SERIE]])</f>
        <v>1</v>
      </c>
      <c r="AW848" s="683">
        <f>COUNTIFS(Q848:Q2848,"MANTENIMIENTO PREVENTIVO",Y848:Y2848,BDEGENER[[#This Row],[SERIE]])</f>
        <v>1</v>
      </c>
      <c r="AX84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48" s="29">
        <f>COUNTIFS(BDEGENER[SERIE],BDEGENER[[#This Row],[SERIE]],BDEGENER[TIPO DE SERVICIO],"MANTENIMIENTO PREVENTIVO")</f>
        <v>4</v>
      </c>
      <c r="AZ848" s="29" t="str">
        <f>CONCATENATE("MANTENIMIENTO PREVENTIVO N°",BDEGENER[[#This Row],[GA1]])</f>
        <v>MANTENIMIENTO PREVENTIVO N°4</v>
      </c>
      <c r="BA848" s="325" t="str">
        <f>IF(BDEGENER[[#This Row],[SERVICIO]]=BDEGENER[[#This Row],[GA2]],BDEGENER[[#This Row],[HORAS]],"0")</f>
        <v>0</v>
      </c>
      <c r="BB848" s="325">
        <f>SUMIF(BDEGENER[SERIE],BDEGENER[[#This Row],[SERIE]],BDEGENER[GA3])</f>
        <v>119.6</v>
      </c>
      <c r="BC848" s="683" t="str">
        <f>CONCATENATE("MANT",COUNTIF($Y$7:Y848,Y848))</f>
        <v>MANT4</v>
      </c>
      <c r="BD848" s="29" t="str">
        <f>CONCATENATE(BDEGENER[[#This Row],[SERIE]],BDEGENER[[#This Row],[GA5]])</f>
        <v>6JA02715MANT4</v>
      </c>
      <c r="BE848" s="29" t="str">
        <f>CONCATENATE(BDEGENER[[#This Row],[CODIGO PATRIMONIAL]],BDEGENER[[#This Row],[GA5]])</f>
        <v>MANT4</v>
      </c>
      <c r="BF848" s="16">
        <f>COUNTIF(BDEGENER[SERIE],BDEGENER[[#This Row],[SERIE]])</f>
        <v>6</v>
      </c>
      <c r="BG848" s="683" t="str">
        <f>CONCATENATE("F",COUNTIF($K$7:K848,K848))</f>
        <v>F2</v>
      </c>
      <c r="BH848" s="325" t="str">
        <f>CONCATENATE(BDEGENER[[#This Row],[FECHA DE SERVICIO]],BDEGENER[[#This Row],[N° DE REGISTROS DEL DIA]])</f>
        <v>43727F2</v>
      </c>
      <c r="BI848" s="324"/>
      <c r="BJ848" s="325"/>
      <c r="BK848" s="326"/>
    </row>
    <row r="849" spans="2:63" ht="96.6" hidden="1" x14ac:dyDescent="0.3">
      <c r="B849" s="5"/>
      <c r="C849" s="34"/>
      <c r="D849" s="34"/>
      <c r="E849" s="34"/>
      <c r="F849" s="34"/>
      <c r="G849" s="34"/>
      <c r="H849" s="34"/>
      <c r="I849" s="34"/>
      <c r="J849" s="34"/>
      <c r="K849" s="37">
        <v>43727</v>
      </c>
      <c r="L849" s="31" t="s">
        <v>791</v>
      </c>
      <c r="M849" s="85" t="s">
        <v>1174</v>
      </c>
      <c r="N849" s="19" t="s">
        <v>793</v>
      </c>
      <c r="O849" s="35"/>
      <c r="P849" s="3"/>
      <c r="Q849" s="19" t="s">
        <v>37</v>
      </c>
      <c r="R849" s="85" t="s">
        <v>1782</v>
      </c>
      <c r="S849" s="19" t="s">
        <v>810</v>
      </c>
      <c r="T849" s="85" t="s">
        <v>1782</v>
      </c>
      <c r="U849" s="19"/>
      <c r="V849" s="19" t="s">
        <v>146</v>
      </c>
      <c r="W849" s="85" t="s">
        <v>914</v>
      </c>
      <c r="X849" s="85" t="s">
        <v>917</v>
      </c>
      <c r="Y849" s="85" t="s">
        <v>835</v>
      </c>
      <c r="Z849" s="16"/>
      <c r="AA849" s="19" t="s">
        <v>841</v>
      </c>
      <c r="AB849" s="85" t="s">
        <v>1171</v>
      </c>
      <c r="AC849" s="19" t="s">
        <v>854</v>
      </c>
      <c r="AD849" s="16"/>
      <c r="AE849" s="16"/>
      <c r="AF849" s="146">
        <v>2748</v>
      </c>
      <c r="AG849" s="16"/>
      <c r="AH849" s="16"/>
      <c r="AI849" s="19" t="s">
        <v>841</v>
      </c>
      <c r="AJ849" s="19" t="s">
        <v>839</v>
      </c>
      <c r="AK849" s="85" t="s">
        <v>841</v>
      </c>
      <c r="AL849" s="85" t="s">
        <v>835</v>
      </c>
      <c r="AM849" s="16"/>
      <c r="AN849" s="16"/>
      <c r="AO849" s="16"/>
      <c r="AP849" s="19" t="s">
        <v>240</v>
      </c>
      <c r="AQ849" s="6" t="str">
        <f>CONCATENATE("REG-",BDEGENER[[#This Row],[FECHA DE SERVICIO]],"-",BDEGENER[[#This Row],[SERIE]],"-",BDEGENER[[#This Row],[HORAS]])</f>
        <v>REG-43727-6JA02716-2748</v>
      </c>
      <c r="AR849" s="29" t="str">
        <f>CONCATENATE("MARCA: ",BDEGENER[[#This Row],[MARCA]],"
 MODELO: ",BDEGENER[[#This Row],[MODELO]])</f>
        <v>MARCA: CATERPILLAR
 MODELO: SR4</v>
      </c>
      <c r="AS849" s="29" t="str">
        <f>CONCATENATE("MARCA: ",BDEGENER[[#This Row],[MARCA DE MOTOR]],"
SERIE: ",BDEGENER[[#This Row],[SERIE DE MOTOR]])</f>
        <v>MARCA: CATERPILLAR
SERIE: 3DAD4134</v>
      </c>
      <c r="AT849" s="29" t="str">
        <f>CONCATENATE("MARCA: ",BDEGENER[[#This Row],[MARCA ALTERNADOR ]],"
SERIE: ",BDEGENER[[#This Row],[SERIE DE ALTERNADOR]])</f>
        <v>MARCA: CATERPILLAR
SERIE: 6JA02716</v>
      </c>
      <c r="AU849" s="29" t="str">
        <f>CONCATENATE("HORAS: ",BDEGENER[[#This Row],[HORAS]],"
KW-HR: ",BDEGENER[[#This Row],[KW-HORA]],"
VOLT.BATERIA: ",BDEGENER[[#This Row],[VOLTAJE DE BATERIA]],"
TEMPERATURA: ",BDEGENER[[#This Row],[TEMPERATURA DE AGUA]],"
PRES. ACEITE: ",BDEGENER[[#This Row],[PRESION DE ACEITE]])</f>
        <v xml:space="preserve">HORAS: 2748
KW-HR: 
VOLT.BATERIA: 
TEMPERATURA: 
PRES. ACEITE: </v>
      </c>
      <c r="AV849" s="683">
        <f>COUNTIFS(Q849:Q2849,"MANTENIMIENTO CORRECTIVO",Y849:Y2849,BDEGENER[[#This Row],[SERIE]])</f>
        <v>1</v>
      </c>
      <c r="AW849" s="683">
        <f>COUNTIFS(Q849:Q2849,"MANTENIMIENTO PREVENTIVO",Y849:Y2849,BDEGENER[[#This Row],[SERIE]])</f>
        <v>1</v>
      </c>
      <c r="AX84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49" s="29">
        <f>COUNTIFS(BDEGENER[SERIE],BDEGENER[[#This Row],[SERIE]],BDEGENER[TIPO DE SERVICIO],"MANTENIMIENTO PREVENTIVO")</f>
        <v>4</v>
      </c>
      <c r="AZ849" s="29" t="str">
        <f>CONCATENATE("MANTENIMIENTO PREVENTIVO N°",BDEGENER[[#This Row],[GA1]])</f>
        <v>MANTENIMIENTO PREVENTIVO N°4</v>
      </c>
      <c r="BA849" s="325" t="str">
        <f>IF(BDEGENER[[#This Row],[SERVICIO]]=BDEGENER[[#This Row],[GA2]],BDEGENER[[#This Row],[HORAS]],"0")</f>
        <v>0</v>
      </c>
      <c r="BB849" s="325">
        <f>SUMIF(BDEGENER[SERIE],BDEGENER[[#This Row],[SERIE]],BDEGENER[GA3])</f>
        <v>2751</v>
      </c>
      <c r="BC849" s="683" t="str">
        <f>CONCATENATE("MANT",COUNTIF($Y$7:Y849,Y849))</f>
        <v>MANT5</v>
      </c>
      <c r="BD849" s="29" t="str">
        <f>CONCATENATE(BDEGENER[[#This Row],[SERIE]],BDEGENER[[#This Row],[GA5]])</f>
        <v>6JA02716MANT5</v>
      </c>
      <c r="BE849" s="29" t="str">
        <f>CONCATENATE(BDEGENER[[#This Row],[CODIGO PATRIMONIAL]],BDEGENER[[#This Row],[GA5]])</f>
        <v>MANT5</v>
      </c>
      <c r="BF849" s="16">
        <f>COUNTIF(BDEGENER[SERIE],BDEGENER[[#This Row],[SERIE]])</f>
        <v>7</v>
      </c>
      <c r="BG849" s="683" t="str">
        <f>CONCATENATE("F",COUNTIF($K$7:K849,K849))</f>
        <v>F3</v>
      </c>
      <c r="BH849" s="325" t="str">
        <f>CONCATENATE(BDEGENER[[#This Row],[FECHA DE SERVICIO]],BDEGENER[[#This Row],[N° DE REGISTROS DEL DIA]])</f>
        <v>43727F3</v>
      </c>
      <c r="BI849" s="324"/>
      <c r="BJ849" s="325"/>
      <c r="BK849" s="326"/>
    </row>
    <row r="850" spans="2:63" ht="96.6" hidden="1" x14ac:dyDescent="0.3">
      <c r="B850" s="5"/>
      <c r="C850" s="34"/>
      <c r="D850" s="34"/>
      <c r="E850" s="34"/>
      <c r="F850" s="34"/>
      <c r="G850" s="34"/>
      <c r="H850" s="34"/>
      <c r="I850" s="34"/>
      <c r="J850" s="34"/>
      <c r="K850" s="37">
        <v>43727</v>
      </c>
      <c r="L850" s="31" t="s">
        <v>791</v>
      </c>
      <c r="M850" s="19" t="s">
        <v>3356</v>
      </c>
      <c r="N850" s="19" t="s">
        <v>792</v>
      </c>
      <c r="O850" s="35"/>
      <c r="P850" s="3"/>
      <c r="Q850" s="19" t="s">
        <v>37</v>
      </c>
      <c r="R850" s="85" t="s">
        <v>1782</v>
      </c>
      <c r="S850" s="19" t="s">
        <v>810</v>
      </c>
      <c r="T850" s="85" t="s">
        <v>1782</v>
      </c>
      <c r="U850" s="19" t="s">
        <v>3369</v>
      </c>
      <c r="V850" s="19" t="s">
        <v>146</v>
      </c>
      <c r="W850" s="85" t="s">
        <v>914</v>
      </c>
      <c r="X850" s="85" t="s">
        <v>917</v>
      </c>
      <c r="Y850" s="31" t="s">
        <v>3367</v>
      </c>
      <c r="Z850" s="16"/>
      <c r="AA850" s="19" t="s">
        <v>840</v>
      </c>
      <c r="AB850" s="85" t="s">
        <v>3361</v>
      </c>
      <c r="AC850" s="19" t="s">
        <v>855</v>
      </c>
      <c r="AD850" s="16"/>
      <c r="AE850" s="16"/>
      <c r="AF850" s="31">
        <v>306.39999999999998</v>
      </c>
      <c r="AG850" s="16"/>
      <c r="AH850" s="85" t="s">
        <v>3368</v>
      </c>
      <c r="AI850" s="19" t="s">
        <v>844</v>
      </c>
      <c r="AJ850" s="19" t="s">
        <v>859</v>
      </c>
      <c r="AK850" s="16" t="s">
        <v>1923</v>
      </c>
      <c r="AL850" s="16" t="s">
        <v>3355</v>
      </c>
      <c r="AM850" s="16"/>
      <c r="AN850" s="16"/>
      <c r="AO850" s="16"/>
      <c r="AP850" s="19" t="s">
        <v>240</v>
      </c>
      <c r="AQ850" s="6" t="str">
        <f>CONCATENATE("REG-",BDEGENER[[#This Row],[FECHA DE SERVICIO]],"-",BDEGENER[[#This Row],[SERIE]],"-",BDEGENER[[#This Row],[HORAS]])</f>
        <v>REG-43727-A5245J-001-306,4</v>
      </c>
      <c r="AR850" s="325" t="str">
        <f>CONCATENATE("MARCA: ",BDEGENER[[#This Row],[MARCA]],"
 MODELO: ",BDEGENER[[#This Row],[MODELO]])</f>
        <v>MARCA: FG - WILSON
 MODELO: PG-90</v>
      </c>
      <c r="AS850" s="325" t="str">
        <f>CONCATENATE("MARCA: ",BDEGENER[[#This Row],[MARCA DE MOTOR]],"
SERIE: ",BDEGENER[[#This Row],[SERIE DE MOTOR]])</f>
        <v>MARCA: PERKINS
SERIE: U613189</v>
      </c>
      <c r="AT850" s="325" t="str">
        <f>CONCATENATE("MARCA: ",BDEGENER[[#This Row],[MARCA ALTERNADOR ]],"
SERIE: ",BDEGENER[[#This Row],[SERIE DE ALTERNADOR]])</f>
        <v>MARCA: FG WILSON
SERIE: A5245J/001</v>
      </c>
      <c r="AU850" s="325" t="str">
        <f>CONCATENATE("HORAS: ",BDEGENER[[#This Row],[HORAS]],"
KW-HR: ",BDEGENER[[#This Row],[KW-HORA]],"
VOLT.BATERIA: ",BDEGENER[[#This Row],[VOLTAJE DE BATERIA]],"
TEMPERATURA: ",BDEGENER[[#This Row],[TEMPERATURA DE AGUA]],"
PRES. ACEITE: ",BDEGENER[[#This Row],[PRESION DE ACEITE]])</f>
        <v xml:space="preserve">HORAS: 306,4
KW-HR: 
VOLT.BATERIA: 
TEMPERATURA: 
PRES. ACEITE: </v>
      </c>
      <c r="AV850" s="761">
        <f>COUNTIFS(Q850:Q2850,"MANTENIMIENTO CORRECTIVO",Y850:Y2850,BDEGENER[[#This Row],[SERIE]])</f>
        <v>0</v>
      </c>
      <c r="AW850" s="761">
        <f>COUNTIFS(Q850:Q2850,"MANTENIMIENTO PREVENTIVO",Y850:Y2850,BDEGENER[[#This Row],[SERIE]])</f>
        <v>3</v>
      </c>
      <c r="AX850"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50" s="325">
        <f>COUNTIFS(BDEGENER[SERIE],BDEGENER[[#This Row],[SERIE]],BDEGENER[TIPO DE SERVICIO],"MANTENIMIENTO PREVENTIVO")</f>
        <v>6</v>
      </c>
      <c r="AZ850" s="325" t="str">
        <f>CONCATENATE("MANTENIMIENTO PREVENTIVO N°",BDEGENER[[#This Row],[GA1]])</f>
        <v>MANTENIMIENTO PREVENTIVO N°6</v>
      </c>
      <c r="BA850" s="325" t="str">
        <f>IF(BDEGENER[[#This Row],[SERVICIO]]=BDEGENER[[#This Row],[GA2]],BDEGENER[[#This Row],[HORAS]],"0")</f>
        <v>0</v>
      </c>
      <c r="BB850" s="325">
        <f>SUMIF(BDEGENER[SERIE],BDEGENER[[#This Row],[SERIE]],BDEGENER[GA3])</f>
        <v>308.10000000000002</v>
      </c>
      <c r="BC850" s="761" t="str">
        <f>CONCATENATE("MANT",COUNTIF($Y$7:Y850,Y850))</f>
        <v>MANT5</v>
      </c>
      <c r="BD850" s="29" t="str">
        <f>CONCATENATE(BDEGENER[[#This Row],[SERIE]],BDEGENER[[#This Row],[GA5]])</f>
        <v>A5245J-001MANT5</v>
      </c>
      <c r="BE850" s="29" t="str">
        <f>CONCATENATE(BDEGENER[[#This Row],[CODIGO PATRIMONIAL]],BDEGENER[[#This Row],[GA5]])</f>
        <v>MANT5</v>
      </c>
      <c r="BF850" s="16">
        <f>COUNTIF(BDEGENER[SERIE],BDEGENER[[#This Row],[SERIE]])</f>
        <v>7</v>
      </c>
      <c r="BG850" s="761" t="str">
        <f>CONCATENATE("F",COUNTIF($K$7:K850,K850))</f>
        <v>F4</v>
      </c>
      <c r="BH850" s="325" t="str">
        <f>CONCATENATE(BDEGENER[[#This Row],[FECHA DE SERVICIO]],BDEGENER[[#This Row],[N° DE REGISTROS DEL DIA]])</f>
        <v>43727F4</v>
      </c>
      <c r="BI850" s="324"/>
      <c r="BJ850" s="325"/>
      <c r="BK850" s="326"/>
    </row>
    <row r="851" spans="2:63" ht="69" hidden="1" x14ac:dyDescent="0.3">
      <c r="B851" s="34"/>
      <c r="C851" s="34"/>
      <c r="D851" s="34"/>
      <c r="E851" s="34"/>
      <c r="F851" s="34"/>
      <c r="G851" s="34"/>
      <c r="H851" s="34"/>
      <c r="I851" s="34"/>
      <c r="J851" s="34"/>
      <c r="K851" s="37">
        <v>43726</v>
      </c>
      <c r="L851" s="30" t="s">
        <v>561</v>
      </c>
      <c r="M851" s="19" t="s">
        <v>565</v>
      </c>
      <c r="N851" s="19" t="s">
        <v>566</v>
      </c>
      <c r="O851" s="19"/>
      <c r="P851" s="19"/>
      <c r="Q851" s="19" t="s">
        <v>37</v>
      </c>
      <c r="R851" s="85" t="s">
        <v>1782</v>
      </c>
      <c r="S851" s="19" t="s">
        <v>608</v>
      </c>
      <c r="T851" s="85" t="s">
        <v>1782</v>
      </c>
      <c r="U851" s="19" t="s">
        <v>681</v>
      </c>
      <c r="V851" s="19" t="s">
        <v>148</v>
      </c>
      <c r="W851" s="85" t="s">
        <v>913</v>
      </c>
      <c r="X851" s="85" t="s">
        <v>918</v>
      </c>
      <c r="Y851" s="31">
        <v>3004370193</v>
      </c>
      <c r="Z851" s="85" t="s">
        <v>2599</v>
      </c>
      <c r="AA851" s="19" t="s">
        <v>33</v>
      </c>
      <c r="AB851" s="19" t="s">
        <v>217</v>
      </c>
      <c r="AC851" s="19" t="s">
        <v>749</v>
      </c>
      <c r="AD851" s="16"/>
      <c r="AE851" s="16"/>
      <c r="AF851" s="146">
        <v>988.5</v>
      </c>
      <c r="AG851" s="16"/>
      <c r="AH851" s="16"/>
      <c r="AI851" s="16"/>
      <c r="AJ851" s="16"/>
      <c r="AK851" s="16"/>
      <c r="AL851" s="16"/>
      <c r="AM851" s="16"/>
      <c r="AN851" s="16"/>
      <c r="AO851" s="16"/>
      <c r="AP851" s="19" t="s">
        <v>240</v>
      </c>
      <c r="AQ851" s="200" t="str">
        <f>CONCATENATE("REG-",BDEGENER[[#This Row],[FECHA DE SERVICIO]],"-",BDEGENER[[#This Row],[SERIE]],"-",BDEGENER[[#This Row],[HORAS]])</f>
        <v>REG-43726-3004370193-988,5</v>
      </c>
      <c r="AR851" s="5" t="str">
        <f>CONCATENATE("MARCA: ",BDEGENER[[#This Row],[MARCA]],"
 MODELO: ",BDEGENER[[#This Row],[MODELO]])</f>
        <v>MARCA: GENERAC
 MODELO: RG022</v>
      </c>
      <c r="AS851" s="5" t="str">
        <f>CONCATENATE("MARCA: ",BDEGENER[[#This Row],[MARCA DE MOTOR]],"
SERIE: ",BDEGENER[[#This Row],[SERIE DE MOTOR]])</f>
        <v xml:space="preserve">MARCA: 
SERIE: </v>
      </c>
      <c r="AT851" s="5" t="str">
        <f>CONCATENATE("MARCA: ",BDEGENER[[#This Row],[MARCA ALTERNADOR ]],"
SERIE: ",BDEGENER[[#This Row],[SERIE DE ALTERNADOR]])</f>
        <v xml:space="preserve">MARCA: 
SERIE: </v>
      </c>
      <c r="AU851" s="29" t="str">
        <f>CONCATENATE("HORAS: ",BDEGENER[[#This Row],[HORAS]],"
KW-HR: ",BDEGENER[[#This Row],[KW-HORA]],"
VOLT.BATERIA: ",BDEGENER[[#This Row],[VOLTAJE DE BATERIA]],"
TEMPERATURA: ",BDEGENER[[#This Row],[TEMPERATURA DE AGUA]],"
PRES. ACEITE: ",BDEGENER[[#This Row],[PRESION DE ACEITE]])</f>
        <v xml:space="preserve">HORAS: 988,5
KW-HR: 
VOLT.BATERIA: 
TEMPERATURA: 
PRES. ACEITE: </v>
      </c>
      <c r="AV851" s="683">
        <f>COUNTIFS(Q851:Q2851,"MANTENIMIENTO CORRECTIVO",Y851:Y2851,BDEGENER[[#This Row],[SERIE]])</f>
        <v>0</v>
      </c>
      <c r="AW851" s="683">
        <f>COUNTIFS(Q851:Q2851,"MANTENIMIENTO PREVENTIVO",Y851:Y2851,BDEGENER[[#This Row],[SERIE]])</f>
        <v>3</v>
      </c>
      <c r="AX85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51" s="29">
        <f>COUNTIFS(BDEGENER[SERIE],BDEGENER[[#This Row],[SERIE]],BDEGENER[TIPO DE SERVICIO],"MANTENIMIENTO PREVENTIVO")</f>
        <v>9</v>
      </c>
      <c r="AZ851" s="29" t="str">
        <f>CONCATENATE("MANTENIMIENTO PREVENTIVO N°",BDEGENER[[#This Row],[GA1]])</f>
        <v>MANTENIMIENTO PREVENTIVO N°9</v>
      </c>
      <c r="BA851" s="325" t="str">
        <f>IF(BDEGENER[[#This Row],[SERVICIO]]=BDEGENER[[#This Row],[GA2]],BDEGENER[[#This Row],[HORAS]],"0")</f>
        <v>0</v>
      </c>
      <c r="BB851" s="325">
        <f>SUMIF(BDEGENER[SERIE],BDEGENER[[#This Row],[SERIE]],BDEGENER[GA3])</f>
        <v>3580.3</v>
      </c>
      <c r="BC851" s="683" t="str">
        <f>CONCATENATE("MANT",COUNTIF($Y$7:Y851,Y851))</f>
        <v>MANT13</v>
      </c>
      <c r="BD851" s="29" t="str">
        <f>CONCATENATE(BDEGENER[[#This Row],[SERIE]],BDEGENER[[#This Row],[GA5]])</f>
        <v>3004370193MANT13</v>
      </c>
      <c r="BE851" s="29" t="str">
        <f>CONCATENATE(BDEGENER[[#This Row],[CODIGO PATRIMONIAL]],BDEGENER[[#This Row],[GA5]])</f>
        <v>SUR-GEG-0003MANT13</v>
      </c>
      <c r="BF851" s="16">
        <f>COUNTIF(BDEGENER[SERIE],BDEGENER[[#This Row],[SERIE]])</f>
        <v>16</v>
      </c>
      <c r="BG851" s="683" t="str">
        <f>CONCATENATE("F",COUNTIF($K$7:K851,K851))</f>
        <v>F1</v>
      </c>
      <c r="BH851" s="325" t="str">
        <f>CONCATENATE(BDEGENER[[#This Row],[FECHA DE SERVICIO]],BDEGENER[[#This Row],[N° DE REGISTROS DEL DIA]])</f>
        <v>43726F1</v>
      </c>
      <c r="BI851" s="324"/>
      <c r="BJ851" s="325"/>
      <c r="BK851" s="326"/>
    </row>
    <row r="852" spans="2:63" ht="69" hidden="1" x14ac:dyDescent="0.3">
      <c r="B852" s="34"/>
      <c r="C852" s="34"/>
      <c r="D852" s="34"/>
      <c r="E852" s="34"/>
      <c r="F852" s="34"/>
      <c r="G852" s="34"/>
      <c r="H852" s="34"/>
      <c r="I852" s="34"/>
      <c r="J852" s="34"/>
      <c r="K852" s="37">
        <v>43726</v>
      </c>
      <c r="L852" s="30" t="s">
        <v>561</v>
      </c>
      <c r="M852" s="19" t="s">
        <v>575</v>
      </c>
      <c r="N852" s="19" t="s">
        <v>576</v>
      </c>
      <c r="O852" s="19"/>
      <c r="P852" s="19"/>
      <c r="Q852" s="19" t="s">
        <v>37</v>
      </c>
      <c r="R852" s="85" t="s">
        <v>1782</v>
      </c>
      <c r="S852" s="19" t="s">
        <v>608</v>
      </c>
      <c r="T852" s="85" t="s">
        <v>1782</v>
      </c>
      <c r="U852" s="19" t="s">
        <v>682</v>
      </c>
      <c r="V852" s="19" t="s">
        <v>148</v>
      </c>
      <c r="W852" s="85" t="s">
        <v>913</v>
      </c>
      <c r="X852" s="85" t="s">
        <v>918</v>
      </c>
      <c r="Y852" s="31">
        <v>3004370195</v>
      </c>
      <c r="Z852" s="692" t="s">
        <v>2597</v>
      </c>
      <c r="AA852" s="19" t="s">
        <v>33</v>
      </c>
      <c r="AB852" s="19" t="s">
        <v>217</v>
      </c>
      <c r="AC852" s="19" t="s">
        <v>749</v>
      </c>
      <c r="AD852" s="16"/>
      <c r="AE852" s="16"/>
      <c r="AF852" s="146">
        <v>756</v>
      </c>
      <c r="AG852" s="16"/>
      <c r="AH852" s="16"/>
      <c r="AI852" s="16"/>
      <c r="AJ852" s="16"/>
      <c r="AK852" s="16"/>
      <c r="AL852" s="16"/>
      <c r="AM852" s="16"/>
      <c r="AN852" s="16"/>
      <c r="AO852" s="16"/>
      <c r="AP852" s="19" t="s">
        <v>240</v>
      </c>
      <c r="AQ852" s="200" t="str">
        <f>CONCATENATE("REG-",BDEGENER[[#This Row],[FECHA DE SERVICIO]],"-",BDEGENER[[#This Row],[SERIE]],"-",BDEGENER[[#This Row],[HORAS]])</f>
        <v>REG-43726-3004370195-756</v>
      </c>
      <c r="AR852" s="5" t="str">
        <f>CONCATENATE("MARCA: ",BDEGENER[[#This Row],[MARCA]],"
 MODELO: ",BDEGENER[[#This Row],[MODELO]])</f>
        <v>MARCA: GENERAC
 MODELO: RG022</v>
      </c>
      <c r="AS852" s="5" t="str">
        <f>CONCATENATE("MARCA: ",BDEGENER[[#This Row],[MARCA DE MOTOR]],"
SERIE: ",BDEGENER[[#This Row],[SERIE DE MOTOR]])</f>
        <v xml:space="preserve">MARCA: 
SERIE: </v>
      </c>
      <c r="AT852" s="5" t="str">
        <f>CONCATENATE("MARCA: ",BDEGENER[[#This Row],[MARCA ALTERNADOR ]],"
SERIE: ",BDEGENER[[#This Row],[SERIE DE ALTERNADOR]])</f>
        <v xml:space="preserve">MARCA: 
SERIE: </v>
      </c>
      <c r="AU852" s="29" t="str">
        <f>CONCATENATE("HORAS: ",BDEGENER[[#This Row],[HORAS]],"
KW-HR: ",BDEGENER[[#This Row],[KW-HORA]],"
VOLT.BATERIA: ",BDEGENER[[#This Row],[VOLTAJE DE BATERIA]],"
TEMPERATURA: ",BDEGENER[[#This Row],[TEMPERATURA DE AGUA]],"
PRES. ACEITE: ",BDEGENER[[#This Row],[PRESION DE ACEITE]])</f>
        <v xml:space="preserve">HORAS: 756
KW-HR: 
VOLT.BATERIA: 
TEMPERATURA: 
PRES. ACEITE: </v>
      </c>
      <c r="AV852" s="683">
        <f>COUNTIFS(Q852:Q2852,"MANTENIMIENTO CORRECTIVO",Y852:Y2852,BDEGENER[[#This Row],[SERIE]])</f>
        <v>0</v>
      </c>
      <c r="AW852" s="683">
        <f>COUNTIFS(Q852:Q2852,"MANTENIMIENTO PREVENTIVO",Y852:Y2852,BDEGENER[[#This Row],[SERIE]])</f>
        <v>3</v>
      </c>
      <c r="AX85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52" s="29">
        <f>COUNTIFS(BDEGENER[SERIE],BDEGENER[[#This Row],[SERIE]],BDEGENER[TIPO DE SERVICIO],"MANTENIMIENTO PREVENTIVO")</f>
        <v>7</v>
      </c>
      <c r="AZ852" s="29" t="str">
        <f>CONCATENATE("MANTENIMIENTO PREVENTIVO N°",BDEGENER[[#This Row],[GA1]])</f>
        <v>MANTENIMIENTO PREVENTIVO N°7</v>
      </c>
      <c r="BA852" s="325" t="str">
        <f>IF(BDEGENER[[#This Row],[SERVICIO]]=BDEGENER[[#This Row],[GA2]],BDEGENER[[#This Row],[HORAS]],"0")</f>
        <v>0</v>
      </c>
      <c r="BB852" s="325">
        <f>SUMIF(BDEGENER[SERIE],BDEGENER[[#This Row],[SERIE]],BDEGENER[GA3])</f>
        <v>3519.7</v>
      </c>
      <c r="BC852" s="683" t="str">
        <f>CONCATENATE("MANT",COUNTIF($Y$7:Y852,Y852))</f>
        <v>MANT9</v>
      </c>
      <c r="BD852" s="29" t="str">
        <f>CONCATENATE(BDEGENER[[#This Row],[SERIE]],BDEGENER[[#This Row],[GA5]])</f>
        <v>3004370195MANT9</v>
      </c>
      <c r="BE852" s="29" t="str">
        <f>CONCATENATE(BDEGENER[[#This Row],[CODIGO PATRIMONIAL]],BDEGENER[[#This Row],[GA5]])</f>
        <v>SUR-GEG-0001MANT9</v>
      </c>
      <c r="BF852" s="16">
        <f>COUNTIF(BDEGENER[SERIE],BDEGENER[[#This Row],[SERIE]])</f>
        <v>12</v>
      </c>
      <c r="BG852" s="683" t="str">
        <f>CONCATENATE("F",COUNTIF($K$7:K852,K852))</f>
        <v>F2</v>
      </c>
      <c r="BH852" s="325" t="str">
        <f>CONCATENATE(BDEGENER[[#This Row],[FECHA DE SERVICIO]],BDEGENER[[#This Row],[N° DE REGISTROS DEL DIA]])</f>
        <v>43726F2</v>
      </c>
      <c r="BI852" s="324"/>
      <c r="BJ852" s="325"/>
      <c r="BK852" s="326"/>
    </row>
    <row r="853" spans="2:63" ht="69" hidden="1" x14ac:dyDescent="0.3">
      <c r="B853" s="34"/>
      <c r="C853" s="34"/>
      <c r="D853" s="34"/>
      <c r="E853" s="34"/>
      <c r="F853" s="34"/>
      <c r="G853" s="34"/>
      <c r="H853" s="34"/>
      <c r="I853" s="34"/>
      <c r="J853" s="34"/>
      <c r="K853" s="37">
        <v>43726</v>
      </c>
      <c r="L853" s="30" t="s">
        <v>561</v>
      </c>
      <c r="M853" s="19" t="s">
        <v>562</v>
      </c>
      <c r="N853" s="19" t="s">
        <v>563</v>
      </c>
      <c r="O853" s="19"/>
      <c r="P853" s="19"/>
      <c r="Q853" s="19" t="s">
        <v>37</v>
      </c>
      <c r="R853" s="85" t="s">
        <v>1782</v>
      </c>
      <c r="S853" s="19" t="s">
        <v>608</v>
      </c>
      <c r="T853" s="85" t="s">
        <v>1782</v>
      </c>
      <c r="U853" s="19" t="s">
        <v>682</v>
      </c>
      <c r="V853" s="19" t="s">
        <v>148</v>
      </c>
      <c r="W853" s="683" t="s">
        <v>913</v>
      </c>
      <c r="X853" s="691" t="s">
        <v>918</v>
      </c>
      <c r="Y853" s="31">
        <v>3004555914</v>
      </c>
      <c r="Z853" s="692" t="s">
        <v>2611</v>
      </c>
      <c r="AA853" s="19" t="s">
        <v>33</v>
      </c>
      <c r="AB853" s="19" t="s">
        <v>217</v>
      </c>
      <c r="AC853" s="19" t="s">
        <v>749</v>
      </c>
      <c r="AD853" s="16"/>
      <c r="AE853" s="16"/>
      <c r="AF853" s="146">
        <v>295</v>
      </c>
      <c r="AG853" s="16"/>
      <c r="AH853" s="16"/>
      <c r="AI853" s="16"/>
      <c r="AJ853" s="16"/>
      <c r="AK853" s="16"/>
      <c r="AL853" s="16"/>
      <c r="AM853" s="16"/>
      <c r="AN853" s="16"/>
      <c r="AO853" s="16"/>
      <c r="AP853" s="19" t="s">
        <v>240</v>
      </c>
      <c r="AQ853" s="200" t="str">
        <f>CONCATENATE("REG-",BDEGENER[[#This Row],[FECHA DE SERVICIO]],"-",BDEGENER[[#This Row],[SERIE]],"-",BDEGENER[[#This Row],[HORAS]])</f>
        <v>REG-43726-3004555914-295</v>
      </c>
      <c r="AR853" s="5" t="str">
        <f>CONCATENATE("MARCA: ",BDEGENER[[#This Row],[MARCA]],"
 MODELO: ",BDEGENER[[#This Row],[MODELO]])</f>
        <v>MARCA: GENERAC
 MODELO: RG022</v>
      </c>
      <c r="AS853" s="5" t="str">
        <f>CONCATENATE("MARCA: ",BDEGENER[[#This Row],[MARCA DE MOTOR]],"
SERIE: ",BDEGENER[[#This Row],[SERIE DE MOTOR]])</f>
        <v xml:space="preserve">MARCA: 
SERIE: </v>
      </c>
      <c r="AT853" s="5" t="str">
        <f>CONCATENATE("MARCA: ",BDEGENER[[#This Row],[MARCA ALTERNADOR ]],"
SERIE: ",BDEGENER[[#This Row],[SERIE DE ALTERNADOR]])</f>
        <v xml:space="preserve">MARCA: 
SERIE: </v>
      </c>
      <c r="AU853" s="29" t="str">
        <f>CONCATENATE("HORAS: ",BDEGENER[[#This Row],[HORAS]],"
KW-HR: ",BDEGENER[[#This Row],[KW-HORA]],"
VOLT.BATERIA: ",BDEGENER[[#This Row],[VOLTAJE DE BATERIA]],"
TEMPERATURA: ",BDEGENER[[#This Row],[TEMPERATURA DE AGUA]],"
PRES. ACEITE: ",BDEGENER[[#This Row],[PRESION DE ACEITE]])</f>
        <v xml:space="preserve">HORAS: 295
KW-HR: 
VOLT.BATERIA: 
TEMPERATURA: 
PRES. ACEITE: </v>
      </c>
      <c r="AV853" s="761">
        <f>COUNTIFS(Q853:Q2853,"MANTENIMIENTO CORRECTIVO",Y853:Y2853,BDEGENER[[#This Row],[SERIE]])</f>
        <v>0</v>
      </c>
      <c r="AW853" s="761">
        <f>COUNTIFS(Q853:Q2853,"MANTENIMIENTO PREVENTIVO",Y853:Y2853,BDEGENER[[#This Row],[SERIE]])</f>
        <v>1</v>
      </c>
      <c r="AX85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53" s="29">
        <f>COUNTIFS(BDEGENER[SERIE],BDEGENER[[#This Row],[SERIE]],BDEGENER[TIPO DE SERVICIO],"MANTENIMIENTO PREVENTIVO")</f>
        <v>5</v>
      </c>
      <c r="AZ853" s="29" t="str">
        <f>CONCATENATE("MANTENIMIENTO PREVENTIVO N°",BDEGENER[[#This Row],[GA1]])</f>
        <v>MANTENIMIENTO PREVENTIVO N°5</v>
      </c>
      <c r="BA853" s="325" t="str">
        <f>IF(BDEGENER[[#This Row],[SERVICIO]]=BDEGENER[[#This Row],[GA2]],BDEGENER[[#This Row],[HORAS]],"0")</f>
        <v>0</v>
      </c>
      <c r="BB853" s="325">
        <f>SUMIF(BDEGENER[SERIE],BDEGENER[[#This Row],[SERIE]],BDEGENER[GA3])</f>
        <v>2894.4</v>
      </c>
      <c r="BC853" s="761" t="str">
        <f>CONCATENATE("MANT",COUNTIF($Y$7:Y853,Y853))</f>
        <v>MANT10</v>
      </c>
      <c r="BD853" s="29" t="str">
        <f>CONCATENATE(BDEGENER[[#This Row],[SERIE]],BDEGENER[[#This Row],[GA5]])</f>
        <v>3004555914MANT10</v>
      </c>
      <c r="BE853" s="29" t="str">
        <f>CONCATENATE(BDEGENER[[#This Row],[CODIGO PATRIMONIAL]],BDEGENER[[#This Row],[GA5]])</f>
        <v>SUR-GEG-0023MANT10</v>
      </c>
      <c r="BF853" s="16">
        <f>COUNTIF(BDEGENER[SERIE],BDEGENER[[#This Row],[SERIE]])</f>
        <v>11</v>
      </c>
      <c r="BG853" s="761" t="str">
        <f>CONCATENATE("F",COUNTIF($K$7:K853,K853))</f>
        <v>F3</v>
      </c>
      <c r="BH853" s="325" t="str">
        <f>CONCATENATE(BDEGENER[[#This Row],[FECHA DE SERVICIO]],BDEGENER[[#This Row],[N° DE REGISTROS DEL DIA]])</f>
        <v>43726F3</v>
      </c>
      <c r="BI853" s="324"/>
      <c r="BJ853" s="325"/>
      <c r="BK853" s="326"/>
    </row>
    <row r="854" spans="2:63" ht="69" hidden="1" x14ac:dyDescent="0.3">
      <c r="B854" s="34"/>
      <c r="C854" s="34"/>
      <c r="D854" s="34"/>
      <c r="E854" s="34"/>
      <c r="F854" s="34"/>
      <c r="G854" s="34"/>
      <c r="H854" s="34"/>
      <c r="I854" s="34"/>
      <c r="J854" s="34"/>
      <c r="K854" s="37">
        <v>43725</v>
      </c>
      <c r="L854" s="30" t="s">
        <v>561</v>
      </c>
      <c r="M854" s="19" t="s">
        <v>571</v>
      </c>
      <c r="N854" s="19" t="s">
        <v>572</v>
      </c>
      <c r="O854" s="19"/>
      <c r="P854" s="19"/>
      <c r="Q854" s="19" t="s">
        <v>37</v>
      </c>
      <c r="R854" s="85" t="s">
        <v>1782</v>
      </c>
      <c r="S854" s="19" t="s">
        <v>609</v>
      </c>
      <c r="T854" s="85" t="s">
        <v>1782</v>
      </c>
      <c r="U854" s="19" t="s">
        <v>683</v>
      </c>
      <c r="V854" s="19" t="s">
        <v>149</v>
      </c>
      <c r="W854" s="740" t="s">
        <v>913</v>
      </c>
      <c r="X854" s="741" t="s">
        <v>918</v>
      </c>
      <c r="Y854" s="31">
        <v>3004370203</v>
      </c>
      <c r="Z854" s="767" t="s">
        <v>2598</v>
      </c>
      <c r="AA854" s="19" t="s">
        <v>33</v>
      </c>
      <c r="AB854" s="19" t="s">
        <v>217</v>
      </c>
      <c r="AC854" s="19" t="s">
        <v>749</v>
      </c>
      <c r="AD854" s="16"/>
      <c r="AE854" s="16"/>
      <c r="AF854" s="146">
        <v>707.6</v>
      </c>
      <c r="AG854" s="16"/>
      <c r="AH854" s="16"/>
      <c r="AI854" s="16"/>
      <c r="AJ854" s="16"/>
      <c r="AK854" s="16"/>
      <c r="AL854" s="16"/>
      <c r="AM854" s="16"/>
      <c r="AN854" s="16"/>
      <c r="AO854" s="16"/>
      <c r="AP854" s="19" t="s">
        <v>240</v>
      </c>
      <c r="AQ854" s="6" t="str">
        <f>CONCATENATE("REG-",BDEGENER[[#This Row],[FECHA DE SERVICIO]],"-",BDEGENER[[#This Row],[SERIE]],"-",BDEGENER[[#This Row],[HORAS]])</f>
        <v>REG-43725-3004370203-707,6</v>
      </c>
      <c r="AR854" s="5" t="str">
        <f>CONCATENATE("MARCA: ",BDEGENER[[#This Row],[MARCA]],"
 MODELO: ",BDEGENER[[#This Row],[MODELO]])</f>
        <v>MARCA: GENERAC
 MODELO: RG022</v>
      </c>
      <c r="AS854" s="5" t="str">
        <f>CONCATENATE("MARCA: ",BDEGENER[[#This Row],[MARCA DE MOTOR]],"
SERIE: ",BDEGENER[[#This Row],[SERIE DE MOTOR]])</f>
        <v xml:space="preserve">MARCA: 
SERIE: </v>
      </c>
      <c r="AT854" s="5" t="str">
        <f>CONCATENATE("MARCA: ",BDEGENER[[#This Row],[MARCA ALTERNADOR ]],"
SERIE: ",BDEGENER[[#This Row],[SERIE DE ALTERNADOR]])</f>
        <v xml:space="preserve">MARCA: 
SERIE: </v>
      </c>
      <c r="AU854" s="29" t="str">
        <f>CONCATENATE("HORAS: ",BDEGENER[[#This Row],[HORAS]],"
KW-HR: ",BDEGENER[[#This Row],[KW-HORA]],"
VOLT.BATERIA: ",BDEGENER[[#This Row],[VOLTAJE DE BATERIA]],"
TEMPERATURA: ",BDEGENER[[#This Row],[TEMPERATURA DE AGUA]],"
PRES. ACEITE: ",BDEGENER[[#This Row],[PRESION DE ACEITE]])</f>
        <v xml:space="preserve">HORAS: 707,6
KW-HR: 
VOLT.BATERIA: 
TEMPERATURA: 
PRES. ACEITE: </v>
      </c>
      <c r="AV854" s="683">
        <f>COUNTIFS(Q854:Q2854,"MANTENIMIENTO CORRECTIVO",Y854:Y2854,BDEGENER[[#This Row],[SERIE]])</f>
        <v>0</v>
      </c>
      <c r="AW854" s="683">
        <f>COUNTIFS(Q854:Q2854,"MANTENIMIENTO PREVENTIVO",Y854:Y2854,BDEGENER[[#This Row],[SERIE]])</f>
        <v>3</v>
      </c>
      <c r="AX85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54" s="29">
        <f>COUNTIFS(BDEGENER[SERIE],BDEGENER[[#This Row],[SERIE]],BDEGENER[TIPO DE SERVICIO],"MANTENIMIENTO PREVENTIVO")</f>
        <v>6</v>
      </c>
      <c r="AZ854" s="29" t="str">
        <f>CONCATENATE("MANTENIMIENTO PREVENTIVO N°",BDEGENER[[#This Row],[GA1]])</f>
        <v>MANTENIMIENTO PREVENTIVO N°6</v>
      </c>
      <c r="BA854" s="325" t="str">
        <f>IF(BDEGENER[[#This Row],[SERVICIO]]=BDEGENER[[#This Row],[GA2]],BDEGENER[[#This Row],[HORAS]],"0")</f>
        <v>0</v>
      </c>
      <c r="BB854" s="325">
        <f>SUMIF(BDEGENER[SERIE],BDEGENER[[#This Row],[SERIE]],BDEGENER[GA3])</f>
        <v>2885.1</v>
      </c>
      <c r="BC854" s="683" t="str">
        <f>CONCATENATE("MANT",COUNTIF($Y$7:Y854,Y854))</f>
        <v>MANT11</v>
      </c>
      <c r="BD854" s="29" t="str">
        <f>CONCATENATE(BDEGENER[[#This Row],[SERIE]],BDEGENER[[#This Row],[GA5]])</f>
        <v>3004370203MANT11</v>
      </c>
      <c r="BE854" s="29" t="str">
        <f>CONCATENATE(BDEGENER[[#This Row],[CODIGO PATRIMONIAL]],BDEGENER[[#This Row],[GA5]])</f>
        <v>SUR-GEG-0002MANT11</v>
      </c>
      <c r="BF854" s="16">
        <f>COUNTIF(BDEGENER[SERIE],BDEGENER[[#This Row],[SERIE]])</f>
        <v>14</v>
      </c>
      <c r="BG854" s="683" t="str">
        <f>CONCATENATE("F",COUNTIF($K$7:K854,K854))</f>
        <v>F1</v>
      </c>
      <c r="BH854" s="325" t="str">
        <f>CONCATENATE(BDEGENER[[#This Row],[FECHA DE SERVICIO]],BDEGENER[[#This Row],[N° DE REGISTROS DEL DIA]])</f>
        <v>43725F1</v>
      </c>
      <c r="BI854" s="324"/>
      <c r="BJ854" s="325"/>
      <c r="BK854" s="326"/>
    </row>
    <row r="855" spans="2:63" ht="69" hidden="1" x14ac:dyDescent="0.3">
      <c r="B855" s="129"/>
      <c r="C855" s="129"/>
      <c r="D855" s="129"/>
      <c r="E855" s="129"/>
      <c r="F855" s="129"/>
      <c r="G855" s="129"/>
      <c r="H855" s="129"/>
      <c r="I855" s="129"/>
      <c r="J855" s="129"/>
      <c r="K855" s="131">
        <v>43725</v>
      </c>
      <c r="L855" s="130" t="s">
        <v>764</v>
      </c>
      <c r="M855" s="85" t="s">
        <v>1211</v>
      </c>
      <c r="N855" s="85" t="s">
        <v>1212</v>
      </c>
      <c r="O855" s="85"/>
      <c r="P855" s="85"/>
      <c r="Q855" s="85" t="s">
        <v>37</v>
      </c>
      <c r="R855" s="85" t="s">
        <v>1782</v>
      </c>
      <c r="S855" s="6" t="s">
        <v>1213</v>
      </c>
      <c r="T855" s="85" t="s">
        <v>1214</v>
      </c>
      <c r="U855" s="85" t="s">
        <v>1215</v>
      </c>
      <c r="V855" s="85" t="s">
        <v>146</v>
      </c>
      <c r="W855" s="85" t="s">
        <v>914</v>
      </c>
      <c r="X855" s="85" t="s">
        <v>917</v>
      </c>
      <c r="Y855" s="130" t="s">
        <v>1219</v>
      </c>
      <c r="Z855" s="85" t="s">
        <v>159</v>
      </c>
      <c r="AA855" s="85" t="s">
        <v>221</v>
      </c>
      <c r="AB855" s="85" t="s">
        <v>1217</v>
      </c>
      <c r="AC855" s="85" t="s">
        <v>530</v>
      </c>
      <c r="AD855" s="85" t="s">
        <v>1087</v>
      </c>
      <c r="AE855" s="85">
        <v>60</v>
      </c>
      <c r="AF855" s="132">
        <v>864.15</v>
      </c>
      <c r="AG855" s="85" t="s">
        <v>243</v>
      </c>
      <c r="AH855" s="85" t="s">
        <v>159</v>
      </c>
      <c r="AI855" s="85" t="s">
        <v>844</v>
      </c>
      <c r="AJ855" s="85" t="s">
        <v>1221</v>
      </c>
      <c r="AK855" s="85" t="s">
        <v>2401</v>
      </c>
      <c r="AL855" s="85" t="s">
        <v>1220</v>
      </c>
      <c r="AM855" s="85"/>
      <c r="AN855" s="85"/>
      <c r="AO855" s="85"/>
      <c r="AP855" s="85" t="s">
        <v>240</v>
      </c>
      <c r="AQ855" s="200" t="str">
        <f>CONCATENATE("REG-",BDEGENER[[#This Row],[FECHA DE SERVICIO]],"-",BDEGENER[[#This Row],[SERIE]],"-",BDEGENER[[#This Row],[HORAS]])</f>
        <v>REG-43725-X08331T-864,15</v>
      </c>
      <c r="AR855" s="85" t="str">
        <f>CONCATENATE("MARCA: ",BDEGENER[[#This Row],[MARCA]],"
 MODELO: ",BDEGENER[[#This Row],[MODELO]])</f>
        <v>MARCA: MODASA
 MODELO: MP-20I</v>
      </c>
      <c r="AS855" s="85" t="str">
        <f>CONCATENATE("MARCA: ",BDEGENER[[#This Row],[MARCA DE MOTOR]],"
SERIE: ",BDEGENER[[#This Row],[SERIE DE MOTOR]])</f>
        <v>MARCA: PERKINS
SERIE: GN65733U</v>
      </c>
      <c r="AT855" s="85" t="str">
        <f>CONCATENATE("MARCA: ",BDEGENER[[#This Row],[MARCA ALTERNADOR ]],"
SERIE: ",BDEGENER[[#This Row],[SERIE DE ALTERNADOR]])</f>
        <v>MARCA: STAMFORD
SERIE: X10D160143</v>
      </c>
      <c r="AU855" s="85" t="str">
        <f>CONCATENATE("HORAS: ",BDEGENER[[#This Row],[HORAS]],"
KW-HR: ",BDEGENER[[#This Row],[KW-HORA]],"
VOLT.BATERIA: ",BDEGENER[[#This Row],[VOLTAJE DE BATERIA]],"
TEMPERATURA: ",BDEGENER[[#This Row],[TEMPERATURA DE AGUA]],"
PRES. ACEITE: ",BDEGENER[[#This Row],[PRESION DE ACEITE]])</f>
        <v xml:space="preserve">HORAS: 864,15
KW-HR: 
VOLT.BATERIA: 
TEMPERATURA: 
PRES. ACEITE: </v>
      </c>
      <c r="AV855" s="683">
        <f>COUNTIFS(Q855:Q2855,"MANTENIMIENTO CORRECTIVO",Y855:Y2855,BDEGENER[[#This Row],[SERIE]])</f>
        <v>0</v>
      </c>
      <c r="AW855" s="683">
        <f>COUNTIFS(Q855:Q2855,"MANTENIMIENTO PREVENTIVO",Y855:Y2855,BDEGENER[[#This Row],[SERIE]])</f>
        <v>1</v>
      </c>
      <c r="AX85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55" s="85">
        <f>COUNTIFS(BDEGENER[SERIE],BDEGENER[[#This Row],[SERIE]],BDEGENER[TIPO DE SERVICIO],"MANTENIMIENTO PREVENTIVO")</f>
        <v>2</v>
      </c>
      <c r="AZ855" s="85" t="str">
        <f>CONCATENATE("MANTENIMIENTO PREVENTIVO N°",BDEGENER[[#This Row],[GA1]])</f>
        <v>MANTENIMIENTO PREVENTIVO N°2</v>
      </c>
      <c r="BA855" s="85" t="str">
        <f>IF(BDEGENER[[#This Row],[SERVICIO]]=BDEGENER[[#This Row],[GA2]],BDEGENER[[#This Row],[HORAS]],"0")</f>
        <v>0</v>
      </c>
      <c r="BB855" s="85">
        <f>SUMIF(BDEGENER[SERIE],BDEGENER[[#This Row],[SERIE]],BDEGENER[GA3])</f>
        <v>900.33</v>
      </c>
      <c r="BC855" s="683" t="str">
        <f>CONCATENATE("MANT",COUNTIF($Y$7:Y855,Y855))</f>
        <v>MANT2</v>
      </c>
      <c r="BD855" s="85" t="str">
        <f>CONCATENATE(BDEGENER[[#This Row],[SERIE]],BDEGENER[[#This Row],[GA5]])</f>
        <v>X08331TMANT2</v>
      </c>
      <c r="BE855" s="85" t="str">
        <f>CONCATENATE(BDEGENER[[#This Row],[CODIGO PATRIMONIAL]],BDEGENER[[#This Row],[GA5]])</f>
        <v>MANT2</v>
      </c>
      <c r="BF855" s="129">
        <f>COUNTIF(BDEGENER[SERIE],BDEGENER[[#This Row],[SERIE]])</f>
        <v>2</v>
      </c>
      <c r="BG855" s="683" t="str">
        <f>CONCATENATE("F",COUNTIF($K$7:K855,K855))</f>
        <v>F2</v>
      </c>
      <c r="BH855" s="325" t="str">
        <f>CONCATENATE(BDEGENER[[#This Row],[FECHA DE SERVICIO]],BDEGENER[[#This Row],[N° DE REGISTROS DEL DIA]])</f>
        <v>43725F2</v>
      </c>
      <c r="BI855" s="324"/>
      <c r="BJ855" s="325"/>
      <c r="BK855" s="326"/>
    </row>
    <row r="856" spans="2:63" ht="69" hidden="1" x14ac:dyDescent="0.3">
      <c r="B856" s="129"/>
      <c r="C856" s="129"/>
      <c r="D856" s="129"/>
      <c r="E856" s="129"/>
      <c r="F856" s="129"/>
      <c r="G856" s="129"/>
      <c r="H856" s="129"/>
      <c r="I856" s="129"/>
      <c r="J856" s="129"/>
      <c r="K856" s="131">
        <v>43725</v>
      </c>
      <c r="L856" s="130" t="s">
        <v>764</v>
      </c>
      <c r="M856" s="85" t="s">
        <v>1211</v>
      </c>
      <c r="N856" s="85" t="s">
        <v>1212</v>
      </c>
      <c r="O856" s="85"/>
      <c r="P856" s="85"/>
      <c r="Q856" s="85" t="s">
        <v>37</v>
      </c>
      <c r="R856" s="85" t="s">
        <v>1782</v>
      </c>
      <c r="S856" s="6" t="s">
        <v>1213</v>
      </c>
      <c r="T856" s="85" t="s">
        <v>1214</v>
      </c>
      <c r="U856" s="85" t="s">
        <v>1215</v>
      </c>
      <c r="V856" s="85" t="s">
        <v>146</v>
      </c>
      <c r="W856" s="85" t="s">
        <v>914</v>
      </c>
      <c r="X856" s="85" t="s">
        <v>917</v>
      </c>
      <c r="Y856" s="130" t="s">
        <v>1216</v>
      </c>
      <c r="Z856" s="85" t="s">
        <v>159</v>
      </c>
      <c r="AA856" s="85" t="s">
        <v>221</v>
      </c>
      <c r="AB856" s="85" t="s">
        <v>1217</v>
      </c>
      <c r="AC856" s="85" t="s">
        <v>530</v>
      </c>
      <c r="AD856" s="85" t="s">
        <v>1087</v>
      </c>
      <c r="AE856" s="85">
        <v>60</v>
      </c>
      <c r="AF856" s="132">
        <v>752.28</v>
      </c>
      <c r="AG856" s="85" t="s">
        <v>243</v>
      </c>
      <c r="AH856" s="85" t="s">
        <v>159</v>
      </c>
      <c r="AI856" s="85" t="s">
        <v>844</v>
      </c>
      <c r="AJ856" s="85" t="s">
        <v>1222</v>
      </c>
      <c r="AK856" s="85" t="s">
        <v>2401</v>
      </c>
      <c r="AL856" s="85" t="s">
        <v>1218</v>
      </c>
      <c r="AM856" s="85"/>
      <c r="AN856" s="85"/>
      <c r="AO856" s="85"/>
      <c r="AP856" s="85" t="s">
        <v>240</v>
      </c>
      <c r="AQ856" s="200" t="str">
        <f>CONCATENATE("REG-",BDEGENER[[#This Row],[FECHA DE SERVICIO]],"-",BDEGENER[[#This Row],[SERIE]],"-",BDEGENER[[#This Row],[HORAS]])</f>
        <v>REG-43725-X08231T-752,28</v>
      </c>
      <c r="AR856" s="85" t="str">
        <f>CONCATENATE("MARCA: ",BDEGENER[[#This Row],[MARCA]],"
 MODELO: ",BDEGENER[[#This Row],[MODELO]])</f>
        <v>MARCA: MODASA
 MODELO: MP-20I</v>
      </c>
      <c r="AS856" s="85" t="str">
        <f>CONCATENATE("MARCA: ",BDEGENER[[#This Row],[MARCA DE MOTOR]],"
SERIE: ",BDEGENER[[#This Row],[SERIE DE MOTOR]])</f>
        <v>MARCA: PERKINS
SERIE: GN65733O</v>
      </c>
      <c r="AT856" s="85" t="str">
        <f>CONCATENATE("MARCA: ",BDEGENER[[#This Row],[MARCA ALTERNADOR ]],"
SERIE: ",BDEGENER[[#This Row],[SERIE DE ALTERNADOR]])</f>
        <v>MARCA: STAMFORD
SERIE: X10E200310</v>
      </c>
      <c r="AU856" s="85" t="str">
        <f>CONCATENATE("HORAS: ",BDEGENER[[#This Row],[HORAS]],"
KW-HR: ",BDEGENER[[#This Row],[KW-HORA]],"
VOLT.BATERIA: ",BDEGENER[[#This Row],[VOLTAJE DE BATERIA]],"
TEMPERATURA: ",BDEGENER[[#This Row],[TEMPERATURA DE AGUA]],"
PRES. ACEITE: ",BDEGENER[[#This Row],[PRESION DE ACEITE]])</f>
        <v xml:space="preserve">HORAS: 752,28
KW-HR: 
VOLT.BATERIA: 
TEMPERATURA: 
PRES. ACEITE: </v>
      </c>
      <c r="AV856" s="761">
        <f>COUNTIFS(Q856:Q2856,"MANTENIMIENTO CORRECTIVO",Y856:Y2856,BDEGENER[[#This Row],[SERIE]])</f>
        <v>0</v>
      </c>
      <c r="AW856" s="761">
        <f>COUNTIFS(Q856:Q2856,"MANTENIMIENTO PREVENTIVO",Y856:Y2856,BDEGENER[[#This Row],[SERIE]])</f>
        <v>1</v>
      </c>
      <c r="AX85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56" s="85">
        <f>COUNTIFS(BDEGENER[SERIE],BDEGENER[[#This Row],[SERIE]],BDEGENER[TIPO DE SERVICIO],"MANTENIMIENTO PREVENTIVO")</f>
        <v>2</v>
      </c>
      <c r="AZ856" s="85" t="str">
        <f>CONCATENATE("MANTENIMIENTO PREVENTIVO N°",BDEGENER[[#This Row],[GA1]])</f>
        <v>MANTENIMIENTO PREVENTIVO N°2</v>
      </c>
      <c r="BA856" s="85" t="str">
        <f>IF(BDEGENER[[#This Row],[SERVICIO]]=BDEGENER[[#This Row],[GA2]],BDEGENER[[#This Row],[HORAS]],"0")</f>
        <v>0</v>
      </c>
      <c r="BB856" s="85">
        <f>SUMIF(BDEGENER[SERIE],BDEGENER[[#This Row],[SERIE]],BDEGENER[GA3])</f>
        <v>863.53</v>
      </c>
      <c r="BC856" s="761" t="str">
        <f>CONCATENATE("MANT",COUNTIF($Y$7:Y856,Y856))</f>
        <v>MANT2</v>
      </c>
      <c r="BD856" s="85" t="str">
        <f>CONCATENATE(BDEGENER[[#This Row],[SERIE]],BDEGENER[[#This Row],[GA5]])</f>
        <v>X08231TMANT2</v>
      </c>
      <c r="BE856" s="85" t="str">
        <f>CONCATENATE(BDEGENER[[#This Row],[CODIGO PATRIMONIAL]],BDEGENER[[#This Row],[GA5]])</f>
        <v>MANT2</v>
      </c>
      <c r="BF856" s="129">
        <f>COUNTIF(BDEGENER[SERIE],BDEGENER[[#This Row],[SERIE]])</f>
        <v>2</v>
      </c>
      <c r="BG856" s="761" t="str">
        <f>CONCATENATE("F",COUNTIF($K$7:K856,K856))</f>
        <v>F3</v>
      </c>
      <c r="BH856" s="325" t="str">
        <f>CONCATENATE(BDEGENER[[#This Row],[FECHA DE SERVICIO]],BDEGENER[[#This Row],[N° DE REGISTROS DEL DIA]])</f>
        <v>43725F3</v>
      </c>
      <c r="BI856" s="324"/>
      <c r="BJ856" s="325"/>
      <c r="BK856" s="326"/>
    </row>
    <row r="857" spans="2:63" ht="69" hidden="1" x14ac:dyDescent="0.3">
      <c r="B857" s="34"/>
      <c r="C857" s="34"/>
      <c r="D857" s="34"/>
      <c r="E857" s="34"/>
      <c r="F857" s="34"/>
      <c r="G857" s="34"/>
      <c r="H857" s="34"/>
      <c r="I857" s="34"/>
      <c r="J857" s="34"/>
      <c r="K857" s="37">
        <v>43724</v>
      </c>
      <c r="L857" s="30" t="s">
        <v>561</v>
      </c>
      <c r="M857" s="19" t="s">
        <v>567</v>
      </c>
      <c r="N857" s="19" t="s">
        <v>568</v>
      </c>
      <c r="O857" s="19"/>
      <c r="P857" s="19"/>
      <c r="Q857" s="19" t="s">
        <v>37</v>
      </c>
      <c r="R857" s="85" t="s">
        <v>1782</v>
      </c>
      <c r="S857" s="19" t="s">
        <v>610</v>
      </c>
      <c r="T857" s="85" t="s">
        <v>1782</v>
      </c>
      <c r="U857" s="19" t="s">
        <v>684</v>
      </c>
      <c r="V857" s="19" t="s">
        <v>146</v>
      </c>
      <c r="W857" s="85" t="s">
        <v>914</v>
      </c>
      <c r="X857" s="85" t="s">
        <v>918</v>
      </c>
      <c r="Y857" s="31">
        <v>3003962766</v>
      </c>
      <c r="Z857" s="85" t="s">
        <v>2602</v>
      </c>
      <c r="AA857" s="85" t="s">
        <v>33</v>
      </c>
      <c r="AB857" s="85" t="s">
        <v>34</v>
      </c>
      <c r="AC857" s="19" t="s">
        <v>235</v>
      </c>
      <c r="AD857" s="16"/>
      <c r="AE857" s="16"/>
      <c r="AF857" s="146">
        <v>351.5</v>
      </c>
      <c r="AG857" s="16"/>
      <c r="AH857" s="16"/>
      <c r="AI857" s="16"/>
      <c r="AJ857" s="16"/>
      <c r="AK857" s="16"/>
      <c r="AL857" s="16"/>
      <c r="AM857" s="16"/>
      <c r="AN857" s="16"/>
      <c r="AO857" s="16"/>
      <c r="AP857" s="19" t="s">
        <v>240</v>
      </c>
      <c r="AQ857" s="200" t="str">
        <f>CONCATENATE("REG-",BDEGENER[[#This Row],[FECHA DE SERVICIO]],"-",BDEGENER[[#This Row],[SERIE]],"-",BDEGENER[[#This Row],[HORAS]])</f>
        <v>REG-43724-3003962766-351,5</v>
      </c>
      <c r="AR857" s="5" t="str">
        <f>CONCATENATE("MARCA: ",BDEGENER[[#This Row],[MARCA]],"
 MODELO: ",BDEGENER[[#This Row],[MODELO]])</f>
        <v>MARCA: GENERAC
 MODELO: PG090</v>
      </c>
      <c r="AS857" s="5" t="str">
        <f>CONCATENATE("MARCA: ",BDEGENER[[#This Row],[MARCA DE MOTOR]],"
SERIE: ",BDEGENER[[#This Row],[SERIE DE MOTOR]])</f>
        <v xml:space="preserve">MARCA: 
SERIE: </v>
      </c>
      <c r="AT857" s="5" t="str">
        <f>CONCATENATE("MARCA: ",BDEGENER[[#This Row],[MARCA ALTERNADOR ]],"
SERIE: ",BDEGENER[[#This Row],[SERIE DE ALTERNADOR]])</f>
        <v xml:space="preserve">MARCA: 
SERIE: </v>
      </c>
      <c r="AU857" s="29" t="str">
        <f>CONCATENATE("HORAS: ",BDEGENER[[#This Row],[HORAS]],"
KW-HR: ",BDEGENER[[#This Row],[KW-HORA]],"
VOLT.BATERIA: ",BDEGENER[[#This Row],[VOLTAJE DE BATERIA]],"
TEMPERATURA: ",BDEGENER[[#This Row],[TEMPERATURA DE AGUA]],"
PRES. ACEITE: ",BDEGENER[[#This Row],[PRESION DE ACEITE]])</f>
        <v xml:space="preserve">HORAS: 351,5
KW-HR: 
VOLT.BATERIA: 
TEMPERATURA: 
PRES. ACEITE: </v>
      </c>
      <c r="AV857" s="683">
        <f>COUNTIFS(Q857:Q2857,"MANTENIMIENTO CORRECTIVO",Y857:Y2857,BDEGENER[[#This Row],[SERIE]])</f>
        <v>1</v>
      </c>
      <c r="AW857" s="683">
        <f>COUNTIFS(Q857:Q2857,"MANTENIMIENTO PREVENTIVO",Y857:Y2857,BDEGENER[[#This Row],[SERIE]])</f>
        <v>3</v>
      </c>
      <c r="AX85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57" s="29">
        <f>COUNTIFS(BDEGENER[SERIE],BDEGENER[[#This Row],[SERIE]],BDEGENER[TIPO DE SERVICIO],"MANTENIMIENTO PREVENTIVO")</f>
        <v>9</v>
      </c>
      <c r="AZ857" s="29" t="str">
        <f>CONCATENATE("MANTENIMIENTO PREVENTIVO N°",BDEGENER[[#This Row],[GA1]])</f>
        <v>MANTENIMIENTO PREVENTIVO N°9</v>
      </c>
      <c r="BA857" s="325" t="str">
        <f>IF(BDEGENER[[#This Row],[SERVICIO]]=BDEGENER[[#This Row],[GA2]],BDEGENER[[#This Row],[HORAS]],"0")</f>
        <v>0</v>
      </c>
      <c r="BB857" s="325">
        <f>SUMIF(BDEGENER[SERIE],BDEGENER[[#This Row],[SERIE]],BDEGENER[GA3])</f>
        <v>4662.2</v>
      </c>
      <c r="BC857" s="683" t="str">
        <f>CONCATENATE("MANT",COUNTIF($Y$7:Y857,Y857))</f>
        <v>MANT12</v>
      </c>
      <c r="BD857" s="29" t="str">
        <f>CONCATENATE(BDEGENER[[#This Row],[SERIE]],BDEGENER[[#This Row],[GA5]])</f>
        <v>3003962766MANT12</v>
      </c>
      <c r="BE857" s="29" t="str">
        <f>CONCATENATE(BDEGENER[[#This Row],[CODIGO PATRIMONIAL]],BDEGENER[[#This Row],[GA5]])</f>
        <v>SUR-GEG-0006MANT12</v>
      </c>
      <c r="BF857" s="16">
        <f>COUNTIF(BDEGENER[SERIE],BDEGENER[[#This Row],[SERIE]])</f>
        <v>16</v>
      </c>
      <c r="BG857" s="683" t="str">
        <f>CONCATENATE("F",COUNTIF($K$7:K857,K857))</f>
        <v>F1</v>
      </c>
      <c r="BH857" s="325" t="str">
        <f>CONCATENATE(BDEGENER[[#This Row],[FECHA DE SERVICIO]],BDEGENER[[#This Row],[N° DE REGISTROS DEL DIA]])</f>
        <v>43724F1</v>
      </c>
      <c r="BI857" s="324"/>
      <c r="BJ857" s="325"/>
      <c r="BK857" s="326"/>
    </row>
    <row r="858" spans="2:63" ht="69" hidden="1" x14ac:dyDescent="0.3">
      <c r="B858" s="223"/>
      <c r="C858" s="223"/>
      <c r="D858" s="223"/>
      <c r="E858" s="223"/>
      <c r="F858" s="223"/>
      <c r="G858" s="223"/>
      <c r="H858" s="223"/>
      <c r="I858" s="223"/>
      <c r="J858" s="223"/>
      <c r="K858" s="723">
        <v>43724</v>
      </c>
      <c r="L858" s="15" t="s">
        <v>181</v>
      </c>
      <c r="M858" s="14" t="s">
        <v>188</v>
      </c>
      <c r="N858" s="14" t="s">
        <v>183</v>
      </c>
      <c r="O858" s="8" t="s">
        <v>159</v>
      </c>
      <c r="P858" s="15" t="s">
        <v>159</v>
      </c>
      <c r="Q858" s="14" t="s">
        <v>109</v>
      </c>
      <c r="R858" s="85" t="s">
        <v>1782</v>
      </c>
      <c r="S858" s="5" t="s">
        <v>51</v>
      </c>
      <c r="T858" s="14" t="s">
        <v>94</v>
      </c>
      <c r="U858" s="14"/>
      <c r="V858" s="14" t="s">
        <v>149</v>
      </c>
      <c r="W858" s="85" t="s">
        <v>914</v>
      </c>
      <c r="X858" s="85" t="s">
        <v>918</v>
      </c>
      <c r="Y858" s="15">
        <v>3004331707</v>
      </c>
      <c r="Z858" s="779"/>
      <c r="AA858" s="697" t="s">
        <v>33</v>
      </c>
      <c r="AB858" s="85" t="s">
        <v>34</v>
      </c>
      <c r="AC858" s="14" t="s">
        <v>230</v>
      </c>
      <c r="AD858" s="16"/>
      <c r="AE858" s="16">
        <v>60</v>
      </c>
      <c r="AF858" s="12">
        <v>0.5</v>
      </c>
      <c r="AG858" s="16" t="s">
        <v>243</v>
      </c>
      <c r="AH858" s="16" t="s">
        <v>220</v>
      </c>
      <c r="AI858" s="16" t="s">
        <v>33</v>
      </c>
      <c r="AJ858" s="16">
        <v>3004308222</v>
      </c>
      <c r="AK858" s="16" t="s">
        <v>33</v>
      </c>
      <c r="AL858" s="16">
        <v>106304910</v>
      </c>
      <c r="AM858" s="16" t="s">
        <v>1347</v>
      </c>
      <c r="AN858" s="16" t="s">
        <v>1348</v>
      </c>
      <c r="AO858" s="16" t="s">
        <v>1318</v>
      </c>
      <c r="AP858" s="14" t="s">
        <v>240</v>
      </c>
      <c r="AQ858" s="200" t="str">
        <f>CONCATENATE("REG-",BDEGENER[[#This Row],[FECHA DE SERVICIO]],"-",BDEGENER[[#This Row],[SERIE]],"-",BDEGENER[[#This Row],[HORAS]])</f>
        <v>REG-43724-3004331707-0,5</v>
      </c>
      <c r="AR858" s="5" t="str">
        <f>CONCATENATE("MARCA: ",BDEGENER[[#This Row],[MARCA]],"
 MODELO: ",BDEGENER[[#This Row],[MODELO]])</f>
        <v>MARCA: GENERAC
 MODELO: PG090</v>
      </c>
      <c r="AS858" s="5" t="str">
        <f>CONCATENATE("MARCA: ",BDEGENER[[#This Row],[MARCA DE MOTOR]],"
SERIE: ",BDEGENER[[#This Row],[SERIE DE MOTOR]])</f>
        <v>MARCA: GENERAC
SERIE: 3004308222</v>
      </c>
      <c r="AT858" s="5" t="str">
        <f>CONCATENATE("MARCA: ",BDEGENER[[#This Row],[MARCA ALTERNADOR ]],"
SERIE: ",BDEGENER[[#This Row],[SERIE DE ALTERNADOR]])</f>
        <v>MARCA: GENERAC
SERIE: 106304910</v>
      </c>
      <c r="AU858" s="5" t="str">
        <f>CONCATENATE("HORAS: ",BDEGENER[[#This Row],[HORAS]],"
KW-HR: ",BDEGENER[[#This Row],[KW-HORA]],"
VOLT.BATERIA: ",BDEGENER[[#This Row],[VOLTAJE DE BATERIA]],"
TEMPERATURA: ",BDEGENER[[#This Row],[TEMPERATURA DE AGUA]],"
PRES. ACEITE: ",BDEGENER[[#This Row],[PRESION DE ACEITE]])</f>
        <v>HORAS: 0,5
KW-HR: 
VOLT.BATERIA: 13.3 V
TEMPERATURA: 193 °F
PRES. ACEITE: 58 PSI</v>
      </c>
      <c r="AV858" s="683">
        <f>COUNTIFS(Q858:Q2858,"MANTENIMIENTO CORRECTIVO",Y858:Y2858,BDEGENER[[#This Row],[SERIE]])</f>
        <v>0</v>
      </c>
      <c r="AW858" s="683">
        <f>COUNTIFS(Q858:Q2858,"MANTENIMIENTO PREVENTIVO",Y858:Y2858,BDEGENER[[#This Row],[SERIE]])</f>
        <v>0</v>
      </c>
      <c r="AX85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58" s="29">
        <f>COUNTIFS(BDEGENER[SERIE],BDEGENER[[#This Row],[SERIE]],BDEGENER[TIPO DE SERVICIO],"MANTENIMIENTO PREVENTIVO")</f>
        <v>3</v>
      </c>
      <c r="AZ858" s="29" t="str">
        <f>CONCATENATE("MANTENIMIENTO PREVENTIVO N°",BDEGENER[[#This Row],[GA1]])</f>
        <v>MANTENIMIENTO PREVENTIVO N°3</v>
      </c>
      <c r="BA858" s="325" t="str">
        <f>IF(BDEGENER[[#This Row],[SERVICIO]]=BDEGENER[[#This Row],[GA2]],BDEGENER[[#This Row],[HORAS]],"0")</f>
        <v>0</v>
      </c>
      <c r="BB858" s="325">
        <f>SUMIF(BDEGENER[SERIE],BDEGENER[[#This Row],[SERIE]],BDEGENER[GA3])</f>
        <v>938</v>
      </c>
      <c r="BC858" s="683" t="str">
        <f>CONCATENATE("MANT",COUNTIF($Y$7:Y858,Y858))</f>
        <v>MANT8</v>
      </c>
      <c r="BD858" s="29" t="str">
        <f>CONCATENATE(BDEGENER[[#This Row],[SERIE]],BDEGENER[[#This Row],[GA5]])</f>
        <v>3004331707MANT8</v>
      </c>
      <c r="BE858" s="29" t="str">
        <f>CONCATENATE(BDEGENER[[#This Row],[CODIGO PATRIMONIAL]],BDEGENER[[#This Row],[GA5]])</f>
        <v>MANT8</v>
      </c>
      <c r="BF858" s="16">
        <f>COUNTIF(BDEGENER[SERIE],BDEGENER[[#This Row],[SERIE]])</f>
        <v>8</v>
      </c>
      <c r="BG858" s="683" t="str">
        <f>CONCATENATE("F",COUNTIF($K$7:K858,K858))</f>
        <v>F2</v>
      </c>
      <c r="BH858" s="325" t="str">
        <f>CONCATENATE(BDEGENER[[#This Row],[FECHA DE SERVICIO]],BDEGENER[[#This Row],[N° DE REGISTROS DEL DIA]])</f>
        <v>43724F2</v>
      </c>
      <c r="BI858" s="324"/>
      <c r="BJ858" s="85" t="s">
        <v>1544</v>
      </c>
      <c r="BK858" s="326"/>
    </row>
    <row r="859" spans="2:63" ht="69" hidden="1" x14ac:dyDescent="0.3">
      <c r="B859" s="223"/>
      <c r="C859" s="223"/>
      <c r="D859" s="223"/>
      <c r="E859" s="223"/>
      <c r="F859" s="223"/>
      <c r="G859" s="223"/>
      <c r="H859" s="223"/>
      <c r="I859" s="223"/>
      <c r="J859" s="223"/>
      <c r="K859" s="723">
        <v>43724</v>
      </c>
      <c r="L859" s="15" t="s">
        <v>181</v>
      </c>
      <c r="M859" s="14" t="s">
        <v>185</v>
      </c>
      <c r="N859" s="14" t="s">
        <v>183</v>
      </c>
      <c r="O859" s="8" t="s">
        <v>159</v>
      </c>
      <c r="P859" s="15" t="s">
        <v>159</v>
      </c>
      <c r="Q859" s="14" t="s">
        <v>109</v>
      </c>
      <c r="R859" s="85" t="s">
        <v>1782</v>
      </c>
      <c r="S859" s="5" t="s">
        <v>51</v>
      </c>
      <c r="T859" s="14" t="s">
        <v>94</v>
      </c>
      <c r="U859" s="14"/>
      <c r="V859" s="14" t="s">
        <v>149</v>
      </c>
      <c r="W859" s="85" t="s">
        <v>914</v>
      </c>
      <c r="X859" s="85" t="s">
        <v>918</v>
      </c>
      <c r="Y859" s="15">
        <v>3004290368</v>
      </c>
      <c r="Z859" s="14"/>
      <c r="AA859" s="14" t="s">
        <v>33</v>
      </c>
      <c r="AB859" s="85" t="s">
        <v>34</v>
      </c>
      <c r="AC859" s="14" t="s">
        <v>230</v>
      </c>
      <c r="AD859" s="16" t="s">
        <v>1195</v>
      </c>
      <c r="AE859" s="16">
        <v>60</v>
      </c>
      <c r="AF859" s="12">
        <v>0.6</v>
      </c>
      <c r="AG859" s="85" t="s">
        <v>243</v>
      </c>
      <c r="AH859" s="85" t="s">
        <v>220</v>
      </c>
      <c r="AI859" s="85" t="s">
        <v>33</v>
      </c>
      <c r="AJ859" s="16">
        <v>3004034816</v>
      </c>
      <c r="AK859" s="85" t="s">
        <v>33</v>
      </c>
      <c r="AL859" s="16">
        <v>106312930</v>
      </c>
      <c r="AM859" s="16" t="s">
        <v>1347</v>
      </c>
      <c r="AN859" s="16" t="s">
        <v>1353</v>
      </c>
      <c r="AO859" s="16" t="s">
        <v>1354</v>
      </c>
      <c r="AP859" s="14" t="s">
        <v>240</v>
      </c>
      <c r="AQ859" s="200" t="str">
        <f>CONCATENATE("REG-",BDEGENER[[#This Row],[FECHA DE SERVICIO]],"-",BDEGENER[[#This Row],[SERIE]],"-",BDEGENER[[#This Row],[HORAS]])</f>
        <v>REG-43724-3004290368-0,6</v>
      </c>
      <c r="AR859" s="5" t="str">
        <f>CONCATENATE("MARCA: ",BDEGENER[[#This Row],[MARCA]],"
 MODELO: ",BDEGENER[[#This Row],[MODELO]])</f>
        <v>MARCA: GENERAC
 MODELO: PG090</v>
      </c>
      <c r="AS859" s="5" t="str">
        <f>CONCATENATE("MARCA: ",BDEGENER[[#This Row],[MARCA DE MOTOR]],"
SERIE: ",BDEGENER[[#This Row],[SERIE DE MOTOR]])</f>
        <v>MARCA: GENERAC
SERIE: 3004034816</v>
      </c>
      <c r="AT859" s="5" t="str">
        <f>CONCATENATE("MARCA: ",BDEGENER[[#This Row],[MARCA ALTERNADOR ]],"
SERIE: ",BDEGENER[[#This Row],[SERIE DE ALTERNADOR]])</f>
        <v>MARCA: GENERAC
SERIE: 106312930</v>
      </c>
      <c r="AU859" s="5" t="str">
        <f>CONCATENATE("HORAS: ",BDEGENER[[#This Row],[HORAS]],"
KW-HR: ",BDEGENER[[#This Row],[KW-HORA]],"
VOLT.BATERIA: ",BDEGENER[[#This Row],[VOLTAJE DE BATERIA]],"
TEMPERATURA: ",BDEGENER[[#This Row],[TEMPERATURA DE AGUA]],"
PRES. ACEITE: ",BDEGENER[[#This Row],[PRESION DE ACEITE]])</f>
        <v>HORAS: 0,6
KW-HR: 
VOLT.BATERIA: 13.3 V
TEMPERATURA: 174 °F
PRES. ACEITE: 63 PSI</v>
      </c>
      <c r="AV859" s="761">
        <f>COUNTIFS(Q859:Q2859,"MANTENIMIENTO CORRECTIVO",Y859:Y2859,BDEGENER[[#This Row],[SERIE]])</f>
        <v>0</v>
      </c>
      <c r="AW859" s="761">
        <f>COUNTIFS(Q859:Q2859,"MANTENIMIENTO PREVENTIVO",Y859:Y2859,BDEGENER[[#This Row],[SERIE]])</f>
        <v>0</v>
      </c>
      <c r="AX85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59" s="29">
        <f>COUNTIFS(BDEGENER[SERIE],BDEGENER[[#This Row],[SERIE]],BDEGENER[TIPO DE SERVICIO],"MANTENIMIENTO PREVENTIVO")</f>
        <v>6</v>
      </c>
      <c r="AZ859" s="29" t="str">
        <f>CONCATENATE("MANTENIMIENTO PREVENTIVO N°",BDEGENER[[#This Row],[GA1]])</f>
        <v>MANTENIMIENTO PREVENTIVO N°6</v>
      </c>
      <c r="BA859" s="325" t="str">
        <f>IF(BDEGENER[[#This Row],[SERVICIO]]=BDEGENER[[#This Row],[GA2]],BDEGENER[[#This Row],[HORAS]],"0")</f>
        <v>0</v>
      </c>
      <c r="BB859" s="325">
        <f>SUMIF(BDEGENER[SERIE],BDEGENER[[#This Row],[SERIE]],BDEGENER[GA3])</f>
        <v>2259.3000000000002</v>
      </c>
      <c r="BC859" s="761" t="str">
        <f>CONCATENATE("MANT",COUNTIF($Y$7:Y859,Y859))</f>
        <v>MANT15</v>
      </c>
      <c r="BD859" s="29" t="str">
        <f>CONCATENATE(BDEGENER[[#This Row],[SERIE]],BDEGENER[[#This Row],[GA5]])</f>
        <v>3004290368MANT15</v>
      </c>
      <c r="BE859" s="29" t="str">
        <f>CONCATENATE(BDEGENER[[#This Row],[CODIGO PATRIMONIAL]],BDEGENER[[#This Row],[GA5]])</f>
        <v>MANT15</v>
      </c>
      <c r="BF859" s="16">
        <f>COUNTIF(BDEGENER[SERIE],BDEGENER[[#This Row],[SERIE]])</f>
        <v>15</v>
      </c>
      <c r="BG859" s="761" t="str">
        <f>CONCATENATE("F",COUNTIF($K$7:K859,K859))</f>
        <v>F3</v>
      </c>
      <c r="BH859" s="325" t="str">
        <f>CONCATENATE(BDEGENER[[#This Row],[FECHA DE SERVICIO]],BDEGENER[[#This Row],[N° DE REGISTROS DEL DIA]])</f>
        <v>43724F3</v>
      </c>
      <c r="BI859" s="324"/>
      <c r="BJ859" s="85" t="s">
        <v>1544</v>
      </c>
      <c r="BK859" s="326"/>
    </row>
    <row r="860" spans="2:63" ht="69" hidden="1" x14ac:dyDescent="0.3">
      <c r="B860" s="223"/>
      <c r="C860" s="223"/>
      <c r="D860" s="223"/>
      <c r="E860" s="223"/>
      <c r="F860" s="223"/>
      <c r="G860" s="223"/>
      <c r="H860" s="223"/>
      <c r="I860" s="223"/>
      <c r="J860" s="223"/>
      <c r="K860" s="723">
        <v>43724</v>
      </c>
      <c r="L860" s="15" t="s">
        <v>181</v>
      </c>
      <c r="M860" s="14" t="s">
        <v>187</v>
      </c>
      <c r="N860" s="14" t="s">
        <v>183</v>
      </c>
      <c r="O860" s="8" t="s">
        <v>159</v>
      </c>
      <c r="P860" s="15" t="s">
        <v>159</v>
      </c>
      <c r="Q860" s="14" t="s">
        <v>109</v>
      </c>
      <c r="R860" s="85" t="s">
        <v>1782</v>
      </c>
      <c r="S860" s="5" t="s">
        <v>51</v>
      </c>
      <c r="T860" s="14" t="s">
        <v>94</v>
      </c>
      <c r="U860" s="14"/>
      <c r="V860" s="14" t="s">
        <v>149</v>
      </c>
      <c r="W860" s="85" t="s">
        <v>914</v>
      </c>
      <c r="X860" s="85" t="s">
        <v>918</v>
      </c>
      <c r="Y860" s="15">
        <v>3004337429</v>
      </c>
      <c r="Z860" s="14"/>
      <c r="AA860" s="14" t="s">
        <v>33</v>
      </c>
      <c r="AB860" s="85" t="s">
        <v>34</v>
      </c>
      <c r="AC860" s="14" t="s">
        <v>230</v>
      </c>
      <c r="AD860" s="16"/>
      <c r="AE860" s="16">
        <v>60</v>
      </c>
      <c r="AF860" s="12">
        <v>1.1000000000000001</v>
      </c>
      <c r="AG860" s="16" t="s">
        <v>243</v>
      </c>
      <c r="AH860" s="16" t="s">
        <v>220</v>
      </c>
      <c r="AI860" s="16" t="s">
        <v>33</v>
      </c>
      <c r="AJ860" s="16">
        <v>3004346833</v>
      </c>
      <c r="AK860" s="16" t="s">
        <v>33</v>
      </c>
      <c r="AL860" s="16">
        <v>106303570</v>
      </c>
      <c r="AM860" s="16" t="s">
        <v>245</v>
      </c>
      <c r="AN860" s="16" t="s">
        <v>1122</v>
      </c>
      <c r="AO860" s="16" t="s">
        <v>1349</v>
      </c>
      <c r="AP860" s="14" t="s">
        <v>240</v>
      </c>
      <c r="AQ860" s="200" t="str">
        <f>CONCATENATE("REG-",BDEGENER[[#This Row],[FECHA DE SERVICIO]],"-",BDEGENER[[#This Row],[SERIE]],"-",BDEGENER[[#This Row],[HORAS]])</f>
        <v>REG-43724-3004337429-1,1</v>
      </c>
      <c r="AR860" s="5" t="str">
        <f>CONCATENATE("MARCA: ",BDEGENER[[#This Row],[MARCA]],"
 MODELO: ",BDEGENER[[#This Row],[MODELO]])</f>
        <v>MARCA: GENERAC
 MODELO: PG090</v>
      </c>
      <c r="AS860" s="5" t="str">
        <f>CONCATENATE("MARCA: ",BDEGENER[[#This Row],[MARCA DE MOTOR]],"
SERIE: ",BDEGENER[[#This Row],[SERIE DE MOTOR]])</f>
        <v>MARCA: GENERAC
SERIE: 3004346833</v>
      </c>
      <c r="AT860" s="5" t="str">
        <f>CONCATENATE("MARCA: ",BDEGENER[[#This Row],[MARCA ALTERNADOR ]],"
SERIE: ",BDEGENER[[#This Row],[SERIE DE ALTERNADOR]])</f>
        <v>MARCA: GENERAC
SERIE: 106303570</v>
      </c>
      <c r="AU860" s="5" t="str">
        <f>CONCATENATE("HORAS: ",BDEGENER[[#This Row],[HORAS]],"
KW-HR: ",BDEGENER[[#This Row],[KW-HORA]],"
VOLT.BATERIA: ",BDEGENER[[#This Row],[VOLTAJE DE BATERIA]],"
TEMPERATURA: ",BDEGENER[[#This Row],[TEMPERATURA DE AGUA]],"
PRES. ACEITE: ",BDEGENER[[#This Row],[PRESION DE ACEITE]])</f>
        <v>HORAS: 1,1
KW-HR: 
VOLT.BATERIA: 13.6 V
TEMPERATURA: 195 °F
PRES. ACEITE: 56 PSI</v>
      </c>
      <c r="AV860" s="683">
        <f>COUNTIFS(Q860:Q2860,"MANTENIMIENTO CORRECTIVO",Y860:Y2860,BDEGENER[[#This Row],[SERIE]])</f>
        <v>0</v>
      </c>
      <c r="AW860" s="683">
        <f>COUNTIFS(Q860:Q2860,"MANTENIMIENTO PREVENTIVO",Y860:Y2860,BDEGENER[[#This Row],[SERIE]])</f>
        <v>0</v>
      </c>
      <c r="AX86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60" s="29">
        <f>COUNTIFS(BDEGENER[SERIE],BDEGENER[[#This Row],[SERIE]],BDEGENER[TIPO DE SERVICIO],"MANTENIMIENTO PREVENTIVO")</f>
        <v>7</v>
      </c>
      <c r="AZ860" s="29" t="str">
        <f>CONCATENATE("MANTENIMIENTO PREVENTIVO N°",BDEGENER[[#This Row],[GA1]])</f>
        <v>MANTENIMIENTO PREVENTIVO N°7</v>
      </c>
      <c r="BA860" s="325" t="str">
        <f>IF(BDEGENER[[#This Row],[SERVICIO]]=BDEGENER[[#This Row],[GA2]],BDEGENER[[#This Row],[HORAS]],"0")</f>
        <v>0</v>
      </c>
      <c r="BB860" s="325">
        <f>SUMIF(BDEGENER[SERIE],BDEGENER[[#This Row],[SERIE]],BDEGENER[GA3])</f>
        <v>2207.6999999999998</v>
      </c>
      <c r="BC860" s="683" t="str">
        <f>CONCATENATE("MANT",COUNTIF($Y$7:Y860,Y860))</f>
        <v>MANT9</v>
      </c>
      <c r="BD860" s="29" t="str">
        <f>CONCATENATE(BDEGENER[[#This Row],[SERIE]],BDEGENER[[#This Row],[GA5]])</f>
        <v>3004337429MANT9</v>
      </c>
      <c r="BE860" s="29" t="str">
        <f>CONCATENATE(BDEGENER[[#This Row],[CODIGO PATRIMONIAL]],BDEGENER[[#This Row],[GA5]])</f>
        <v>MANT9</v>
      </c>
      <c r="BF860" s="16">
        <f>COUNTIF(BDEGENER[SERIE],BDEGENER[[#This Row],[SERIE]])</f>
        <v>9</v>
      </c>
      <c r="BG860" s="683" t="str">
        <f>CONCATENATE("F",COUNTIF($K$7:K860,K860))</f>
        <v>F4</v>
      </c>
      <c r="BH860" s="325" t="str">
        <f>CONCATENATE(BDEGENER[[#This Row],[FECHA DE SERVICIO]],BDEGENER[[#This Row],[N° DE REGISTROS DEL DIA]])</f>
        <v>43724F4</v>
      </c>
      <c r="BI860" s="324"/>
      <c r="BJ860" s="85" t="s">
        <v>1544</v>
      </c>
      <c r="BK860" s="326"/>
    </row>
    <row r="861" spans="2:63" ht="69" hidden="1" x14ac:dyDescent="0.3">
      <c r="B861" s="223"/>
      <c r="C861" s="223"/>
      <c r="D861" s="223"/>
      <c r="E861" s="223"/>
      <c r="F861" s="223"/>
      <c r="G861" s="223"/>
      <c r="H861" s="223"/>
      <c r="I861" s="223"/>
      <c r="J861" s="223"/>
      <c r="K861" s="723">
        <v>43724</v>
      </c>
      <c r="L861" s="15" t="s">
        <v>181</v>
      </c>
      <c r="M861" s="14" t="s">
        <v>190</v>
      </c>
      <c r="N861" s="14" t="s">
        <v>191</v>
      </c>
      <c r="O861" s="8" t="s">
        <v>159</v>
      </c>
      <c r="P861" s="15" t="s">
        <v>159</v>
      </c>
      <c r="Q861" s="14" t="s">
        <v>109</v>
      </c>
      <c r="R861" s="85" t="s">
        <v>1782</v>
      </c>
      <c r="S861" s="5" t="s">
        <v>51</v>
      </c>
      <c r="T861" s="14" t="s">
        <v>94</v>
      </c>
      <c r="U861" s="14"/>
      <c r="V861" s="14" t="s">
        <v>149</v>
      </c>
      <c r="W861" s="85" t="s">
        <v>914</v>
      </c>
      <c r="X861" s="85" t="s">
        <v>918</v>
      </c>
      <c r="Y861" s="15">
        <v>3004416581</v>
      </c>
      <c r="Z861" s="14"/>
      <c r="AA861" s="14" t="s">
        <v>33</v>
      </c>
      <c r="AB861" s="85" t="s">
        <v>34</v>
      </c>
      <c r="AC861" s="14" t="s">
        <v>230</v>
      </c>
      <c r="AD861" s="16" t="s">
        <v>1350</v>
      </c>
      <c r="AE861" s="16">
        <v>60</v>
      </c>
      <c r="AF861" s="12">
        <v>0.5</v>
      </c>
      <c r="AG861" s="16" t="s">
        <v>243</v>
      </c>
      <c r="AH861" s="16" t="s">
        <v>220</v>
      </c>
      <c r="AI861" s="16" t="s">
        <v>33</v>
      </c>
      <c r="AJ861" s="16">
        <v>3004309056</v>
      </c>
      <c r="AK861" s="16" t="s">
        <v>33</v>
      </c>
      <c r="AL861" s="16">
        <v>107748810</v>
      </c>
      <c r="AM861" s="16" t="s">
        <v>1351</v>
      </c>
      <c r="AN861" s="16" t="s">
        <v>1352</v>
      </c>
      <c r="AO861" s="16" t="s">
        <v>1140</v>
      </c>
      <c r="AP861" s="14" t="s">
        <v>240</v>
      </c>
      <c r="AQ861" s="200" t="str">
        <f>CONCATENATE("REG-",BDEGENER[[#This Row],[FECHA DE SERVICIO]],"-",BDEGENER[[#This Row],[SERIE]],"-",BDEGENER[[#This Row],[HORAS]])</f>
        <v>REG-43724-3004416581-0,5</v>
      </c>
      <c r="AR861" s="5" t="str">
        <f>CONCATENATE("MARCA: ",BDEGENER[[#This Row],[MARCA]],"
 MODELO: ",BDEGENER[[#This Row],[MODELO]])</f>
        <v>MARCA: GENERAC
 MODELO: PG090</v>
      </c>
      <c r="AS861" s="5" t="str">
        <f>CONCATENATE("MARCA: ",BDEGENER[[#This Row],[MARCA DE MOTOR]],"
SERIE: ",BDEGENER[[#This Row],[SERIE DE MOTOR]])</f>
        <v>MARCA: GENERAC
SERIE: 3004309056</v>
      </c>
      <c r="AT861" s="5" t="str">
        <f>CONCATENATE("MARCA: ",BDEGENER[[#This Row],[MARCA ALTERNADOR ]],"
SERIE: ",BDEGENER[[#This Row],[SERIE DE ALTERNADOR]])</f>
        <v>MARCA: GENERAC
SERIE: 107748810</v>
      </c>
      <c r="AU861" s="5" t="str">
        <f>CONCATENATE("HORAS: ",BDEGENER[[#This Row],[HORAS]],"
KW-HR: ",BDEGENER[[#This Row],[KW-HORA]],"
VOLT.BATERIA: ",BDEGENER[[#This Row],[VOLTAJE DE BATERIA]],"
TEMPERATURA: ",BDEGENER[[#This Row],[TEMPERATURA DE AGUA]],"
PRES. ACEITE: ",BDEGENER[[#This Row],[PRESION DE ACEITE]])</f>
        <v>HORAS: 0,5
KW-HR: 
VOLT.BATERIA: 13.6V
TEMPERATURA: 196 °F
PRES. ACEITE: 50 PSI</v>
      </c>
      <c r="AV861" s="683">
        <f>COUNTIFS(Q861:Q2861,"MANTENIMIENTO CORRECTIVO",Y861:Y2861,BDEGENER[[#This Row],[SERIE]])</f>
        <v>0</v>
      </c>
      <c r="AW861" s="683">
        <f>COUNTIFS(Q861:Q2861,"MANTENIMIENTO PREVENTIVO",Y861:Y2861,BDEGENER[[#This Row],[SERIE]])</f>
        <v>0</v>
      </c>
      <c r="AX86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61" s="29">
        <f>COUNTIFS(BDEGENER[SERIE],BDEGENER[[#This Row],[SERIE]],BDEGENER[TIPO DE SERVICIO],"MANTENIMIENTO PREVENTIVO")</f>
        <v>6</v>
      </c>
      <c r="AZ861" s="29" t="str">
        <f>CONCATENATE("MANTENIMIENTO PREVENTIVO N°",BDEGENER[[#This Row],[GA1]])</f>
        <v>MANTENIMIENTO PREVENTIVO N°6</v>
      </c>
      <c r="BA861" s="325" t="str">
        <f>IF(BDEGENER[[#This Row],[SERVICIO]]=BDEGENER[[#This Row],[GA2]],BDEGENER[[#This Row],[HORAS]],"0")</f>
        <v>0</v>
      </c>
      <c r="BB861" s="325">
        <f>SUMIF(BDEGENER[SERIE],BDEGENER[[#This Row],[SERIE]],BDEGENER[GA3])</f>
        <v>1659.1</v>
      </c>
      <c r="BC861" s="683" t="str">
        <f>CONCATENATE("MANT",COUNTIF($Y$7:Y861,Y861))</f>
        <v>MANT11</v>
      </c>
      <c r="BD861" s="29" t="str">
        <f>CONCATENATE(BDEGENER[[#This Row],[SERIE]],BDEGENER[[#This Row],[GA5]])</f>
        <v>3004416581MANT11</v>
      </c>
      <c r="BE861" s="29" t="str">
        <f>CONCATENATE(BDEGENER[[#This Row],[CODIGO PATRIMONIAL]],BDEGENER[[#This Row],[GA5]])</f>
        <v>MANT11</v>
      </c>
      <c r="BF861" s="16">
        <f>COUNTIF(BDEGENER[SERIE],BDEGENER[[#This Row],[SERIE]])</f>
        <v>11</v>
      </c>
      <c r="BG861" s="683" t="str">
        <f>CONCATENATE("F",COUNTIF($K$7:K861,K861))</f>
        <v>F5</v>
      </c>
      <c r="BH861" s="325" t="str">
        <f>CONCATENATE(BDEGENER[[#This Row],[FECHA DE SERVICIO]],BDEGENER[[#This Row],[N° DE REGISTROS DEL DIA]])</f>
        <v>43724F5</v>
      </c>
      <c r="BI861" s="324"/>
      <c r="BJ861" s="85" t="s">
        <v>1544</v>
      </c>
      <c r="BK861" s="326"/>
    </row>
    <row r="862" spans="2:63" ht="69" hidden="1" x14ac:dyDescent="0.3">
      <c r="B862" s="129"/>
      <c r="C862" s="129"/>
      <c r="D862" s="129"/>
      <c r="E862" s="129"/>
      <c r="F862" s="129"/>
      <c r="G862" s="129"/>
      <c r="H862" s="129"/>
      <c r="I862" s="129"/>
      <c r="J862" s="129"/>
      <c r="K862" s="131">
        <v>43722</v>
      </c>
      <c r="L862" s="130" t="s">
        <v>791</v>
      </c>
      <c r="M862" s="85" t="s">
        <v>1174</v>
      </c>
      <c r="N862" s="19" t="s">
        <v>793</v>
      </c>
      <c r="O862" s="85"/>
      <c r="P862" s="85"/>
      <c r="Q862" s="85" t="s">
        <v>107</v>
      </c>
      <c r="R862" s="85" t="s">
        <v>1782</v>
      </c>
      <c r="S862" s="6" t="s">
        <v>1208</v>
      </c>
      <c r="T862" s="85" t="s">
        <v>1209</v>
      </c>
      <c r="U862" s="85" t="s">
        <v>1210</v>
      </c>
      <c r="V862" s="85" t="s">
        <v>149</v>
      </c>
      <c r="W862" s="85" t="s">
        <v>914</v>
      </c>
      <c r="X862" s="85" t="s">
        <v>917</v>
      </c>
      <c r="Y862" s="130" t="s">
        <v>835</v>
      </c>
      <c r="Z862" s="85"/>
      <c r="AA862" s="85" t="s">
        <v>841</v>
      </c>
      <c r="AB862" s="85" t="s">
        <v>1171</v>
      </c>
      <c r="AC862" s="85" t="s">
        <v>852</v>
      </c>
      <c r="AD862" s="85"/>
      <c r="AE862" s="85"/>
      <c r="AF862" s="132">
        <v>2748</v>
      </c>
      <c r="AG862" s="85"/>
      <c r="AH862" s="85"/>
      <c r="AI862" s="85" t="s">
        <v>841</v>
      </c>
      <c r="AJ862" s="85" t="s">
        <v>860</v>
      </c>
      <c r="AK862" s="85" t="s">
        <v>841</v>
      </c>
      <c r="AL862" s="85" t="s">
        <v>835</v>
      </c>
      <c r="AM862" s="85"/>
      <c r="AN862" s="85"/>
      <c r="AO862" s="85"/>
      <c r="AP862" s="85" t="s">
        <v>240</v>
      </c>
      <c r="AQ862" s="200" t="str">
        <f>CONCATENATE("REG-",BDEGENER[[#This Row],[FECHA DE SERVICIO]],"-",BDEGENER[[#This Row],[SERIE]],"-",BDEGENER[[#This Row],[HORAS]])</f>
        <v>REG-43722-6JA02716-2748</v>
      </c>
      <c r="AR862" s="85" t="str">
        <f>CONCATENATE("MARCA: ",BDEGENER[[#This Row],[MARCA]],"
 MODELO: ",BDEGENER[[#This Row],[MODELO]])</f>
        <v>MARCA: CATERPILLAR
 MODELO: SR4</v>
      </c>
      <c r="AS862" s="85" t="str">
        <f>CONCATENATE("MARCA: ",BDEGENER[[#This Row],[MARCA DE MOTOR]],"
SERIE: ",BDEGENER[[#This Row],[SERIE DE MOTOR]])</f>
        <v>MARCA: CATERPILLAR
SERIE: 30A04134</v>
      </c>
      <c r="AT862" s="85" t="str">
        <f>CONCATENATE("MARCA: ",BDEGENER[[#This Row],[MARCA ALTERNADOR ]],"
SERIE: ",BDEGENER[[#This Row],[SERIE DE ALTERNADOR]])</f>
        <v>MARCA: CATERPILLAR
SERIE: 6JA02716</v>
      </c>
      <c r="AU862" s="85" t="str">
        <f>CONCATENATE("HORAS: ",BDEGENER[[#This Row],[HORAS]],"
KW-HR: ",BDEGENER[[#This Row],[KW-HORA]],"
VOLT.BATERIA: ",BDEGENER[[#This Row],[VOLTAJE DE BATERIA]],"
TEMPERATURA: ",BDEGENER[[#This Row],[TEMPERATURA DE AGUA]],"
PRES. ACEITE: ",BDEGENER[[#This Row],[PRESION DE ACEITE]])</f>
        <v xml:space="preserve">HORAS: 2748
KW-HR: 
VOLT.BATERIA: 
TEMPERATURA: 
PRES. ACEITE: </v>
      </c>
      <c r="AV862" s="761">
        <f>COUNTIFS(Q862:Q2862,"MANTENIMIENTO CORRECTIVO",Y862:Y2862,BDEGENER[[#This Row],[SERIE]])</f>
        <v>1</v>
      </c>
      <c r="AW862" s="761">
        <f>COUNTIFS(Q862:Q2862,"MANTENIMIENTO PREVENTIVO",Y862:Y2862,BDEGENER[[#This Row],[SERIE]])</f>
        <v>0</v>
      </c>
      <c r="AX862"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62" s="85">
        <f>COUNTIFS(BDEGENER[SERIE],BDEGENER[[#This Row],[SERIE]],BDEGENER[TIPO DE SERVICIO],"MANTENIMIENTO PREVENTIVO")</f>
        <v>4</v>
      </c>
      <c r="AZ862" s="85" t="str">
        <f>CONCATENATE("MANTENIMIENTO PREVENTIVO N°",BDEGENER[[#This Row],[GA1]])</f>
        <v>MANTENIMIENTO PREVENTIVO N°4</v>
      </c>
      <c r="BA862" s="85" t="str">
        <f>IF(BDEGENER[[#This Row],[SERVICIO]]=BDEGENER[[#This Row],[GA2]],BDEGENER[[#This Row],[HORAS]],"0")</f>
        <v>0</v>
      </c>
      <c r="BB862" s="85">
        <f>SUMIF(BDEGENER[SERIE],BDEGENER[[#This Row],[SERIE]],BDEGENER[GA3])</f>
        <v>2751</v>
      </c>
      <c r="BC862" s="761" t="str">
        <f>CONCATENATE("MANT",COUNTIF($Y$7:Y862,Y862))</f>
        <v>MANT6</v>
      </c>
      <c r="BD862" s="85" t="str">
        <f>CONCATENATE(BDEGENER[[#This Row],[SERIE]],BDEGENER[[#This Row],[GA5]])</f>
        <v>6JA02716MANT6</v>
      </c>
      <c r="BE862" s="85" t="str">
        <f>CONCATENATE(BDEGENER[[#This Row],[CODIGO PATRIMONIAL]],BDEGENER[[#This Row],[GA5]])</f>
        <v>MANT6</v>
      </c>
      <c r="BF862" s="129">
        <f>COUNTIF(BDEGENER[SERIE],BDEGENER[[#This Row],[SERIE]])</f>
        <v>7</v>
      </c>
      <c r="BG862" s="761" t="str">
        <f>CONCATENATE("F",COUNTIF($K$7:K862,K862))</f>
        <v>F1</v>
      </c>
      <c r="BH862" s="325" t="str">
        <f>CONCATENATE(BDEGENER[[#This Row],[FECHA DE SERVICIO]],BDEGENER[[#This Row],[N° DE REGISTROS DEL DIA]])</f>
        <v>43722F1</v>
      </c>
      <c r="BI862" s="324"/>
      <c r="BJ862" s="325"/>
      <c r="BK862" s="326"/>
    </row>
    <row r="863" spans="2:63" ht="69" hidden="1" x14ac:dyDescent="0.3">
      <c r="B863" s="5"/>
      <c r="C863" s="34"/>
      <c r="D863" s="34"/>
      <c r="E863" s="34"/>
      <c r="F863" s="34"/>
      <c r="G863" s="34"/>
      <c r="H863" s="34"/>
      <c r="I863" s="34"/>
      <c r="J863" s="34"/>
      <c r="K863" s="37">
        <v>43722</v>
      </c>
      <c r="L863" s="31" t="s">
        <v>791</v>
      </c>
      <c r="M863" s="85" t="s">
        <v>1174</v>
      </c>
      <c r="N863" s="19" t="s">
        <v>793</v>
      </c>
      <c r="O863" s="35"/>
      <c r="P863" s="3"/>
      <c r="Q863" s="19" t="s">
        <v>107</v>
      </c>
      <c r="R863" s="85" t="s">
        <v>1782</v>
      </c>
      <c r="S863" s="19" t="s">
        <v>811</v>
      </c>
      <c r="T863" s="85" t="s">
        <v>1782</v>
      </c>
      <c r="U863" s="19" t="s">
        <v>812</v>
      </c>
      <c r="V863" s="19" t="s">
        <v>149</v>
      </c>
      <c r="W863" s="19" t="s">
        <v>914</v>
      </c>
      <c r="X863" s="19" t="s">
        <v>917</v>
      </c>
      <c r="Y863" s="31" t="s">
        <v>836</v>
      </c>
      <c r="Z863" s="16"/>
      <c r="AA863" s="19" t="s">
        <v>841</v>
      </c>
      <c r="AB863" s="19" t="s">
        <v>1171</v>
      </c>
      <c r="AC863" s="19" t="s">
        <v>852</v>
      </c>
      <c r="AD863" s="16"/>
      <c r="AE863" s="16"/>
      <c r="AF863" s="146">
        <v>119.6</v>
      </c>
      <c r="AG863" s="16"/>
      <c r="AH863" s="16"/>
      <c r="AI863" s="19" t="s">
        <v>841</v>
      </c>
      <c r="AJ863" s="19" t="s">
        <v>865</v>
      </c>
      <c r="AK863" s="16" t="s">
        <v>841</v>
      </c>
      <c r="AL863" s="16" t="s">
        <v>836</v>
      </c>
      <c r="AM863" s="16"/>
      <c r="AN863" s="16"/>
      <c r="AO863" s="16"/>
      <c r="AP863" s="19" t="s">
        <v>240</v>
      </c>
      <c r="AQ863" s="200" t="str">
        <f>CONCATENATE("REG-",BDEGENER[[#This Row],[FECHA DE SERVICIO]],"-",BDEGENER[[#This Row],[SERIE]],"-",BDEGENER[[#This Row],[HORAS]])</f>
        <v>REG-43722-6JA02715-119,6</v>
      </c>
      <c r="AR863" s="29" t="str">
        <f>CONCATENATE("MARCA: ",BDEGENER[[#This Row],[MARCA]],"
 MODELO: ",BDEGENER[[#This Row],[MODELO]])</f>
        <v>MARCA: CATERPILLAR
 MODELO: SR4</v>
      </c>
      <c r="AS863" s="29" t="str">
        <f>CONCATENATE("MARCA: ",BDEGENER[[#This Row],[MARCA DE MOTOR]],"
SERIE: ",BDEGENER[[#This Row],[SERIE DE MOTOR]])</f>
        <v>MARCA: CATERPILLAR
SERIE: 3DAD4135</v>
      </c>
      <c r="AT863" s="29" t="str">
        <f>CONCATENATE("MARCA: ",BDEGENER[[#This Row],[MARCA ALTERNADOR ]],"
SERIE: ",BDEGENER[[#This Row],[SERIE DE ALTERNADOR]])</f>
        <v>MARCA: CATERPILLAR
SERIE: 6JA02715</v>
      </c>
      <c r="AU863" s="29" t="str">
        <f>CONCATENATE("HORAS: ",BDEGENER[[#This Row],[HORAS]],"
KW-HR: ",BDEGENER[[#This Row],[KW-HORA]],"
VOLT.BATERIA: ",BDEGENER[[#This Row],[VOLTAJE DE BATERIA]],"
TEMPERATURA: ",BDEGENER[[#This Row],[TEMPERATURA DE AGUA]],"
PRES. ACEITE: ",BDEGENER[[#This Row],[PRESION DE ACEITE]])</f>
        <v xml:space="preserve">HORAS: 119,6
KW-HR: 
VOLT.BATERIA: 
TEMPERATURA: 
PRES. ACEITE: </v>
      </c>
      <c r="AV863" s="683">
        <f>COUNTIFS(Q863:Q2863,"MANTENIMIENTO CORRECTIVO",Y863:Y2863,BDEGENER[[#This Row],[SERIE]])</f>
        <v>1</v>
      </c>
      <c r="AW863" s="683">
        <f>COUNTIFS(Q863:Q2863,"MANTENIMIENTO PREVENTIVO",Y863:Y2863,BDEGENER[[#This Row],[SERIE]])</f>
        <v>0</v>
      </c>
      <c r="AX86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63" s="29">
        <f>COUNTIFS(BDEGENER[SERIE],BDEGENER[[#This Row],[SERIE]],BDEGENER[TIPO DE SERVICIO],"MANTENIMIENTO PREVENTIVO")</f>
        <v>4</v>
      </c>
      <c r="AZ863" s="29" t="str">
        <f>CONCATENATE("MANTENIMIENTO PREVENTIVO N°",BDEGENER[[#This Row],[GA1]])</f>
        <v>MANTENIMIENTO PREVENTIVO N°4</v>
      </c>
      <c r="BA863" s="325" t="str">
        <f>IF(BDEGENER[[#This Row],[SERVICIO]]=BDEGENER[[#This Row],[GA2]],BDEGENER[[#This Row],[HORAS]],"0")</f>
        <v>0</v>
      </c>
      <c r="BB863" s="325">
        <f>SUMIF(BDEGENER[SERIE],BDEGENER[[#This Row],[SERIE]],BDEGENER[GA3])</f>
        <v>119.6</v>
      </c>
      <c r="BC863" s="683" t="str">
        <f>CONCATENATE("MANT",COUNTIF($Y$7:Y863,Y863))</f>
        <v>MANT5</v>
      </c>
      <c r="BD863" s="29" t="str">
        <f>CONCATENATE(BDEGENER[[#This Row],[SERIE]],BDEGENER[[#This Row],[GA5]])</f>
        <v>6JA02715MANT5</v>
      </c>
      <c r="BE863" s="29" t="str">
        <f>CONCATENATE(BDEGENER[[#This Row],[CODIGO PATRIMONIAL]],BDEGENER[[#This Row],[GA5]])</f>
        <v>MANT5</v>
      </c>
      <c r="BF863" s="16">
        <f>COUNTIF(BDEGENER[SERIE],BDEGENER[[#This Row],[SERIE]])</f>
        <v>6</v>
      </c>
      <c r="BG863" s="683" t="str">
        <f>CONCATENATE("F",COUNTIF($K$7:K863,K863))</f>
        <v>F2</v>
      </c>
      <c r="BH863" s="325" t="str">
        <f>CONCATENATE(BDEGENER[[#This Row],[FECHA DE SERVICIO]],BDEGENER[[#This Row],[N° DE REGISTROS DEL DIA]])</f>
        <v>43722F2</v>
      </c>
      <c r="BI863" s="324"/>
      <c r="BJ863" s="325"/>
      <c r="BK863" s="326"/>
    </row>
    <row r="864" spans="2:63" ht="96.6" hidden="1" x14ac:dyDescent="0.3">
      <c r="B864" s="129"/>
      <c r="C864" s="129"/>
      <c r="D864" s="129"/>
      <c r="E864" s="129"/>
      <c r="F864" s="129"/>
      <c r="G864" s="129"/>
      <c r="H864" s="129"/>
      <c r="I864" s="129"/>
      <c r="J864" s="129"/>
      <c r="K864" s="131">
        <v>43721</v>
      </c>
      <c r="L864" s="130" t="s">
        <v>248</v>
      </c>
      <c r="M864" s="85" t="s">
        <v>296</v>
      </c>
      <c r="N864" s="85" t="s">
        <v>1420</v>
      </c>
      <c r="O864" s="85"/>
      <c r="P864" s="85"/>
      <c r="Q864" s="85" t="s">
        <v>107</v>
      </c>
      <c r="R864" s="85" t="s">
        <v>1782</v>
      </c>
      <c r="S864" s="6" t="s">
        <v>1419</v>
      </c>
      <c r="T864" s="85" t="s">
        <v>1782</v>
      </c>
      <c r="U864" s="85" t="s">
        <v>1417</v>
      </c>
      <c r="V864" s="85" t="s">
        <v>148</v>
      </c>
      <c r="W864" s="85" t="s">
        <v>913</v>
      </c>
      <c r="X864" s="85" t="s">
        <v>918</v>
      </c>
      <c r="Y864" s="130">
        <v>9319809</v>
      </c>
      <c r="Z864" s="85">
        <v>17922</v>
      </c>
      <c r="AA864" s="85" t="s">
        <v>33</v>
      </c>
      <c r="AB864" s="85">
        <v>65610</v>
      </c>
      <c r="AC864" s="85" t="s">
        <v>534</v>
      </c>
      <c r="AD864" s="85" t="s">
        <v>1416</v>
      </c>
      <c r="AE864" s="85"/>
      <c r="AF864" s="132">
        <v>427.41</v>
      </c>
      <c r="AG864" s="85" t="s">
        <v>1412</v>
      </c>
      <c r="AH864" s="85" t="s">
        <v>1413</v>
      </c>
      <c r="AI864" s="85" t="s">
        <v>33</v>
      </c>
      <c r="AJ864" s="85">
        <v>9319809</v>
      </c>
      <c r="AK864" s="85" t="s">
        <v>33</v>
      </c>
      <c r="AL864" s="85"/>
      <c r="AM864" s="85" t="s">
        <v>1418</v>
      </c>
      <c r="AN864" s="85"/>
      <c r="AO864" s="85"/>
      <c r="AP864" s="85" t="s">
        <v>240</v>
      </c>
      <c r="AQ864" s="85" t="str">
        <f>CONCATENATE("REG-",BDEGENER[[#This Row],[FECHA DE SERVICIO]],"-",BDEGENER[[#This Row],[SERIE]],"-",BDEGENER[[#This Row],[HORAS]])</f>
        <v>REG-43721-9319809-427,41</v>
      </c>
      <c r="AR864" s="85" t="str">
        <f>CONCATENATE("MARCA: ",BDEGENER[[#This Row],[MARCA]],"
 MODELO: ",BDEGENER[[#This Row],[MODELO]])</f>
        <v>MARCA: GENERAC
 MODELO: 65610</v>
      </c>
      <c r="AS864" s="85" t="str">
        <f>CONCATENATE("MARCA: ",BDEGENER[[#This Row],[MARCA DE MOTOR]],"
SERIE: ",BDEGENER[[#This Row],[SERIE DE MOTOR]])</f>
        <v>MARCA: GENERAC
SERIE: 9319809</v>
      </c>
      <c r="AT864" s="85" t="str">
        <f>CONCATENATE("MARCA: ",BDEGENER[[#This Row],[MARCA ALTERNADOR ]],"
SERIE: ",BDEGENER[[#This Row],[SERIE DE ALTERNADOR]])</f>
        <v xml:space="preserve">MARCA: GENERAC
SERIE: </v>
      </c>
      <c r="AU864" s="85" t="str">
        <f>CONCATENATE("HORAS: ",BDEGENER[[#This Row],[HORAS]],"
KW-HR: ",BDEGENER[[#This Row],[KW-HORA]],"
VOLT.BATERIA: ",BDEGENER[[#This Row],[VOLTAJE DE BATERIA]],"
TEMPERATURA: ",BDEGENER[[#This Row],[TEMPERATURA DE AGUA]],"
PRES. ACEITE: ",BDEGENER[[#This Row],[PRESION DE ACEITE]])</f>
        <v xml:space="preserve">HORAS: 427,41
KW-HR: 
VOLT.BATERIA: 12.5 v
TEMPERATURA: 
PRES. ACEITE: </v>
      </c>
      <c r="AV864" s="683">
        <f>COUNTIFS(Q864:Q2864,"MANTENIMIENTO CORRECTIVO",Y864:Y2864,BDEGENER[[#This Row],[SERIE]])</f>
        <v>4</v>
      </c>
      <c r="AW864" s="683">
        <f>COUNTIFS(Q864:Q2864,"MANTENIMIENTO PREVENTIVO",Y864:Y2864,BDEGENER[[#This Row],[SERIE]])</f>
        <v>2</v>
      </c>
      <c r="AX86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864" s="85">
        <f>COUNTIFS(BDEGENER[SERIE],BDEGENER[[#This Row],[SERIE]],BDEGENER[TIPO DE SERVICIO],"MANTENIMIENTO PREVENTIVO")</f>
        <v>2</v>
      </c>
      <c r="AZ864" s="85" t="str">
        <f>CONCATENATE("MANTENIMIENTO PREVENTIVO N°",BDEGENER[[#This Row],[GA1]])</f>
        <v>MANTENIMIENTO PREVENTIVO N°2</v>
      </c>
      <c r="BA864" s="85" t="str">
        <f>IF(BDEGENER[[#This Row],[SERVICIO]]=BDEGENER[[#This Row],[GA2]],BDEGENER[[#This Row],[HORAS]],"0")</f>
        <v>0</v>
      </c>
      <c r="BB864" s="85">
        <f>SUMIF(BDEGENER[SERIE],BDEGENER[[#This Row],[SERIE]],BDEGENER[GA3])</f>
        <v>0</v>
      </c>
      <c r="BC864" s="683" t="str">
        <f>CONCATENATE("MANT",COUNTIF($Y$7:Y864,Y864))</f>
        <v>MANT1</v>
      </c>
      <c r="BD864" s="85" t="str">
        <f>CONCATENATE(BDEGENER[[#This Row],[SERIE]],BDEGENER[[#This Row],[GA5]])</f>
        <v>9319809MANT1</v>
      </c>
      <c r="BE864" s="85" t="str">
        <f>CONCATENATE(BDEGENER[[#This Row],[CODIGO PATRIMONIAL]],BDEGENER[[#This Row],[GA5]])</f>
        <v>17922MANT1</v>
      </c>
      <c r="BF864" s="129">
        <f>COUNTIF(BDEGENER[SERIE],BDEGENER[[#This Row],[SERIE]])</f>
        <v>8</v>
      </c>
      <c r="BG864" s="683" t="str">
        <f>CONCATENATE("F",COUNTIF($K$7:K864,K864))</f>
        <v>F1</v>
      </c>
      <c r="BH864" s="129" t="str">
        <f>CONCATENATE(BDEGENER[[#This Row],[FECHA DE SERVICIO]],BDEGENER[[#This Row],[N° DE REGISTROS DEL DIA]])</f>
        <v>43721F1</v>
      </c>
      <c r="BI864" s="324"/>
      <c r="BJ864" s="325"/>
      <c r="BK864" s="326"/>
    </row>
    <row r="865" spans="2:63" ht="110.4" hidden="1" x14ac:dyDescent="0.3">
      <c r="B865" s="129"/>
      <c r="C865" s="129"/>
      <c r="D865" s="129"/>
      <c r="E865" s="129"/>
      <c r="F865" s="129"/>
      <c r="G865" s="129"/>
      <c r="H865" s="129"/>
      <c r="I865" s="129"/>
      <c r="J865" s="129"/>
      <c r="K865" s="131">
        <v>43721</v>
      </c>
      <c r="L865" s="130" t="s">
        <v>248</v>
      </c>
      <c r="M865" s="85" t="s">
        <v>1408</v>
      </c>
      <c r="N865" s="85" t="s">
        <v>1409</v>
      </c>
      <c r="O865" s="85"/>
      <c r="P865" s="85"/>
      <c r="Q865" s="85" t="s">
        <v>107</v>
      </c>
      <c r="R865" s="85" t="s">
        <v>1782</v>
      </c>
      <c r="S865" s="6" t="s">
        <v>1410</v>
      </c>
      <c r="T865" s="85" t="s">
        <v>1782</v>
      </c>
      <c r="U865" s="85" t="s">
        <v>1411</v>
      </c>
      <c r="V865" s="85" t="s">
        <v>148</v>
      </c>
      <c r="W865" s="85" t="s">
        <v>913</v>
      </c>
      <c r="X865" s="85" t="s">
        <v>918</v>
      </c>
      <c r="Y865" s="130">
        <v>9319804</v>
      </c>
      <c r="Z865" s="85">
        <v>17523</v>
      </c>
      <c r="AA865" s="85" t="s">
        <v>33</v>
      </c>
      <c r="AB865" s="85">
        <v>65610</v>
      </c>
      <c r="AC865" s="23" t="s">
        <v>535</v>
      </c>
      <c r="AD865" s="85" t="s">
        <v>1415</v>
      </c>
      <c r="AE865" s="85"/>
      <c r="AF865" s="132">
        <v>1383.3</v>
      </c>
      <c r="AG865" s="85" t="s">
        <v>1412</v>
      </c>
      <c r="AH865" s="85" t="s">
        <v>1413</v>
      </c>
      <c r="AI865" s="85" t="s">
        <v>33</v>
      </c>
      <c r="AJ865" s="85"/>
      <c r="AK865" s="85" t="s">
        <v>33</v>
      </c>
      <c r="AL865" s="85"/>
      <c r="AM865" s="85" t="s">
        <v>1414</v>
      </c>
      <c r="AN865" s="85"/>
      <c r="AO865" s="85"/>
      <c r="AP865" s="85" t="s">
        <v>240</v>
      </c>
      <c r="AQ865" s="85" t="str">
        <f>CONCATENATE("REG-",BDEGENER[[#This Row],[FECHA DE SERVICIO]],"-",BDEGENER[[#This Row],[SERIE]],"-",BDEGENER[[#This Row],[HORAS]])</f>
        <v>REG-43721-9319804-1383,3</v>
      </c>
      <c r="AR865" s="85" t="str">
        <f>CONCATENATE("MARCA: ",BDEGENER[[#This Row],[MARCA]],"
 MODELO: ",BDEGENER[[#This Row],[MODELO]])</f>
        <v>MARCA: GENERAC
 MODELO: 65610</v>
      </c>
      <c r="AS865" s="85" t="str">
        <f>CONCATENATE("MARCA: ",BDEGENER[[#This Row],[MARCA DE MOTOR]],"
SERIE: ",BDEGENER[[#This Row],[SERIE DE MOTOR]])</f>
        <v xml:space="preserve">MARCA: GENERAC
SERIE: </v>
      </c>
      <c r="AT865" s="85" t="str">
        <f>CONCATENATE("MARCA: ",BDEGENER[[#This Row],[MARCA ALTERNADOR ]],"
SERIE: ",BDEGENER[[#This Row],[SERIE DE ALTERNADOR]])</f>
        <v xml:space="preserve">MARCA: GENERAC
SERIE: </v>
      </c>
      <c r="AU865" s="85" t="str">
        <f>CONCATENATE("HORAS: ",BDEGENER[[#This Row],[HORAS]],"
KW-HR: ",BDEGENER[[#This Row],[KW-HORA]],"
VOLT.BATERIA: ",BDEGENER[[#This Row],[VOLTAJE DE BATERIA]],"
TEMPERATURA: ",BDEGENER[[#This Row],[TEMPERATURA DE AGUA]],"
PRES. ACEITE: ",BDEGENER[[#This Row],[PRESION DE ACEITE]])</f>
        <v xml:space="preserve">HORAS: 1383,3
KW-HR: 
VOLT.BATERIA: 12.57 V
TEMPERATURA: 
PRES. ACEITE: </v>
      </c>
      <c r="AV865" s="761">
        <f>COUNTIFS(Q865:Q2865,"MANTENIMIENTO CORRECTIVO",Y865:Y2865,BDEGENER[[#This Row],[SERIE]])</f>
        <v>7</v>
      </c>
      <c r="AW865" s="761">
        <f>COUNTIFS(Q865:Q2865,"MANTENIMIENTO PREVENTIVO",Y865:Y2865,BDEGENER[[#This Row],[SERIE]])</f>
        <v>2</v>
      </c>
      <c r="AX86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N°7</v>
      </c>
      <c r="AY865" s="85">
        <f>COUNTIFS(BDEGENER[SERIE],BDEGENER[[#This Row],[SERIE]],BDEGENER[TIPO DE SERVICIO],"MANTENIMIENTO PREVENTIVO")</f>
        <v>2</v>
      </c>
      <c r="AZ865" s="85" t="str">
        <f>CONCATENATE("MANTENIMIENTO PREVENTIVO N°",BDEGENER[[#This Row],[GA1]])</f>
        <v>MANTENIMIENTO PREVENTIVO N°2</v>
      </c>
      <c r="BA865" s="85" t="str">
        <f>IF(BDEGENER[[#This Row],[SERVICIO]]=BDEGENER[[#This Row],[GA2]],BDEGENER[[#This Row],[HORAS]],"0")</f>
        <v>0</v>
      </c>
      <c r="BB865" s="85">
        <f>SUMIF(BDEGENER[SERIE],BDEGENER[[#This Row],[SERIE]],BDEGENER[GA3])</f>
        <v>872.68</v>
      </c>
      <c r="BC865" s="761" t="str">
        <f>CONCATENATE("MANT",COUNTIF($Y$7:Y865,Y865))</f>
        <v>MANT1</v>
      </c>
      <c r="BD865" s="85" t="str">
        <f>CONCATENATE(BDEGENER[[#This Row],[SERIE]],BDEGENER[[#This Row],[GA5]])</f>
        <v>9319804MANT1</v>
      </c>
      <c r="BE865" s="85" t="str">
        <f>CONCATENATE(BDEGENER[[#This Row],[CODIGO PATRIMONIAL]],BDEGENER[[#This Row],[GA5]])</f>
        <v>17523MANT1</v>
      </c>
      <c r="BF865" s="129">
        <f>COUNTIF(BDEGENER[SERIE],BDEGENER[[#This Row],[SERIE]])</f>
        <v>10</v>
      </c>
      <c r="BG865" s="761" t="str">
        <f>CONCATENATE("F",COUNTIF($K$7:K865,K865))</f>
        <v>F2</v>
      </c>
      <c r="BH865" s="129" t="str">
        <f>CONCATENATE(BDEGENER[[#This Row],[FECHA DE SERVICIO]],BDEGENER[[#This Row],[N° DE REGISTROS DEL DIA]])</f>
        <v>43721F2</v>
      </c>
      <c r="BI865" s="324"/>
      <c r="BJ865" s="325"/>
      <c r="BK865" s="326"/>
    </row>
    <row r="866" spans="2:63" ht="69" hidden="1" x14ac:dyDescent="0.3">
      <c r="B866" s="129"/>
      <c r="C866" s="129"/>
      <c r="D866" s="129"/>
      <c r="E866" s="129"/>
      <c r="F866" s="129"/>
      <c r="G866" s="129"/>
      <c r="H866" s="129"/>
      <c r="I866" s="129"/>
      <c r="J866" s="129"/>
      <c r="K866" s="131">
        <v>43719</v>
      </c>
      <c r="L866" s="130" t="s">
        <v>181</v>
      </c>
      <c r="M866" s="85" t="s">
        <v>186</v>
      </c>
      <c r="N866" s="85" t="s">
        <v>946</v>
      </c>
      <c r="O866" s="85"/>
      <c r="P866" s="85"/>
      <c r="Q866" s="85" t="s">
        <v>107</v>
      </c>
      <c r="R866" s="85" t="s">
        <v>1252</v>
      </c>
      <c r="S866" s="6" t="s">
        <v>1669</v>
      </c>
      <c r="T866" s="85" t="s">
        <v>1671</v>
      </c>
      <c r="U866" s="85" t="s">
        <v>1670</v>
      </c>
      <c r="V866" s="85" t="s">
        <v>149</v>
      </c>
      <c r="W866" s="85" t="s">
        <v>914</v>
      </c>
      <c r="X866" s="85" t="s">
        <v>918</v>
      </c>
      <c r="Y866" s="15">
        <v>3004327724</v>
      </c>
      <c r="Z866" s="85"/>
      <c r="AA866" s="85" t="s">
        <v>33</v>
      </c>
      <c r="AB866" s="85" t="s">
        <v>34</v>
      </c>
      <c r="AC866" s="85" t="s">
        <v>230</v>
      </c>
      <c r="AD866" s="85"/>
      <c r="AE866" s="85"/>
      <c r="AF866" s="132">
        <v>3.5</v>
      </c>
      <c r="AG866" s="85" t="s">
        <v>243</v>
      </c>
      <c r="AH866" s="85" t="s">
        <v>220</v>
      </c>
      <c r="AI866" s="85" t="s">
        <v>33</v>
      </c>
      <c r="AJ866" s="85">
        <v>3004333872</v>
      </c>
      <c r="AK866" s="85" t="s">
        <v>33</v>
      </c>
      <c r="AL866" s="85"/>
      <c r="AM866" s="85"/>
      <c r="AN866" s="85"/>
      <c r="AO866" s="85"/>
      <c r="AP866" s="85" t="s">
        <v>240</v>
      </c>
      <c r="AQ866" s="85" t="str">
        <f>CONCATENATE("REG-",BDEGENER[[#This Row],[FECHA DE SERVICIO]],"-",BDEGENER[[#This Row],[SERIE]],"-",BDEGENER[[#This Row],[HORAS]])</f>
        <v>REG-43719-3004327724-3,5</v>
      </c>
      <c r="AR866" s="85" t="str">
        <f>CONCATENATE("MARCA: ",BDEGENER[[#This Row],[MARCA]],"
 MODELO: ",BDEGENER[[#This Row],[MODELO]])</f>
        <v>MARCA: GENERAC
 MODELO: PG090</v>
      </c>
      <c r="AS866" s="85" t="str">
        <f>CONCATENATE("MARCA: ",BDEGENER[[#This Row],[MARCA DE MOTOR]],"
SERIE: ",BDEGENER[[#This Row],[SERIE DE MOTOR]])</f>
        <v>MARCA: GENERAC
SERIE: 3004333872</v>
      </c>
      <c r="AT866" s="85" t="str">
        <f>CONCATENATE("MARCA: ",BDEGENER[[#This Row],[MARCA ALTERNADOR ]],"
SERIE: ",BDEGENER[[#This Row],[SERIE DE ALTERNADOR]])</f>
        <v xml:space="preserve">MARCA: GENERAC
SERIE: </v>
      </c>
      <c r="AU866" s="85" t="str">
        <f>CONCATENATE("HORAS: ",BDEGENER[[#This Row],[HORAS]],"
KW-HR: ",BDEGENER[[#This Row],[KW-HORA]],"
VOLT.BATERIA: ",BDEGENER[[#This Row],[VOLTAJE DE BATERIA]],"
TEMPERATURA: ",BDEGENER[[#This Row],[TEMPERATURA DE AGUA]],"
PRES. ACEITE: ",BDEGENER[[#This Row],[PRESION DE ACEITE]])</f>
        <v xml:space="preserve">HORAS: 3,5
KW-HR: 
VOLT.BATERIA: 
TEMPERATURA: 
PRES. ACEITE: </v>
      </c>
      <c r="AV866" s="683">
        <f>COUNTIFS(Q866:Q2866,"MANTENIMIENTO CORRECTIVO",Y866:Y2866,BDEGENER[[#This Row],[SERIE]])</f>
        <v>1</v>
      </c>
      <c r="AW866" s="683">
        <f>COUNTIFS(Q866:Q2866,"MANTENIMIENTO PREVENTIVO",Y866:Y2866,BDEGENER[[#This Row],[SERIE]])</f>
        <v>0</v>
      </c>
      <c r="AX86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66" s="85">
        <f>COUNTIFS(BDEGENER[SERIE],BDEGENER[[#This Row],[SERIE]],BDEGENER[TIPO DE SERVICIO],"MANTENIMIENTO PREVENTIVO")</f>
        <v>8</v>
      </c>
      <c r="AZ866" s="85" t="str">
        <f>CONCATENATE("MANTENIMIENTO PREVENTIVO N°",BDEGENER[[#This Row],[GA1]])</f>
        <v>MANTENIMIENTO PREVENTIVO N°8</v>
      </c>
      <c r="BA866" s="85" t="str">
        <f>IF(BDEGENER[[#This Row],[SERVICIO]]=BDEGENER[[#This Row],[GA2]],BDEGENER[[#This Row],[HORAS]],"0")</f>
        <v>0</v>
      </c>
      <c r="BB866" s="85">
        <f>SUMIF(BDEGENER[SERIE],BDEGENER[[#This Row],[SERIE]],BDEGENER[GA3])</f>
        <v>2271.8000000000002</v>
      </c>
      <c r="BC866" s="683" t="str">
        <f>CONCATENATE("MANT",COUNTIF($Y$7:Y866,Y866))</f>
        <v>MANT16</v>
      </c>
      <c r="BD866" s="85" t="str">
        <f>CONCATENATE(BDEGENER[[#This Row],[SERIE]],BDEGENER[[#This Row],[GA5]])</f>
        <v>3004327724MANT16</v>
      </c>
      <c r="BE866" s="85" t="str">
        <f>CONCATENATE(BDEGENER[[#This Row],[CODIGO PATRIMONIAL]],BDEGENER[[#This Row],[GA5]])</f>
        <v>MANT16</v>
      </c>
      <c r="BF866" s="85">
        <f>COUNTIF(BDEGENER[SERIE],BDEGENER[[#This Row],[SERIE]])</f>
        <v>17</v>
      </c>
      <c r="BG866" s="683" t="str">
        <f>CONCATENATE("F",COUNTIF($K$7:K866,K866))</f>
        <v>F1</v>
      </c>
      <c r="BH866" s="85" t="str">
        <f>CONCATENATE(BDEGENER[[#This Row],[FECHA DE SERVICIO]],BDEGENER[[#This Row],[N° DE REGISTROS DEL DIA]])</f>
        <v>43719F1</v>
      </c>
      <c r="BI866" s="132"/>
      <c r="BJ866" s="85" t="s">
        <v>1544</v>
      </c>
      <c r="BK866" s="326"/>
    </row>
    <row r="867" spans="2:63" ht="69" hidden="1" x14ac:dyDescent="0.3">
      <c r="B867" s="34"/>
      <c r="C867" s="34"/>
      <c r="D867" s="34"/>
      <c r="E867" s="34"/>
      <c r="F867" s="34"/>
      <c r="G867" s="34"/>
      <c r="H867" s="34"/>
      <c r="I867" s="34"/>
      <c r="J867" s="34"/>
      <c r="K867" s="37">
        <v>43719</v>
      </c>
      <c r="L867" s="30" t="s">
        <v>561</v>
      </c>
      <c r="M867" s="19" t="s">
        <v>577</v>
      </c>
      <c r="N867" s="19" t="s">
        <v>578</v>
      </c>
      <c r="O867" s="19"/>
      <c r="P867" s="19"/>
      <c r="Q867" s="19" t="s">
        <v>37</v>
      </c>
      <c r="R867" s="85" t="s">
        <v>1782</v>
      </c>
      <c r="S867" s="19" t="s">
        <v>611</v>
      </c>
      <c r="T867" s="85" t="s">
        <v>1782</v>
      </c>
      <c r="U867" s="19" t="s">
        <v>674</v>
      </c>
      <c r="V867" s="19" t="s">
        <v>149</v>
      </c>
      <c r="W867" s="85" t="s">
        <v>913</v>
      </c>
      <c r="X867" s="85" t="s">
        <v>918</v>
      </c>
      <c r="Y867" s="31">
        <v>3003415536</v>
      </c>
      <c r="Z867" s="85" t="s">
        <v>2604</v>
      </c>
      <c r="AA867" s="19" t="s">
        <v>33</v>
      </c>
      <c r="AB867" s="19" t="s">
        <v>217</v>
      </c>
      <c r="AC867" s="19" t="s">
        <v>749</v>
      </c>
      <c r="AD867" s="16"/>
      <c r="AE867" s="16"/>
      <c r="AF867" s="146">
        <v>2032.6</v>
      </c>
      <c r="AG867" s="16"/>
      <c r="AH867" s="16"/>
      <c r="AI867" s="16"/>
      <c r="AJ867" s="16"/>
      <c r="AK867" s="16"/>
      <c r="AL867" s="16"/>
      <c r="AM867" s="16"/>
      <c r="AN867" s="16"/>
      <c r="AO867" s="16"/>
      <c r="AP867" s="19" t="s">
        <v>240</v>
      </c>
      <c r="AQ867" s="6" t="str">
        <f>CONCATENATE("REG-",BDEGENER[[#This Row],[FECHA DE SERVICIO]],"-",BDEGENER[[#This Row],[SERIE]],"-",BDEGENER[[#This Row],[HORAS]])</f>
        <v>REG-43719-3003415536-2032,6</v>
      </c>
      <c r="AR867" s="5" t="str">
        <f>CONCATENATE("MARCA: ",BDEGENER[[#This Row],[MARCA]],"
 MODELO: ",BDEGENER[[#This Row],[MODELO]])</f>
        <v>MARCA: GENERAC
 MODELO: RG022</v>
      </c>
      <c r="AS867" s="5" t="str">
        <f>CONCATENATE("MARCA: ",BDEGENER[[#This Row],[MARCA DE MOTOR]],"
SERIE: ",BDEGENER[[#This Row],[SERIE DE MOTOR]])</f>
        <v xml:space="preserve">MARCA: 
SERIE: </v>
      </c>
      <c r="AT867" s="5" t="str">
        <f>CONCATENATE("MARCA: ",BDEGENER[[#This Row],[MARCA ALTERNADOR ]],"
SERIE: ",BDEGENER[[#This Row],[SERIE DE ALTERNADOR]])</f>
        <v xml:space="preserve">MARCA: 
SERIE: </v>
      </c>
      <c r="AU867" s="29" t="str">
        <f>CONCATENATE("HORAS: ",BDEGENER[[#This Row],[HORAS]],"
KW-HR: ",BDEGENER[[#This Row],[KW-HORA]],"
VOLT.BATERIA: ",BDEGENER[[#This Row],[VOLTAJE DE BATERIA]],"
TEMPERATURA: ",BDEGENER[[#This Row],[TEMPERATURA DE AGUA]],"
PRES. ACEITE: ",BDEGENER[[#This Row],[PRESION DE ACEITE]])</f>
        <v xml:space="preserve">HORAS: 2032,6
KW-HR: 
VOLT.BATERIA: 
TEMPERATURA: 
PRES. ACEITE: </v>
      </c>
      <c r="AV867" s="683">
        <f>COUNTIFS(Q867:Q2867,"MANTENIMIENTO CORRECTIVO",Y867:Y2867,BDEGENER[[#This Row],[SERIE]])</f>
        <v>0</v>
      </c>
      <c r="AW867" s="683">
        <f>COUNTIFS(Q867:Q2867,"MANTENIMIENTO PREVENTIVO",Y867:Y2867,BDEGENER[[#This Row],[SERIE]])</f>
        <v>4</v>
      </c>
      <c r="AX86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867" s="29">
        <f>COUNTIFS(BDEGENER[SERIE],BDEGENER[[#This Row],[SERIE]],BDEGENER[TIPO DE SERVICIO],"MANTENIMIENTO PREVENTIVO")</f>
        <v>10</v>
      </c>
      <c r="AZ867" s="29" t="str">
        <f>CONCATENATE("MANTENIMIENTO PREVENTIVO N°",BDEGENER[[#This Row],[GA1]])</f>
        <v>MANTENIMIENTO PREVENTIVO N°10</v>
      </c>
      <c r="BA867" s="325" t="str">
        <f>IF(BDEGENER[[#This Row],[SERVICIO]]=BDEGENER[[#This Row],[GA2]],BDEGENER[[#This Row],[HORAS]],"0")</f>
        <v>0</v>
      </c>
      <c r="BB867" s="325">
        <f>SUMIF(BDEGENER[SERIE],BDEGENER[[#This Row],[SERIE]],BDEGENER[GA3])</f>
        <v>5559.8</v>
      </c>
      <c r="BC867" s="683" t="str">
        <f>CONCATENATE("MANT",COUNTIF($Y$7:Y867,Y867))</f>
        <v>MANT9</v>
      </c>
      <c r="BD867" s="29" t="str">
        <f>CONCATENATE(BDEGENER[[#This Row],[SERIE]],BDEGENER[[#This Row],[GA5]])</f>
        <v>3003415536MANT9</v>
      </c>
      <c r="BE867" s="29" t="str">
        <f>CONCATENATE(BDEGENER[[#This Row],[CODIGO PATRIMONIAL]],BDEGENER[[#This Row],[GA5]])</f>
        <v>SUR-GEG-0008MANT9</v>
      </c>
      <c r="BF867" s="16">
        <f>COUNTIF(BDEGENER[SERIE],BDEGENER[[#This Row],[SERIE]])</f>
        <v>12</v>
      </c>
      <c r="BG867" s="683" t="str">
        <f>CONCATENATE("F",COUNTIF($K$7:K867,K867))</f>
        <v>F2</v>
      </c>
      <c r="BH867" s="325" t="str">
        <f>CONCATENATE(BDEGENER[[#This Row],[FECHA DE SERVICIO]],BDEGENER[[#This Row],[N° DE REGISTROS DEL DIA]])</f>
        <v>43719F2</v>
      </c>
      <c r="BI867" s="324"/>
      <c r="BJ867" s="325"/>
      <c r="BK867" s="326"/>
    </row>
    <row r="868" spans="2:63" ht="69" hidden="1" x14ac:dyDescent="0.3">
      <c r="B868" s="223"/>
      <c r="C868" s="223"/>
      <c r="D868" s="223"/>
      <c r="E868" s="223"/>
      <c r="F868" s="223"/>
      <c r="G868" s="223"/>
      <c r="H868" s="223"/>
      <c r="I868" s="223"/>
      <c r="J868" s="223"/>
      <c r="K868" s="723">
        <v>43719</v>
      </c>
      <c r="L868" s="15" t="s">
        <v>181</v>
      </c>
      <c r="M868" s="14" t="s">
        <v>188</v>
      </c>
      <c r="N868" s="14" t="s">
        <v>183</v>
      </c>
      <c r="O868" s="8" t="s">
        <v>159</v>
      </c>
      <c r="P868" s="15" t="s">
        <v>159</v>
      </c>
      <c r="Q868" s="14" t="s">
        <v>107</v>
      </c>
      <c r="R868" s="85" t="s">
        <v>1782</v>
      </c>
      <c r="S868" s="5" t="s">
        <v>52</v>
      </c>
      <c r="T868" s="14" t="s">
        <v>95</v>
      </c>
      <c r="U868" s="14" t="s">
        <v>122</v>
      </c>
      <c r="V868" s="14" t="s">
        <v>149</v>
      </c>
      <c r="W868" s="683" t="s">
        <v>914</v>
      </c>
      <c r="X868" s="691" t="s">
        <v>918</v>
      </c>
      <c r="Y868" s="15">
        <v>3004381437</v>
      </c>
      <c r="Z868" s="779"/>
      <c r="AA868" s="14" t="s">
        <v>33</v>
      </c>
      <c r="AB868" s="85" t="s">
        <v>34</v>
      </c>
      <c r="AC868" s="14" t="s">
        <v>230</v>
      </c>
      <c r="AD868" s="16"/>
      <c r="AE868" s="16"/>
      <c r="AF868" s="12" t="s">
        <v>177</v>
      </c>
      <c r="AG868" s="16" t="s">
        <v>243</v>
      </c>
      <c r="AH868" s="16" t="s">
        <v>220</v>
      </c>
      <c r="AI868" s="16" t="s">
        <v>33</v>
      </c>
      <c r="AJ868" s="16">
        <v>3004346804</v>
      </c>
      <c r="AK868" s="16" t="s">
        <v>33</v>
      </c>
      <c r="AL868" s="16">
        <v>106309630</v>
      </c>
      <c r="AM868" s="16"/>
      <c r="AN868" s="16"/>
      <c r="AO868" s="16"/>
      <c r="AP868" s="14" t="s">
        <v>240</v>
      </c>
      <c r="AQ868" s="72" t="str">
        <f>CONCATENATE("REG-",BDEGENER[[#This Row],[FECHA DE SERVICIO]],"-",BDEGENER[[#This Row],[SERIE]],"-",BDEGENER[[#This Row],[HORAS]])</f>
        <v>REG-43719-3004381437-NR</v>
      </c>
      <c r="AR868" s="5" t="str">
        <f>CONCATENATE("MARCA: ",BDEGENER[[#This Row],[MARCA]],"
 MODELO: ",BDEGENER[[#This Row],[MODELO]])</f>
        <v>MARCA: GENERAC
 MODELO: PG090</v>
      </c>
      <c r="AS868" s="5" t="str">
        <f>CONCATENATE("MARCA: ",BDEGENER[[#This Row],[MARCA DE MOTOR]],"
SERIE: ",BDEGENER[[#This Row],[SERIE DE MOTOR]])</f>
        <v>MARCA: GENERAC
SERIE: 3004346804</v>
      </c>
      <c r="AT868" s="5" t="str">
        <f>CONCATENATE("MARCA: ",BDEGENER[[#This Row],[MARCA ALTERNADOR ]],"
SERIE: ",BDEGENER[[#This Row],[SERIE DE ALTERNADOR]])</f>
        <v>MARCA: GENERAC
SERIE: 106309630</v>
      </c>
      <c r="AU868"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68" s="761">
        <f>COUNTIFS(Q868:Q2868,"MANTENIMIENTO CORRECTIVO",Y868:Y2868,BDEGENER[[#This Row],[SERIE]])</f>
        <v>1</v>
      </c>
      <c r="AW868" s="761">
        <f>COUNTIFS(Q868:Q2868,"MANTENIMIENTO PREVENTIVO",Y868:Y2868,BDEGENER[[#This Row],[SERIE]])</f>
        <v>0</v>
      </c>
      <c r="AX86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68" s="29">
        <f>COUNTIFS(BDEGENER[SERIE],BDEGENER[[#This Row],[SERIE]],BDEGENER[TIPO DE SERVICIO],"MANTENIMIENTO PREVENTIVO")</f>
        <v>8</v>
      </c>
      <c r="AZ868" s="29" t="str">
        <f>CONCATENATE("MANTENIMIENTO PREVENTIVO N°",BDEGENER[[#This Row],[GA1]])</f>
        <v>MANTENIMIENTO PREVENTIVO N°8</v>
      </c>
      <c r="BA868" s="325" t="str">
        <f>IF(BDEGENER[[#This Row],[SERVICIO]]=BDEGENER[[#This Row],[GA2]],BDEGENER[[#This Row],[HORAS]],"0")</f>
        <v>0</v>
      </c>
      <c r="BB868" s="325">
        <f>SUMIF(BDEGENER[SERIE],BDEGENER[[#This Row],[SERIE]],BDEGENER[GA3])</f>
        <v>2359.6</v>
      </c>
      <c r="BC868" s="761" t="str">
        <f>CONCATENATE("MANT",COUNTIF($Y$7:Y868,Y868))</f>
        <v>MANT11</v>
      </c>
      <c r="BD868" s="29" t="str">
        <f>CONCATENATE(BDEGENER[[#This Row],[SERIE]],BDEGENER[[#This Row],[GA5]])</f>
        <v>3004381437MANT11</v>
      </c>
      <c r="BE868" s="29" t="str">
        <f>CONCATENATE(BDEGENER[[#This Row],[CODIGO PATRIMONIAL]],BDEGENER[[#This Row],[GA5]])</f>
        <v>MANT11</v>
      </c>
      <c r="BF868" s="16">
        <f>COUNTIF(BDEGENER[SERIE],BDEGENER[[#This Row],[SERIE]])</f>
        <v>12</v>
      </c>
      <c r="BG868" s="761" t="str">
        <f>CONCATENATE("F",COUNTIF($K$7:K868,K868))</f>
        <v>F3</v>
      </c>
      <c r="BH868" s="325" t="str">
        <f>CONCATENATE(BDEGENER[[#This Row],[FECHA DE SERVICIO]],BDEGENER[[#This Row],[N° DE REGISTROS DEL DIA]])</f>
        <v>43719F3</v>
      </c>
      <c r="BI868" s="324"/>
      <c r="BJ868" s="85" t="s">
        <v>1544</v>
      </c>
      <c r="BK868" s="326"/>
    </row>
    <row r="869" spans="2:63" ht="69" hidden="1" x14ac:dyDescent="0.3">
      <c r="B869" s="223"/>
      <c r="C869" s="223"/>
      <c r="D869" s="223"/>
      <c r="E869" s="223"/>
      <c r="F869" s="223"/>
      <c r="G869" s="223"/>
      <c r="H869" s="223"/>
      <c r="I869" s="223"/>
      <c r="J869" s="223"/>
      <c r="K869" s="723">
        <v>43719</v>
      </c>
      <c r="L869" s="15" t="s">
        <v>181</v>
      </c>
      <c r="M869" s="14" t="s">
        <v>1962</v>
      </c>
      <c r="N869" s="14" t="s">
        <v>183</v>
      </c>
      <c r="O869" s="8" t="s">
        <v>159</v>
      </c>
      <c r="P869" s="15" t="s">
        <v>159</v>
      </c>
      <c r="Q869" s="14" t="s">
        <v>107</v>
      </c>
      <c r="R869" s="85" t="s">
        <v>1782</v>
      </c>
      <c r="S869" s="5" t="s">
        <v>52</v>
      </c>
      <c r="T869" s="14" t="s">
        <v>95</v>
      </c>
      <c r="U869" s="14" t="s">
        <v>122</v>
      </c>
      <c r="V869" s="14" t="s">
        <v>149</v>
      </c>
      <c r="W869" s="85" t="s">
        <v>914</v>
      </c>
      <c r="X869" s="85" t="s">
        <v>918</v>
      </c>
      <c r="Y869" s="15">
        <v>3004337427</v>
      </c>
      <c r="Z869" s="14"/>
      <c r="AA869" s="14" t="s">
        <v>33</v>
      </c>
      <c r="AB869" s="85" t="s">
        <v>34</v>
      </c>
      <c r="AC869" s="14" t="s">
        <v>230</v>
      </c>
      <c r="AD869" s="16"/>
      <c r="AE869" s="16"/>
      <c r="AF869" s="12" t="s">
        <v>177</v>
      </c>
      <c r="AG869" s="16" t="s">
        <v>243</v>
      </c>
      <c r="AH869" s="16" t="s">
        <v>220</v>
      </c>
      <c r="AI869" s="16" t="s">
        <v>33</v>
      </c>
      <c r="AJ869" s="16">
        <v>3004346831</v>
      </c>
      <c r="AK869" s="16" t="s">
        <v>33</v>
      </c>
      <c r="AL869" s="16">
        <v>106307250</v>
      </c>
      <c r="AM869" s="16"/>
      <c r="AN869" s="16"/>
      <c r="AO869" s="16"/>
      <c r="AP869" s="14" t="s">
        <v>240</v>
      </c>
      <c r="AQ869" s="72" t="str">
        <f>CONCATENATE("REG-",BDEGENER[[#This Row],[FECHA DE SERVICIO]],"-",BDEGENER[[#This Row],[SERIE]],"-",BDEGENER[[#This Row],[HORAS]])</f>
        <v>REG-43719-3004337427-NR</v>
      </c>
      <c r="AR869" s="5" t="str">
        <f>CONCATENATE("MARCA: ",BDEGENER[[#This Row],[MARCA]],"
 MODELO: ",BDEGENER[[#This Row],[MODELO]])</f>
        <v>MARCA: GENERAC
 MODELO: PG090</v>
      </c>
      <c r="AS869" s="5" t="str">
        <f>CONCATENATE("MARCA: ",BDEGENER[[#This Row],[MARCA DE MOTOR]],"
SERIE: ",BDEGENER[[#This Row],[SERIE DE MOTOR]])</f>
        <v>MARCA: GENERAC
SERIE: 3004346831</v>
      </c>
      <c r="AT869" s="5" t="str">
        <f>CONCATENATE("MARCA: ",BDEGENER[[#This Row],[MARCA ALTERNADOR ]],"
SERIE: ",BDEGENER[[#This Row],[SERIE DE ALTERNADOR]])</f>
        <v>MARCA: GENERAC
SERIE: 106307250</v>
      </c>
      <c r="AU869"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69" s="683">
        <f>COUNTIFS(Q869:Q2869,"MANTENIMIENTO CORRECTIVO",Y869:Y2869,BDEGENER[[#This Row],[SERIE]])</f>
        <v>1</v>
      </c>
      <c r="AW869" s="683">
        <f>COUNTIFS(Q869:Q2869,"MANTENIMIENTO PREVENTIVO",Y869:Y2869,BDEGENER[[#This Row],[SERIE]])</f>
        <v>0</v>
      </c>
      <c r="AX86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69" s="29">
        <f>COUNTIFS(BDEGENER[SERIE],BDEGENER[[#This Row],[SERIE]],BDEGENER[TIPO DE SERVICIO],"MANTENIMIENTO PREVENTIVO")</f>
        <v>6</v>
      </c>
      <c r="AZ869" s="29" t="str">
        <f>CONCATENATE("MANTENIMIENTO PREVENTIVO N°",BDEGENER[[#This Row],[GA1]])</f>
        <v>MANTENIMIENTO PREVENTIVO N°6</v>
      </c>
      <c r="BA869" s="325" t="str">
        <f>IF(BDEGENER[[#This Row],[SERVICIO]]=BDEGENER[[#This Row],[GA2]],BDEGENER[[#This Row],[HORAS]],"0")</f>
        <v>0</v>
      </c>
      <c r="BB869" s="325">
        <f>SUMIF(BDEGENER[SERIE],BDEGENER[[#This Row],[SERIE]],BDEGENER[GA3])</f>
        <v>1835.7</v>
      </c>
      <c r="BC869" s="683" t="str">
        <f>CONCATENATE("MANT",COUNTIF($Y$7:Y869,Y869))</f>
        <v>MANT8</v>
      </c>
      <c r="BD869" s="29" t="str">
        <f>CONCATENATE(BDEGENER[[#This Row],[SERIE]],BDEGENER[[#This Row],[GA5]])</f>
        <v>3004337427MANT8</v>
      </c>
      <c r="BE869" s="29" t="str">
        <f>CONCATENATE(BDEGENER[[#This Row],[CODIGO PATRIMONIAL]],BDEGENER[[#This Row],[GA5]])</f>
        <v>MANT8</v>
      </c>
      <c r="BF869" s="16">
        <f>COUNTIF(BDEGENER[SERIE],BDEGENER[[#This Row],[SERIE]])</f>
        <v>9</v>
      </c>
      <c r="BG869" s="683" t="str">
        <f>CONCATENATE("F",COUNTIF($K$7:K869,K869))</f>
        <v>F4</v>
      </c>
      <c r="BH869" s="325" t="str">
        <f>CONCATENATE(BDEGENER[[#This Row],[FECHA DE SERVICIO]],BDEGENER[[#This Row],[N° DE REGISTROS DEL DIA]])</f>
        <v>43719F4</v>
      </c>
      <c r="BI869" s="324"/>
      <c r="BJ869" s="325"/>
      <c r="BK869" s="326"/>
    </row>
    <row r="870" spans="2:63" ht="69" hidden="1" x14ac:dyDescent="0.3">
      <c r="B870" s="223"/>
      <c r="C870" s="223"/>
      <c r="D870" s="223"/>
      <c r="E870" s="223"/>
      <c r="F870" s="223"/>
      <c r="G870" s="223"/>
      <c r="H870" s="223"/>
      <c r="I870" s="223"/>
      <c r="J870" s="223"/>
      <c r="K870" s="723">
        <v>43719</v>
      </c>
      <c r="L870" s="15" t="s">
        <v>181</v>
      </c>
      <c r="M870" s="14" t="s">
        <v>185</v>
      </c>
      <c r="N870" s="14" t="s">
        <v>183</v>
      </c>
      <c r="O870" s="8" t="s">
        <v>159</v>
      </c>
      <c r="P870" s="15" t="s">
        <v>159</v>
      </c>
      <c r="Q870" s="14" t="s">
        <v>107</v>
      </c>
      <c r="R870" s="85" t="s">
        <v>1782</v>
      </c>
      <c r="S870" s="5" t="s">
        <v>52</v>
      </c>
      <c r="T870" s="14" t="s">
        <v>95</v>
      </c>
      <c r="U870" s="14" t="s">
        <v>122</v>
      </c>
      <c r="V870" s="14" t="s">
        <v>149</v>
      </c>
      <c r="W870" s="85" t="s">
        <v>914</v>
      </c>
      <c r="X870" s="85" t="s">
        <v>918</v>
      </c>
      <c r="Y870" s="15">
        <v>3004344017</v>
      </c>
      <c r="Z870" s="14"/>
      <c r="AA870" s="14" t="s">
        <v>33</v>
      </c>
      <c r="AB870" s="85" t="s">
        <v>34</v>
      </c>
      <c r="AC870" s="14" t="s">
        <v>230</v>
      </c>
      <c r="AD870" s="16"/>
      <c r="AE870" s="16"/>
      <c r="AF870" s="12" t="s">
        <v>177</v>
      </c>
      <c r="AG870" s="16" t="s">
        <v>243</v>
      </c>
      <c r="AH870" s="16" t="s">
        <v>220</v>
      </c>
      <c r="AI870" s="16" t="s">
        <v>33</v>
      </c>
      <c r="AJ870" s="16">
        <v>3004346832</v>
      </c>
      <c r="AK870" s="16" t="s">
        <v>33</v>
      </c>
      <c r="AL870" s="16">
        <v>106308750</v>
      </c>
      <c r="AM870" s="16"/>
      <c r="AN870" s="16"/>
      <c r="AO870" s="16"/>
      <c r="AP870" s="14" t="s">
        <v>240</v>
      </c>
      <c r="AQ870" s="72" t="str">
        <f>CONCATENATE("REG-",BDEGENER[[#This Row],[FECHA DE SERVICIO]],"-",BDEGENER[[#This Row],[SERIE]],"-",BDEGENER[[#This Row],[HORAS]])</f>
        <v>REG-43719-3004344017-NR</v>
      </c>
      <c r="AR870" s="5" t="str">
        <f>CONCATENATE("MARCA: ",BDEGENER[[#This Row],[MARCA]],"
 MODELO: ",BDEGENER[[#This Row],[MODELO]])</f>
        <v>MARCA: GENERAC
 MODELO: PG090</v>
      </c>
      <c r="AS870" s="5" t="str">
        <f>CONCATENATE("MARCA: ",BDEGENER[[#This Row],[MARCA DE MOTOR]],"
SERIE: ",BDEGENER[[#This Row],[SERIE DE MOTOR]])</f>
        <v>MARCA: GENERAC
SERIE: 3004346832</v>
      </c>
      <c r="AT870" s="5" t="str">
        <f>CONCATENATE("MARCA: ",BDEGENER[[#This Row],[MARCA ALTERNADOR ]],"
SERIE: ",BDEGENER[[#This Row],[SERIE DE ALTERNADOR]])</f>
        <v>MARCA: GENERAC
SERIE: 106308750</v>
      </c>
      <c r="AU870"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70" s="683">
        <f>COUNTIFS(Q870:Q2870,"MANTENIMIENTO CORRECTIVO",Y870:Y2870,BDEGENER[[#This Row],[SERIE]])</f>
        <v>1</v>
      </c>
      <c r="AW870" s="683">
        <f>COUNTIFS(Q870:Q2870,"MANTENIMIENTO PREVENTIVO",Y870:Y2870,BDEGENER[[#This Row],[SERIE]])</f>
        <v>0</v>
      </c>
      <c r="AX87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70" s="29">
        <f>COUNTIFS(BDEGENER[SERIE],BDEGENER[[#This Row],[SERIE]],BDEGENER[TIPO DE SERVICIO],"MANTENIMIENTO PREVENTIVO")</f>
        <v>6</v>
      </c>
      <c r="AZ870" s="29" t="str">
        <f>CONCATENATE("MANTENIMIENTO PREVENTIVO N°",BDEGENER[[#This Row],[GA1]])</f>
        <v>MANTENIMIENTO PREVENTIVO N°6</v>
      </c>
      <c r="BA870" s="325" t="str">
        <f>IF(BDEGENER[[#This Row],[SERVICIO]]=BDEGENER[[#This Row],[GA2]],BDEGENER[[#This Row],[HORAS]],"0")</f>
        <v>0</v>
      </c>
      <c r="BB870" s="325">
        <f>SUMIF(BDEGENER[SERIE],BDEGENER[[#This Row],[SERIE]],BDEGENER[GA3])</f>
        <v>2140.9</v>
      </c>
      <c r="BC870" s="683" t="str">
        <f>CONCATENATE("MANT",COUNTIF($Y$7:Y870,Y870))</f>
        <v>MANT11</v>
      </c>
      <c r="BD870" s="29" t="str">
        <f>CONCATENATE(BDEGENER[[#This Row],[SERIE]],BDEGENER[[#This Row],[GA5]])</f>
        <v>3004344017MANT11</v>
      </c>
      <c r="BE870" s="29" t="str">
        <f>CONCATENATE(BDEGENER[[#This Row],[CODIGO PATRIMONIAL]],BDEGENER[[#This Row],[GA5]])</f>
        <v>MANT11</v>
      </c>
      <c r="BF870" s="16">
        <f>COUNTIF(BDEGENER[SERIE],BDEGENER[[#This Row],[SERIE]])</f>
        <v>12</v>
      </c>
      <c r="BG870" s="683" t="str">
        <f>CONCATENATE("F",COUNTIF($K$7:K870,K870))</f>
        <v>F5</v>
      </c>
      <c r="BH870" s="325" t="str">
        <f>CONCATENATE(BDEGENER[[#This Row],[FECHA DE SERVICIO]],BDEGENER[[#This Row],[N° DE REGISTROS DEL DIA]])</f>
        <v>43719F5</v>
      </c>
      <c r="BI870" s="324"/>
      <c r="BJ870" s="85" t="s">
        <v>1544</v>
      </c>
      <c r="BK870" s="326"/>
    </row>
    <row r="871" spans="2:63" ht="69" hidden="1" x14ac:dyDescent="0.3">
      <c r="B871" s="223"/>
      <c r="C871" s="223"/>
      <c r="D871" s="223"/>
      <c r="E871" s="223"/>
      <c r="F871" s="223"/>
      <c r="G871" s="223"/>
      <c r="H871" s="223"/>
      <c r="I871" s="223"/>
      <c r="J871" s="223"/>
      <c r="K871" s="723">
        <v>43719</v>
      </c>
      <c r="L871" s="15" t="s">
        <v>181</v>
      </c>
      <c r="M871" s="14" t="s">
        <v>190</v>
      </c>
      <c r="N871" s="14" t="s">
        <v>191</v>
      </c>
      <c r="O871" s="8" t="s">
        <v>159</v>
      </c>
      <c r="P871" s="15" t="s">
        <v>159</v>
      </c>
      <c r="Q871" s="14" t="s">
        <v>107</v>
      </c>
      <c r="R871" s="85" t="s">
        <v>1782</v>
      </c>
      <c r="S871" s="5" t="s">
        <v>52</v>
      </c>
      <c r="T871" s="14" t="s">
        <v>95</v>
      </c>
      <c r="U871" s="14" t="s">
        <v>122</v>
      </c>
      <c r="V871" s="14" t="s">
        <v>149</v>
      </c>
      <c r="W871" s="85" t="s">
        <v>914</v>
      </c>
      <c r="X871" s="85" t="s">
        <v>918</v>
      </c>
      <c r="Y871" s="15">
        <v>3004381438</v>
      </c>
      <c r="Z871" s="14"/>
      <c r="AA871" s="14" t="s">
        <v>33</v>
      </c>
      <c r="AB871" s="85" t="s">
        <v>34</v>
      </c>
      <c r="AC871" s="14" t="s">
        <v>230</v>
      </c>
      <c r="AD871" s="16"/>
      <c r="AE871" s="16"/>
      <c r="AF871" s="12" t="s">
        <v>177</v>
      </c>
      <c r="AG871" s="16" t="s">
        <v>243</v>
      </c>
      <c r="AH871" s="16" t="s">
        <v>220</v>
      </c>
      <c r="AI871" s="16" t="s">
        <v>33</v>
      </c>
      <c r="AJ871" s="16">
        <v>3004333873</v>
      </c>
      <c r="AK871" s="16" t="s">
        <v>33</v>
      </c>
      <c r="AL871" s="16">
        <v>106309650</v>
      </c>
      <c r="AM871" s="16"/>
      <c r="AN871" s="16"/>
      <c r="AO871" s="16"/>
      <c r="AP871" s="14" t="s">
        <v>240</v>
      </c>
      <c r="AQ871" s="72" t="str">
        <f>CONCATENATE("REG-",BDEGENER[[#This Row],[FECHA DE SERVICIO]],"-",BDEGENER[[#This Row],[SERIE]],"-",BDEGENER[[#This Row],[HORAS]])</f>
        <v>REG-43719-3004381438-NR</v>
      </c>
      <c r="AR871" s="5" t="str">
        <f>CONCATENATE("MARCA: ",BDEGENER[[#This Row],[MARCA]],"
 MODELO: ",BDEGENER[[#This Row],[MODELO]])</f>
        <v>MARCA: GENERAC
 MODELO: PG090</v>
      </c>
      <c r="AS871" s="5" t="str">
        <f>CONCATENATE("MARCA: ",BDEGENER[[#This Row],[MARCA DE MOTOR]],"
SERIE: ",BDEGENER[[#This Row],[SERIE DE MOTOR]])</f>
        <v>MARCA: GENERAC
SERIE: 3004333873</v>
      </c>
      <c r="AT871" s="5" t="str">
        <f>CONCATENATE("MARCA: ",BDEGENER[[#This Row],[MARCA ALTERNADOR ]],"
SERIE: ",BDEGENER[[#This Row],[SERIE DE ALTERNADOR]])</f>
        <v>MARCA: GENERAC
SERIE: 106309650</v>
      </c>
      <c r="AU871"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71" s="761">
        <f>COUNTIFS(Q871:Q2871,"MANTENIMIENTO CORRECTIVO",Y871:Y2871,BDEGENER[[#This Row],[SERIE]])</f>
        <v>1</v>
      </c>
      <c r="AW871" s="761">
        <f>COUNTIFS(Q871:Q2871,"MANTENIMIENTO PREVENTIVO",Y871:Y2871,BDEGENER[[#This Row],[SERIE]])</f>
        <v>0</v>
      </c>
      <c r="AX87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71" s="29">
        <f>COUNTIFS(BDEGENER[SERIE],BDEGENER[[#This Row],[SERIE]],BDEGENER[TIPO DE SERVICIO],"MANTENIMIENTO PREVENTIVO")</f>
        <v>10</v>
      </c>
      <c r="AZ871" s="29" t="str">
        <f>CONCATENATE("MANTENIMIENTO PREVENTIVO N°",BDEGENER[[#This Row],[GA1]])</f>
        <v>MANTENIMIENTO PREVENTIVO N°10</v>
      </c>
      <c r="BA871" s="325" t="str">
        <f>IF(BDEGENER[[#This Row],[SERVICIO]]=BDEGENER[[#This Row],[GA2]],BDEGENER[[#This Row],[HORAS]],"0")</f>
        <v>0</v>
      </c>
      <c r="BB871" s="325">
        <f>SUMIF(BDEGENER[SERIE],BDEGENER[[#This Row],[SERIE]],BDEGENER[GA3])</f>
        <v>3227.9</v>
      </c>
      <c r="BC871" s="761" t="str">
        <f>CONCATENATE("MANT",COUNTIF($Y$7:Y871,Y871))</f>
        <v>MANT12</v>
      </c>
      <c r="BD871" s="29" t="str">
        <f>CONCATENATE(BDEGENER[[#This Row],[SERIE]],BDEGENER[[#This Row],[GA5]])</f>
        <v>3004381438MANT12</v>
      </c>
      <c r="BE871" s="29" t="str">
        <f>CONCATENATE(BDEGENER[[#This Row],[CODIGO PATRIMONIAL]],BDEGENER[[#This Row],[GA5]])</f>
        <v>MANT12</v>
      </c>
      <c r="BF871" s="16">
        <f>COUNTIF(BDEGENER[SERIE],BDEGENER[[#This Row],[SERIE]])</f>
        <v>13</v>
      </c>
      <c r="BG871" s="761" t="str">
        <f>CONCATENATE("F",COUNTIF($K$7:K871,K871))</f>
        <v>F6</v>
      </c>
      <c r="BH871" s="325" t="str">
        <f>CONCATENATE(BDEGENER[[#This Row],[FECHA DE SERVICIO]],BDEGENER[[#This Row],[N° DE REGISTROS DEL DIA]])</f>
        <v>43719F6</v>
      </c>
      <c r="BI871" s="324"/>
      <c r="BJ871" s="85" t="s">
        <v>1544</v>
      </c>
      <c r="BK871" s="326"/>
    </row>
    <row r="872" spans="2:63" ht="69" hidden="1" x14ac:dyDescent="0.3">
      <c r="B872" s="223"/>
      <c r="C872" s="223"/>
      <c r="D872" s="223"/>
      <c r="E872" s="223"/>
      <c r="F872" s="223"/>
      <c r="G872" s="223"/>
      <c r="H872" s="223"/>
      <c r="I872" s="223"/>
      <c r="J872" s="223"/>
      <c r="K872" s="723">
        <v>43719</v>
      </c>
      <c r="L872" s="15" t="s">
        <v>181</v>
      </c>
      <c r="M872" s="14" t="s">
        <v>184</v>
      </c>
      <c r="N872" s="14" t="s">
        <v>183</v>
      </c>
      <c r="O872" s="8" t="s">
        <v>159</v>
      </c>
      <c r="P872" s="15" t="s">
        <v>159</v>
      </c>
      <c r="Q872" s="14" t="s">
        <v>107</v>
      </c>
      <c r="R872" s="85" t="s">
        <v>1782</v>
      </c>
      <c r="S872" s="5" t="s">
        <v>52</v>
      </c>
      <c r="T872" s="14" t="s">
        <v>95</v>
      </c>
      <c r="U872" s="14" t="s">
        <v>122</v>
      </c>
      <c r="V872" s="14" t="s">
        <v>149</v>
      </c>
      <c r="W872" s="85" t="s">
        <v>914</v>
      </c>
      <c r="X872" s="85" t="s">
        <v>918</v>
      </c>
      <c r="Y872" s="15">
        <v>3004337388</v>
      </c>
      <c r="Z872" s="14"/>
      <c r="AA872" s="14" t="s">
        <v>33</v>
      </c>
      <c r="AB872" s="85" t="s">
        <v>34</v>
      </c>
      <c r="AC872" s="14" t="s">
        <v>230</v>
      </c>
      <c r="AD872" s="16"/>
      <c r="AE872" s="16"/>
      <c r="AF872" s="12" t="s">
        <v>177</v>
      </c>
      <c r="AG872" s="85" t="s">
        <v>243</v>
      </c>
      <c r="AH872" s="85" t="s">
        <v>220</v>
      </c>
      <c r="AI872" s="85" t="s">
        <v>33</v>
      </c>
      <c r="AJ872" s="16">
        <v>3004346829</v>
      </c>
      <c r="AK872" s="85" t="s">
        <v>33</v>
      </c>
      <c r="AL872" s="16">
        <v>106308710</v>
      </c>
      <c r="AM872" s="16"/>
      <c r="AN872" s="16"/>
      <c r="AO872" s="16"/>
      <c r="AP872" s="14" t="s">
        <v>240</v>
      </c>
      <c r="AQ872" s="165" t="str">
        <f>CONCATENATE("REG-",BDEGENER[[#This Row],[FECHA DE SERVICIO]],"-",BDEGENER[[#This Row],[SERIE]],"-",BDEGENER[[#This Row],[HORAS]])</f>
        <v>REG-43719-3004337388-NR</v>
      </c>
      <c r="AR872" s="5" t="str">
        <f>CONCATENATE("MARCA: ",BDEGENER[[#This Row],[MARCA]],"
 MODELO: ",BDEGENER[[#This Row],[MODELO]])</f>
        <v>MARCA: GENERAC
 MODELO: PG090</v>
      </c>
      <c r="AS872" s="5" t="str">
        <f>CONCATENATE("MARCA: ",BDEGENER[[#This Row],[MARCA DE MOTOR]],"
SERIE: ",BDEGENER[[#This Row],[SERIE DE MOTOR]])</f>
        <v>MARCA: GENERAC
SERIE: 3004346829</v>
      </c>
      <c r="AT872" s="5" t="str">
        <f>CONCATENATE("MARCA: ",BDEGENER[[#This Row],[MARCA ALTERNADOR ]],"
SERIE: ",BDEGENER[[#This Row],[SERIE DE ALTERNADOR]])</f>
        <v>MARCA: GENERAC
SERIE: 106308710</v>
      </c>
      <c r="AU872"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72" s="683">
        <f>COUNTIFS(Q872:Q2872,"MANTENIMIENTO CORRECTIVO",Y872:Y2872,BDEGENER[[#This Row],[SERIE]])</f>
        <v>1</v>
      </c>
      <c r="AW872" s="683">
        <f>COUNTIFS(Q872:Q2872,"MANTENIMIENTO PREVENTIVO",Y872:Y2872,BDEGENER[[#This Row],[SERIE]])</f>
        <v>0</v>
      </c>
      <c r="AX87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72" s="29">
        <f>COUNTIFS(BDEGENER[SERIE],BDEGENER[[#This Row],[SERIE]],BDEGENER[TIPO DE SERVICIO],"MANTENIMIENTO PREVENTIVO")</f>
        <v>7</v>
      </c>
      <c r="AZ872" s="29" t="str">
        <f>CONCATENATE("MANTENIMIENTO PREVENTIVO N°",BDEGENER[[#This Row],[GA1]])</f>
        <v>MANTENIMIENTO PREVENTIVO N°7</v>
      </c>
      <c r="BA872" s="325" t="str">
        <f>IF(BDEGENER[[#This Row],[SERVICIO]]=BDEGENER[[#This Row],[GA2]],BDEGENER[[#This Row],[HORAS]],"0")</f>
        <v>0</v>
      </c>
      <c r="BB872" s="325">
        <f>SUMIF(BDEGENER[SERIE],BDEGENER[[#This Row],[SERIE]],BDEGENER[GA3])</f>
        <v>2129.8000000000002</v>
      </c>
      <c r="BC872" s="683" t="str">
        <f>CONCATENATE("MANT",COUNTIF($Y$7:Y872,Y872))</f>
        <v>MANT13</v>
      </c>
      <c r="BD872" s="29" t="str">
        <f>CONCATENATE(BDEGENER[[#This Row],[SERIE]],BDEGENER[[#This Row],[GA5]])</f>
        <v>3004337388MANT13</v>
      </c>
      <c r="BE872" s="29" t="str">
        <f>CONCATENATE(BDEGENER[[#This Row],[CODIGO PATRIMONIAL]],BDEGENER[[#This Row],[GA5]])</f>
        <v>MANT13</v>
      </c>
      <c r="BF872" s="16">
        <f>COUNTIF(BDEGENER[SERIE],BDEGENER[[#This Row],[SERIE]])</f>
        <v>14</v>
      </c>
      <c r="BG872" s="683" t="str">
        <f>CONCATENATE("F",COUNTIF($K$7:K872,K872))</f>
        <v>F7</v>
      </c>
      <c r="BH872" s="325" t="str">
        <f>CONCATENATE(BDEGENER[[#This Row],[FECHA DE SERVICIO]],BDEGENER[[#This Row],[N° DE REGISTROS DEL DIA]])</f>
        <v>43719F7</v>
      </c>
      <c r="BI872" s="324"/>
      <c r="BJ872" s="85" t="s">
        <v>1544</v>
      </c>
      <c r="BK872" s="326"/>
    </row>
    <row r="873" spans="2:63" ht="69" hidden="1" x14ac:dyDescent="0.3">
      <c r="B873" s="223"/>
      <c r="C873" s="223"/>
      <c r="D873" s="223"/>
      <c r="E873" s="223"/>
      <c r="F873" s="223"/>
      <c r="G873" s="223"/>
      <c r="H873" s="223"/>
      <c r="I873" s="223"/>
      <c r="J873" s="223"/>
      <c r="K873" s="723">
        <v>43719</v>
      </c>
      <c r="L873" s="15" t="s">
        <v>181</v>
      </c>
      <c r="M873" s="14" t="s">
        <v>184</v>
      </c>
      <c r="N873" s="14" t="s">
        <v>183</v>
      </c>
      <c r="O873" s="8" t="s">
        <v>159</v>
      </c>
      <c r="P873" s="15" t="s">
        <v>159</v>
      </c>
      <c r="Q873" s="14" t="s">
        <v>107</v>
      </c>
      <c r="R873" s="85" t="s">
        <v>1782</v>
      </c>
      <c r="S873" s="5" t="s">
        <v>52</v>
      </c>
      <c r="T873" s="14" t="s">
        <v>95</v>
      </c>
      <c r="U873" s="14" t="s">
        <v>122</v>
      </c>
      <c r="V873" s="14" t="s">
        <v>149</v>
      </c>
      <c r="W873" s="85" t="s">
        <v>914</v>
      </c>
      <c r="X873" s="85" t="s">
        <v>918</v>
      </c>
      <c r="Y873" s="15">
        <v>3004344014</v>
      </c>
      <c r="Z873" s="14"/>
      <c r="AA873" s="14" t="s">
        <v>33</v>
      </c>
      <c r="AB873" s="85" t="s">
        <v>34</v>
      </c>
      <c r="AC873" s="14" t="s">
        <v>230</v>
      </c>
      <c r="AD873" s="16"/>
      <c r="AE873" s="16"/>
      <c r="AF873" s="12" t="s">
        <v>177</v>
      </c>
      <c r="AG873" s="16" t="s">
        <v>243</v>
      </c>
      <c r="AH873" s="16" t="s">
        <v>220</v>
      </c>
      <c r="AI873" s="16" t="s">
        <v>33</v>
      </c>
      <c r="AJ873" s="16">
        <v>3004346826</v>
      </c>
      <c r="AK873" s="16" t="s">
        <v>33</v>
      </c>
      <c r="AL873" s="16">
        <v>106308730</v>
      </c>
      <c r="AM873" s="16"/>
      <c r="AN873" s="16"/>
      <c r="AO873" s="16"/>
      <c r="AP873" s="14" t="s">
        <v>240</v>
      </c>
      <c r="AQ873" s="165" t="str">
        <f>CONCATENATE("REG-",BDEGENER[[#This Row],[FECHA DE SERVICIO]],"-",BDEGENER[[#This Row],[SERIE]],"-",BDEGENER[[#This Row],[HORAS]])</f>
        <v>REG-43719-3004344014-NR</v>
      </c>
      <c r="AR873" s="5" t="str">
        <f>CONCATENATE("MARCA: ",BDEGENER[[#This Row],[MARCA]],"
 MODELO: ",BDEGENER[[#This Row],[MODELO]])</f>
        <v>MARCA: GENERAC
 MODELO: PG090</v>
      </c>
      <c r="AS873" s="5" t="str">
        <f>CONCATENATE("MARCA: ",BDEGENER[[#This Row],[MARCA DE MOTOR]],"
SERIE: ",BDEGENER[[#This Row],[SERIE DE MOTOR]])</f>
        <v>MARCA: GENERAC
SERIE: 3004346826</v>
      </c>
      <c r="AT873" s="5" t="str">
        <f>CONCATENATE("MARCA: ",BDEGENER[[#This Row],[MARCA ALTERNADOR ]],"
SERIE: ",BDEGENER[[#This Row],[SERIE DE ALTERNADOR]])</f>
        <v>MARCA: GENERAC
SERIE: 106308730</v>
      </c>
      <c r="AU873"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73" s="683">
        <f>COUNTIFS(Q873:Q2873,"MANTENIMIENTO CORRECTIVO",Y873:Y2873,BDEGENER[[#This Row],[SERIE]])</f>
        <v>1</v>
      </c>
      <c r="AW873" s="683">
        <f>COUNTIFS(Q873:Q2873,"MANTENIMIENTO PREVENTIVO",Y873:Y2873,BDEGENER[[#This Row],[SERIE]])</f>
        <v>0</v>
      </c>
      <c r="AX87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73" s="29">
        <f>COUNTIFS(BDEGENER[SERIE],BDEGENER[[#This Row],[SERIE]],BDEGENER[TIPO DE SERVICIO],"MANTENIMIENTO PREVENTIVO")</f>
        <v>8</v>
      </c>
      <c r="AZ873" s="29" t="str">
        <f>CONCATENATE("MANTENIMIENTO PREVENTIVO N°",BDEGENER[[#This Row],[GA1]])</f>
        <v>MANTENIMIENTO PREVENTIVO N°8</v>
      </c>
      <c r="BA873" s="325" t="str">
        <f>IF(BDEGENER[[#This Row],[SERVICIO]]=BDEGENER[[#This Row],[GA2]],BDEGENER[[#This Row],[HORAS]],"0")</f>
        <v>0</v>
      </c>
      <c r="BB873" s="325">
        <f>SUMIF(BDEGENER[SERIE],BDEGENER[[#This Row],[SERIE]],BDEGENER[GA3])</f>
        <v>2070.3000000000002</v>
      </c>
      <c r="BC873" s="683" t="str">
        <f>CONCATENATE("MANT",COUNTIF($Y$7:Y873,Y873))</f>
        <v>MANT11</v>
      </c>
      <c r="BD873" s="29" t="str">
        <f>CONCATENATE(BDEGENER[[#This Row],[SERIE]],BDEGENER[[#This Row],[GA5]])</f>
        <v>3004344014MANT11</v>
      </c>
      <c r="BE873" s="29" t="str">
        <f>CONCATENATE(BDEGENER[[#This Row],[CODIGO PATRIMONIAL]],BDEGENER[[#This Row],[GA5]])</f>
        <v>MANT11</v>
      </c>
      <c r="BF873" s="16">
        <f>COUNTIF(BDEGENER[SERIE],BDEGENER[[#This Row],[SERIE]])</f>
        <v>12</v>
      </c>
      <c r="BG873" s="683" t="str">
        <f>CONCATENATE("F",COUNTIF($K$7:K873,K873))</f>
        <v>F8</v>
      </c>
      <c r="BH873" s="325" t="str">
        <f>CONCATENATE(BDEGENER[[#This Row],[FECHA DE SERVICIO]],BDEGENER[[#This Row],[N° DE REGISTROS DEL DIA]])</f>
        <v>43719F8</v>
      </c>
      <c r="BI873" s="324"/>
      <c r="BJ873" s="85" t="s">
        <v>1544</v>
      </c>
      <c r="BK873" s="326"/>
    </row>
    <row r="874" spans="2:63" ht="69" hidden="1" x14ac:dyDescent="0.3">
      <c r="B874" s="223"/>
      <c r="C874" s="223"/>
      <c r="D874" s="223"/>
      <c r="E874" s="223"/>
      <c r="F874" s="223"/>
      <c r="G874" s="223"/>
      <c r="H874" s="223"/>
      <c r="I874" s="223"/>
      <c r="J874" s="223"/>
      <c r="K874" s="723">
        <v>43719</v>
      </c>
      <c r="L874" s="15" t="s">
        <v>181</v>
      </c>
      <c r="M874" s="14" t="s">
        <v>182</v>
      </c>
      <c r="N874" s="14" t="s">
        <v>183</v>
      </c>
      <c r="O874" s="8" t="s">
        <v>159</v>
      </c>
      <c r="P874" s="15" t="s">
        <v>159</v>
      </c>
      <c r="Q874" s="14" t="s">
        <v>107</v>
      </c>
      <c r="R874" s="85" t="s">
        <v>1782</v>
      </c>
      <c r="S874" s="5" t="s">
        <v>52</v>
      </c>
      <c r="T874" s="14" t="s">
        <v>95</v>
      </c>
      <c r="U874" s="14" t="s">
        <v>122</v>
      </c>
      <c r="V874" s="14" t="s">
        <v>149</v>
      </c>
      <c r="W874" s="85" t="s">
        <v>914</v>
      </c>
      <c r="X874" s="85" t="s">
        <v>918</v>
      </c>
      <c r="Y874" s="15">
        <v>3004402508</v>
      </c>
      <c r="Z874" s="14"/>
      <c r="AA874" s="14" t="s">
        <v>33</v>
      </c>
      <c r="AB874" s="85" t="s">
        <v>34</v>
      </c>
      <c r="AC874" s="14" t="s">
        <v>230</v>
      </c>
      <c r="AD874" s="16"/>
      <c r="AE874" s="16"/>
      <c r="AF874" s="12" t="s">
        <v>177</v>
      </c>
      <c r="AG874" s="16" t="s">
        <v>243</v>
      </c>
      <c r="AH874" s="16" t="s">
        <v>220</v>
      </c>
      <c r="AI874" s="16" t="s">
        <v>33</v>
      </c>
      <c r="AJ874" s="16">
        <v>3004425773</v>
      </c>
      <c r="AK874" s="16" t="s">
        <v>33</v>
      </c>
      <c r="AL874" s="16">
        <v>106310050</v>
      </c>
      <c r="AM874" s="16"/>
      <c r="AN874" s="16"/>
      <c r="AO874" s="16"/>
      <c r="AP874" s="14" t="s">
        <v>240</v>
      </c>
      <c r="AQ874" s="165" t="str">
        <f>CONCATENATE("REG-",BDEGENER[[#This Row],[FECHA DE SERVICIO]],"-",BDEGENER[[#This Row],[SERIE]],"-",BDEGENER[[#This Row],[HORAS]])</f>
        <v>REG-43719-3004402508-NR</v>
      </c>
      <c r="AR874" s="5" t="str">
        <f>CONCATENATE("MARCA: ",BDEGENER[[#This Row],[MARCA]],"
 MODELO: ",BDEGENER[[#This Row],[MODELO]])</f>
        <v>MARCA: GENERAC
 MODELO: PG090</v>
      </c>
      <c r="AS874" s="5" t="str">
        <f>CONCATENATE("MARCA: ",BDEGENER[[#This Row],[MARCA DE MOTOR]],"
SERIE: ",BDEGENER[[#This Row],[SERIE DE MOTOR]])</f>
        <v>MARCA: GENERAC
SERIE: 3004425773</v>
      </c>
      <c r="AT874" s="5" t="str">
        <f>CONCATENATE("MARCA: ",BDEGENER[[#This Row],[MARCA ALTERNADOR ]],"
SERIE: ",BDEGENER[[#This Row],[SERIE DE ALTERNADOR]])</f>
        <v>MARCA: GENERAC
SERIE: 106310050</v>
      </c>
      <c r="AU874"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74" s="761">
        <f>COUNTIFS(Q874:Q2874,"MANTENIMIENTO CORRECTIVO",Y874:Y2874,BDEGENER[[#This Row],[SERIE]])</f>
        <v>1</v>
      </c>
      <c r="AW874" s="761">
        <f>COUNTIFS(Q874:Q2874,"MANTENIMIENTO PREVENTIVO",Y874:Y2874,BDEGENER[[#This Row],[SERIE]])</f>
        <v>0</v>
      </c>
      <c r="AX87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74" s="29">
        <f>COUNTIFS(BDEGENER[SERIE],BDEGENER[[#This Row],[SERIE]],BDEGENER[TIPO DE SERVICIO],"MANTENIMIENTO PREVENTIVO")</f>
        <v>8</v>
      </c>
      <c r="AZ874" s="29" t="str">
        <f>CONCATENATE("MANTENIMIENTO PREVENTIVO N°",BDEGENER[[#This Row],[GA1]])</f>
        <v>MANTENIMIENTO PREVENTIVO N°8</v>
      </c>
      <c r="BA874" s="325" t="str">
        <f>IF(BDEGENER[[#This Row],[SERVICIO]]=BDEGENER[[#This Row],[GA2]],BDEGENER[[#This Row],[HORAS]],"0")</f>
        <v>0</v>
      </c>
      <c r="BB874" s="325">
        <f>SUMIF(BDEGENER[SERIE],BDEGENER[[#This Row],[SERIE]],BDEGENER[GA3])</f>
        <v>2186.3000000000002</v>
      </c>
      <c r="BC874" s="761" t="str">
        <f>CONCATENATE("MANT",COUNTIF($Y$7:Y874,Y874))</f>
        <v>MANT14</v>
      </c>
      <c r="BD874" s="29" t="str">
        <f>CONCATENATE(BDEGENER[[#This Row],[SERIE]],BDEGENER[[#This Row],[GA5]])</f>
        <v>3004402508MANT14</v>
      </c>
      <c r="BE874" s="29" t="str">
        <f>CONCATENATE(BDEGENER[[#This Row],[CODIGO PATRIMONIAL]],BDEGENER[[#This Row],[GA5]])</f>
        <v>MANT14</v>
      </c>
      <c r="BF874" s="16">
        <f>COUNTIF(BDEGENER[SERIE],BDEGENER[[#This Row],[SERIE]])</f>
        <v>15</v>
      </c>
      <c r="BG874" s="761" t="str">
        <f>CONCATENATE("F",COUNTIF($K$7:K874,K874))</f>
        <v>F9</v>
      </c>
      <c r="BH874" s="325" t="str">
        <f>CONCATENATE(BDEGENER[[#This Row],[FECHA DE SERVICIO]],BDEGENER[[#This Row],[N° DE REGISTROS DEL DIA]])</f>
        <v>43719F9</v>
      </c>
      <c r="BI874" s="324"/>
      <c r="BJ874" s="85" t="s">
        <v>1544</v>
      </c>
      <c r="BK874" s="326"/>
    </row>
    <row r="875" spans="2:63" ht="69" hidden="1" x14ac:dyDescent="0.3">
      <c r="B875" s="223"/>
      <c r="C875" s="223"/>
      <c r="D875" s="223"/>
      <c r="E875" s="223"/>
      <c r="F875" s="223"/>
      <c r="G875" s="223"/>
      <c r="H875" s="223"/>
      <c r="I875" s="223"/>
      <c r="J875" s="223"/>
      <c r="K875" s="723">
        <v>43719</v>
      </c>
      <c r="L875" s="15" t="s">
        <v>181</v>
      </c>
      <c r="M875" s="14" t="s">
        <v>184</v>
      </c>
      <c r="N875" s="14" t="s">
        <v>183</v>
      </c>
      <c r="O875" s="8" t="s">
        <v>159</v>
      </c>
      <c r="P875" s="15" t="s">
        <v>159</v>
      </c>
      <c r="Q875" s="14" t="s">
        <v>107</v>
      </c>
      <c r="R875" s="85" t="s">
        <v>1782</v>
      </c>
      <c r="S875" s="5" t="s">
        <v>52</v>
      </c>
      <c r="T875" s="14" t="s">
        <v>95</v>
      </c>
      <c r="U875" s="14" t="s">
        <v>122</v>
      </c>
      <c r="V875" s="14" t="s">
        <v>149</v>
      </c>
      <c r="W875" s="85" t="s">
        <v>914</v>
      </c>
      <c r="X875" s="85" t="s">
        <v>918</v>
      </c>
      <c r="Y875" s="15">
        <v>3004402507</v>
      </c>
      <c r="Z875" s="14"/>
      <c r="AA875" s="14" t="s">
        <v>33</v>
      </c>
      <c r="AB875" s="85" t="s">
        <v>34</v>
      </c>
      <c r="AC875" s="14" t="s">
        <v>230</v>
      </c>
      <c r="AD875" s="16"/>
      <c r="AE875" s="16"/>
      <c r="AF875" s="12" t="s">
        <v>177</v>
      </c>
      <c r="AG875" s="16" t="s">
        <v>243</v>
      </c>
      <c r="AH875" s="16" t="s">
        <v>220</v>
      </c>
      <c r="AI875" s="16" t="s">
        <v>33</v>
      </c>
      <c r="AJ875" s="16">
        <v>3004425772</v>
      </c>
      <c r="AK875" s="16" t="s">
        <v>33</v>
      </c>
      <c r="AL875" s="16">
        <v>106310030</v>
      </c>
      <c r="AM875" s="16"/>
      <c r="AN875" s="16"/>
      <c r="AO875" s="16"/>
      <c r="AP875" s="14" t="s">
        <v>240</v>
      </c>
      <c r="AQ875" s="165" t="str">
        <f>CONCATENATE("REG-",BDEGENER[[#This Row],[FECHA DE SERVICIO]],"-",BDEGENER[[#This Row],[SERIE]],"-",BDEGENER[[#This Row],[HORAS]])</f>
        <v>REG-43719-3004402507-NR</v>
      </c>
      <c r="AR875" s="5" t="str">
        <f>CONCATENATE("MARCA: ",BDEGENER[[#This Row],[MARCA]],"
 MODELO: ",BDEGENER[[#This Row],[MODELO]])</f>
        <v>MARCA: GENERAC
 MODELO: PG090</v>
      </c>
      <c r="AS875" s="5" t="str">
        <f>CONCATENATE("MARCA: ",BDEGENER[[#This Row],[MARCA DE MOTOR]],"
SERIE: ",BDEGENER[[#This Row],[SERIE DE MOTOR]])</f>
        <v>MARCA: GENERAC
SERIE: 3004425772</v>
      </c>
      <c r="AT875" s="5" t="str">
        <f>CONCATENATE("MARCA: ",BDEGENER[[#This Row],[MARCA ALTERNADOR ]],"
SERIE: ",BDEGENER[[#This Row],[SERIE DE ALTERNADOR]])</f>
        <v>MARCA: GENERAC
SERIE: 106310030</v>
      </c>
      <c r="AU875"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75" s="683">
        <f>COUNTIFS(Q875:Q2875,"MANTENIMIENTO CORRECTIVO",Y875:Y2875,BDEGENER[[#This Row],[SERIE]])</f>
        <v>1</v>
      </c>
      <c r="AW875" s="683">
        <f>COUNTIFS(Q875:Q2875,"MANTENIMIENTO PREVENTIVO",Y875:Y2875,BDEGENER[[#This Row],[SERIE]])</f>
        <v>0</v>
      </c>
      <c r="AX87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75" s="29">
        <f>COUNTIFS(BDEGENER[SERIE],BDEGENER[[#This Row],[SERIE]],BDEGENER[TIPO DE SERVICIO],"MANTENIMIENTO PREVENTIVO")</f>
        <v>7</v>
      </c>
      <c r="AZ875" s="29" t="str">
        <f>CONCATENATE("MANTENIMIENTO PREVENTIVO N°",BDEGENER[[#This Row],[GA1]])</f>
        <v>MANTENIMIENTO PREVENTIVO N°7</v>
      </c>
      <c r="BA875" s="325" t="str">
        <f>IF(BDEGENER[[#This Row],[SERVICIO]]=BDEGENER[[#This Row],[GA2]],BDEGENER[[#This Row],[HORAS]],"0")</f>
        <v>0</v>
      </c>
      <c r="BB875" s="325">
        <f>SUMIF(BDEGENER[SERIE],BDEGENER[[#This Row],[SERIE]],BDEGENER[GA3])</f>
        <v>2134</v>
      </c>
      <c r="BC875" s="683" t="str">
        <f>CONCATENATE("MANT",COUNTIF($Y$7:Y875,Y875))</f>
        <v>MANT15</v>
      </c>
      <c r="BD875" s="29" t="str">
        <f>CONCATENATE(BDEGENER[[#This Row],[SERIE]],BDEGENER[[#This Row],[GA5]])</f>
        <v>3004402507MANT15</v>
      </c>
      <c r="BE875" s="29" t="str">
        <f>CONCATENATE(BDEGENER[[#This Row],[CODIGO PATRIMONIAL]],BDEGENER[[#This Row],[GA5]])</f>
        <v>MANT15</v>
      </c>
      <c r="BF875" s="16">
        <f>COUNTIF(BDEGENER[SERIE],BDEGENER[[#This Row],[SERIE]])</f>
        <v>16</v>
      </c>
      <c r="BG875" s="683" t="str">
        <f>CONCATENATE("F",COUNTIF($K$7:K875,K875))</f>
        <v>F10</v>
      </c>
      <c r="BH875" s="325" t="str">
        <f>CONCATENATE(BDEGENER[[#This Row],[FECHA DE SERVICIO]],BDEGENER[[#This Row],[N° DE REGISTROS DEL DIA]])</f>
        <v>43719F10</v>
      </c>
      <c r="BI875" s="324"/>
      <c r="BJ875" s="85" t="s">
        <v>1544</v>
      </c>
      <c r="BK875" s="326"/>
    </row>
    <row r="876" spans="2:63" ht="69" hidden="1" x14ac:dyDescent="0.3">
      <c r="B876" s="223"/>
      <c r="C876" s="223"/>
      <c r="D876" s="223"/>
      <c r="E876" s="223"/>
      <c r="F876" s="223"/>
      <c r="G876" s="223"/>
      <c r="H876" s="223"/>
      <c r="I876" s="223"/>
      <c r="J876" s="223"/>
      <c r="K876" s="723">
        <v>43719</v>
      </c>
      <c r="L876" s="15" t="s">
        <v>181</v>
      </c>
      <c r="M876" s="14" t="s">
        <v>190</v>
      </c>
      <c r="N876" s="14" t="s">
        <v>191</v>
      </c>
      <c r="O876" s="8" t="s">
        <v>159</v>
      </c>
      <c r="P876" s="15" t="s">
        <v>159</v>
      </c>
      <c r="Q876" s="14" t="s">
        <v>107</v>
      </c>
      <c r="R876" s="85" t="s">
        <v>1782</v>
      </c>
      <c r="S876" s="5" t="s">
        <v>52</v>
      </c>
      <c r="T876" s="14" t="s">
        <v>95</v>
      </c>
      <c r="U876" s="14" t="s">
        <v>122</v>
      </c>
      <c r="V876" s="14" t="s">
        <v>149</v>
      </c>
      <c r="W876" s="85" t="s">
        <v>914</v>
      </c>
      <c r="X876" s="85" t="s">
        <v>918</v>
      </c>
      <c r="Y876" s="15">
        <v>3004416582</v>
      </c>
      <c r="Z876" s="14"/>
      <c r="AA876" s="14" t="s">
        <v>33</v>
      </c>
      <c r="AB876" s="85" t="s">
        <v>34</v>
      </c>
      <c r="AC876" s="14" t="s">
        <v>230</v>
      </c>
      <c r="AD876" s="16"/>
      <c r="AE876" s="16"/>
      <c r="AF876" s="12" t="s">
        <v>177</v>
      </c>
      <c r="AG876" s="16" t="s">
        <v>243</v>
      </c>
      <c r="AH876" s="16" t="s">
        <v>220</v>
      </c>
      <c r="AI876" s="16" t="s">
        <v>33</v>
      </c>
      <c r="AJ876" s="16">
        <v>3004309061</v>
      </c>
      <c r="AK876" s="16" t="s">
        <v>33</v>
      </c>
      <c r="AL876" s="16">
        <v>107748830</v>
      </c>
      <c r="AM876" s="16"/>
      <c r="AN876" s="16"/>
      <c r="AO876" s="16"/>
      <c r="AP876" s="14" t="s">
        <v>240</v>
      </c>
      <c r="AQ876" s="72" t="str">
        <f>CONCATENATE("REG-",BDEGENER[[#This Row],[FECHA DE SERVICIO]],"-",BDEGENER[[#This Row],[SERIE]],"-",BDEGENER[[#This Row],[HORAS]])</f>
        <v>REG-43719-3004416582-NR</v>
      </c>
      <c r="AR876" s="5" t="str">
        <f>CONCATENATE("MARCA: ",BDEGENER[[#This Row],[MARCA]],"
 MODELO: ",BDEGENER[[#This Row],[MODELO]])</f>
        <v>MARCA: GENERAC
 MODELO: PG090</v>
      </c>
      <c r="AS876" s="5" t="str">
        <f>CONCATENATE("MARCA: ",BDEGENER[[#This Row],[MARCA DE MOTOR]],"
SERIE: ",BDEGENER[[#This Row],[SERIE DE MOTOR]])</f>
        <v>MARCA: GENERAC
SERIE: 3004309061</v>
      </c>
      <c r="AT876" s="5" t="str">
        <f>CONCATENATE("MARCA: ",BDEGENER[[#This Row],[MARCA ALTERNADOR ]],"
SERIE: ",BDEGENER[[#This Row],[SERIE DE ALTERNADOR]])</f>
        <v>MARCA: GENERAC
SERIE: 107748830</v>
      </c>
      <c r="AU876"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76" s="683">
        <f>COUNTIFS(Q876:Q2876,"MANTENIMIENTO CORRECTIVO",Y876:Y2876,BDEGENER[[#This Row],[SERIE]])</f>
        <v>1</v>
      </c>
      <c r="AW876" s="683">
        <f>COUNTIFS(Q876:Q2876,"MANTENIMIENTO PREVENTIVO",Y876:Y2876,BDEGENER[[#This Row],[SERIE]])</f>
        <v>0</v>
      </c>
      <c r="AX87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76" s="29">
        <f>COUNTIFS(BDEGENER[SERIE],BDEGENER[[#This Row],[SERIE]],BDEGENER[TIPO DE SERVICIO],"MANTENIMIENTO PREVENTIVO")</f>
        <v>7</v>
      </c>
      <c r="AZ876" s="29" t="str">
        <f>CONCATENATE("MANTENIMIENTO PREVENTIVO N°",BDEGENER[[#This Row],[GA1]])</f>
        <v>MANTENIMIENTO PREVENTIVO N°7</v>
      </c>
      <c r="BA876" s="325" t="str">
        <f>IF(BDEGENER[[#This Row],[SERVICIO]]=BDEGENER[[#This Row],[GA2]],BDEGENER[[#This Row],[HORAS]],"0")</f>
        <v>0</v>
      </c>
      <c r="BB876" s="325">
        <f>SUMIF(BDEGENER[SERIE],BDEGENER[[#This Row],[SERIE]],BDEGENER[GA3])</f>
        <v>2342.3000000000002</v>
      </c>
      <c r="BC876" s="683" t="str">
        <f>CONCATENATE("MANT",COUNTIF($Y$7:Y876,Y876))</f>
        <v>MANT10</v>
      </c>
      <c r="BD876" s="29" t="str">
        <f>CONCATENATE(BDEGENER[[#This Row],[SERIE]],BDEGENER[[#This Row],[GA5]])</f>
        <v>3004416582MANT10</v>
      </c>
      <c r="BE876" s="29" t="str">
        <f>CONCATENATE(BDEGENER[[#This Row],[CODIGO PATRIMONIAL]],BDEGENER[[#This Row],[GA5]])</f>
        <v>MANT10</v>
      </c>
      <c r="BF876" s="16">
        <f>COUNTIF(BDEGENER[SERIE],BDEGENER[[#This Row],[SERIE]])</f>
        <v>11</v>
      </c>
      <c r="BG876" s="683" t="str">
        <f>CONCATENATE("F",COUNTIF($K$7:K876,K876))</f>
        <v>F11</v>
      </c>
      <c r="BH876" s="325" t="str">
        <f>CONCATENATE(BDEGENER[[#This Row],[FECHA DE SERVICIO]],BDEGENER[[#This Row],[N° DE REGISTROS DEL DIA]])</f>
        <v>43719F11</v>
      </c>
      <c r="BI876" s="324"/>
      <c r="BJ876" s="85" t="s">
        <v>1544</v>
      </c>
      <c r="BK876" s="326"/>
    </row>
    <row r="877" spans="2:63" ht="69" hidden="1" x14ac:dyDescent="0.3">
      <c r="B877" s="223"/>
      <c r="C877" s="223"/>
      <c r="D877" s="223"/>
      <c r="E877" s="223"/>
      <c r="F877" s="223"/>
      <c r="G877" s="223"/>
      <c r="H877" s="223"/>
      <c r="I877" s="223"/>
      <c r="J877" s="223"/>
      <c r="K877" s="723">
        <v>43719</v>
      </c>
      <c r="L877" s="15" t="s">
        <v>181</v>
      </c>
      <c r="M877" s="14" t="s">
        <v>184</v>
      </c>
      <c r="N877" s="14" t="s">
        <v>183</v>
      </c>
      <c r="O877" s="8" t="s">
        <v>159</v>
      </c>
      <c r="P877" s="15" t="s">
        <v>159</v>
      </c>
      <c r="Q877" s="14" t="s">
        <v>107</v>
      </c>
      <c r="R877" s="85" t="s">
        <v>1782</v>
      </c>
      <c r="S877" s="5" t="s">
        <v>52</v>
      </c>
      <c r="T877" s="14" t="s">
        <v>95</v>
      </c>
      <c r="U877" s="14" t="s">
        <v>122</v>
      </c>
      <c r="V877" s="14" t="s">
        <v>149</v>
      </c>
      <c r="W877" s="85" t="s">
        <v>914</v>
      </c>
      <c r="X877" s="85" t="s">
        <v>918</v>
      </c>
      <c r="Y877" s="15">
        <v>3004418790</v>
      </c>
      <c r="Z877" s="14"/>
      <c r="AA877" s="14" t="s">
        <v>33</v>
      </c>
      <c r="AB877" s="85" t="s">
        <v>34</v>
      </c>
      <c r="AC877" s="14" t="s">
        <v>230</v>
      </c>
      <c r="AD877" s="16"/>
      <c r="AE877" s="16"/>
      <c r="AF877" s="12" t="s">
        <v>177</v>
      </c>
      <c r="AG877" s="16" t="s">
        <v>243</v>
      </c>
      <c r="AH877" s="16" t="s">
        <v>220</v>
      </c>
      <c r="AI877" s="16" t="s">
        <v>33</v>
      </c>
      <c r="AJ877" s="16">
        <v>3004426133</v>
      </c>
      <c r="AK877" s="16" t="s">
        <v>33</v>
      </c>
      <c r="AL877" s="16">
        <v>107745310</v>
      </c>
      <c r="AM877" s="16"/>
      <c r="AN877" s="16"/>
      <c r="AO877" s="16"/>
      <c r="AP877" s="14" t="s">
        <v>240</v>
      </c>
      <c r="AQ877" s="72" t="str">
        <f>CONCATENATE("REG-",BDEGENER[[#This Row],[FECHA DE SERVICIO]],"-",BDEGENER[[#This Row],[SERIE]],"-",BDEGENER[[#This Row],[HORAS]])</f>
        <v>REG-43719-3004418790-NR</v>
      </c>
      <c r="AR877" s="5" t="str">
        <f>CONCATENATE("MARCA: ",BDEGENER[[#This Row],[MARCA]],"
 MODELO: ",BDEGENER[[#This Row],[MODELO]])</f>
        <v>MARCA: GENERAC
 MODELO: PG090</v>
      </c>
      <c r="AS877" s="5" t="str">
        <f>CONCATENATE("MARCA: ",BDEGENER[[#This Row],[MARCA DE MOTOR]],"
SERIE: ",BDEGENER[[#This Row],[SERIE DE MOTOR]])</f>
        <v>MARCA: GENERAC
SERIE: 3004426133</v>
      </c>
      <c r="AT877" s="5" t="str">
        <f>CONCATENATE("MARCA: ",BDEGENER[[#This Row],[MARCA ALTERNADOR ]],"
SERIE: ",BDEGENER[[#This Row],[SERIE DE ALTERNADOR]])</f>
        <v>MARCA: GENERAC
SERIE: 107745310</v>
      </c>
      <c r="AU877"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77" s="761">
        <f>COUNTIFS(Q877:Q2877,"MANTENIMIENTO CORRECTIVO",Y877:Y2877,BDEGENER[[#This Row],[SERIE]])</f>
        <v>1</v>
      </c>
      <c r="AW877" s="761">
        <f>COUNTIFS(Q877:Q2877,"MANTENIMIENTO PREVENTIVO",Y877:Y2877,BDEGENER[[#This Row],[SERIE]])</f>
        <v>0</v>
      </c>
      <c r="AX87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77" s="29">
        <f>COUNTIFS(BDEGENER[SERIE],BDEGENER[[#This Row],[SERIE]],BDEGENER[TIPO DE SERVICIO],"MANTENIMIENTO PREVENTIVO")</f>
        <v>8</v>
      </c>
      <c r="AZ877" s="29" t="str">
        <f>CONCATENATE("MANTENIMIENTO PREVENTIVO N°",BDEGENER[[#This Row],[GA1]])</f>
        <v>MANTENIMIENTO PREVENTIVO N°8</v>
      </c>
      <c r="BA877" s="325" t="str">
        <f>IF(BDEGENER[[#This Row],[SERVICIO]]=BDEGENER[[#This Row],[GA2]],BDEGENER[[#This Row],[HORAS]],"0")</f>
        <v>0</v>
      </c>
      <c r="BB877" s="325">
        <f>SUMIF(BDEGENER[SERIE],BDEGENER[[#This Row],[SERIE]],BDEGENER[GA3])</f>
        <v>2579.3000000000002</v>
      </c>
      <c r="BC877" s="761" t="str">
        <f>CONCATENATE("MANT",COUNTIF($Y$7:Y877,Y877))</f>
        <v>MANT13</v>
      </c>
      <c r="BD877" s="29" t="str">
        <f>CONCATENATE(BDEGENER[[#This Row],[SERIE]],BDEGENER[[#This Row],[GA5]])</f>
        <v>3004418790MANT13</v>
      </c>
      <c r="BE877" s="29" t="str">
        <f>CONCATENATE(BDEGENER[[#This Row],[CODIGO PATRIMONIAL]],BDEGENER[[#This Row],[GA5]])</f>
        <v>MANT13</v>
      </c>
      <c r="BF877" s="16">
        <f>COUNTIF(BDEGENER[SERIE],BDEGENER[[#This Row],[SERIE]])</f>
        <v>14</v>
      </c>
      <c r="BG877" s="761" t="str">
        <f>CONCATENATE("F",COUNTIF($K$7:K877,K877))</f>
        <v>F12</v>
      </c>
      <c r="BH877" s="325" t="str">
        <f>CONCATENATE(BDEGENER[[#This Row],[FECHA DE SERVICIO]],BDEGENER[[#This Row],[N° DE REGISTROS DEL DIA]])</f>
        <v>43719F12</v>
      </c>
      <c r="BI877" s="324"/>
      <c r="BJ877" s="85" t="s">
        <v>1544</v>
      </c>
      <c r="BK877" s="326"/>
    </row>
    <row r="878" spans="2:63" ht="69" hidden="1" x14ac:dyDescent="0.3">
      <c r="B878" s="223"/>
      <c r="C878" s="223"/>
      <c r="D878" s="223"/>
      <c r="E878" s="223"/>
      <c r="F878" s="223"/>
      <c r="G878" s="223"/>
      <c r="H878" s="223"/>
      <c r="I878" s="223"/>
      <c r="J878" s="223"/>
      <c r="K878" s="723">
        <v>43719</v>
      </c>
      <c r="L878" s="15" t="s">
        <v>181</v>
      </c>
      <c r="M878" s="14" t="s">
        <v>184</v>
      </c>
      <c r="N878" s="14" t="s">
        <v>183</v>
      </c>
      <c r="O878" s="8" t="s">
        <v>159</v>
      </c>
      <c r="P878" s="15" t="s">
        <v>159</v>
      </c>
      <c r="Q878" s="14" t="s">
        <v>107</v>
      </c>
      <c r="R878" s="85" t="s">
        <v>1782</v>
      </c>
      <c r="S878" s="5" t="s">
        <v>52</v>
      </c>
      <c r="T878" s="14" t="s">
        <v>95</v>
      </c>
      <c r="U878" s="14" t="s">
        <v>122</v>
      </c>
      <c r="V878" s="14" t="s">
        <v>149</v>
      </c>
      <c r="W878" s="85" t="s">
        <v>914</v>
      </c>
      <c r="X878" s="85" t="s">
        <v>918</v>
      </c>
      <c r="Y878" s="15">
        <v>3004416580</v>
      </c>
      <c r="Z878" s="14"/>
      <c r="AA878" s="14" t="s">
        <v>33</v>
      </c>
      <c r="AB878" s="85" t="s">
        <v>34</v>
      </c>
      <c r="AC878" s="14" t="s">
        <v>230</v>
      </c>
      <c r="AD878" s="16"/>
      <c r="AE878" s="16"/>
      <c r="AF878" s="12" t="s">
        <v>177</v>
      </c>
      <c r="AG878" s="16" t="s">
        <v>243</v>
      </c>
      <c r="AH878" s="16" t="s">
        <v>220</v>
      </c>
      <c r="AI878" s="16" t="s">
        <v>33</v>
      </c>
      <c r="AJ878" s="16">
        <v>3004426061</v>
      </c>
      <c r="AK878" s="16" t="s">
        <v>33</v>
      </c>
      <c r="AL878" s="16">
        <v>107746810</v>
      </c>
      <c r="AM878" s="16"/>
      <c r="AN878" s="16"/>
      <c r="AO878" s="16"/>
      <c r="AP878" s="14" t="s">
        <v>240</v>
      </c>
      <c r="AQ878" s="72" t="str">
        <f>CONCATENATE("REG-",BDEGENER[[#This Row],[FECHA DE SERVICIO]],"-",BDEGENER[[#This Row],[SERIE]],"-",BDEGENER[[#This Row],[HORAS]])</f>
        <v>REG-43719-3004416580-NR</v>
      </c>
      <c r="AR878" s="5" t="str">
        <f>CONCATENATE("MARCA: ",BDEGENER[[#This Row],[MARCA]],"
 MODELO: ",BDEGENER[[#This Row],[MODELO]])</f>
        <v>MARCA: GENERAC
 MODELO: PG090</v>
      </c>
      <c r="AS878" s="5" t="str">
        <f>CONCATENATE("MARCA: ",BDEGENER[[#This Row],[MARCA DE MOTOR]],"
SERIE: ",BDEGENER[[#This Row],[SERIE DE MOTOR]])</f>
        <v>MARCA: GENERAC
SERIE: 3004426061</v>
      </c>
      <c r="AT878" s="5" t="str">
        <f>CONCATENATE("MARCA: ",BDEGENER[[#This Row],[MARCA ALTERNADOR ]],"
SERIE: ",BDEGENER[[#This Row],[SERIE DE ALTERNADOR]])</f>
        <v>MARCA: GENERAC
SERIE: 107746810</v>
      </c>
      <c r="AU878"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78" s="683">
        <f>COUNTIFS(Q878:Q2878,"MANTENIMIENTO CORRECTIVO",Y878:Y2878,BDEGENER[[#This Row],[SERIE]])</f>
        <v>1</v>
      </c>
      <c r="AW878" s="683">
        <f>COUNTIFS(Q878:Q2878,"MANTENIMIENTO PREVENTIVO",Y878:Y2878,BDEGENER[[#This Row],[SERIE]])</f>
        <v>0</v>
      </c>
      <c r="AX87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78" s="29">
        <f>COUNTIFS(BDEGENER[SERIE],BDEGENER[[#This Row],[SERIE]],BDEGENER[TIPO DE SERVICIO],"MANTENIMIENTO PREVENTIVO")</f>
        <v>8</v>
      </c>
      <c r="AZ878" s="29" t="str">
        <f>CONCATENATE("MANTENIMIENTO PREVENTIVO N°",BDEGENER[[#This Row],[GA1]])</f>
        <v>MANTENIMIENTO PREVENTIVO N°8</v>
      </c>
      <c r="BA878" s="325" t="str">
        <f>IF(BDEGENER[[#This Row],[SERVICIO]]=BDEGENER[[#This Row],[GA2]],BDEGENER[[#This Row],[HORAS]],"0")</f>
        <v>0</v>
      </c>
      <c r="BB878" s="325">
        <f>SUMIF(BDEGENER[SERIE],BDEGENER[[#This Row],[SERIE]],BDEGENER[GA3])</f>
        <v>3113.9</v>
      </c>
      <c r="BC878" s="683" t="str">
        <f>CONCATENATE("MANT",COUNTIF($Y$7:Y878,Y878))</f>
        <v>MANT13</v>
      </c>
      <c r="BD878" s="29" t="str">
        <f>CONCATENATE(BDEGENER[[#This Row],[SERIE]],BDEGENER[[#This Row],[GA5]])</f>
        <v>3004416580MANT13</v>
      </c>
      <c r="BE878" s="29" t="str">
        <f>CONCATENATE(BDEGENER[[#This Row],[CODIGO PATRIMONIAL]],BDEGENER[[#This Row],[GA5]])</f>
        <v>MANT13</v>
      </c>
      <c r="BF878" s="16">
        <f>COUNTIF(BDEGENER[SERIE],BDEGENER[[#This Row],[SERIE]])</f>
        <v>14</v>
      </c>
      <c r="BG878" s="683" t="str">
        <f>CONCATENATE("F",COUNTIF($K$7:K878,K878))</f>
        <v>F13</v>
      </c>
      <c r="BH878" s="325" t="str">
        <f>CONCATENATE(BDEGENER[[#This Row],[FECHA DE SERVICIO]],BDEGENER[[#This Row],[N° DE REGISTROS DEL DIA]])</f>
        <v>43719F13</v>
      </c>
      <c r="BI878" s="324"/>
      <c r="BJ878" s="85" t="s">
        <v>1544</v>
      </c>
      <c r="BK878" s="326"/>
    </row>
    <row r="879" spans="2:63" ht="69" hidden="1" x14ac:dyDescent="0.3">
      <c r="B879" s="223"/>
      <c r="C879" s="223"/>
      <c r="D879" s="223"/>
      <c r="E879" s="223"/>
      <c r="F879" s="223"/>
      <c r="G879" s="223"/>
      <c r="H879" s="223"/>
      <c r="I879" s="223"/>
      <c r="J879" s="223"/>
      <c r="K879" s="723">
        <v>43719</v>
      </c>
      <c r="L879" s="15" t="s">
        <v>181</v>
      </c>
      <c r="M879" s="14" t="s">
        <v>184</v>
      </c>
      <c r="N879" s="14" t="s">
        <v>183</v>
      </c>
      <c r="O879" s="8" t="s">
        <v>159</v>
      </c>
      <c r="P879" s="15" t="s">
        <v>159</v>
      </c>
      <c r="Q879" s="14" t="s">
        <v>107</v>
      </c>
      <c r="R879" s="85" t="s">
        <v>1782</v>
      </c>
      <c r="S879" s="5" t="s">
        <v>52</v>
      </c>
      <c r="T879" s="14" t="s">
        <v>95</v>
      </c>
      <c r="U879" s="14" t="s">
        <v>122</v>
      </c>
      <c r="V879" s="14" t="s">
        <v>149</v>
      </c>
      <c r="W879" s="85" t="s">
        <v>914</v>
      </c>
      <c r="X879" s="85" t="s">
        <v>918</v>
      </c>
      <c r="Y879" s="15">
        <v>3004418791</v>
      </c>
      <c r="Z879" s="14"/>
      <c r="AA879" s="14" t="s">
        <v>33</v>
      </c>
      <c r="AB879" s="85" t="s">
        <v>34</v>
      </c>
      <c r="AC879" s="14" t="s">
        <v>230</v>
      </c>
      <c r="AD879" s="16"/>
      <c r="AE879" s="16"/>
      <c r="AF879" s="12" t="s">
        <v>177</v>
      </c>
      <c r="AG879" s="16" t="s">
        <v>243</v>
      </c>
      <c r="AH879" s="16" t="s">
        <v>220</v>
      </c>
      <c r="AI879" s="16" t="s">
        <v>33</v>
      </c>
      <c r="AJ879" s="16">
        <v>3004426135</v>
      </c>
      <c r="AK879" s="16" t="s">
        <v>33</v>
      </c>
      <c r="AL879" s="16">
        <v>107745330</v>
      </c>
      <c r="AM879" s="16"/>
      <c r="AN879" s="16"/>
      <c r="AO879" s="16"/>
      <c r="AP879" s="14" t="s">
        <v>240</v>
      </c>
      <c r="AQ879" s="72" t="str">
        <f>CONCATENATE("REG-",BDEGENER[[#This Row],[FECHA DE SERVICIO]],"-",BDEGENER[[#This Row],[SERIE]],"-",BDEGENER[[#This Row],[HORAS]])</f>
        <v>REG-43719-3004418791-NR</v>
      </c>
      <c r="AR879" s="5" t="str">
        <f>CONCATENATE("MARCA: ",BDEGENER[[#This Row],[MARCA]],"
 MODELO: ",BDEGENER[[#This Row],[MODELO]])</f>
        <v>MARCA: GENERAC
 MODELO: PG090</v>
      </c>
      <c r="AS879" s="5" t="str">
        <f>CONCATENATE("MARCA: ",BDEGENER[[#This Row],[MARCA DE MOTOR]],"
SERIE: ",BDEGENER[[#This Row],[SERIE DE MOTOR]])</f>
        <v>MARCA: GENERAC
SERIE: 3004426135</v>
      </c>
      <c r="AT879" s="5" t="str">
        <f>CONCATENATE("MARCA: ",BDEGENER[[#This Row],[MARCA ALTERNADOR ]],"
SERIE: ",BDEGENER[[#This Row],[SERIE DE ALTERNADOR]])</f>
        <v>MARCA: GENERAC
SERIE: 107745330</v>
      </c>
      <c r="AU879"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879" s="683">
        <f>COUNTIFS(Q879:Q2879,"MANTENIMIENTO CORRECTIVO",Y879:Y2879,BDEGENER[[#This Row],[SERIE]])</f>
        <v>1</v>
      </c>
      <c r="AW879" s="683">
        <f>COUNTIFS(Q879:Q2879,"MANTENIMIENTO PREVENTIVO",Y879:Y2879,BDEGENER[[#This Row],[SERIE]])</f>
        <v>0</v>
      </c>
      <c r="AX87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79" s="29">
        <f>COUNTIFS(BDEGENER[SERIE],BDEGENER[[#This Row],[SERIE]],BDEGENER[TIPO DE SERVICIO],"MANTENIMIENTO PREVENTIVO")</f>
        <v>7</v>
      </c>
      <c r="AZ879" s="29" t="str">
        <f>CONCATENATE("MANTENIMIENTO PREVENTIVO N°",BDEGENER[[#This Row],[GA1]])</f>
        <v>MANTENIMIENTO PREVENTIVO N°7</v>
      </c>
      <c r="BA879" s="325" t="str">
        <f>IF(BDEGENER[[#This Row],[SERVICIO]]=BDEGENER[[#This Row],[GA2]],BDEGENER[[#This Row],[HORAS]],"0")</f>
        <v>0</v>
      </c>
      <c r="BB879" s="325">
        <f>SUMIF(BDEGENER[SERIE],BDEGENER[[#This Row],[SERIE]],BDEGENER[GA3])</f>
        <v>2074.3000000000002</v>
      </c>
      <c r="BC879" s="683" t="str">
        <f>CONCATENATE("MANT",COUNTIF($Y$7:Y879,Y879))</f>
        <v>MANT15</v>
      </c>
      <c r="BD879" s="29" t="str">
        <f>CONCATENATE(BDEGENER[[#This Row],[SERIE]],BDEGENER[[#This Row],[GA5]])</f>
        <v>3004418791MANT15</v>
      </c>
      <c r="BE879" s="29" t="str">
        <f>CONCATENATE(BDEGENER[[#This Row],[CODIGO PATRIMONIAL]],BDEGENER[[#This Row],[GA5]])</f>
        <v>MANT15</v>
      </c>
      <c r="BF879" s="16">
        <f>COUNTIF(BDEGENER[SERIE],BDEGENER[[#This Row],[SERIE]])</f>
        <v>16</v>
      </c>
      <c r="BG879" s="683" t="str">
        <f>CONCATENATE("F",COUNTIF($K$7:K879,K879))</f>
        <v>F14</v>
      </c>
      <c r="BH879" s="325" t="str">
        <f>CONCATENATE(BDEGENER[[#This Row],[FECHA DE SERVICIO]],BDEGENER[[#This Row],[N° DE REGISTROS DEL DIA]])</f>
        <v>43719F14</v>
      </c>
      <c r="BI879" s="324"/>
      <c r="BJ879" s="85" t="s">
        <v>1544</v>
      </c>
      <c r="BK879" s="326"/>
    </row>
    <row r="880" spans="2:63" ht="69" hidden="1" x14ac:dyDescent="0.3">
      <c r="B880" s="223"/>
      <c r="C880" s="223"/>
      <c r="D880" s="223"/>
      <c r="E880" s="223"/>
      <c r="F880" s="223"/>
      <c r="G880" s="223"/>
      <c r="H880" s="223"/>
      <c r="I880" s="223"/>
      <c r="J880" s="223"/>
      <c r="K880" s="723">
        <v>43715</v>
      </c>
      <c r="L880" s="15" t="s">
        <v>181</v>
      </c>
      <c r="M880" s="14" t="s">
        <v>188</v>
      </c>
      <c r="N880" s="14" t="s">
        <v>183</v>
      </c>
      <c r="O880" s="8" t="s">
        <v>159</v>
      </c>
      <c r="P880" s="15" t="s">
        <v>159</v>
      </c>
      <c r="Q880" s="14" t="s">
        <v>109</v>
      </c>
      <c r="R880" s="85" t="s">
        <v>1782</v>
      </c>
      <c r="S880" s="5" t="s">
        <v>53</v>
      </c>
      <c r="T880" s="85" t="s">
        <v>1782</v>
      </c>
      <c r="U880" s="14"/>
      <c r="V880" s="14" t="s">
        <v>149</v>
      </c>
      <c r="W880" s="85" t="s">
        <v>914</v>
      </c>
      <c r="X880" s="85" t="s">
        <v>918</v>
      </c>
      <c r="Y880" s="15">
        <v>3004381437</v>
      </c>
      <c r="Z880" s="14"/>
      <c r="AA880" s="14" t="s">
        <v>33</v>
      </c>
      <c r="AB880" s="85" t="s">
        <v>34</v>
      </c>
      <c r="AC880" s="14" t="s">
        <v>230</v>
      </c>
      <c r="AD880" s="16" t="s">
        <v>1195</v>
      </c>
      <c r="AE880" s="16">
        <v>60</v>
      </c>
      <c r="AF880" s="12">
        <v>1.8</v>
      </c>
      <c r="AG880" s="16" t="s">
        <v>243</v>
      </c>
      <c r="AH880" s="16" t="s">
        <v>220</v>
      </c>
      <c r="AI880" s="16" t="s">
        <v>33</v>
      </c>
      <c r="AJ880" s="16">
        <v>3004346804</v>
      </c>
      <c r="AK880" s="16" t="s">
        <v>33</v>
      </c>
      <c r="AL880" s="16">
        <v>106309630</v>
      </c>
      <c r="AM880" s="16" t="s">
        <v>1196</v>
      </c>
      <c r="AN880" s="16" t="s">
        <v>1362</v>
      </c>
      <c r="AO880" s="16" t="s">
        <v>1146</v>
      </c>
      <c r="AP880" s="14" t="s">
        <v>240</v>
      </c>
      <c r="AQ880" s="200" t="str">
        <f>CONCATENATE("REG-",BDEGENER[[#This Row],[FECHA DE SERVICIO]],"-",BDEGENER[[#This Row],[SERIE]],"-",BDEGENER[[#This Row],[HORAS]])</f>
        <v>REG-43715-3004381437-1,8</v>
      </c>
      <c r="AR880" s="5" t="str">
        <f>CONCATENATE("MARCA: ",BDEGENER[[#This Row],[MARCA]],"
 MODELO: ",BDEGENER[[#This Row],[MODELO]])</f>
        <v>MARCA: GENERAC
 MODELO: PG090</v>
      </c>
      <c r="AS880" s="5" t="str">
        <f>CONCATENATE("MARCA: ",BDEGENER[[#This Row],[MARCA DE MOTOR]],"
SERIE: ",BDEGENER[[#This Row],[SERIE DE MOTOR]])</f>
        <v>MARCA: GENERAC
SERIE: 3004346804</v>
      </c>
      <c r="AT880" s="5" t="str">
        <f>CONCATENATE("MARCA: ",BDEGENER[[#This Row],[MARCA ALTERNADOR ]],"
SERIE: ",BDEGENER[[#This Row],[SERIE DE ALTERNADOR]])</f>
        <v>MARCA: GENERAC
SERIE: 106309630</v>
      </c>
      <c r="AU880" s="5" t="str">
        <f>CONCATENATE("HORAS: ",BDEGENER[[#This Row],[HORAS]],"
KW-HR: ",BDEGENER[[#This Row],[KW-HORA]],"
VOLT.BATERIA: ",BDEGENER[[#This Row],[VOLTAJE DE BATERIA]],"
TEMPERATURA: ",BDEGENER[[#This Row],[TEMPERATURA DE AGUA]],"
PRES. ACEITE: ",BDEGENER[[#This Row],[PRESION DE ACEITE]])</f>
        <v>HORAS: 1,8
KW-HR: 
VOLT.BATERIA: 13.2 V
TEMPERATURA: 100 °F
PRES. ACEITE: 62 PSI</v>
      </c>
      <c r="AV880" s="761">
        <f>COUNTIFS(Q880:Q2880,"MANTENIMIENTO CORRECTIVO",Y880:Y2880,BDEGENER[[#This Row],[SERIE]])</f>
        <v>0</v>
      </c>
      <c r="AW880" s="761">
        <f>COUNTIFS(Q880:Q2880,"MANTENIMIENTO PREVENTIVO",Y880:Y2880,BDEGENER[[#This Row],[SERIE]])</f>
        <v>0</v>
      </c>
      <c r="AX88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80" s="29">
        <f>COUNTIFS(BDEGENER[SERIE],BDEGENER[[#This Row],[SERIE]],BDEGENER[TIPO DE SERVICIO],"MANTENIMIENTO PREVENTIVO")</f>
        <v>8</v>
      </c>
      <c r="AZ880" s="29" t="str">
        <f>CONCATENATE("MANTENIMIENTO PREVENTIVO N°",BDEGENER[[#This Row],[GA1]])</f>
        <v>MANTENIMIENTO PREVENTIVO N°8</v>
      </c>
      <c r="BA880" s="325" t="str">
        <f>IF(BDEGENER[[#This Row],[SERVICIO]]=BDEGENER[[#This Row],[GA2]],BDEGENER[[#This Row],[HORAS]],"0")</f>
        <v>0</v>
      </c>
      <c r="BB880" s="325">
        <f>SUMIF(BDEGENER[SERIE],BDEGENER[[#This Row],[SERIE]],BDEGENER[GA3])</f>
        <v>2359.6</v>
      </c>
      <c r="BC880" s="761" t="str">
        <f>CONCATENATE("MANT",COUNTIF($Y$7:Y880,Y880))</f>
        <v>MANT12</v>
      </c>
      <c r="BD880" s="29" t="str">
        <f>CONCATENATE(BDEGENER[[#This Row],[SERIE]],BDEGENER[[#This Row],[GA5]])</f>
        <v>3004381437MANT12</v>
      </c>
      <c r="BE880" s="29" t="str">
        <f>CONCATENATE(BDEGENER[[#This Row],[CODIGO PATRIMONIAL]],BDEGENER[[#This Row],[GA5]])</f>
        <v>MANT12</v>
      </c>
      <c r="BF880" s="16">
        <f>COUNTIF(BDEGENER[SERIE],BDEGENER[[#This Row],[SERIE]])</f>
        <v>12</v>
      </c>
      <c r="BG880" s="761" t="str">
        <f>CONCATENATE("F",COUNTIF($K$7:K880,K880))</f>
        <v>F1</v>
      </c>
      <c r="BH880" s="325" t="str">
        <f>CONCATENATE(BDEGENER[[#This Row],[FECHA DE SERVICIO]],BDEGENER[[#This Row],[N° DE REGISTROS DEL DIA]])</f>
        <v>43715F1</v>
      </c>
      <c r="BI880" s="324"/>
      <c r="BJ880" s="85" t="s">
        <v>1544</v>
      </c>
      <c r="BK880" s="326"/>
    </row>
    <row r="881" spans="2:63" ht="69" hidden="1" x14ac:dyDescent="0.3">
      <c r="B881" s="223"/>
      <c r="C881" s="223"/>
      <c r="D881" s="223"/>
      <c r="E881" s="223"/>
      <c r="F881" s="223"/>
      <c r="G881" s="223"/>
      <c r="H881" s="223"/>
      <c r="I881" s="223"/>
      <c r="J881" s="223"/>
      <c r="K881" s="723">
        <v>43715</v>
      </c>
      <c r="L881" s="15" t="s">
        <v>181</v>
      </c>
      <c r="M881" s="14" t="s">
        <v>184</v>
      </c>
      <c r="N881" s="14" t="s">
        <v>183</v>
      </c>
      <c r="O881" s="8" t="s">
        <v>159</v>
      </c>
      <c r="P881" s="15" t="s">
        <v>159</v>
      </c>
      <c r="Q881" s="14" t="s">
        <v>109</v>
      </c>
      <c r="R881" s="85" t="s">
        <v>1782</v>
      </c>
      <c r="S881" s="5" t="s">
        <v>53</v>
      </c>
      <c r="T881" s="85" t="s">
        <v>1782</v>
      </c>
      <c r="U881" s="14"/>
      <c r="V881" s="14" t="s">
        <v>149</v>
      </c>
      <c r="W881" s="85" t="s">
        <v>914</v>
      </c>
      <c r="X881" s="85" t="s">
        <v>918</v>
      </c>
      <c r="Y881" s="15">
        <v>3004337388</v>
      </c>
      <c r="Z881" s="14"/>
      <c r="AA881" s="14" t="s">
        <v>33</v>
      </c>
      <c r="AB881" s="85" t="s">
        <v>34</v>
      </c>
      <c r="AC881" s="14" t="s">
        <v>230</v>
      </c>
      <c r="AD881" s="16" t="s">
        <v>1360</v>
      </c>
      <c r="AE881" s="16">
        <v>60</v>
      </c>
      <c r="AF881" s="12">
        <v>0.6</v>
      </c>
      <c r="AG881" s="16" t="s">
        <v>243</v>
      </c>
      <c r="AH881" s="16" t="s">
        <v>220</v>
      </c>
      <c r="AI881" s="16" t="s">
        <v>33</v>
      </c>
      <c r="AJ881" s="16">
        <v>3004346829</v>
      </c>
      <c r="AK881" s="16" t="s">
        <v>33</v>
      </c>
      <c r="AL881" s="16">
        <v>106308710</v>
      </c>
      <c r="AM881" s="16" t="s">
        <v>245</v>
      </c>
      <c r="AN881" s="16" t="s">
        <v>1363</v>
      </c>
      <c r="AO881" s="16" t="s">
        <v>1090</v>
      </c>
      <c r="AP881" s="14" t="s">
        <v>240</v>
      </c>
      <c r="AQ881" s="200" t="str">
        <f>CONCATENATE("REG-",BDEGENER[[#This Row],[FECHA DE SERVICIO]],"-",BDEGENER[[#This Row],[SERIE]],"-",BDEGENER[[#This Row],[HORAS]])</f>
        <v>REG-43715-3004337388-0,6</v>
      </c>
      <c r="AR881" s="5" t="str">
        <f>CONCATENATE("MARCA: ",BDEGENER[[#This Row],[MARCA]],"
 MODELO: ",BDEGENER[[#This Row],[MODELO]])</f>
        <v>MARCA: GENERAC
 MODELO: PG090</v>
      </c>
      <c r="AS881" s="5" t="str">
        <f>CONCATENATE("MARCA: ",BDEGENER[[#This Row],[MARCA DE MOTOR]],"
SERIE: ",BDEGENER[[#This Row],[SERIE DE MOTOR]])</f>
        <v>MARCA: GENERAC
SERIE: 3004346829</v>
      </c>
      <c r="AT881" s="5" t="str">
        <f>CONCATENATE("MARCA: ",BDEGENER[[#This Row],[MARCA ALTERNADOR ]],"
SERIE: ",BDEGENER[[#This Row],[SERIE DE ALTERNADOR]])</f>
        <v>MARCA: GENERAC
SERIE: 106308710</v>
      </c>
      <c r="AU881" s="5" t="str">
        <f>CONCATENATE("HORAS: ",BDEGENER[[#This Row],[HORAS]],"
KW-HR: ",BDEGENER[[#This Row],[KW-HORA]],"
VOLT.BATERIA: ",BDEGENER[[#This Row],[VOLTAJE DE BATERIA]],"
TEMPERATURA: ",BDEGENER[[#This Row],[TEMPERATURA DE AGUA]],"
PRES. ACEITE: ",BDEGENER[[#This Row],[PRESION DE ACEITE]])</f>
        <v>HORAS: 0,6
KW-HR: 
VOLT.BATERIA: 13.6 V
TEMPERATURA: 108 °F
PRES. ACEITE: 69 PSI</v>
      </c>
      <c r="AV881" s="683">
        <f>COUNTIFS(Q881:Q2881,"MANTENIMIENTO CORRECTIVO",Y881:Y2881,BDEGENER[[#This Row],[SERIE]])</f>
        <v>0</v>
      </c>
      <c r="AW881" s="683">
        <f>COUNTIFS(Q881:Q2881,"MANTENIMIENTO PREVENTIVO",Y881:Y2881,BDEGENER[[#This Row],[SERIE]])</f>
        <v>0</v>
      </c>
      <c r="AX88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81" s="29">
        <f>COUNTIFS(BDEGENER[SERIE],BDEGENER[[#This Row],[SERIE]],BDEGENER[TIPO DE SERVICIO],"MANTENIMIENTO PREVENTIVO")</f>
        <v>7</v>
      </c>
      <c r="AZ881" s="29" t="str">
        <f>CONCATENATE("MANTENIMIENTO PREVENTIVO N°",BDEGENER[[#This Row],[GA1]])</f>
        <v>MANTENIMIENTO PREVENTIVO N°7</v>
      </c>
      <c r="BA881" s="325" t="str">
        <f>IF(BDEGENER[[#This Row],[SERVICIO]]=BDEGENER[[#This Row],[GA2]],BDEGENER[[#This Row],[HORAS]],"0")</f>
        <v>0</v>
      </c>
      <c r="BB881" s="325">
        <f>SUMIF(BDEGENER[SERIE],BDEGENER[[#This Row],[SERIE]],BDEGENER[GA3])</f>
        <v>2129.8000000000002</v>
      </c>
      <c r="BC881" s="683" t="str">
        <f>CONCATENATE("MANT",COUNTIF($Y$7:Y881,Y881))</f>
        <v>MANT14</v>
      </c>
      <c r="BD881" s="29" t="str">
        <f>CONCATENATE(BDEGENER[[#This Row],[SERIE]],BDEGENER[[#This Row],[GA5]])</f>
        <v>3004337388MANT14</v>
      </c>
      <c r="BE881" s="29" t="str">
        <f>CONCATENATE(BDEGENER[[#This Row],[CODIGO PATRIMONIAL]],BDEGENER[[#This Row],[GA5]])</f>
        <v>MANT14</v>
      </c>
      <c r="BF881" s="16">
        <f>COUNTIF(BDEGENER[SERIE],BDEGENER[[#This Row],[SERIE]])</f>
        <v>14</v>
      </c>
      <c r="BG881" s="683" t="str">
        <f>CONCATENATE("F",COUNTIF($K$7:K881,K881))</f>
        <v>F2</v>
      </c>
      <c r="BH881" s="325" t="str">
        <f>CONCATENATE(BDEGENER[[#This Row],[FECHA DE SERVICIO]],BDEGENER[[#This Row],[N° DE REGISTROS DEL DIA]])</f>
        <v>43715F2</v>
      </c>
      <c r="BI881" s="324"/>
      <c r="BJ881" s="85" t="s">
        <v>1544</v>
      </c>
      <c r="BK881" s="326"/>
    </row>
    <row r="882" spans="2:63" ht="69" hidden="1" x14ac:dyDescent="0.3">
      <c r="B882" s="223"/>
      <c r="C882" s="223"/>
      <c r="D882" s="223"/>
      <c r="E882" s="223"/>
      <c r="F882" s="223"/>
      <c r="G882" s="223"/>
      <c r="H882" s="223"/>
      <c r="I882" s="223"/>
      <c r="J882" s="223"/>
      <c r="K882" s="723">
        <v>43715</v>
      </c>
      <c r="L882" s="15" t="s">
        <v>181</v>
      </c>
      <c r="M882" s="14" t="s">
        <v>1962</v>
      </c>
      <c r="N882" s="14" t="s">
        <v>183</v>
      </c>
      <c r="O882" s="8" t="s">
        <v>159</v>
      </c>
      <c r="P882" s="15" t="s">
        <v>159</v>
      </c>
      <c r="Q882" s="14" t="s">
        <v>109</v>
      </c>
      <c r="R882" s="85" t="s">
        <v>1782</v>
      </c>
      <c r="S882" s="5" t="s">
        <v>53</v>
      </c>
      <c r="T882" s="85" t="s">
        <v>1782</v>
      </c>
      <c r="U882" s="14"/>
      <c r="V882" s="14" t="s">
        <v>149</v>
      </c>
      <c r="W882" s="85" t="s">
        <v>914</v>
      </c>
      <c r="X882" s="85" t="s">
        <v>918</v>
      </c>
      <c r="Y882" s="15">
        <v>3004337427</v>
      </c>
      <c r="Z882" s="14"/>
      <c r="AA882" s="14" t="s">
        <v>33</v>
      </c>
      <c r="AB882" s="85" t="s">
        <v>34</v>
      </c>
      <c r="AC882" s="14" t="s">
        <v>230</v>
      </c>
      <c r="AD882" s="16" t="s">
        <v>1350</v>
      </c>
      <c r="AE882" s="16">
        <v>60</v>
      </c>
      <c r="AF882" s="12">
        <v>0.7</v>
      </c>
      <c r="AG882" s="16" t="s">
        <v>243</v>
      </c>
      <c r="AH882" s="16" t="s">
        <v>220</v>
      </c>
      <c r="AI882" s="16" t="s">
        <v>33</v>
      </c>
      <c r="AJ882" s="16">
        <v>3004346831</v>
      </c>
      <c r="AK882" s="16" t="s">
        <v>33</v>
      </c>
      <c r="AL882" s="16">
        <v>106307250</v>
      </c>
      <c r="AM882" s="16" t="s">
        <v>1126</v>
      </c>
      <c r="AN882" s="16" t="s">
        <v>1364</v>
      </c>
      <c r="AO882" s="16" t="s">
        <v>1365</v>
      </c>
      <c r="AP882" s="14" t="s">
        <v>240</v>
      </c>
      <c r="AQ882" s="200" t="str">
        <f>CONCATENATE("REG-",BDEGENER[[#This Row],[FECHA DE SERVICIO]],"-",BDEGENER[[#This Row],[SERIE]],"-",BDEGENER[[#This Row],[HORAS]])</f>
        <v>REG-43715-3004337427-0,7</v>
      </c>
      <c r="AR882" s="5" t="str">
        <f>CONCATENATE("MARCA: ",BDEGENER[[#This Row],[MARCA]],"
 MODELO: ",BDEGENER[[#This Row],[MODELO]])</f>
        <v>MARCA: GENERAC
 MODELO: PG090</v>
      </c>
      <c r="AS882" s="5" t="str">
        <f>CONCATENATE("MARCA: ",BDEGENER[[#This Row],[MARCA DE MOTOR]],"
SERIE: ",BDEGENER[[#This Row],[SERIE DE MOTOR]])</f>
        <v>MARCA: GENERAC
SERIE: 3004346831</v>
      </c>
      <c r="AT882" s="5" t="str">
        <f>CONCATENATE("MARCA: ",BDEGENER[[#This Row],[MARCA ALTERNADOR ]],"
SERIE: ",BDEGENER[[#This Row],[SERIE DE ALTERNADOR]])</f>
        <v>MARCA: GENERAC
SERIE: 106307250</v>
      </c>
      <c r="AU882" s="5" t="str">
        <f>CONCATENATE("HORAS: ",BDEGENER[[#This Row],[HORAS]],"
KW-HR: ",BDEGENER[[#This Row],[KW-HORA]],"
VOLT.BATERIA: ",BDEGENER[[#This Row],[VOLTAJE DE BATERIA]],"
TEMPERATURA: ",BDEGENER[[#This Row],[TEMPERATURA DE AGUA]],"
PRES. ACEITE: ",BDEGENER[[#This Row],[PRESION DE ACEITE]])</f>
        <v>HORAS: 0,7
KW-HR: 
VOLT.BATERIA: 13 V
TEMPERATURA: 85 °F
PRES. ACEITE: 70 PSI</v>
      </c>
      <c r="AV882" s="683">
        <f>COUNTIFS(Q882:Q2882,"MANTENIMIENTO CORRECTIVO",Y882:Y2882,BDEGENER[[#This Row],[SERIE]])</f>
        <v>0</v>
      </c>
      <c r="AW882" s="683">
        <f>COUNTIFS(Q882:Q2882,"MANTENIMIENTO PREVENTIVO",Y882:Y2882,BDEGENER[[#This Row],[SERIE]])</f>
        <v>0</v>
      </c>
      <c r="AX88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82" s="29">
        <f>COUNTIFS(BDEGENER[SERIE],BDEGENER[[#This Row],[SERIE]],BDEGENER[TIPO DE SERVICIO],"MANTENIMIENTO PREVENTIVO")</f>
        <v>6</v>
      </c>
      <c r="AZ882" s="29" t="str">
        <f>CONCATENATE("MANTENIMIENTO PREVENTIVO N°",BDEGENER[[#This Row],[GA1]])</f>
        <v>MANTENIMIENTO PREVENTIVO N°6</v>
      </c>
      <c r="BA882" s="325" t="str">
        <f>IF(BDEGENER[[#This Row],[SERVICIO]]=BDEGENER[[#This Row],[GA2]],BDEGENER[[#This Row],[HORAS]],"0")</f>
        <v>0</v>
      </c>
      <c r="BB882" s="325">
        <f>SUMIF(BDEGENER[SERIE],BDEGENER[[#This Row],[SERIE]],BDEGENER[GA3])</f>
        <v>1835.7</v>
      </c>
      <c r="BC882" s="683" t="str">
        <f>CONCATENATE("MANT",COUNTIF($Y$7:Y882,Y882))</f>
        <v>MANT9</v>
      </c>
      <c r="BD882" s="29" t="str">
        <f>CONCATENATE(BDEGENER[[#This Row],[SERIE]],BDEGENER[[#This Row],[GA5]])</f>
        <v>3004337427MANT9</v>
      </c>
      <c r="BE882" s="29" t="str">
        <f>CONCATENATE(BDEGENER[[#This Row],[CODIGO PATRIMONIAL]],BDEGENER[[#This Row],[GA5]])</f>
        <v>MANT9</v>
      </c>
      <c r="BF882" s="16">
        <f>COUNTIF(BDEGENER[SERIE],BDEGENER[[#This Row],[SERIE]])</f>
        <v>9</v>
      </c>
      <c r="BG882" s="683" t="str">
        <f>CONCATENATE("F",COUNTIF($K$7:K882,K882))</f>
        <v>F3</v>
      </c>
      <c r="BH882" s="325" t="str">
        <f>CONCATENATE(BDEGENER[[#This Row],[FECHA DE SERVICIO]],BDEGENER[[#This Row],[N° DE REGISTROS DEL DIA]])</f>
        <v>43715F3</v>
      </c>
      <c r="BI882" s="324"/>
      <c r="BJ882" s="325"/>
      <c r="BK882" s="326"/>
    </row>
    <row r="883" spans="2:63" ht="69" hidden="1" x14ac:dyDescent="0.3">
      <c r="B883" s="223"/>
      <c r="C883" s="223"/>
      <c r="D883" s="223"/>
      <c r="E883" s="223"/>
      <c r="F883" s="223"/>
      <c r="G883" s="223"/>
      <c r="H883" s="223"/>
      <c r="I883" s="223"/>
      <c r="J883" s="223"/>
      <c r="K883" s="723">
        <v>43715</v>
      </c>
      <c r="L883" s="15" t="s">
        <v>181</v>
      </c>
      <c r="M883" s="14" t="s">
        <v>185</v>
      </c>
      <c r="N883" s="14" t="s">
        <v>183</v>
      </c>
      <c r="O883" s="8" t="s">
        <v>159</v>
      </c>
      <c r="P883" s="15" t="s">
        <v>159</v>
      </c>
      <c r="Q883" s="14" t="s">
        <v>109</v>
      </c>
      <c r="R883" s="85" t="s">
        <v>1782</v>
      </c>
      <c r="S883" s="5" t="s">
        <v>53</v>
      </c>
      <c r="T883" s="85" t="s">
        <v>1782</v>
      </c>
      <c r="U883" s="14"/>
      <c r="V883" s="14" t="s">
        <v>149</v>
      </c>
      <c r="W883" s="85" t="s">
        <v>914</v>
      </c>
      <c r="X883" s="85" t="s">
        <v>918</v>
      </c>
      <c r="Y883" s="15">
        <v>3004344017</v>
      </c>
      <c r="Z883" s="14"/>
      <c r="AA883" s="14" t="s">
        <v>33</v>
      </c>
      <c r="AB883" s="85" t="s">
        <v>34</v>
      </c>
      <c r="AC883" s="14" t="s">
        <v>230</v>
      </c>
      <c r="AD883" s="16" t="s">
        <v>1195</v>
      </c>
      <c r="AE883" s="16">
        <v>59.9</v>
      </c>
      <c r="AF883" s="12">
        <v>0.5</v>
      </c>
      <c r="AG883" s="16" t="s">
        <v>243</v>
      </c>
      <c r="AH883" s="16" t="s">
        <v>220</v>
      </c>
      <c r="AI883" s="16" t="s">
        <v>33</v>
      </c>
      <c r="AJ883" s="16">
        <v>3004346832</v>
      </c>
      <c r="AK883" s="16" t="s">
        <v>33</v>
      </c>
      <c r="AL883" s="16">
        <v>106308750</v>
      </c>
      <c r="AM883" s="16" t="s">
        <v>245</v>
      </c>
      <c r="AN883" s="16" t="s">
        <v>1366</v>
      </c>
      <c r="AO883" s="16" t="s">
        <v>1367</v>
      </c>
      <c r="AP883" s="14" t="s">
        <v>240</v>
      </c>
      <c r="AQ883" s="200" t="str">
        <f>CONCATENATE("REG-",BDEGENER[[#This Row],[FECHA DE SERVICIO]],"-",BDEGENER[[#This Row],[SERIE]],"-",BDEGENER[[#This Row],[HORAS]])</f>
        <v>REG-43715-3004344017-0,5</v>
      </c>
      <c r="AR883" s="5" t="str">
        <f>CONCATENATE("MARCA: ",BDEGENER[[#This Row],[MARCA]],"
 MODELO: ",BDEGENER[[#This Row],[MODELO]])</f>
        <v>MARCA: GENERAC
 MODELO: PG090</v>
      </c>
      <c r="AS883" s="5" t="str">
        <f>CONCATENATE("MARCA: ",BDEGENER[[#This Row],[MARCA DE MOTOR]],"
SERIE: ",BDEGENER[[#This Row],[SERIE DE MOTOR]])</f>
        <v>MARCA: GENERAC
SERIE: 3004346832</v>
      </c>
      <c r="AT883" s="5" t="str">
        <f>CONCATENATE("MARCA: ",BDEGENER[[#This Row],[MARCA ALTERNADOR ]],"
SERIE: ",BDEGENER[[#This Row],[SERIE DE ALTERNADOR]])</f>
        <v>MARCA: GENERAC
SERIE: 106308750</v>
      </c>
      <c r="AU883" s="5" t="str">
        <f>CONCATENATE("HORAS: ",BDEGENER[[#This Row],[HORAS]],"
KW-HR: ",BDEGENER[[#This Row],[KW-HORA]],"
VOLT.BATERIA: ",BDEGENER[[#This Row],[VOLTAJE DE BATERIA]],"
TEMPERATURA: ",BDEGENER[[#This Row],[TEMPERATURA DE AGUA]],"
PRES. ACEITE: ",BDEGENER[[#This Row],[PRESION DE ACEITE]])</f>
        <v>HORAS: 0,5
KW-HR: 
VOLT.BATERIA: 13.6 V
TEMPERATURA: 82 °F
PRES. ACEITE: 72 PSI</v>
      </c>
      <c r="AV883" s="761">
        <f>COUNTIFS(Q883:Q2883,"MANTENIMIENTO CORRECTIVO",Y883:Y2883,BDEGENER[[#This Row],[SERIE]])</f>
        <v>0</v>
      </c>
      <c r="AW883" s="761">
        <f>COUNTIFS(Q883:Q2883,"MANTENIMIENTO PREVENTIVO",Y883:Y2883,BDEGENER[[#This Row],[SERIE]])</f>
        <v>0</v>
      </c>
      <c r="AX88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83" s="29">
        <f>COUNTIFS(BDEGENER[SERIE],BDEGENER[[#This Row],[SERIE]],BDEGENER[TIPO DE SERVICIO],"MANTENIMIENTO PREVENTIVO")</f>
        <v>6</v>
      </c>
      <c r="AZ883" s="29" t="str">
        <f>CONCATENATE("MANTENIMIENTO PREVENTIVO N°",BDEGENER[[#This Row],[GA1]])</f>
        <v>MANTENIMIENTO PREVENTIVO N°6</v>
      </c>
      <c r="BA883" s="325" t="str">
        <f>IF(BDEGENER[[#This Row],[SERVICIO]]=BDEGENER[[#This Row],[GA2]],BDEGENER[[#This Row],[HORAS]],"0")</f>
        <v>0</v>
      </c>
      <c r="BB883" s="325">
        <f>SUMIF(BDEGENER[SERIE],BDEGENER[[#This Row],[SERIE]],BDEGENER[GA3])</f>
        <v>2140.9</v>
      </c>
      <c r="BC883" s="761" t="str">
        <f>CONCATENATE("MANT",COUNTIF($Y$7:Y883,Y883))</f>
        <v>MANT12</v>
      </c>
      <c r="BD883" s="29" t="str">
        <f>CONCATENATE(BDEGENER[[#This Row],[SERIE]],BDEGENER[[#This Row],[GA5]])</f>
        <v>3004344017MANT12</v>
      </c>
      <c r="BE883" s="29" t="str">
        <f>CONCATENATE(BDEGENER[[#This Row],[CODIGO PATRIMONIAL]],BDEGENER[[#This Row],[GA5]])</f>
        <v>MANT12</v>
      </c>
      <c r="BF883" s="16">
        <f>COUNTIF(BDEGENER[SERIE],BDEGENER[[#This Row],[SERIE]])</f>
        <v>12</v>
      </c>
      <c r="BG883" s="761" t="str">
        <f>CONCATENATE("F",COUNTIF($K$7:K883,K883))</f>
        <v>F4</v>
      </c>
      <c r="BH883" s="325" t="str">
        <f>CONCATENATE(BDEGENER[[#This Row],[FECHA DE SERVICIO]],BDEGENER[[#This Row],[N° DE REGISTROS DEL DIA]])</f>
        <v>43715F4</v>
      </c>
      <c r="BI883" s="324"/>
      <c r="BJ883" s="85" t="s">
        <v>1544</v>
      </c>
      <c r="BK883" s="326"/>
    </row>
    <row r="884" spans="2:63" ht="69" hidden="1" x14ac:dyDescent="0.3">
      <c r="B884" s="223"/>
      <c r="C884" s="223"/>
      <c r="D884" s="223"/>
      <c r="E884" s="223"/>
      <c r="F884" s="223"/>
      <c r="G884" s="223"/>
      <c r="H884" s="223"/>
      <c r="I884" s="223"/>
      <c r="J884" s="223"/>
      <c r="K884" s="723">
        <v>43715</v>
      </c>
      <c r="L884" s="15" t="s">
        <v>181</v>
      </c>
      <c r="M884" s="14" t="s">
        <v>184</v>
      </c>
      <c r="N884" s="14" t="s">
        <v>183</v>
      </c>
      <c r="O884" s="8" t="s">
        <v>159</v>
      </c>
      <c r="P884" s="15" t="s">
        <v>159</v>
      </c>
      <c r="Q884" s="14" t="s">
        <v>109</v>
      </c>
      <c r="R884" s="85" t="s">
        <v>1782</v>
      </c>
      <c r="S884" s="5" t="s">
        <v>53</v>
      </c>
      <c r="T884" s="14" t="s">
        <v>1371</v>
      </c>
      <c r="U884" s="14"/>
      <c r="V884" s="14" t="s">
        <v>149</v>
      </c>
      <c r="W884" s="85" t="s">
        <v>914</v>
      </c>
      <c r="X884" s="85" t="s">
        <v>918</v>
      </c>
      <c r="Y884" s="15">
        <v>3004344014</v>
      </c>
      <c r="Z884" s="14"/>
      <c r="AA884" s="14" t="s">
        <v>33</v>
      </c>
      <c r="AB884" s="85" t="s">
        <v>34</v>
      </c>
      <c r="AC884" s="14" t="s">
        <v>230</v>
      </c>
      <c r="AD884" s="16" t="s">
        <v>1195</v>
      </c>
      <c r="AE884" s="16">
        <v>59.9</v>
      </c>
      <c r="AF884" s="12">
        <v>13.2</v>
      </c>
      <c r="AG884" s="16" t="s">
        <v>243</v>
      </c>
      <c r="AH884" s="16" t="s">
        <v>220</v>
      </c>
      <c r="AI884" s="16" t="s">
        <v>33</v>
      </c>
      <c r="AJ884" s="16">
        <v>3004346826</v>
      </c>
      <c r="AK884" s="16" t="s">
        <v>33</v>
      </c>
      <c r="AL884" s="16">
        <v>106308730</v>
      </c>
      <c r="AM884" s="16" t="s">
        <v>1368</v>
      </c>
      <c r="AN884" s="16" t="s">
        <v>1369</v>
      </c>
      <c r="AO884" s="16" t="s">
        <v>1370</v>
      </c>
      <c r="AP884" s="14" t="s">
        <v>240</v>
      </c>
      <c r="AQ884" s="200" t="str">
        <f>CONCATENATE("REG-",BDEGENER[[#This Row],[FECHA DE SERVICIO]],"-",BDEGENER[[#This Row],[SERIE]],"-",BDEGENER[[#This Row],[HORAS]])</f>
        <v>REG-43715-3004344014-13,2</v>
      </c>
      <c r="AR884" s="5" t="str">
        <f>CONCATENATE("MARCA: ",BDEGENER[[#This Row],[MARCA]],"
 MODELO: ",BDEGENER[[#This Row],[MODELO]])</f>
        <v>MARCA: GENERAC
 MODELO: PG090</v>
      </c>
      <c r="AS884" s="5" t="str">
        <f>CONCATENATE("MARCA: ",BDEGENER[[#This Row],[MARCA DE MOTOR]],"
SERIE: ",BDEGENER[[#This Row],[SERIE DE MOTOR]])</f>
        <v>MARCA: GENERAC
SERIE: 3004346826</v>
      </c>
      <c r="AT884" s="5" t="str">
        <f>CONCATENATE("MARCA: ",BDEGENER[[#This Row],[MARCA ALTERNADOR ]],"
SERIE: ",BDEGENER[[#This Row],[SERIE DE ALTERNADOR]])</f>
        <v>MARCA: GENERAC
SERIE: 106308730</v>
      </c>
      <c r="AU884" s="5" t="str">
        <f>CONCATENATE("HORAS: ",BDEGENER[[#This Row],[HORAS]],"
KW-HR: ",BDEGENER[[#This Row],[KW-HORA]],"
VOLT.BATERIA: ",BDEGENER[[#This Row],[VOLTAJE DE BATERIA]],"
TEMPERATURA: ",BDEGENER[[#This Row],[TEMPERATURA DE AGUA]],"
PRES. ACEITE: ",BDEGENER[[#This Row],[PRESION DE ACEITE]])</f>
        <v>HORAS: 13,2
KW-HR: 
VOLT.BATERIA: 16.6 V
TEMPERATURA: 120 °F
PRES. ACEITE: 67 PSI</v>
      </c>
      <c r="AV884" s="683">
        <f>COUNTIFS(Q884:Q2884,"MANTENIMIENTO CORRECTIVO",Y884:Y2884,BDEGENER[[#This Row],[SERIE]])</f>
        <v>0</v>
      </c>
      <c r="AW884" s="683">
        <f>COUNTIFS(Q884:Q2884,"MANTENIMIENTO PREVENTIVO",Y884:Y2884,BDEGENER[[#This Row],[SERIE]])</f>
        <v>0</v>
      </c>
      <c r="AX88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84" s="29">
        <f>COUNTIFS(BDEGENER[SERIE],BDEGENER[[#This Row],[SERIE]],BDEGENER[TIPO DE SERVICIO],"MANTENIMIENTO PREVENTIVO")</f>
        <v>8</v>
      </c>
      <c r="AZ884" s="29" t="str">
        <f>CONCATENATE("MANTENIMIENTO PREVENTIVO N°",BDEGENER[[#This Row],[GA1]])</f>
        <v>MANTENIMIENTO PREVENTIVO N°8</v>
      </c>
      <c r="BA884" s="325" t="str">
        <f>IF(BDEGENER[[#This Row],[SERVICIO]]=BDEGENER[[#This Row],[GA2]],BDEGENER[[#This Row],[HORAS]],"0")</f>
        <v>0</v>
      </c>
      <c r="BB884" s="325">
        <f>SUMIF(BDEGENER[SERIE],BDEGENER[[#This Row],[SERIE]],BDEGENER[GA3])</f>
        <v>2070.3000000000002</v>
      </c>
      <c r="BC884" s="683" t="str">
        <f>CONCATENATE("MANT",COUNTIF($Y$7:Y884,Y884))</f>
        <v>MANT12</v>
      </c>
      <c r="BD884" s="29" t="str">
        <f>CONCATENATE(BDEGENER[[#This Row],[SERIE]],BDEGENER[[#This Row],[GA5]])</f>
        <v>3004344014MANT12</v>
      </c>
      <c r="BE884" s="29" t="str">
        <f>CONCATENATE(BDEGENER[[#This Row],[CODIGO PATRIMONIAL]],BDEGENER[[#This Row],[GA5]])</f>
        <v>MANT12</v>
      </c>
      <c r="BF884" s="16">
        <f>COUNTIF(BDEGENER[SERIE],BDEGENER[[#This Row],[SERIE]])</f>
        <v>12</v>
      </c>
      <c r="BG884" s="683" t="str">
        <f>CONCATENATE("F",COUNTIF($K$7:K884,K884))</f>
        <v>F5</v>
      </c>
      <c r="BH884" s="325" t="str">
        <f>CONCATENATE(BDEGENER[[#This Row],[FECHA DE SERVICIO]],BDEGENER[[#This Row],[N° DE REGISTROS DEL DIA]])</f>
        <v>43715F5</v>
      </c>
      <c r="BI884" s="324"/>
      <c r="BJ884" s="85" t="s">
        <v>1544</v>
      </c>
      <c r="BK884" s="326"/>
    </row>
    <row r="885" spans="2:63" ht="69" hidden="1" x14ac:dyDescent="0.3">
      <c r="B885" s="223"/>
      <c r="C885" s="223"/>
      <c r="D885" s="223"/>
      <c r="E885" s="223"/>
      <c r="F885" s="223"/>
      <c r="G885" s="223"/>
      <c r="H885" s="223"/>
      <c r="I885" s="223"/>
      <c r="J885" s="223"/>
      <c r="K885" s="723">
        <v>43715</v>
      </c>
      <c r="L885" s="15" t="s">
        <v>181</v>
      </c>
      <c r="M885" s="14" t="s">
        <v>182</v>
      </c>
      <c r="N885" s="14" t="s">
        <v>183</v>
      </c>
      <c r="O885" s="8" t="s">
        <v>159</v>
      </c>
      <c r="P885" s="15" t="s">
        <v>159</v>
      </c>
      <c r="Q885" s="14" t="s">
        <v>109</v>
      </c>
      <c r="R885" s="85" t="s">
        <v>1782</v>
      </c>
      <c r="S885" s="5" t="s">
        <v>53</v>
      </c>
      <c r="T885" s="85" t="s">
        <v>1782</v>
      </c>
      <c r="U885" s="14"/>
      <c r="V885" s="14" t="s">
        <v>149</v>
      </c>
      <c r="W885" s="85" t="s">
        <v>914</v>
      </c>
      <c r="X885" s="85" t="s">
        <v>918</v>
      </c>
      <c r="Y885" s="15">
        <v>3004402508</v>
      </c>
      <c r="Z885" s="14"/>
      <c r="AA885" s="14" t="s">
        <v>33</v>
      </c>
      <c r="AB885" s="85" t="s">
        <v>34</v>
      </c>
      <c r="AC885" s="14" t="s">
        <v>230</v>
      </c>
      <c r="AD885" s="16" t="s">
        <v>1195</v>
      </c>
      <c r="AE885" s="16">
        <v>59.9</v>
      </c>
      <c r="AF885" s="12">
        <v>0.6</v>
      </c>
      <c r="AG885" s="16" t="s">
        <v>243</v>
      </c>
      <c r="AH885" s="16" t="s">
        <v>220</v>
      </c>
      <c r="AI885" s="16" t="s">
        <v>33</v>
      </c>
      <c r="AJ885" s="16">
        <v>3004425773</v>
      </c>
      <c r="AK885" s="16" t="s">
        <v>33</v>
      </c>
      <c r="AL885" s="16">
        <v>106310050</v>
      </c>
      <c r="AM885" s="16" t="s">
        <v>1196</v>
      </c>
      <c r="AN885" s="16" t="s">
        <v>1372</v>
      </c>
      <c r="AO885" s="16" t="s">
        <v>1090</v>
      </c>
      <c r="AP885" s="14" t="s">
        <v>240</v>
      </c>
      <c r="AQ885" s="200" t="str">
        <f>CONCATENATE("REG-",BDEGENER[[#This Row],[FECHA DE SERVICIO]],"-",BDEGENER[[#This Row],[SERIE]],"-",BDEGENER[[#This Row],[HORAS]])</f>
        <v>REG-43715-3004402508-0,6</v>
      </c>
      <c r="AR885" s="5" t="str">
        <f>CONCATENATE("MARCA: ",BDEGENER[[#This Row],[MARCA]],"
 MODELO: ",BDEGENER[[#This Row],[MODELO]])</f>
        <v>MARCA: GENERAC
 MODELO: PG090</v>
      </c>
      <c r="AS885" s="5" t="str">
        <f>CONCATENATE("MARCA: ",BDEGENER[[#This Row],[MARCA DE MOTOR]],"
SERIE: ",BDEGENER[[#This Row],[SERIE DE MOTOR]])</f>
        <v>MARCA: GENERAC
SERIE: 3004425773</v>
      </c>
      <c r="AT885" s="5" t="str">
        <f>CONCATENATE("MARCA: ",BDEGENER[[#This Row],[MARCA ALTERNADOR ]],"
SERIE: ",BDEGENER[[#This Row],[SERIE DE ALTERNADOR]])</f>
        <v>MARCA: GENERAC
SERIE: 106310050</v>
      </c>
      <c r="AU885" s="5" t="str">
        <f>CONCATENATE("HORAS: ",BDEGENER[[#This Row],[HORAS]],"
KW-HR: ",BDEGENER[[#This Row],[KW-HORA]],"
VOLT.BATERIA: ",BDEGENER[[#This Row],[VOLTAJE DE BATERIA]],"
TEMPERATURA: ",BDEGENER[[#This Row],[TEMPERATURA DE AGUA]],"
PRES. ACEITE: ",BDEGENER[[#This Row],[PRESION DE ACEITE]])</f>
        <v>HORAS: 0,6
KW-HR: 
VOLT.BATERIA: 13.2 V
TEMPERATURA: 78 °F
PRES. ACEITE: 69 PSI</v>
      </c>
      <c r="AV885" s="683">
        <f>COUNTIFS(Q885:Q2885,"MANTENIMIENTO CORRECTIVO",Y885:Y2885,BDEGENER[[#This Row],[SERIE]])</f>
        <v>0</v>
      </c>
      <c r="AW885" s="683">
        <f>COUNTIFS(Q885:Q2885,"MANTENIMIENTO PREVENTIVO",Y885:Y2885,BDEGENER[[#This Row],[SERIE]])</f>
        <v>0</v>
      </c>
      <c r="AX88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85" s="29">
        <f>COUNTIFS(BDEGENER[SERIE],BDEGENER[[#This Row],[SERIE]],BDEGENER[TIPO DE SERVICIO],"MANTENIMIENTO PREVENTIVO")</f>
        <v>8</v>
      </c>
      <c r="AZ885" s="29" t="str">
        <f>CONCATENATE("MANTENIMIENTO PREVENTIVO N°",BDEGENER[[#This Row],[GA1]])</f>
        <v>MANTENIMIENTO PREVENTIVO N°8</v>
      </c>
      <c r="BA885" s="325" t="str">
        <f>IF(BDEGENER[[#This Row],[SERVICIO]]=BDEGENER[[#This Row],[GA2]],BDEGENER[[#This Row],[HORAS]],"0")</f>
        <v>0</v>
      </c>
      <c r="BB885" s="325">
        <f>SUMIF(BDEGENER[SERIE],BDEGENER[[#This Row],[SERIE]],BDEGENER[GA3])</f>
        <v>2186.3000000000002</v>
      </c>
      <c r="BC885" s="683" t="str">
        <f>CONCATENATE("MANT",COUNTIF($Y$7:Y885,Y885))</f>
        <v>MANT15</v>
      </c>
      <c r="BD885" s="29" t="str">
        <f>CONCATENATE(BDEGENER[[#This Row],[SERIE]],BDEGENER[[#This Row],[GA5]])</f>
        <v>3004402508MANT15</v>
      </c>
      <c r="BE885" s="29" t="str">
        <f>CONCATENATE(BDEGENER[[#This Row],[CODIGO PATRIMONIAL]],BDEGENER[[#This Row],[GA5]])</f>
        <v>MANT15</v>
      </c>
      <c r="BF885" s="16">
        <f>COUNTIF(BDEGENER[SERIE],BDEGENER[[#This Row],[SERIE]])</f>
        <v>15</v>
      </c>
      <c r="BG885" s="683" t="str">
        <f>CONCATENATE("F",COUNTIF($K$7:K885,K885))</f>
        <v>F6</v>
      </c>
      <c r="BH885" s="325" t="str">
        <f>CONCATENATE(BDEGENER[[#This Row],[FECHA DE SERVICIO]],BDEGENER[[#This Row],[N° DE REGISTROS DEL DIA]])</f>
        <v>43715F6</v>
      </c>
      <c r="BI885" s="324"/>
      <c r="BJ885" s="85" t="s">
        <v>1544</v>
      </c>
      <c r="BK885" s="326"/>
    </row>
    <row r="886" spans="2:63" ht="69" hidden="1" x14ac:dyDescent="0.3">
      <c r="B886" s="223"/>
      <c r="C886" s="223"/>
      <c r="D886" s="223"/>
      <c r="E886" s="223"/>
      <c r="F886" s="223"/>
      <c r="G886" s="223"/>
      <c r="H886" s="223"/>
      <c r="I886" s="223"/>
      <c r="J886" s="223"/>
      <c r="K886" s="723">
        <v>43715</v>
      </c>
      <c r="L886" s="15" t="s">
        <v>181</v>
      </c>
      <c r="M886" s="14" t="s">
        <v>184</v>
      </c>
      <c r="N886" s="14" t="s">
        <v>183</v>
      </c>
      <c r="O886" s="8" t="s">
        <v>159</v>
      </c>
      <c r="P886" s="15" t="s">
        <v>159</v>
      </c>
      <c r="Q886" s="14" t="s">
        <v>109</v>
      </c>
      <c r="R886" s="85" t="s">
        <v>1782</v>
      </c>
      <c r="S886" s="5" t="s">
        <v>53</v>
      </c>
      <c r="T886" s="85" t="s">
        <v>1782</v>
      </c>
      <c r="U886" s="14"/>
      <c r="V886" s="14" t="s">
        <v>149</v>
      </c>
      <c r="W886" s="85" t="s">
        <v>914</v>
      </c>
      <c r="X886" s="85" t="s">
        <v>918</v>
      </c>
      <c r="Y886" s="15">
        <v>3004418791</v>
      </c>
      <c r="Z886" s="14"/>
      <c r="AA886" s="14" t="s">
        <v>33</v>
      </c>
      <c r="AB886" s="85" t="s">
        <v>34</v>
      </c>
      <c r="AC886" s="14" t="s">
        <v>230</v>
      </c>
      <c r="AD886" s="16" t="s">
        <v>1195</v>
      </c>
      <c r="AE886" s="16">
        <v>60</v>
      </c>
      <c r="AF886" s="12">
        <v>3.9</v>
      </c>
      <c r="AG886" s="16" t="s">
        <v>243</v>
      </c>
      <c r="AH886" s="16" t="s">
        <v>220</v>
      </c>
      <c r="AI886" s="16" t="s">
        <v>33</v>
      </c>
      <c r="AJ886" s="16">
        <v>3004426135</v>
      </c>
      <c r="AK886" s="16" t="s">
        <v>33</v>
      </c>
      <c r="AL886" s="16">
        <v>107745330</v>
      </c>
      <c r="AM886" s="16" t="s">
        <v>1121</v>
      </c>
      <c r="AN886" s="16" t="s">
        <v>1373</v>
      </c>
      <c r="AO886" s="16" t="s">
        <v>1374</v>
      </c>
      <c r="AP886" s="14" t="s">
        <v>240</v>
      </c>
      <c r="AQ886" s="200" t="str">
        <f>CONCATENATE("REG-",BDEGENER[[#This Row],[FECHA DE SERVICIO]],"-",BDEGENER[[#This Row],[SERIE]],"-",BDEGENER[[#This Row],[HORAS]])</f>
        <v>REG-43715-3004418791-3,9</v>
      </c>
      <c r="AR886" s="5" t="str">
        <f>CONCATENATE("MARCA: ",BDEGENER[[#This Row],[MARCA]],"
 MODELO: ",BDEGENER[[#This Row],[MODELO]])</f>
        <v>MARCA: GENERAC
 MODELO: PG090</v>
      </c>
      <c r="AS886" s="5" t="str">
        <f>CONCATENATE("MARCA: ",BDEGENER[[#This Row],[MARCA DE MOTOR]],"
SERIE: ",BDEGENER[[#This Row],[SERIE DE MOTOR]])</f>
        <v>MARCA: GENERAC
SERIE: 3004426135</v>
      </c>
      <c r="AT886" s="5" t="str">
        <f>CONCATENATE("MARCA: ",BDEGENER[[#This Row],[MARCA ALTERNADOR ]],"
SERIE: ",BDEGENER[[#This Row],[SERIE DE ALTERNADOR]])</f>
        <v>MARCA: GENERAC
SERIE: 107745330</v>
      </c>
      <c r="AU886" s="5" t="str">
        <f>CONCATENATE("HORAS: ",BDEGENER[[#This Row],[HORAS]],"
KW-HR: ",BDEGENER[[#This Row],[KW-HORA]],"
VOLT.BATERIA: ",BDEGENER[[#This Row],[VOLTAJE DE BATERIA]],"
TEMPERATURA: ",BDEGENER[[#This Row],[TEMPERATURA DE AGUA]],"
PRES. ACEITE: ",BDEGENER[[#This Row],[PRESION DE ACEITE]])</f>
        <v>HORAS: 3,9
KW-HR: 
VOLT.BATERIA: 13.7 V
TEMPERATURA: 98 °F
PRES. ACEITE: 65 PSI</v>
      </c>
      <c r="AV886" s="761">
        <f>COUNTIFS(Q886:Q2886,"MANTENIMIENTO CORRECTIVO",Y886:Y2886,BDEGENER[[#This Row],[SERIE]])</f>
        <v>0</v>
      </c>
      <c r="AW886" s="761">
        <f>COUNTIFS(Q886:Q2886,"MANTENIMIENTO PREVENTIVO",Y886:Y2886,BDEGENER[[#This Row],[SERIE]])</f>
        <v>0</v>
      </c>
      <c r="AX88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86" s="29">
        <f>COUNTIFS(BDEGENER[SERIE],BDEGENER[[#This Row],[SERIE]],BDEGENER[TIPO DE SERVICIO],"MANTENIMIENTO PREVENTIVO")</f>
        <v>7</v>
      </c>
      <c r="AZ886" s="29" t="str">
        <f>CONCATENATE("MANTENIMIENTO PREVENTIVO N°",BDEGENER[[#This Row],[GA1]])</f>
        <v>MANTENIMIENTO PREVENTIVO N°7</v>
      </c>
      <c r="BA886" s="325" t="str">
        <f>IF(BDEGENER[[#This Row],[SERVICIO]]=BDEGENER[[#This Row],[GA2]],BDEGENER[[#This Row],[HORAS]],"0")</f>
        <v>0</v>
      </c>
      <c r="BB886" s="325">
        <f>SUMIF(BDEGENER[SERIE],BDEGENER[[#This Row],[SERIE]],BDEGENER[GA3])</f>
        <v>2074.3000000000002</v>
      </c>
      <c r="BC886" s="761" t="str">
        <f>CONCATENATE("MANT",COUNTIF($Y$7:Y886,Y886))</f>
        <v>MANT16</v>
      </c>
      <c r="BD886" s="29" t="str">
        <f>CONCATENATE(BDEGENER[[#This Row],[SERIE]],BDEGENER[[#This Row],[GA5]])</f>
        <v>3004418791MANT16</v>
      </c>
      <c r="BE886" s="29" t="str">
        <f>CONCATENATE(BDEGENER[[#This Row],[CODIGO PATRIMONIAL]],BDEGENER[[#This Row],[GA5]])</f>
        <v>MANT16</v>
      </c>
      <c r="BF886" s="16">
        <f>COUNTIF(BDEGENER[SERIE],BDEGENER[[#This Row],[SERIE]])</f>
        <v>16</v>
      </c>
      <c r="BG886" s="761" t="str">
        <f>CONCATENATE("F",COUNTIF($K$7:K886,K886))</f>
        <v>F7</v>
      </c>
      <c r="BH886" s="325" t="str">
        <f>CONCATENATE(BDEGENER[[#This Row],[FECHA DE SERVICIO]],BDEGENER[[#This Row],[N° DE REGISTROS DEL DIA]])</f>
        <v>43715F7</v>
      </c>
      <c r="BI886" s="324"/>
      <c r="BJ886" s="85" t="s">
        <v>1544</v>
      </c>
      <c r="BK886" s="326"/>
    </row>
    <row r="887" spans="2:63" ht="69" hidden="1" x14ac:dyDescent="0.3">
      <c r="B887" s="223"/>
      <c r="C887" s="223"/>
      <c r="D887" s="223"/>
      <c r="E887" s="223"/>
      <c r="F887" s="223"/>
      <c r="G887" s="223"/>
      <c r="H887" s="223"/>
      <c r="I887" s="223"/>
      <c r="J887" s="223"/>
      <c r="K887" s="723">
        <v>43715</v>
      </c>
      <c r="L887" s="15" t="s">
        <v>181</v>
      </c>
      <c r="M887" s="14" t="s">
        <v>184</v>
      </c>
      <c r="N887" s="14" t="s">
        <v>183</v>
      </c>
      <c r="O887" s="8" t="s">
        <v>159</v>
      </c>
      <c r="P887" s="15" t="s">
        <v>159</v>
      </c>
      <c r="Q887" s="14" t="s">
        <v>109</v>
      </c>
      <c r="R887" s="85" t="s">
        <v>1782</v>
      </c>
      <c r="S887" s="5" t="s">
        <v>53</v>
      </c>
      <c r="T887" s="85" t="s">
        <v>1782</v>
      </c>
      <c r="U887" s="14"/>
      <c r="V887" s="14" t="s">
        <v>149</v>
      </c>
      <c r="W887" s="85" t="s">
        <v>914</v>
      </c>
      <c r="X887" s="85" t="s">
        <v>918</v>
      </c>
      <c r="Y887" s="15">
        <v>3004418790</v>
      </c>
      <c r="Z887" s="14"/>
      <c r="AA887" s="14" t="s">
        <v>33</v>
      </c>
      <c r="AB887" s="85" t="s">
        <v>34</v>
      </c>
      <c r="AC887" s="14" t="s">
        <v>230</v>
      </c>
      <c r="AD887" s="16" t="s">
        <v>1375</v>
      </c>
      <c r="AE887" s="16">
        <v>60</v>
      </c>
      <c r="AF887" s="12">
        <v>10.4</v>
      </c>
      <c r="AG887" s="16" t="s">
        <v>243</v>
      </c>
      <c r="AH887" s="16" t="s">
        <v>220</v>
      </c>
      <c r="AI887" s="16" t="s">
        <v>33</v>
      </c>
      <c r="AJ887" s="16">
        <v>3004426133</v>
      </c>
      <c r="AK887" s="16" t="s">
        <v>33</v>
      </c>
      <c r="AL887" s="16">
        <v>107745310</v>
      </c>
      <c r="AM887" s="16" t="s">
        <v>245</v>
      </c>
      <c r="AN887" s="16" t="s">
        <v>1376</v>
      </c>
      <c r="AO887" s="16" t="s">
        <v>1374</v>
      </c>
      <c r="AP887" s="14" t="s">
        <v>240</v>
      </c>
      <c r="AQ887" s="200" t="str">
        <f>CONCATENATE("REG-",BDEGENER[[#This Row],[FECHA DE SERVICIO]],"-",BDEGENER[[#This Row],[SERIE]],"-",BDEGENER[[#This Row],[HORAS]])</f>
        <v>REG-43715-3004418790-10,4</v>
      </c>
      <c r="AR887" s="5" t="str">
        <f>CONCATENATE("MARCA: ",BDEGENER[[#This Row],[MARCA]],"
 MODELO: ",BDEGENER[[#This Row],[MODELO]])</f>
        <v>MARCA: GENERAC
 MODELO: PG090</v>
      </c>
      <c r="AS887" s="5" t="str">
        <f>CONCATENATE("MARCA: ",BDEGENER[[#This Row],[MARCA DE MOTOR]],"
SERIE: ",BDEGENER[[#This Row],[SERIE DE MOTOR]])</f>
        <v>MARCA: GENERAC
SERIE: 3004426133</v>
      </c>
      <c r="AT887" s="5" t="str">
        <f>CONCATENATE("MARCA: ",BDEGENER[[#This Row],[MARCA ALTERNADOR ]],"
SERIE: ",BDEGENER[[#This Row],[SERIE DE ALTERNADOR]])</f>
        <v>MARCA: GENERAC
SERIE: 107745310</v>
      </c>
      <c r="AU887" s="5" t="str">
        <f>CONCATENATE("HORAS: ",BDEGENER[[#This Row],[HORAS]],"
KW-HR: ",BDEGENER[[#This Row],[KW-HORA]],"
VOLT.BATERIA: ",BDEGENER[[#This Row],[VOLTAJE DE BATERIA]],"
TEMPERATURA: ",BDEGENER[[#This Row],[TEMPERATURA DE AGUA]],"
PRES. ACEITE: ",BDEGENER[[#This Row],[PRESION DE ACEITE]])</f>
        <v>HORAS: 10,4
KW-HR: 
VOLT.BATERIA: 13.6 V
TEMPERATURA: 97 °F
PRES. ACEITE: 65 PSI</v>
      </c>
      <c r="AV887" s="683">
        <f>COUNTIFS(Q887:Q2887,"MANTENIMIENTO CORRECTIVO",Y887:Y2887,BDEGENER[[#This Row],[SERIE]])</f>
        <v>0</v>
      </c>
      <c r="AW887" s="683">
        <f>COUNTIFS(Q887:Q2887,"MANTENIMIENTO PREVENTIVO",Y887:Y2887,BDEGENER[[#This Row],[SERIE]])</f>
        <v>0</v>
      </c>
      <c r="AX88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87" s="29">
        <f>COUNTIFS(BDEGENER[SERIE],BDEGENER[[#This Row],[SERIE]],BDEGENER[TIPO DE SERVICIO],"MANTENIMIENTO PREVENTIVO")</f>
        <v>8</v>
      </c>
      <c r="AZ887" s="29" t="str">
        <f>CONCATENATE("MANTENIMIENTO PREVENTIVO N°",BDEGENER[[#This Row],[GA1]])</f>
        <v>MANTENIMIENTO PREVENTIVO N°8</v>
      </c>
      <c r="BA887" s="325" t="str">
        <f>IF(BDEGENER[[#This Row],[SERVICIO]]=BDEGENER[[#This Row],[GA2]],BDEGENER[[#This Row],[HORAS]],"0")</f>
        <v>0</v>
      </c>
      <c r="BB887" s="325">
        <f>SUMIF(BDEGENER[SERIE],BDEGENER[[#This Row],[SERIE]],BDEGENER[GA3])</f>
        <v>2579.3000000000002</v>
      </c>
      <c r="BC887" s="683" t="str">
        <f>CONCATENATE("MANT",COUNTIF($Y$7:Y887,Y887))</f>
        <v>MANT14</v>
      </c>
      <c r="BD887" s="29" t="str">
        <f>CONCATENATE(BDEGENER[[#This Row],[SERIE]],BDEGENER[[#This Row],[GA5]])</f>
        <v>3004418790MANT14</v>
      </c>
      <c r="BE887" s="29" t="str">
        <f>CONCATENATE(BDEGENER[[#This Row],[CODIGO PATRIMONIAL]],BDEGENER[[#This Row],[GA5]])</f>
        <v>MANT14</v>
      </c>
      <c r="BF887" s="16">
        <f>COUNTIF(BDEGENER[SERIE],BDEGENER[[#This Row],[SERIE]])</f>
        <v>14</v>
      </c>
      <c r="BG887" s="683" t="str">
        <f>CONCATENATE("F",COUNTIF($K$7:K887,K887))</f>
        <v>F8</v>
      </c>
      <c r="BH887" s="325" t="str">
        <f>CONCATENATE(BDEGENER[[#This Row],[FECHA DE SERVICIO]],BDEGENER[[#This Row],[N° DE REGISTROS DEL DIA]])</f>
        <v>43715F8</v>
      </c>
      <c r="BI887" s="324"/>
      <c r="BJ887" s="85" t="s">
        <v>1544</v>
      </c>
      <c r="BK887" s="326"/>
    </row>
    <row r="888" spans="2:63" ht="69" hidden="1" x14ac:dyDescent="0.3">
      <c r="B888" s="223"/>
      <c r="C888" s="223"/>
      <c r="D888" s="223"/>
      <c r="E888" s="223"/>
      <c r="F888" s="223"/>
      <c r="G888" s="223"/>
      <c r="H888" s="223"/>
      <c r="I888" s="223"/>
      <c r="J888" s="223"/>
      <c r="K888" s="723">
        <v>43715</v>
      </c>
      <c r="L888" s="15" t="s">
        <v>181</v>
      </c>
      <c r="M888" s="14" t="s">
        <v>190</v>
      </c>
      <c r="N888" s="14" t="s">
        <v>191</v>
      </c>
      <c r="O888" s="8" t="s">
        <v>159</v>
      </c>
      <c r="P888" s="15" t="s">
        <v>159</v>
      </c>
      <c r="Q888" s="14" t="s">
        <v>109</v>
      </c>
      <c r="R888" s="85" t="s">
        <v>1782</v>
      </c>
      <c r="S888" s="5" t="s">
        <v>53</v>
      </c>
      <c r="T888" s="85" t="s">
        <v>1782</v>
      </c>
      <c r="U888" s="14"/>
      <c r="V888" s="14" t="s">
        <v>149</v>
      </c>
      <c r="W888" s="85" t="s">
        <v>914</v>
      </c>
      <c r="X888" s="85" t="s">
        <v>918</v>
      </c>
      <c r="Y888" s="15">
        <v>3004416582</v>
      </c>
      <c r="Z888" s="14"/>
      <c r="AA888" s="14" t="s">
        <v>33</v>
      </c>
      <c r="AB888" s="85" t="s">
        <v>34</v>
      </c>
      <c r="AC888" s="14" t="s">
        <v>230</v>
      </c>
      <c r="AD888" s="16" t="s">
        <v>1195</v>
      </c>
      <c r="AE888" s="16">
        <v>60</v>
      </c>
      <c r="AF888" s="12">
        <v>3</v>
      </c>
      <c r="AG888" s="16" t="s">
        <v>243</v>
      </c>
      <c r="AH888" s="16" t="s">
        <v>220</v>
      </c>
      <c r="AI888" s="16" t="s">
        <v>33</v>
      </c>
      <c r="AJ888" s="16">
        <v>3004309061</v>
      </c>
      <c r="AK888" s="16" t="s">
        <v>33</v>
      </c>
      <c r="AL888" s="16">
        <v>107748830</v>
      </c>
      <c r="AM888" s="16" t="s">
        <v>1377</v>
      </c>
      <c r="AN888" s="16" t="s">
        <v>1378</v>
      </c>
      <c r="AO888" s="16" t="s">
        <v>1090</v>
      </c>
      <c r="AP888" s="14" t="s">
        <v>240</v>
      </c>
      <c r="AQ888" s="200" t="str">
        <f>CONCATENATE("REG-",BDEGENER[[#This Row],[FECHA DE SERVICIO]],"-",BDEGENER[[#This Row],[SERIE]],"-",BDEGENER[[#This Row],[HORAS]])</f>
        <v>REG-43715-3004416582-3</v>
      </c>
      <c r="AR888" s="5" t="str">
        <f>CONCATENATE("MARCA: ",BDEGENER[[#This Row],[MARCA]],"
 MODELO: ",BDEGENER[[#This Row],[MODELO]])</f>
        <v>MARCA: GENERAC
 MODELO: PG090</v>
      </c>
      <c r="AS888" s="5" t="str">
        <f>CONCATENATE("MARCA: ",BDEGENER[[#This Row],[MARCA DE MOTOR]],"
SERIE: ",BDEGENER[[#This Row],[SERIE DE MOTOR]])</f>
        <v>MARCA: GENERAC
SERIE: 3004309061</v>
      </c>
      <c r="AT888" s="5" t="str">
        <f>CONCATENATE("MARCA: ",BDEGENER[[#This Row],[MARCA ALTERNADOR ]],"
SERIE: ",BDEGENER[[#This Row],[SERIE DE ALTERNADOR]])</f>
        <v>MARCA: GENERAC
SERIE: 107748830</v>
      </c>
      <c r="AU888" s="5" t="str">
        <f>CONCATENATE("HORAS: ",BDEGENER[[#This Row],[HORAS]],"
KW-HR: ",BDEGENER[[#This Row],[KW-HORA]],"
VOLT.BATERIA: ",BDEGENER[[#This Row],[VOLTAJE DE BATERIA]],"
TEMPERATURA: ",BDEGENER[[#This Row],[TEMPERATURA DE AGUA]],"
PRES. ACEITE: ",BDEGENER[[#This Row],[PRESION DE ACEITE]])</f>
        <v>HORAS: 3
KW-HR: 
VOLT.BATERIA: 13.8 V
TEMPERATURA: 119 °F
PRES. ACEITE: 69 PSI</v>
      </c>
      <c r="AV888" s="683">
        <f>COUNTIFS(Q888:Q2888,"MANTENIMIENTO CORRECTIVO",Y888:Y2888,BDEGENER[[#This Row],[SERIE]])</f>
        <v>0</v>
      </c>
      <c r="AW888" s="683">
        <f>COUNTIFS(Q888:Q2888,"MANTENIMIENTO PREVENTIVO",Y888:Y2888,BDEGENER[[#This Row],[SERIE]])</f>
        <v>0</v>
      </c>
      <c r="AX88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88" s="29">
        <f>COUNTIFS(BDEGENER[SERIE],BDEGENER[[#This Row],[SERIE]],BDEGENER[TIPO DE SERVICIO],"MANTENIMIENTO PREVENTIVO")</f>
        <v>7</v>
      </c>
      <c r="AZ888" s="29" t="str">
        <f>CONCATENATE("MANTENIMIENTO PREVENTIVO N°",BDEGENER[[#This Row],[GA1]])</f>
        <v>MANTENIMIENTO PREVENTIVO N°7</v>
      </c>
      <c r="BA888" s="325" t="str">
        <f>IF(BDEGENER[[#This Row],[SERVICIO]]=BDEGENER[[#This Row],[GA2]],BDEGENER[[#This Row],[HORAS]],"0")</f>
        <v>0</v>
      </c>
      <c r="BB888" s="325">
        <f>SUMIF(BDEGENER[SERIE],BDEGENER[[#This Row],[SERIE]],BDEGENER[GA3])</f>
        <v>2342.3000000000002</v>
      </c>
      <c r="BC888" s="683" t="str">
        <f>CONCATENATE("MANT",COUNTIF($Y$7:Y888,Y888))</f>
        <v>MANT11</v>
      </c>
      <c r="BD888" s="29" t="str">
        <f>CONCATENATE(BDEGENER[[#This Row],[SERIE]],BDEGENER[[#This Row],[GA5]])</f>
        <v>3004416582MANT11</v>
      </c>
      <c r="BE888" s="29" t="str">
        <f>CONCATENATE(BDEGENER[[#This Row],[CODIGO PATRIMONIAL]],BDEGENER[[#This Row],[GA5]])</f>
        <v>MANT11</v>
      </c>
      <c r="BF888" s="16">
        <f>COUNTIF(BDEGENER[SERIE],BDEGENER[[#This Row],[SERIE]])</f>
        <v>11</v>
      </c>
      <c r="BG888" s="683" t="str">
        <f>CONCATENATE("F",COUNTIF($K$7:K888,K888))</f>
        <v>F9</v>
      </c>
      <c r="BH888" s="325" t="str">
        <f>CONCATENATE(BDEGENER[[#This Row],[FECHA DE SERVICIO]],BDEGENER[[#This Row],[N° DE REGISTROS DEL DIA]])</f>
        <v>43715F9</v>
      </c>
      <c r="BI888" s="324"/>
      <c r="BJ888" s="85" t="s">
        <v>1544</v>
      </c>
      <c r="BK888" s="326"/>
    </row>
    <row r="889" spans="2:63" ht="69" hidden="1" x14ac:dyDescent="0.3">
      <c r="B889" s="223"/>
      <c r="C889" s="223"/>
      <c r="D889" s="223"/>
      <c r="E889" s="223"/>
      <c r="F889" s="223"/>
      <c r="G889" s="223"/>
      <c r="H889" s="223"/>
      <c r="I889" s="223"/>
      <c r="J889" s="223"/>
      <c r="K889" s="723">
        <v>43715</v>
      </c>
      <c r="L889" s="15" t="s">
        <v>181</v>
      </c>
      <c r="M889" s="14" t="s">
        <v>184</v>
      </c>
      <c r="N889" s="14" t="s">
        <v>183</v>
      </c>
      <c r="O889" s="8" t="s">
        <v>159</v>
      </c>
      <c r="P889" s="15" t="s">
        <v>159</v>
      </c>
      <c r="Q889" s="14" t="s">
        <v>109</v>
      </c>
      <c r="R889" s="85" t="s">
        <v>1782</v>
      </c>
      <c r="S889" s="5" t="s">
        <v>53</v>
      </c>
      <c r="T889" s="85" t="s">
        <v>1782</v>
      </c>
      <c r="U889" s="14"/>
      <c r="V889" s="14" t="s">
        <v>149</v>
      </c>
      <c r="W889" s="85" t="s">
        <v>914</v>
      </c>
      <c r="X889" s="85" t="s">
        <v>918</v>
      </c>
      <c r="Y889" s="15">
        <v>3004402507</v>
      </c>
      <c r="Z889" s="14"/>
      <c r="AA889" s="14" t="s">
        <v>33</v>
      </c>
      <c r="AB889" s="85" t="s">
        <v>34</v>
      </c>
      <c r="AC889" s="14" t="s">
        <v>230</v>
      </c>
      <c r="AD889" s="16" t="s">
        <v>1195</v>
      </c>
      <c r="AE889" s="16">
        <v>60</v>
      </c>
      <c r="AF889" s="12">
        <v>1.2</v>
      </c>
      <c r="AG889" s="16" t="s">
        <v>243</v>
      </c>
      <c r="AH889" s="16" t="s">
        <v>220</v>
      </c>
      <c r="AI889" s="16" t="s">
        <v>33</v>
      </c>
      <c r="AJ889" s="16">
        <v>3004425772</v>
      </c>
      <c r="AK889" s="16" t="s">
        <v>33</v>
      </c>
      <c r="AL889" s="16">
        <v>106310030</v>
      </c>
      <c r="AM889" s="16" t="s">
        <v>1094</v>
      </c>
      <c r="AN889" s="16" t="s">
        <v>1379</v>
      </c>
      <c r="AO889" s="16" t="s">
        <v>1374</v>
      </c>
      <c r="AP889" s="14" t="s">
        <v>240</v>
      </c>
      <c r="AQ889" s="200" t="str">
        <f>CONCATENATE("REG-",BDEGENER[[#This Row],[FECHA DE SERVICIO]],"-",BDEGENER[[#This Row],[SERIE]],"-",BDEGENER[[#This Row],[HORAS]])</f>
        <v>REG-43715-3004402507-1,2</v>
      </c>
      <c r="AR889" s="5" t="str">
        <f>CONCATENATE("MARCA: ",BDEGENER[[#This Row],[MARCA]],"
 MODELO: ",BDEGENER[[#This Row],[MODELO]])</f>
        <v>MARCA: GENERAC
 MODELO: PG090</v>
      </c>
      <c r="AS889" s="5" t="str">
        <f>CONCATENATE("MARCA: ",BDEGENER[[#This Row],[MARCA DE MOTOR]],"
SERIE: ",BDEGENER[[#This Row],[SERIE DE MOTOR]])</f>
        <v>MARCA: GENERAC
SERIE: 3004425772</v>
      </c>
      <c r="AT889" s="5" t="str">
        <f>CONCATENATE("MARCA: ",BDEGENER[[#This Row],[MARCA ALTERNADOR ]],"
SERIE: ",BDEGENER[[#This Row],[SERIE DE ALTERNADOR]])</f>
        <v>MARCA: GENERAC
SERIE: 106310030</v>
      </c>
      <c r="AU889" s="5" t="str">
        <f>CONCATENATE("HORAS: ",BDEGENER[[#This Row],[HORAS]],"
KW-HR: ",BDEGENER[[#This Row],[KW-HORA]],"
VOLT.BATERIA: ",BDEGENER[[#This Row],[VOLTAJE DE BATERIA]],"
TEMPERATURA: ",BDEGENER[[#This Row],[TEMPERATURA DE AGUA]],"
PRES. ACEITE: ",BDEGENER[[#This Row],[PRESION DE ACEITE]])</f>
        <v>HORAS: 1,2
KW-HR: 
VOLT.BATERIA: 13.5 V
TEMPERATURA: 88 °F
PRES. ACEITE: 65 PSI</v>
      </c>
      <c r="AV889" s="761">
        <f>COUNTIFS(Q889:Q2889,"MANTENIMIENTO CORRECTIVO",Y889:Y2889,BDEGENER[[#This Row],[SERIE]])</f>
        <v>0</v>
      </c>
      <c r="AW889" s="761">
        <f>COUNTIFS(Q889:Q2889,"MANTENIMIENTO PREVENTIVO",Y889:Y2889,BDEGENER[[#This Row],[SERIE]])</f>
        <v>0</v>
      </c>
      <c r="AX88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89" s="29">
        <f>COUNTIFS(BDEGENER[SERIE],BDEGENER[[#This Row],[SERIE]],BDEGENER[TIPO DE SERVICIO],"MANTENIMIENTO PREVENTIVO")</f>
        <v>7</v>
      </c>
      <c r="AZ889" s="29" t="str">
        <f>CONCATENATE("MANTENIMIENTO PREVENTIVO N°",BDEGENER[[#This Row],[GA1]])</f>
        <v>MANTENIMIENTO PREVENTIVO N°7</v>
      </c>
      <c r="BA889" s="325" t="str">
        <f>IF(BDEGENER[[#This Row],[SERVICIO]]=BDEGENER[[#This Row],[GA2]],BDEGENER[[#This Row],[HORAS]],"0")</f>
        <v>0</v>
      </c>
      <c r="BB889" s="325">
        <f>SUMIF(BDEGENER[SERIE],BDEGENER[[#This Row],[SERIE]],BDEGENER[GA3])</f>
        <v>2134</v>
      </c>
      <c r="BC889" s="761" t="str">
        <f>CONCATENATE("MANT",COUNTIF($Y$7:Y889,Y889))</f>
        <v>MANT16</v>
      </c>
      <c r="BD889" s="29" t="str">
        <f>CONCATENATE(BDEGENER[[#This Row],[SERIE]],BDEGENER[[#This Row],[GA5]])</f>
        <v>3004402507MANT16</v>
      </c>
      <c r="BE889" s="29" t="str">
        <f>CONCATENATE(BDEGENER[[#This Row],[CODIGO PATRIMONIAL]],BDEGENER[[#This Row],[GA5]])</f>
        <v>MANT16</v>
      </c>
      <c r="BF889" s="16">
        <f>COUNTIF(BDEGENER[SERIE],BDEGENER[[#This Row],[SERIE]])</f>
        <v>16</v>
      </c>
      <c r="BG889" s="761" t="str">
        <f>CONCATENATE("F",COUNTIF($K$7:K889,K889))</f>
        <v>F10</v>
      </c>
      <c r="BH889" s="325" t="str">
        <f>CONCATENATE(BDEGENER[[#This Row],[FECHA DE SERVICIO]],BDEGENER[[#This Row],[N° DE REGISTROS DEL DIA]])</f>
        <v>43715F10</v>
      </c>
      <c r="BI889" s="324"/>
      <c r="BJ889" s="85" t="s">
        <v>1544</v>
      </c>
      <c r="BK889" s="326"/>
    </row>
    <row r="890" spans="2:63" ht="69" hidden="1" x14ac:dyDescent="0.3">
      <c r="B890" s="223"/>
      <c r="C890" s="223"/>
      <c r="D890" s="223"/>
      <c r="E890" s="223"/>
      <c r="F890" s="223"/>
      <c r="G890" s="223"/>
      <c r="H890" s="223"/>
      <c r="I890" s="223"/>
      <c r="J890" s="223"/>
      <c r="K890" s="723">
        <v>43715</v>
      </c>
      <c r="L890" s="15" t="s">
        <v>181</v>
      </c>
      <c r="M890" s="14" t="s">
        <v>184</v>
      </c>
      <c r="N890" s="14" t="s">
        <v>183</v>
      </c>
      <c r="O890" s="8" t="s">
        <v>159</v>
      </c>
      <c r="P890" s="15" t="s">
        <v>159</v>
      </c>
      <c r="Q890" s="14" t="s">
        <v>109</v>
      </c>
      <c r="R890" s="85" t="s">
        <v>1782</v>
      </c>
      <c r="S890" s="5" t="s">
        <v>53</v>
      </c>
      <c r="T890" s="85" t="s">
        <v>1782</v>
      </c>
      <c r="U890" s="14"/>
      <c r="V890" s="14" t="s">
        <v>152</v>
      </c>
      <c r="W890" s="85" t="s">
        <v>914</v>
      </c>
      <c r="X890" s="85" t="s">
        <v>918</v>
      </c>
      <c r="Y890" s="15">
        <v>3004416580</v>
      </c>
      <c r="Z890" s="14"/>
      <c r="AA890" s="14" t="s">
        <v>33</v>
      </c>
      <c r="AB890" s="85" t="s">
        <v>34</v>
      </c>
      <c r="AC890" s="14" t="s">
        <v>230</v>
      </c>
      <c r="AD890" s="16" t="s">
        <v>1195</v>
      </c>
      <c r="AE890" s="16">
        <v>60</v>
      </c>
      <c r="AF890" s="12">
        <v>8.3000000000000007</v>
      </c>
      <c r="AG890" s="16" t="s">
        <v>243</v>
      </c>
      <c r="AH890" s="16" t="s">
        <v>220</v>
      </c>
      <c r="AI890" s="16" t="s">
        <v>33</v>
      </c>
      <c r="AJ890" s="16">
        <v>3004426061</v>
      </c>
      <c r="AK890" s="16" t="s">
        <v>33</v>
      </c>
      <c r="AL890" s="16">
        <v>107746810</v>
      </c>
      <c r="AM890" s="16" t="s">
        <v>1377</v>
      </c>
      <c r="AN890" s="16" t="s">
        <v>1380</v>
      </c>
      <c r="AO890" s="16" t="s">
        <v>1381</v>
      </c>
      <c r="AP890" s="14" t="s">
        <v>240</v>
      </c>
      <c r="AQ890" s="127" t="str">
        <f>CONCATENATE("REG-",BDEGENER[[#This Row],[FECHA DE SERVICIO]],"-",BDEGENER[[#This Row],[SERIE]],"-",BDEGENER[[#This Row],[HORAS]])</f>
        <v>REG-43715-3004416580-8,3</v>
      </c>
      <c r="AR890" s="5" t="str">
        <f>CONCATENATE("MARCA: ",BDEGENER[[#This Row],[MARCA]],"
 MODELO: ",BDEGENER[[#This Row],[MODELO]])</f>
        <v>MARCA: GENERAC
 MODELO: PG090</v>
      </c>
      <c r="AS890" s="5" t="str">
        <f>CONCATENATE("MARCA: ",BDEGENER[[#This Row],[MARCA DE MOTOR]],"
SERIE: ",BDEGENER[[#This Row],[SERIE DE MOTOR]])</f>
        <v>MARCA: GENERAC
SERIE: 3004426061</v>
      </c>
      <c r="AT890" s="5" t="str">
        <f>CONCATENATE("MARCA: ",BDEGENER[[#This Row],[MARCA ALTERNADOR ]],"
SERIE: ",BDEGENER[[#This Row],[SERIE DE ALTERNADOR]])</f>
        <v>MARCA: GENERAC
SERIE: 107746810</v>
      </c>
      <c r="AU890" s="5" t="str">
        <f>CONCATENATE("HORAS: ",BDEGENER[[#This Row],[HORAS]],"
KW-HR: ",BDEGENER[[#This Row],[KW-HORA]],"
VOLT.BATERIA: ",BDEGENER[[#This Row],[VOLTAJE DE BATERIA]],"
TEMPERATURA: ",BDEGENER[[#This Row],[TEMPERATURA DE AGUA]],"
PRES. ACEITE: ",BDEGENER[[#This Row],[PRESION DE ACEITE]])</f>
        <v>HORAS: 8,3
KW-HR: 
VOLT.BATERIA: 13.8 V
TEMPERATURA: 102 °F
PRES. ACEITE: 66 PSI</v>
      </c>
      <c r="AV890" s="683">
        <f>COUNTIFS(Q890:Q2890,"MANTENIMIENTO CORRECTIVO",Y890:Y2890,BDEGENER[[#This Row],[SERIE]])</f>
        <v>0</v>
      </c>
      <c r="AW890" s="683">
        <f>COUNTIFS(Q890:Q2890,"MANTENIMIENTO PREVENTIVO",Y890:Y2890,BDEGENER[[#This Row],[SERIE]])</f>
        <v>0</v>
      </c>
      <c r="AX89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90" s="29">
        <f>COUNTIFS(BDEGENER[SERIE],BDEGENER[[#This Row],[SERIE]],BDEGENER[TIPO DE SERVICIO],"MANTENIMIENTO PREVENTIVO")</f>
        <v>8</v>
      </c>
      <c r="AZ890" s="29" t="str">
        <f>CONCATENATE("MANTENIMIENTO PREVENTIVO N°",BDEGENER[[#This Row],[GA1]])</f>
        <v>MANTENIMIENTO PREVENTIVO N°8</v>
      </c>
      <c r="BA890" s="325" t="str">
        <f>IF(BDEGENER[[#This Row],[SERVICIO]]=BDEGENER[[#This Row],[GA2]],BDEGENER[[#This Row],[HORAS]],"0")</f>
        <v>0</v>
      </c>
      <c r="BB890" s="325">
        <f>SUMIF(BDEGENER[SERIE],BDEGENER[[#This Row],[SERIE]],BDEGENER[GA3])</f>
        <v>3113.9</v>
      </c>
      <c r="BC890" s="683" t="str">
        <f>CONCATENATE("MANT",COUNTIF($Y$7:Y890,Y890))</f>
        <v>MANT14</v>
      </c>
      <c r="BD890" s="29" t="str">
        <f>CONCATENATE(BDEGENER[[#This Row],[SERIE]],BDEGENER[[#This Row],[GA5]])</f>
        <v>3004416580MANT14</v>
      </c>
      <c r="BE890" s="29" t="str">
        <f>CONCATENATE(BDEGENER[[#This Row],[CODIGO PATRIMONIAL]],BDEGENER[[#This Row],[GA5]])</f>
        <v>MANT14</v>
      </c>
      <c r="BF890" s="16">
        <f>COUNTIF(BDEGENER[SERIE],BDEGENER[[#This Row],[SERIE]])</f>
        <v>14</v>
      </c>
      <c r="BG890" s="683" t="str">
        <f>CONCATENATE("F",COUNTIF($K$7:K890,K890))</f>
        <v>F11</v>
      </c>
      <c r="BH890" s="325" t="str">
        <f>CONCATENATE(BDEGENER[[#This Row],[FECHA DE SERVICIO]],BDEGENER[[#This Row],[N° DE REGISTROS DEL DIA]])</f>
        <v>43715F11</v>
      </c>
      <c r="BI890" s="324"/>
      <c r="BJ890" s="85" t="s">
        <v>1544</v>
      </c>
      <c r="BK890" s="326"/>
    </row>
    <row r="891" spans="2:63" ht="69" hidden="1" x14ac:dyDescent="0.3">
      <c r="B891" s="223"/>
      <c r="C891" s="223"/>
      <c r="D891" s="223"/>
      <c r="E891" s="223"/>
      <c r="F891" s="223"/>
      <c r="G891" s="223"/>
      <c r="H891" s="223"/>
      <c r="I891" s="223"/>
      <c r="J891" s="223"/>
      <c r="K891" s="723">
        <v>43715</v>
      </c>
      <c r="L891" s="15" t="s">
        <v>181</v>
      </c>
      <c r="M891" s="14" t="s">
        <v>190</v>
      </c>
      <c r="N891" s="14" t="s">
        <v>191</v>
      </c>
      <c r="O891" s="8" t="s">
        <v>159</v>
      </c>
      <c r="P891" s="15" t="s">
        <v>159</v>
      </c>
      <c r="Q891" s="14" t="s">
        <v>109</v>
      </c>
      <c r="R891" s="85" t="s">
        <v>1782</v>
      </c>
      <c r="S891" s="5" t="s">
        <v>53</v>
      </c>
      <c r="T891" s="85" t="s">
        <v>1782</v>
      </c>
      <c r="U891" s="14"/>
      <c r="V891" s="14" t="s">
        <v>152</v>
      </c>
      <c r="W891" s="85" t="s">
        <v>914</v>
      </c>
      <c r="X891" s="85" t="s">
        <v>918</v>
      </c>
      <c r="Y891" s="15">
        <v>3004381438</v>
      </c>
      <c r="Z891" s="14"/>
      <c r="AA891" s="14" t="s">
        <v>33</v>
      </c>
      <c r="AB891" s="85" t="s">
        <v>34</v>
      </c>
      <c r="AC891" s="14" t="s">
        <v>230</v>
      </c>
      <c r="AD891" s="16" t="s">
        <v>1195</v>
      </c>
      <c r="AE891" s="16">
        <v>60</v>
      </c>
      <c r="AF891" s="12">
        <v>0.5</v>
      </c>
      <c r="AG891" s="16" t="s">
        <v>243</v>
      </c>
      <c r="AH891" s="16" t="s">
        <v>220</v>
      </c>
      <c r="AI891" s="16" t="s">
        <v>33</v>
      </c>
      <c r="AJ891" s="16">
        <v>3004333873</v>
      </c>
      <c r="AK891" s="16" t="s">
        <v>33</v>
      </c>
      <c r="AL891" s="16">
        <v>106309650</v>
      </c>
      <c r="AM891" s="16" t="s">
        <v>1196</v>
      </c>
      <c r="AN891" s="16" t="s">
        <v>1379</v>
      </c>
      <c r="AO891" s="16" t="s">
        <v>1381</v>
      </c>
      <c r="AP891" s="14" t="s">
        <v>240</v>
      </c>
      <c r="AQ891" s="127" t="str">
        <f>CONCATENATE("REG-",BDEGENER[[#This Row],[FECHA DE SERVICIO]],"-",BDEGENER[[#This Row],[SERIE]],"-",BDEGENER[[#This Row],[HORAS]])</f>
        <v>REG-43715-3004381438-0,5</v>
      </c>
      <c r="AR891" s="5" t="str">
        <f>CONCATENATE("MARCA: ",BDEGENER[[#This Row],[MARCA]],"
 MODELO: ",BDEGENER[[#This Row],[MODELO]])</f>
        <v>MARCA: GENERAC
 MODELO: PG090</v>
      </c>
      <c r="AS891" s="5" t="str">
        <f>CONCATENATE("MARCA: ",BDEGENER[[#This Row],[MARCA DE MOTOR]],"
SERIE: ",BDEGENER[[#This Row],[SERIE DE MOTOR]])</f>
        <v>MARCA: GENERAC
SERIE: 3004333873</v>
      </c>
      <c r="AT891" s="5" t="str">
        <f>CONCATENATE("MARCA: ",BDEGENER[[#This Row],[MARCA ALTERNADOR ]],"
SERIE: ",BDEGENER[[#This Row],[SERIE DE ALTERNADOR]])</f>
        <v>MARCA: GENERAC
SERIE: 106309650</v>
      </c>
      <c r="AU891" s="5" t="str">
        <f>CONCATENATE("HORAS: ",BDEGENER[[#This Row],[HORAS]],"
KW-HR: ",BDEGENER[[#This Row],[KW-HORA]],"
VOLT.BATERIA: ",BDEGENER[[#This Row],[VOLTAJE DE BATERIA]],"
TEMPERATURA: ",BDEGENER[[#This Row],[TEMPERATURA DE AGUA]],"
PRES. ACEITE: ",BDEGENER[[#This Row],[PRESION DE ACEITE]])</f>
        <v>HORAS: 0,5
KW-HR: 
VOLT.BATERIA: 13.2 V
TEMPERATURA: 88 °F
PRES. ACEITE: 66 PSI</v>
      </c>
      <c r="AV891" s="683">
        <f>COUNTIFS(Q891:Q2891,"MANTENIMIENTO CORRECTIVO",Y891:Y2891,BDEGENER[[#This Row],[SERIE]])</f>
        <v>0</v>
      </c>
      <c r="AW891" s="683">
        <f>COUNTIFS(Q891:Q2891,"MANTENIMIENTO PREVENTIVO",Y891:Y2891,BDEGENER[[#This Row],[SERIE]])</f>
        <v>0</v>
      </c>
      <c r="AX89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891" s="29">
        <f>COUNTIFS(BDEGENER[SERIE],BDEGENER[[#This Row],[SERIE]],BDEGENER[TIPO DE SERVICIO],"MANTENIMIENTO PREVENTIVO")</f>
        <v>10</v>
      </c>
      <c r="AZ891" s="29" t="str">
        <f>CONCATENATE("MANTENIMIENTO PREVENTIVO N°",BDEGENER[[#This Row],[GA1]])</f>
        <v>MANTENIMIENTO PREVENTIVO N°10</v>
      </c>
      <c r="BA891" s="325" t="str">
        <f>IF(BDEGENER[[#This Row],[SERVICIO]]=BDEGENER[[#This Row],[GA2]],BDEGENER[[#This Row],[HORAS]],"0")</f>
        <v>0</v>
      </c>
      <c r="BB891" s="325">
        <f>SUMIF(BDEGENER[SERIE],BDEGENER[[#This Row],[SERIE]],BDEGENER[GA3])</f>
        <v>3227.9</v>
      </c>
      <c r="BC891" s="683" t="str">
        <f>CONCATENATE("MANT",COUNTIF($Y$7:Y891,Y891))</f>
        <v>MANT13</v>
      </c>
      <c r="BD891" s="29" t="str">
        <f>CONCATENATE(BDEGENER[[#This Row],[SERIE]],BDEGENER[[#This Row],[GA5]])</f>
        <v>3004381438MANT13</v>
      </c>
      <c r="BE891" s="29" t="str">
        <f>CONCATENATE(BDEGENER[[#This Row],[CODIGO PATRIMONIAL]],BDEGENER[[#This Row],[GA5]])</f>
        <v>MANT13</v>
      </c>
      <c r="BF891" s="16">
        <f>COUNTIF(BDEGENER[SERIE],BDEGENER[[#This Row],[SERIE]])</f>
        <v>13</v>
      </c>
      <c r="BG891" s="683" t="str">
        <f>CONCATENATE("F",COUNTIF($K$7:K891,K891))</f>
        <v>F12</v>
      </c>
      <c r="BH891" s="325" t="str">
        <f>CONCATENATE(BDEGENER[[#This Row],[FECHA DE SERVICIO]],BDEGENER[[#This Row],[N° DE REGISTROS DEL DIA]])</f>
        <v>43715F12</v>
      </c>
      <c r="BI891" s="324"/>
      <c r="BJ891" s="85" t="s">
        <v>1544</v>
      </c>
      <c r="BK891" s="326"/>
    </row>
    <row r="892" spans="2:63" ht="69" hidden="1" x14ac:dyDescent="0.3">
      <c r="B892" s="34"/>
      <c r="C892" s="34"/>
      <c r="D892" s="34"/>
      <c r="E892" s="34"/>
      <c r="F892" s="34"/>
      <c r="G892" s="34"/>
      <c r="H892" s="34"/>
      <c r="I892" s="34"/>
      <c r="J892" s="34"/>
      <c r="K892" s="37">
        <v>43713</v>
      </c>
      <c r="L892" s="30" t="s">
        <v>561</v>
      </c>
      <c r="M892" s="85" t="s">
        <v>2480</v>
      </c>
      <c r="N892" s="85" t="s">
        <v>2481</v>
      </c>
      <c r="O892" s="19"/>
      <c r="P892" s="19"/>
      <c r="Q892" s="19" t="s">
        <v>37</v>
      </c>
      <c r="R892" s="85" t="s">
        <v>1782</v>
      </c>
      <c r="S892" s="19" t="s">
        <v>612</v>
      </c>
      <c r="T892" s="85" t="s">
        <v>1782</v>
      </c>
      <c r="U892" s="19" t="s">
        <v>685</v>
      </c>
      <c r="V892" s="19" t="s">
        <v>146</v>
      </c>
      <c r="W892" s="85" t="s">
        <v>913</v>
      </c>
      <c r="X892" s="85" t="s">
        <v>918</v>
      </c>
      <c r="Y892" s="31">
        <v>3004597773</v>
      </c>
      <c r="Z892" s="85" t="s">
        <v>2609</v>
      </c>
      <c r="AA892" s="19" t="s">
        <v>33</v>
      </c>
      <c r="AB892" s="19" t="s">
        <v>217</v>
      </c>
      <c r="AC892" s="19" t="s">
        <v>750</v>
      </c>
      <c r="AD892" s="16"/>
      <c r="AE892" s="16"/>
      <c r="AF892" s="146">
        <v>235.5</v>
      </c>
      <c r="AG892" s="16"/>
      <c r="AH892" s="16"/>
      <c r="AI892" s="16"/>
      <c r="AJ892" s="16"/>
      <c r="AK892" s="16"/>
      <c r="AL892" s="16"/>
      <c r="AM892" s="16"/>
      <c r="AN892" s="16"/>
      <c r="AO892" s="16"/>
      <c r="AP892" s="19" t="s">
        <v>240</v>
      </c>
      <c r="AQ892" s="200" t="str">
        <f>CONCATENATE("REG-",BDEGENER[[#This Row],[FECHA DE SERVICIO]],"-",BDEGENER[[#This Row],[SERIE]],"-",BDEGENER[[#This Row],[HORAS]])</f>
        <v>REG-43713-3004597773-235,5</v>
      </c>
      <c r="AR892" s="5" t="str">
        <f>CONCATENATE("MARCA: ",BDEGENER[[#This Row],[MARCA]],"
 MODELO: ",BDEGENER[[#This Row],[MODELO]])</f>
        <v>MARCA: GENERAC
 MODELO: RG022</v>
      </c>
      <c r="AS892" s="5" t="str">
        <f>CONCATENATE("MARCA: ",BDEGENER[[#This Row],[MARCA DE MOTOR]],"
SERIE: ",BDEGENER[[#This Row],[SERIE DE MOTOR]])</f>
        <v xml:space="preserve">MARCA: 
SERIE: </v>
      </c>
      <c r="AT892" s="5" t="str">
        <f>CONCATENATE("MARCA: ",BDEGENER[[#This Row],[MARCA ALTERNADOR ]],"
SERIE: ",BDEGENER[[#This Row],[SERIE DE ALTERNADOR]])</f>
        <v xml:space="preserve">MARCA: 
SERIE: </v>
      </c>
      <c r="AU892" s="29" t="str">
        <f>CONCATENATE("HORAS: ",BDEGENER[[#This Row],[HORAS]],"
KW-HR: ",BDEGENER[[#This Row],[KW-HORA]],"
VOLT.BATERIA: ",BDEGENER[[#This Row],[VOLTAJE DE BATERIA]],"
TEMPERATURA: ",BDEGENER[[#This Row],[TEMPERATURA DE AGUA]],"
PRES. ACEITE: ",BDEGENER[[#This Row],[PRESION DE ACEITE]])</f>
        <v xml:space="preserve">HORAS: 235,5
KW-HR: 
VOLT.BATERIA: 
TEMPERATURA: 
PRES. ACEITE: </v>
      </c>
      <c r="AV892" s="761">
        <f>COUNTIFS(Q892:Q2892,"MANTENIMIENTO CORRECTIVO",Y892:Y2892,BDEGENER[[#This Row],[SERIE]])</f>
        <v>0</v>
      </c>
      <c r="AW892" s="761">
        <f>COUNTIFS(Q892:Q2892,"MANTENIMIENTO PREVENTIVO",Y892:Y2892,BDEGENER[[#This Row],[SERIE]])</f>
        <v>3</v>
      </c>
      <c r="AX89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892" s="29">
        <f>COUNTIFS(BDEGENER[SERIE],BDEGENER[[#This Row],[SERIE]],BDEGENER[TIPO DE SERVICIO],"MANTENIMIENTO PREVENTIVO")</f>
        <v>9</v>
      </c>
      <c r="AZ892" s="29" t="str">
        <f>CONCATENATE("MANTENIMIENTO PREVENTIVO N°",BDEGENER[[#This Row],[GA1]])</f>
        <v>MANTENIMIENTO PREVENTIVO N°9</v>
      </c>
      <c r="BA892" s="325" t="str">
        <f>IF(BDEGENER[[#This Row],[SERVICIO]]=BDEGENER[[#This Row],[GA2]],BDEGENER[[#This Row],[HORAS]],"0")</f>
        <v>0</v>
      </c>
      <c r="BB892" s="325">
        <f>SUMIF(BDEGENER[SERIE],BDEGENER[[#This Row],[SERIE]],BDEGENER[GA3])</f>
        <v>3087.7</v>
      </c>
      <c r="BC892" s="761" t="str">
        <f>CONCATENATE("MANT",COUNTIF($Y$7:Y892,Y892))</f>
        <v>MANT8</v>
      </c>
      <c r="BD892" s="29" t="str">
        <f>CONCATENATE(BDEGENER[[#This Row],[SERIE]],BDEGENER[[#This Row],[GA5]])</f>
        <v>3004597773MANT8</v>
      </c>
      <c r="BE892" s="29" t="str">
        <f>CONCATENATE(BDEGENER[[#This Row],[CODIGO PATRIMONIAL]],BDEGENER[[#This Row],[GA5]])</f>
        <v>SUR-GEG-0013MANT8</v>
      </c>
      <c r="BF892" s="16">
        <f>COUNTIF(BDEGENER[SERIE],BDEGENER[[#This Row],[SERIE]])</f>
        <v>11</v>
      </c>
      <c r="BG892" s="761" t="str">
        <f>CONCATENATE("F",COUNTIF($K$7:K892,K892))</f>
        <v>F1</v>
      </c>
      <c r="BH892" s="325" t="str">
        <f>CONCATENATE(BDEGENER[[#This Row],[FECHA DE SERVICIO]],BDEGENER[[#This Row],[N° DE REGISTROS DEL DIA]])</f>
        <v>43713F1</v>
      </c>
      <c r="BI892" s="324"/>
      <c r="BJ892" s="325"/>
      <c r="BK892" s="326"/>
    </row>
    <row r="893" spans="2:63" ht="69" hidden="1" x14ac:dyDescent="0.3">
      <c r="B893" s="34"/>
      <c r="C893" s="34"/>
      <c r="D893" s="34"/>
      <c r="E893" s="34"/>
      <c r="F893" s="34"/>
      <c r="G893" s="34"/>
      <c r="H893" s="34"/>
      <c r="I893" s="34"/>
      <c r="J893" s="34"/>
      <c r="K893" s="37">
        <v>43713</v>
      </c>
      <c r="L893" s="30" t="s">
        <v>561</v>
      </c>
      <c r="M893" s="740" t="s">
        <v>573</v>
      </c>
      <c r="N893" s="740" t="s">
        <v>574</v>
      </c>
      <c r="O893" s="19"/>
      <c r="P893" s="19"/>
      <c r="Q893" s="19" t="s">
        <v>37</v>
      </c>
      <c r="R893" s="85" t="s">
        <v>1782</v>
      </c>
      <c r="S893" s="19" t="s">
        <v>612</v>
      </c>
      <c r="T893" s="85" t="s">
        <v>1782</v>
      </c>
      <c r="U893" s="19" t="s">
        <v>686</v>
      </c>
      <c r="V893" s="19" t="s">
        <v>146</v>
      </c>
      <c r="W893" s="85" t="s">
        <v>913</v>
      </c>
      <c r="X893" s="85" t="s">
        <v>918</v>
      </c>
      <c r="Y893" s="31">
        <v>3004555915</v>
      </c>
      <c r="Z893" s="692" t="s">
        <v>2610</v>
      </c>
      <c r="AA893" s="19" t="s">
        <v>33</v>
      </c>
      <c r="AB893" s="19" t="s">
        <v>217</v>
      </c>
      <c r="AC893" s="19" t="s">
        <v>749</v>
      </c>
      <c r="AD893" s="16"/>
      <c r="AE893" s="16"/>
      <c r="AF893" s="146">
        <v>124.5</v>
      </c>
      <c r="AG893" s="16"/>
      <c r="AH893" s="16"/>
      <c r="AI893" s="16"/>
      <c r="AJ893" s="16"/>
      <c r="AK893" s="16"/>
      <c r="AL893" s="16"/>
      <c r="AM893" s="16"/>
      <c r="AN893" s="16"/>
      <c r="AO893" s="16"/>
      <c r="AP893" s="19" t="s">
        <v>240</v>
      </c>
      <c r="AQ893" s="200" t="str">
        <f>CONCATENATE("REG-",BDEGENER[[#This Row],[FECHA DE SERVICIO]],"-",BDEGENER[[#This Row],[SERIE]],"-",BDEGENER[[#This Row],[HORAS]])</f>
        <v>REG-43713-3004555915-124,5</v>
      </c>
      <c r="AR893" s="5" t="str">
        <f>CONCATENATE("MARCA: ",BDEGENER[[#This Row],[MARCA]],"
 MODELO: ",BDEGENER[[#This Row],[MODELO]])</f>
        <v>MARCA: GENERAC
 MODELO: RG022</v>
      </c>
      <c r="AS893" s="5" t="str">
        <f>CONCATENATE("MARCA: ",BDEGENER[[#This Row],[MARCA DE MOTOR]],"
SERIE: ",BDEGENER[[#This Row],[SERIE DE MOTOR]])</f>
        <v xml:space="preserve">MARCA: 
SERIE: </v>
      </c>
      <c r="AT893" s="5" t="str">
        <f>CONCATENATE("MARCA: ",BDEGENER[[#This Row],[MARCA ALTERNADOR ]],"
SERIE: ",BDEGENER[[#This Row],[SERIE DE ALTERNADOR]])</f>
        <v xml:space="preserve">MARCA: 
SERIE: </v>
      </c>
      <c r="AU893" s="29" t="str">
        <f>CONCATENATE("HORAS: ",BDEGENER[[#This Row],[HORAS]],"
KW-HR: ",BDEGENER[[#This Row],[KW-HORA]],"
VOLT.BATERIA: ",BDEGENER[[#This Row],[VOLTAJE DE BATERIA]],"
TEMPERATURA: ",BDEGENER[[#This Row],[TEMPERATURA DE AGUA]],"
PRES. ACEITE: ",BDEGENER[[#This Row],[PRESION DE ACEITE]])</f>
        <v xml:space="preserve">HORAS: 124,5
KW-HR: 
VOLT.BATERIA: 
TEMPERATURA: 
PRES. ACEITE: </v>
      </c>
      <c r="AV893" s="683">
        <f>COUNTIFS(Q893:Q2893,"MANTENIMIENTO CORRECTIVO",Y893:Y2893,BDEGENER[[#This Row],[SERIE]])</f>
        <v>0</v>
      </c>
      <c r="AW893" s="683">
        <f>COUNTIFS(Q893:Q2893,"MANTENIMIENTO PREVENTIVO",Y893:Y2893,BDEGENER[[#This Row],[SERIE]])</f>
        <v>1</v>
      </c>
      <c r="AX89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893" s="29">
        <f>COUNTIFS(BDEGENER[SERIE],BDEGENER[[#This Row],[SERIE]],BDEGENER[TIPO DE SERVICIO],"MANTENIMIENTO PREVENTIVO")</f>
        <v>7</v>
      </c>
      <c r="AZ893" s="29" t="str">
        <f>CONCATENATE("MANTENIMIENTO PREVENTIVO N°",BDEGENER[[#This Row],[GA1]])</f>
        <v>MANTENIMIENTO PREVENTIVO N°7</v>
      </c>
      <c r="BA893" s="325" t="str">
        <f>IF(BDEGENER[[#This Row],[SERVICIO]]=BDEGENER[[#This Row],[GA2]],BDEGENER[[#This Row],[HORAS]],"0")</f>
        <v>0</v>
      </c>
      <c r="BB893" s="325">
        <f>SUMIF(BDEGENER[SERIE],BDEGENER[[#This Row],[SERIE]],BDEGENER[GA3])</f>
        <v>3379.4</v>
      </c>
      <c r="BC893" s="683" t="str">
        <f>CONCATENATE("MANT",COUNTIF($Y$7:Y893,Y893))</f>
        <v>MANT9</v>
      </c>
      <c r="BD893" s="29" t="str">
        <f>CONCATENATE(BDEGENER[[#This Row],[SERIE]],BDEGENER[[#This Row],[GA5]])</f>
        <v>3004555915MANT9</v>
      </c>
      <c r="BE893" s="29" t="str">
        <f>CONCATENATE(BDEGENER[[#This Row],[CODIGO PATRIMONIAL]],BDEGENER[[#This Row],[GA5]])</f>
        <v>SUR-GEG-0022MANT9</v>
      </c>
      <c r="BF893" s="16">
        <f>COUNTIF(BDEGENER[SERIE],BDEGENER[[#This Row],[SERIE]])</f>
        <v>9</v>
      </c>
      <c r="BG893" s="683" t="str">
        <f>CONCATENATE("F",COUNTIF($K$7:K893,K893))</f>
        <v>F2</v>
      </c>
      <c r="BH893" s="325" t="str">
        <f>CONCATENATE(BDEGENER[[#This Row],[FECHA DE SERVICIO]],BDEGENER[[#This Row],[N° DE REGISTROS DEL DIA]])</f>
        <v>43713F2</v>
      </c>
      <c r="BI893" s="324"/>
      <c r="BJ893" s="325"/>
      <c r="BK893" s="326"/>
    </row>
    <row r="894" spans="2:63" ht="69" hidden="1" x14ac:dyDescent="0.3">
      <c r="B894" s="223"/>
      <c r="C894" s="223"/>
      <c r="D894" s="223"/>
      <c r="E894" s="223"/>
      <c r="F894" s="223"/>
      <c r="G894" s="223"/>
      <c r="H894" s="223"/>
      <c r="I894" s="223"/>
      <c r="J894" s="223"/>
      <c r="K894" s="723">
        <v>43713</v>
      </c>
      <c r="L894" s="15" t="s">
        <v>181</v>
      </c>
      <c r="M894" s="14" t="s">
        <v>195</v>
      </c>
      <c r="N894" s="14" t="s">
        <v>195</v>
      </c>
      <c r="O894" s="8"/>
      <c r="P894" s="10"/>
      <c r="Q894" s="14" t="s">
        <v>107</v>
      </c>
      <c r="R894" s="85" t="s">
        <v>1782</v>
      </c>
      <c r="S894" s="5" t="s">
        <v>54</v>
      </c>
      <c r="T894" s="85" t="s">
        <v>1782</v>
      </c>
      <c r="U894" s="14" t="s">
        <v>127</v>
      </c>
      <c r="V894" s="14" t="s">
        <v>146</v>
      </c>
      <c r="W894" s="697"/>
      <c r="X894" s="778"/>
      <c r="Y894" s="15">
        <v>7965980</v>
      </c>
      <c r="Z894" s="779" t="s">
        <v>214</v>
      </c>
      <c r="AA894" s="14"/>
      <c r="AB894" s="14" t="s">
        <v>215</v>
      </c>
      <c r="AC894" s="14" t="s">
        <v>233</v>
      </c>
      <c r="AD894" s="16"/>
      <c r="AE894" s="16"/>
      <c r="AF894" s="12">
        <v>5769.4</v>
      </c>
      <c r="AG894" s="16"/>
      <c r="AH894" s="16"/>
      <c r="AI894" s="16"/>
      <c r="AJ894" s="16"/>
      <c r="AK894" s="16"/>
      <c r="AL894" s="16"/>
      <c r="AM894" s="16"/>
      <c r="AN894" s="16"/>
      <c r="AO894" s="16"/>
      <c r="AP894" s="14" t="s">
        <v>240</v>
      </c>
      <c r="AQ894" s="200" t="str">
        <f>CONCATENATE("REG-",BDEGENER[[#This Row],[FECHA DE SERVICIO]],"-",BDEGENER[[#This Row],[SERIE]],"-",BDEGENER[[#This Row],[HORAS]])</f>
        <v>REG-43713-7965980-5769,4</v>
      </c>
      <c r="AR894" s="5" t="str">
        <f>CONCATENATE("MARCA: ",BDEGENER[[#This Row],[MARCA]],"
 MODELO: ",BDEGENER[[#This Row],[MODELO]])</f>
        <v>MARCA: 
 MODELO: SG050</v>
      </c>
      <c r="AS894" s="5" t="str">
        <f>CONCATENATE("MARCA: ",BDEGENER[[#This Row],[MARCA DE MOTOR]],"
SERIE: ",BDEGENER[[#This Row],[SERIE DE MOTOR]])</f>
        <v xml:space="preserve">MARCA: 
SERIE: </v>
      </c>
      <c r="AT894" s="5" t="str">
        <f>CONCATENATE("MARCA: ",BDEGENER[[#This Row],[MARCA ALTERNADOR ]],"
SERIE: ",BDEGENER[[#This Row],[SERIE DE ALTERNADOR]])</f>
        <v xml:space="preserve">MARCA: 
SERIE: </v>
      </c>
      <c r="AU894" s="5" t="str">
        <f>CONCATENATE("HORAS: ",BDEGENER[[#This Row],[HORAS]],"
KW-HR: ",BDEGENER[[#This Row],[KW-HORA]],"
VOLT.BATERIA: ",BDEGENER[[#This Row],[VOLTAJE DE BATERIA]],"
TEMPERATURA: ",BDEGENER[[#This Row],[TEMPERATURA DE AGUA]],"
PRES. ACEITE: ",BDEGENER[[#This Row],[PRESION DE ACEITE]])</f>
        <v xml:space="preserve">HORAS: 5769,4
KW-HR: 
VOLT.BATERIA: 
TEMPERATURA: 
PRES. ACEITE: </v>
      </c>
      <c r="AV894" s="683">
        <f>COUNTIFS(Q894:Q2894,"MANTENIMIENTO CORRECTIVO",Y894:Y2894,BDEGENER[[#This Row],[SERIE]])</f>
        <v>1</v>
      </c>
      <c r="AW894" s="683">
        <f>COUNTIFS(Q894:Q2894,"MANTENIMIENTO PREVENTIVO",Y894:Y2894,BDEGENER[[#This Row],[SERIE]])</f>
        <v>0</v>
      </c>
      <c r="AX89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94" s="29">
        <f>COUNTIFS(BDEGENER[SERIE],BDEGENER[[#This Row],[SERIE]],BDEGENER[TIPO DE SERVICIO],"MANTENIMIENTO PREVENTIVO")</f>
        <v>0</v>
      </c>
      <c r="AZ894" s="29" t="str">
        <f>CONCATENATE("MANTENIMIENTO PREVENTIVO N°",BDEGENER[[#This Row],[GA1]])</f>
        <v>MANTENIMIENTO PREVENTIVO N°0</v>
      </c>
      <c r="BA894" s="325" t="str">
        <f>IF(BDEGENER[[#This Row],[SERVICIO]]=BDEGENER[[#This Row],[GA2]],BDEGENER[[#This Row],[HORAS]],"0")</f>
        <v>0</v>
      </c>
      <c r="BB894" s="325">
        <f>SUMIF(BDEGENER[SERIE],BDEGENER[[#This Row],[SERIE]],BDEGENER[GA3])</f>
        <v>0</v>
      </c>
      <c r="BC894" s="683" t="str">
        <f>CONCATENATE("MANT",COUNTIF($Y$7:Y894,Y894))</f>
        <v>MANT1</v>
      </c>
      <c r="BD894" s="29" t="str">
        <f>CONCATENATE(BDEGENER[[#This Row],[SERIE]],BDEGENER[[#This Row],[GA5]])</f>
        <v>7965980MANT1</v>
      </c>
      <c r="BE894" s="29" t="str">
        <f>CONCATENATE(BDEGENER[[#This Row],[CODIGO PATRIMONIAL]],BDEGENER[[#This Row],[GA5]])</f>
        <v>GEGA009MANT1</v>
      </c>
      <c r="BF894" s="16">
        <f>COUNTIF(BDEGENER[SERIE],BDEGENER[[#This Row],[SERIE]])</f>
        <v>1</v>
      </c>
      <c r="BG894" s="683" t="str">
        <f>CONCATENATE("F",COUNTIF($K$7:K894,K894))</f>
        <v>F3</v>
      </c>
      <c r="BH894" s="325" t="str">
        <f>CONCATENATE(BDEGENER[[#This Row],[FECHA DE SERVICIO]],BDEGENER[[#This Row],[N° DE REGISTROS DEL DIA]])</f>
        <v>43713F3</v>
      </c>
      <c r="BI894" s="324"/>
      <c r="BJ894" s="325"/>
      <c r="BK894" s="326"/>
    </row>
    <row r="895" spans="2:63" ht="69" hidden="1" x14ac:dyDescent="0.3">
      <c r="B895" s="33"/>
      <c r="C895" s="33"/>
      <c r="D895" s="33"/>
      <c r="E895" s="33"/>
      <c r="F895" s="33"/>
      <c r="G895" s="33"/>
      <c r="H895" s="33"/>
      <c r="I895" s="33"/>
      <c r="J895" s="33"/>
      <c r="K895" s="38">
        <v>43711</v>
      </c>
      <c r="L895" s="18" t="s">
        <v>248</v>
      </c>
      <c r="M895" s="23" t="s">
        <v>253</v>
      </c>
      <c r="N895" s="23" t="s">
        <v>254</v>
      </c>
      <c r="O895" s="23"/>
      <c r="P895" s="21"/>
      <c r="Q895" s="23" t="s">
        <v>108</v>
      </c>
      <c r="R895" s="85" t="s">
        <v>1782</v>
      </c>
      <c r="S895" s="25" t="s">
        <v>326</v>
      </c>
      <c r="T895" s="85" t="s">
        <v>1782</v>
      </c>
      <c r="U895" s="25"/>
      <c r="V895" s="25" t="s">
        <v>146</v>
      </c>
      <c r="W895" s="85" t="s">
        <v>911</v>
      </c>
      <c r="X895" s="85" t="s">
        <v>917</v>
      </c>
      <c r="Y895" s="31">
        <v>3003932013</v>
      </c>
      <c r="Z895" s="16">
        <v>22986</v>
      </c>
      <c r="AA895" s="16" t="s">
        <v>33</v>
      </c>
      <c r="AB895" s="85" t="s">
        <v>1205</v>
      </c>
      <c r="AC895" s="23" t="s">
        <v>529</v>
      </c>
      <c r="AD895" s="16"/>
      <c r="AE895" s="16"/>
      <c r="AF895" s="27">
        <v>1332.2</v>
      </c>
      <c r="AG895" s="16"/>
      <c r="AH895" s="16"/>
      <c r="AI895" s="16" t="s">
        <v>523</v>
      </c>
      <c r="AJ895" s="16"/>
      <c r="AK895" s="16"/>
      <c r="AL895" s="16"/>
      <c r="AM895" s="16"/>
      <c r="AN895" s="16"/>
      <c r="AO895" s="16"/>
      <c r="AP895" s="23" t="s">
        <v>240</v>
      </c>
      <c r="AQ895" s="6" t="str">
        <f>CONCATENATE("REG-",BDEGENER[[#This Row],[FECHA DE SERVICIO]],"-",BDEGENER[[#This Row],[SERIE]],"-",BDEGENER[[#This Row],[HORAS]])</f>
        <v>REG-43711-3003932013-1332,2</v>
      </c>
      <c r="AR895" s="5" t="str">
        <f>CONCATENATE("MARCA: ",BDEGENER[[#This Row],[MARCA]],"
 MODELO: ",BDEGENER[[#This Row],[MODELO]])</f>
        <v>MARCA: GENERAC
 MODELO: XD5000E</v>
      </c>
      <c r="AS895" s="5" t="str">
        <f>CONCATENATE("MARCA: ",BDEGENER[[#This Row],[MARCA DE MOTOR]],"
SERIE: ",BDEGENER[[#This Row],[SERIE DE MOTOR]])</f>
        <v xml:space="preserve">MARCA: YANMAR
SERIE: </v>
      </c>
      <c r="AT895" s="5" t="str">
        <f>CONCATENATE("MARCA: ",BDEGENER[[#This Row],[MARCA ALTERNADOR ]],"
SERIE: ",BDEGENER[[#This Row],[SERIE DE ALTERNADOR]])</f>
        <v xml:space="preserve">MARCA: 
SERIE: </v>
      </c>
      <c r="AU895" s="5" t="str">
        <f>CONCATENATE("HORAS: ",BDEGENER[[#This Row],[HORAS]],"
KW-HR: ",BDEGENER[[#This Row],[KW-HORA]],"
VOLT.BATERIA: ",BDEGENER[[#This Row],[VOLTAJE DE BATERIA]],"
TEMPERATURA: ",BDEGENER[[#This Row],[TEMPERATURA DE AGUA]],"
PRES. ACEITE: ",BDEGENER[[#This Row],[PRESION DE ACEITE]])</f>
        <v xml:space="preserve">HORAS: 1332,2
KW-HR: 
VOLT.BATERIA: 
TEMPERATURA: 
PRES. ACEITE: </v>
      </c>
      <c r="AV895" s="761">
        <f>COUNTIFS(Q895:Q2895,"MANTENIMIENTO CORRECTIVO",Y895:Y2895,BDEGENER[[#This Row],[SERIE]])</f>
        <v>0</v>
      </c>
      <c r="AW895" s="761">
        <f>COUNTIFS(Q895:Q2895,"MANTENIMIENTO PREVENTIVO",Y895:Y2895,BDEGENER[[#This Row],[SERIE]])</f>
        <v>1</v>
      </c>
      <c r="AX89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895" s="29">
        <f>COUNTIFS(BDEGENER[SERIE],BDEGENER[[#This Row],[SERIE]],BDEGENER[TIPO DE SERVICIO],"MANTENIMIENTO PREVENTIVO")</f>
        <v>1</v>
      </c>
      <c r="AZ895" s="29" t="str">
        <f>CONCATENATE("MANTENIMIENTO PREVENTIVO N°",BDEGENER[[#This Row],[GA1]])</f>
        <v>MANTENIMIENTO PREVENTIVO N°1</v>
      </c>
      <c r="BA895" s="325" t="str">
        <f>IF(BDEGENER[[#This Row],[SERVICIO]]=BDEGENER[[#This Row],[GA2]],BDEGENER[[#This Row],[HORAS]],"0")</f>
        <v>0</v>
      </c>
      <c r="BB895" s="325">
        <f>SUMIF(BDEGENER[SERIE],BDEGENER[[#This Row],[SERIE]],BDEGENER[GA3])</f>
        <v>89.6</v>
      </c>
      <c r="BC895" s="761" t="str">
        <f>CONCATENATE("MANT",COUNTIF($Y$7:Y895,Y895))</f>
        <v>MANT3</v>
      </c>
      <c r="BD895" s="29" t="str">
        <f>CONCATENATE(BDEGENER[[#This Row],[SERIE]],BDEGENER[[#This Row],[GA5]])</f>
        <v>3003932013MANT3</v>
      </c>
      <c r="BE895" s="29" t="str">
        <f>CONCATENATE(BDEGENER[[#This Row],[CODIGO PATRIMONIAL]],BDEGENER[[#This Row],[GA5]])</f>
        <v>22986MANT3</v>
      </c>
      <c r="BF895" s="16">
        <f>COUNTIF(BDEGENER[SERIE],BDEGENER[[#This Row],[SERIE]])</f>
        <v>5</v>
      </c>
      <c r="BG895" s="761" t="str">
        <f>CONCATENATE("F",COUNTIF($K$7:K895,K895))</f>
        <v>F1</v>
      </c>
      <c r="BH895" s="325" t="str">
        <f>CONCATENATE(BDEGENER[[#This Row],[FECHA DE SERVICIO]],BDEGENER[[#This Row],[N° DE REGISTROS DEL DIA]])</f>
        <v>43711F1</v>
      </c>
      <c r="BI895" s="324"/>
      <c r="BJ895" s="325"/>
      <c r="BK895" s="326"/>
    </row>
    <row r="896" spans="2:63" ht="69" hidden="1" x14ac:dyDescent="0.3">
      <c r="B896" s="33"/>
      <c r="C896" s="33"/>
      <c r="D896" s="33"/>
      <c r="E896" s="33"/>
      <c r="F896" s="33"/>
      <c r="G896" s="33"/>
      <c r="H896" s="33"/>
      <c r="I896" s="33"/>
      <c r="J896" s="33"/>
      <c r="K896" s="38">
        <v>43711</v>
      </c>
      <c r="L896" s="18" t="s">
        <v>248</v>
      </c>
      <c r="M896" s="23" t="s">
        <v>262</v>
      </c>
      <c r="N896" s="23" t="s">
        <v>263</v>
      </c>
      <c r="O896" s="23"/>
      <c r="P896" s="21"/>
      <c r="Q896" s="22" t="s">
        <v>37</v>
      </c>
      <c r="R896" s="85" t="s">
        <v>1782</v>
      </c>
      <c r="S896" s="25" t="s">
        <v>327</v>
      </c>
      <c r="T896" s="85" t="s">
        <v>1782</v>
      </c>
      <c r="U896" s="25" t="s">
        <v>328</v>
      </c>
      <c r="V896" s="25" t="s">
        <v>146</v>
      </c>
      <c r="W896" s="85" t="s">
        <v>913</v>
      </c>
      <c r="X896" s="85" t="s">
        <v>917</v>
      </c>
      <c r="Y896" s="31" t="s">
        <v>505</v>
      </c>
      <c r="Z896" s="16">
        <v>23893</v>
      </c>
      <c r="AA896" s="85" t="s">
        <v>33</v>
      </c>
      <c r="AB896" s="85" t="s">
        <v>500</v>
      </c>
      <c r="AC896" s="23" t="s">
        <v>530</v>
      </c>
      <c r="AD896" s="16"/>
      <c r="AE896" s="16"/>
      <c r="AF896" s="27">
        <v>328.6</v>
      </c>
      <c r="AG896" s="85" t="s">
        <v>243</v>
      </c>
      <c r="AH896" s="85" t="s">
        <v>1236</v>
      </c>
      <c r="AI896" s="85" t="s">
        <v>844</v>
      </c>
      <c r="AJ896" s="16"/>
      <c r="AK896" s="85" t="s">
        <v>1235</v>
      </c>
      <c r="AL896" s="16"/>
      <c r="AM896" s="16"/>
      <c r="AN896" s="16"/>
      <c r="AO896" s="16"/>
      <c r="AP896" s="22" t="s">
        <v>240</v>
      </c>
      <c r="AQ896" s="6" t="str">
        <f>CONCATENATE("REG-",BDEGENER[[#This Row],[FECHA DE SERVICIO]],"-",BDEGENER[[#This Row],[SERIE]],"-",BDEGENER[[#This Row],[HORAS]])</f>
        <v>REG-43711-PEE2626891-328,6</v>
      </c>
      <c r="AR896" s="5" t="str">
        <f>CONCATENATE("MARCA: ",BDEGENER[[#This Row],[MARCA]],"
 MODELO: ",BDEGENER[[#This Row],[MODELO]])</f>
        <v>MARCA: GENERAC
 MODELO: PMY20B</v>
      </c>
      <c r="AS896" s="5" t="str">
        <f>CONCATENATE("MARCA: ",BDEGENER[[#This Row],[MARCA DE MOTOR]],"
SERIE: ",BDEGENER[[#This Row],[SERIE DE MOTOR]])</f>
        <v xml:space="preserve">MARCA: PERKINS
SERIE: </v>
      </c>
      <c r="AT896" s="5" t="str">
        <f>CONCATENATE("MARCA: ",BDEGENER[[#This Row],[MARCA ALTERNADOR ]],"
SERIE: ",BDEGENER[[#This Row],[SERIE DE ALTERNADOR]])</f>
        <v xml:space="preserve">MARCA: MECC ALTE
SERIE: </v>
      </c>
      <c r="AU896" s="5" t="str">
        <f>CONCATENATE("HORAS: ",BDEGENER[[#This Row],[HORAS]],"
KW-HR: ",BDEGENER[[#This Row],[KW-HORA]],"
VOLT.BATERIA: ",BDEGENER[[#This Row],[VOLTAJE DE BATERIA]],"
TEMPERATURA: ",BDEGENER[[#This Row],[TEMPERATURA DE AGUA]],"
PRES. ACEITE: ",BDEGENER[[#This Row],[PRESION DE ACEITE]])</f>
        <v xml:space="preserve">HORAS: 328,6
KW-HR: 
VOLT.BATERIA: 
TEMPERATURA: 
PRES. ACEITE: </v>
      </c>
      <c r="AV896" s="683">
        <f>COUNTIFS(Q896:Q2896,"MANTENIMIENTO CORRECTIVO",Y896:Y2896,BDEGENER[[#This Row],[SERIE]])</f>
        <v>0</v>
      </c>
      <c r="AW896" s="683">
        <f>COUNTIFS(Q896:Q2896,"MANTENIMIENTO PREVENTIVO",Y896:Y2896,BDEGENER[[#This Row],[SERIE]])</f>
        <v>2</v>
      </c>
      <c r="AX89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896" s="29">
        <f>COUNTIFS(BDEGENER[SERIE],BDEGENER[[#This Row],[SERIE]],BDEGENER[TIPO DE SERVICIO],"MANTENIMIENTO PREVENTIVO")</f>
        <v>2</v>
      </c>
      <c r="AZ896" s="29" t="str">
        <f>CONCATENATE("MANTENIMIENTO PREVENTIVO N°",BDEGENER[[#This Row],[GA1]])</f>
        <v>MANTENIMIENTO PREVENTIVO N°2</v>
      </c>
      <c r="BA896" s="325">
        <f>IF(BDEGENER[[#This Row],[SERVICIO]]=BDEGENER[[#This Row],[GA2]],BDEGENER[[#This Row],[HORAS]],"0")</f>
        <v>328.6</v>
      </c>
      <c r="BB896" s="325">
        <f>SUMIF(BDEGENER[SERIE],BDEGENER[[#This Row],[SERIE]],BDEGENER[GA3])</f>
        <v>328.6</v>
      </c>
      <c r="BC896" s="683" t="str">
        <f>CONCATENATE("MANT",COUNTIF($Y$7:Y896,Y896))</f>
        <v>MANT1</v>
      </c>
      <c r="BD896" s="29" t="str">
        <f>CONCATENATE(BDEGENER[[#This Row],[SERIE]],BDEGENER[[#This Row],[GA5]])</f>
        <v>PEE2626891MANT1</v>
      </c>
      <c r="BE896" s="29" t="str">
        <f>CONCATENATE(BDEGENER[[#This Row],[CODIGO PATRIMONIAL]],BDEGENER[[#This Row],[GA5]])</f>
        <v>23893MANT1</v>
      </c>
      <c r="BF896" s="16">
        <f>COUNTIF(BDEGENER[SERIE],BDEGENER[[#This Row],[SERIE]])</f>
        <v>2</v>
      </c>
      <c r="BG896" s="683" t="str">
        <f>CONCATENATE("F",COUNTIF($K$7:K896,K896))</f>
        <v>F2</v>
      </c>
      <c r="BH896" s="325" t="str">
        <f>CONCATENATE(BDEGENER[[#This Row],[FECHA DE SERVICIO]],BDEGENER[[#This Row],[N° DE REGISTROS DEL DIA]])</f>
        <v>43711F2</v>
      </c>
      <c r="BI896" s="324"/>
      <c r="BJ896" s="325"/>
      <c r="BK896" s="326"/>
    </row>
    <row r="897" spans="2:63" ht="69" hidden="1" x14ac:dyDescent="0.3">
      <c r="B897" s="33"/>
      <c r="C897" s="33"/>
      <c r="D897" s="33"/>
      <c r="E897" s="33"/>
      <c r="F897" s="33"/>
      <c r="G897" s="33"/>
      <c r="H897" s="33"/>
      <c r="I897" s="33"/>
      <c r="J897" s="33"/>
      <c r="K897" s="38">
        <v>43711</v>
      </c>
      <c r="L897" s="18" t="s">
        <v>248</v>
      </c>
      <c r="M897" s="23" t="s">
        <v>264</v>
      </c>
      <c r="N897" s="23" t="s">
        <v>261</v>
      </c>
      <c r="O897" s="23"/>
      <c r="P897" s="21"/>
      <c r="Q897" s="22" t="s">
        <v>37</v>
      </c>
      <c r="R897" s="85" t="s">
        <v>1782</v>
      </c>
      <c r="S897" s="25" t="s">
        <v>42</v>
      </c>
      <c r="T897" s="85" t="s">
        <v>1782</v>
      </c>
      <c r="U897" s="25" t="s">
        <v>329</v>
      </c>
      <c r="V897" s="25" t="s">
        <v>146</v>
      </c>
      <c r="W897" s="85" t="s">
        <v>913</v>
      </c>
      <c r="X897" s="85" t="s">
        <v>917</v>
      </c>
      <c r="Y897" s="31" t="s">
        <v>506</v>
      </c>
      <c r="Z897" s="16">
        <v>23892</v>
      </c>
      <c r="AA897" s="85" t="s">
        <v>33</v>
      </c>
      <c r="AB897" s="85" t="s">
        <v>500</v>
      </c>
      <c r="AC897" s="23" t="s">
        <v>530</v>
      </c>
      <c r="AD897" s="16"/>
      <c r="AE897" s="16"/>
      <c r="AF897" s="27">
        <v>351.5</v>
      </c>
      <c r="AG897" s="85" t="s">
        <v>243</v>
      </c>
      <c r="AH897" s="85" t="s">
        <v>1236</v>
      </c>
      <c r="AI897" s="85" t="s">
        <v>844</v>
      </c>
      <c r="AJ897" s="16"/>
      <c r="AK897" s="85" t="s">
        <v>1235</v>
      </c>
      <c r="AL897" s="16"/>
      <c r="AM897" s="16"/>
      <c r="AN897" s="16"/>
      <c r="AO897" s="16"/>
      <c r="AP897" s="22" t="s">
        <v>240</v>
      </c>
      <c r="AQ897" s="6" t="str">
        <f>CONCATENATE("REG-",BDEGENER[[#This Row],[FECHA DE SERVICIO]],"-",BDEGENER[[#This Row],[SERIE]],"-",BDEGENER[[#This Row],[HORAS]])</f>
        <v>REG-43711-PEE2628355-351,5</v>
      </c>
      <c r="AR897" s="5" t="str">
        <f>CONCATENATE("MARCA: ",BDEGENER[[#This Row],[MARCA]],"
 MODELO: ",BDEGENER[[#This Row],[MODELO]])</f>
        <v>MARCA: GENERAC
 MODELO: PMY20B</v>
      </c>
      <c r="AS897" s="5" t="str">
        <f>CONCATENATE("MARCA: ",BDEGENER[[#This Row],[MARCA DE MOTOR]],"
SERIE: ",BDEGENER[[#This Row],[SERIE DE MOTOR]])</f>
        <v xml:space="preserve">MARCA: PERKINS
SERIE: </v>
      </c>
      <c r="AT897" s="5" t="str">
        <f>CONCATENATE("MARCA: ",BDEGENER[[#This Row],[MARCA ALTERNADOR ]],"
SERIE: ",BDEGENER[[#This Row],[SERIE DE ALTERNADOR]])</f>
        <v xml:space="preserve">MARCA: MECC ALTE
SERIE: </v>
      </c>
      <c r="AU897" s="5" t="str">
        <f>CONCATENATE("HORAS: ",BDEGENER[[#This Row],[HORAS]],"
KW-HR: ",BDEGENER[[#This Row],[KW-HORA]],"
VOLT.BATERIA: ",BDEGENER[[#This Row],[VOLTAJE DE BATERIA]],"
TEMPERATURA: ",BDEGENER[[#This Row],[TEMPERATURA DE AGUA]],"
PRES. ACEITE: ",BDEGENER[[#This Row],[PRESION DE ACEITE]])</f>
        <v xml:space="preserve">HORAS: 351,5
KW-HR: 
VOLT.BATERIA: 
TEMPERATURA: 
PRES. ACEITE: </v>
      </c>
      <c r="AV897" s="683">
        <f>COUNTIFS(Q897:Q2897,"MANTENIMIENTO CORRECTIVO",Y897:Y2897,BDEGENER[[#This Row],[SERIE]])</f>
        <v>0</v>
      </c>
      <c r="AW897" s="683">
        <f>COUNTIFS(Q897:Q2897,"MANTENIMIENTO PREVENTIVO",Y897:Y2897,BDEGENER[[#This Row],[SERIE]])</f>
        <v>2</v>
      </c>
      <c r="AX89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897" s="29">
        <f>COUNTIFS(BDEGENER[SERIE],BDEGENER[[#This Row],[SERIE]],BDEGENER[TIPO DE SERVICIO],"MANTENIMIENTO PREVENTIVO")</f>
        <v>2</v>
      </c>
      <c r="AZ897" s="29" t="str">
        <f>CONCATENATE("MANTENIMIENTO PREVENTIVO N°",BDEGENER[[#This Row],[GA1]])</f>
        <v>MANTENIMIENTO PREVENTIVO N°2</v>
      </c>
      <c r="BA897" s="325">
        <f>IF(BDEGENER[[#This Row],[SERVICIO]]=BDEGENER[[#This Row],[GA2]],BDEGENER[[#This Row],[HORAS]],"0")</f>
        <v>351.5</v>
      </c>
      <c r="BB897" s="325">
        <f>SUMIF(BDEGENER[SERIE],BDEGENER[[#This Row],[SERIE]],BDEGENER[GA3])</f>
        <v>351.5</v>
      </c>
      <c r="BC897" s="683" t="str">
        <f>CONCATENATE("MANT",COUNTIF($Y$7:Y897,Y897))</f>
        <v>MANT1</v>
      </c>
      <c r="BD897" s="29" t="str">
        <f>CONCATENATE(BDEGENER[[#This Row],[SERIE]],BDEGENER[[#This Row],[GA5]])</f>
        <v>PEE2628355MANT1</v>
      </c>
      <c r="BE897" s="29" t="str">
        <f>CONCATENATE(BDEGENER[[#This Row],[CODIGO PATRIMONIAL]],BDEGENER[[#This Row],[GA5]])</f>
        <v>23892MANT1</v>
      </c>
      <c r="BF897" s="16">
        <f>COUNTIF(BDEGENER[SERIE],BDEGENER[[#This Row],[SERIE]])</f>
        <v>2</v>
      </c>
      <c r="BG897" s="683" t="str">
        <f>CONCATENATE("F",COUNTIF($K$7:K897,K897))</f>
        <v>F3</v>
      </c>
      <c r="BH897" s="325" t="str">
        <f>CONCATENATE(BDEGENER[[#This Row],[FECHA DE SERVICIO]],BDEGENER[[#This Row],[N° DE REGISTROS DEL DIA]])</f>
        <v>43711F3</v>
      </c>
      <c r="BI897" s="324"/>
      <c r="BJ897" s="325"/>
      <c r="BK897" s="326"/>
    </row>
    <row r="898" spans="2:63" ht="69" hidden="1" x14ac:dyDescent="0.3">
      <c r="B898" s="33"/>
      <c r="C898" s="33"/>
      <c r="D898" s="33"/>
      <c r="E898" s="33"/>
      <c r="F898" s="33"/>
      <c r="G898" s="33"/>
      <c r="H898" s="33"/>
      <c r="I898" s="33"/>
      <c r="J898" s="33"/>
      <c r="K898" s="38">
        <v>43711</v>
      </c>
      <c r="L898" s="18" t="s">
        <v>248</v>
      </c>
      <c r="M898" s="23" t="s">
        <v>265</v>
      </c>
      <c r="N898" s="23" t="s">
        <v>266</v>
      </c>
      <c r="O898" s="23"/>
      <c r="P898" s="21"/>
      <c r="Q898" s="23" t="s">
        <v>107</v>
      </c>
      <c r="R898" s="85" t="s">
        <v>1782</v>
      </c>
      <c r="S898" s="25" t="s">
        <v>330</v>
      </c>
      <c r="T898" s="85" t="s">
        <v>1782</v>
      </c>
      <c r="U898" s="25"/>
      <c r="V898" s="25" t="s">
        <v>146</v>
      </c>
      <c r="W898" s="23" t="s">
        <v>911</v>
      </c>
      <c r="X898" s="23" t="s">
        <v>917</v>
      </c>
      <c r="Y898" s="31">
        <v>3003932010</v>
      </c>
      <c r="Z898" s="16">
        <v>23877</v>
      </c>
      <c r="AA898" s="16" t="s">
        <v>33</v>
      </c>
      <c r="AB898" s="16" t="s">
        <v>1205</v>
      </c>
      <c r="AC898" s="23" t="s">
        <v>529</v>
      </c>
      <c r="AD898" s="16"/>
      <c r="AE898" s="16"/>
      <c r="AF898" s="27">
        <v>26.5</v>
      </c>
      <c r="AG898" s="16"/>
      <c r="AH898" s="16"/>
      <c r="AI898" s="16" t="s">
        <v>523</v>
      </c>
      <c r="AJ898" s="16">
        <v>5223</v>
      </c>
      <c r="AK898" s="16"/>
      <c r="AL898" s="16"/>
      <c r="AM898" s="16"/>
      <c r="AN898" s="16"/>
      <c r="AO898" s="16"/>
      <c r="AP898" s="22" t="s">
        <v>240</v>
      </c>
      <c r="AQ898" s="6" t="str">
        <f>CONCATENATE("REG-",BDEGENER[[#This Row],[FECHA DE SERVICIO]],"-",BDEGENER[[#This Row],[SERIE]],"-",BDEGENER[[#This Row],[HORAS]])</f>
        <v>REG-43711-3003932010-26,5</v>
      </c>
      <c r="AR898" s="5" t="str">
        <f>CONCATENATE("MARCA: ",BDEGENER[[#This Row],[MARCA]],"
 MODELO: ",BDEGENER[[#This Row],[MODELO]])</f>
        <v>MARCA: GENERAC
 MODELO: XD5000E</v>
      </c>
      <c r="AS898" s="5" t="str">
        <f>CONCATENATE("MARCA: ",BDEGENER[[#This Row],[MARCA DE MOTOR]],"
SERIE: ",BDEGENER[[#This Row],[SERIE DE MOTOR]])</f>
        <v>MARCA: YANMAR
SERIE: 5223</v>
      </c>
      <c r="AT898" s="5" t="str">
        <f>CONCATENATE("MARCA: ",BDEGENER[[#This Row],[MARCA ALTERNADOR ]],"
SERIE: ",BDEGENER[[#This Row],[SERIE DE ALTERNADOR]])</f>
        <v xml:space="preserve">MARCA: 
SERIE: </v>
      </c>
      <c r="AU898" s="5" t="str">
        <f>CONCATENATE("HORAS: ",BDEGENER[[#This Row],[HORAS]],"
KW-HR: ",BDEGENER[[#This Row],[KW-HORA]],"
VOLT.BATERIA: ",BDEGENER[[#This Row],[VOLTAJE DE BATERIA]],"
TEMPERATURA: ",BDEGENER[[#This Row],[TEMPERATURA DE AGUA]],"
PRES. ACEITE: ",BDEGENER[[#This Row],[PRESION DE ACEITE]])</f>
        <v xml:space="preserve">HORAS: 26,5
KW-HR: 
VOLT.BATERIA: 
TEMPERATURA: 
PRES. ACEITE: </v>
      </c>
      <c r="AV898" s="761">
        <f>COUNTIFS(Q898:Q2898,"MANTENIMIENTO CORRECTIVO",Y898:Y2898,BDEGENER[[#This Row],[SERIE]])</f>
        <v>1</v>
      </c>
      <c r="AW898" s="761">
        <f>COUNTIFS(Q898:Q2898,"MANTENIMIENTO PREVENTIVO",Y898:Y2898,BDEGENER[[#This Row],[SERIE]])</f>
        <v>1</v>
      </c>
      <c r="AX89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898" s="29">
        <f>COUNTIFS(BDEGENER[SERIE],BDEGENER[[#This Row],[SERIE]],BDEGENER[TIPO DE SERVICIO],"MANTENIMIENTO PREVENTIVO")</f>
        <v>2</v>
      </c>
      <c r="AZ898" s="29" t="str">
        <f>CONCATENATE("MANTENIMIENTO PREVENTIVO N°",BDEGENER[[#This Row],[GA1]])</f>
        <v>MANTENIMIENTO PREVENTIVO N°2</v>
      </c>
      <c r="BA898" s="325" t="str">
        <f>IF(BDEGENER[[#This Row],[SERVICIO]]=BDEGENER[[#This Row],[GA2]],BDEGENER[[#This Row],[HORAS]],"0")</f>
        <v>0</v>
      </c>
      <c r="BB898" s="325">
        <f>SUMIF(BDEGENER[SERIE],BDEGENER[[#This Row],[SERIE]],BDEGENER[GA3])</f>
        <v>218.3</v>
      </c>
      <c r="BC898" s="761" t="str">
        <f>CONCATENATE("MANT",COUNTIF($Y$7:Y898,Y898))</f>
        <v>MANT2</v>
      </c>
      <c r="BD898" s="29" t="str">
        <f>CONCATENATE(BDEGENER[[#This Row],[SERIE]],BDEGENER[[#This Row],[GA5]])</f>
        <v>3003932010MANT2</v>
      </c>
      <c r="BE898" s="29" t="str">
        <f>CONCATENATE(BDEGENER[[#This Row],[CODIGO PATRIMONIAL]],BDEGENER[[#This Row],[GA5]])</f>
        <v>23877MANT2</v>
      </c>
      <c r="BF898" s="16">
        <f>COUNTIF(BDEGENER[SERIE],BDEGENER[[#This Row],[SERIE]])</f>
        <v>3</v>
      </c>
      <c r="BG898" s="761" t="str">
        <f>CONCATENATE("F",COUNTIF($K$7:K898,K898))</f>
        <v>F4</v>
      </c>
      <c r="BH898" s="325" t="str">
        <f>CONCATENATE(BDEGENER[[#This Row],[FECHA DE SERVICIO]],BDEGENER[[#This Row],[N° DE REGISTROS DEL DIA]])</f>
        <v>43711F4</v>
      </c>
      <c r="BI898" s="324"/>
      <c r="BJ898" s="325"/>
      <c r="BK898" s="326"/>
    </row>
    <row r="899" spans="2:63" ht="69" hidden="1" x14ac:dyDescent="0.3">
      <c r="B899" s="34"/>
      <c r="C899" s="34"/>
      <c r="D899" s="34"/>
      <c r="E899" s="34"/>
      <c r="F899" s="34"/>
      <c r="G899" s="34"/>
      <c r="H899" s="34"/>
      <c r="I899" s="34"/>
      <c r="J899" s="34"/>
      <c r="K899" s="37">
        <v>43710</v>
      </c>
      <c r="L899" s="30" t="s">
        <v>561</v>
      </c>
      <c r="M899" s="19" t="s">
        <v>567</v>
      </c>
      <c r="N899" s="19" t="s">
        <v>568</v>
      </c>
      <c r="O899" s="19"/>
      <c r="P899" s="19"/>
      <c r="Q899" s="19" t="s">
        <v>37</v>
      </c>
      <c r="R899" s="85" t="s">
        <v>1782</v>
      </c>
      <c r="S899" s="19" t="s">
        <v>613</v>
      </c>
      <c r="T899" s="85" t="s">
        <v>1782</v>
      </c>
      <c r="U899" s="19"/>
      <c r="V899" s="19" t="s">
        <v>146</v>
      </c>
      <c r="W899" s="85" t="s">
        <v>914</v>
      </c>
      <c r="X899" s="85" t="s">
        <v>918</v>
      </c>
      <c r="Y899" s="31">
        <v>3003962766</v>
      </c>
      <c r="Z899" s="85" t="s">
        <v>2602</v>
      </c>
      <c r="AA899" s="85" t="s">
        <v>33</v>
      </c>
      <c r="AB899" s="85" t="s">
        <v>34</v>
      </c>
      <c r="AC899" s="19" t="s">
        <v>751</v>
      </c>
      <c r="AD899" s="16"/>
      <c r="AE899" s="16"/>
      <c r="AF899" s="146">
        <v>174</v>
      </c>
      <c r="AG899" s="16"/>
      <c r="AH899" s="16"/>
      <c r="AI899" s="16"/>
      <c r="AJ899" s="16"/>
      <c r="AK899" s="16"/>
      <c r="AL899" s="16"/>
      <c r="AM899" s="16"/>
      <c r="AN899" s="16"/>
      <c r="AO899" s="16"/>
      <c r="AP899" s="19" t="s">
        <v>240</v>
      </c>
      <c r="AQ899" s="200" t="str">
        <f>CONCATENATE("REG-",BDEGENER[[#This Row],[FECHA DE SERVICIO]],"-",BDEGENER[[#This Row],[SERIE]],"-",BDEGENER[[#This Row],[HORAS]])</f>
        <v>REG-43710-3003962766-174</v>
      </c>
      <c r="AR899" s="5" t="str">
        <f>CONCATENATE("MARCA: ",BDEGENER[[#This Row],[MARCA]],"
 MODELO: ",BDEGENER[[#This Row],[MODELO]])</f>
        <v>MARCA: GENERAC
 MODELO: PG090</v>
      </c>
      <c r="AS899" s="5" t="str">
        <f>CONCATENATE("MARCA: ",BDEGENER[[#This Row],[MARCA DE MOTOR]],"
SERIE: ",BDEGENER[[#This Row],[SERIE DE MOTOR]])</f>
        <v xml:space="preserve">MARCA: 
SERIE: </v>
      </c>
      <c r="AT899" s="5" t="str">
        <f>CONCATENATE("MARCA: ",BDEGENER[[#This Row],[MARCA ALTERNADOR ]],"
SERIE: ",BDEGENER[[#This Row],[SERIE DE ALTERNADOR]])</f>
        <v xml:space="preserve">MARCA: 
SERIE: </v>
      </c>
      <c r="AU899" s="29" t="str">
        <f>CONCATENATE("HORAS: ",BDEGENER[[#This Row],[HORAS]],"
KW-HR: ",BDEGENER[[#This Row],[KW-HORA]],"
VOLT.BATERIA: ",BDEGENER[[#This Row],[VOLTAJE DE BATERIA]],"
TEMPERATURA: ",BDEGENER[[#This Row],[TEMPERATURA DE AGUA]],"
PRES. ACEITE: ",BDEGENER[[#This Row],[PRESION DE ACEITE]])</f>
        <v xml:space="preserve">HORAS: 174
KW-HR: 
VOLT.BATERIA: 
TEMPERATURA: 
PRES. ACEITE: </v>
      </c>
      <c r="AV899" s="683">
        <f>COUNTIFS(Q899:Q2899,"MANTENIMIENTO CORRECTIVO",Y899:Y2899,BDEGENER[[#This Row],[SERIE]])</f>
        <v>1</v>
      </c>
      <c r="AW899" s="683">
        <f>COUNTIFS(Q899:Q2899,"MANTENIMIENTO PREVENTIVO",Y899:Y2899,BDEGENER[[#This Row],[SERIE]])</f>
        <v>2</v>
      </c>
      <c r="AX89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899" s="29">
        <f>COUNTIFS(BDEGENER[SERIE],BDEGENER[[#This Row],[SERIE]],BDEGENER[TIPO DE SERVICIO],"MANTENIMIENTO PREVENTIVO")</f>
        <v>9</v>
      </c>
      <c r="AZ899" s="29" t="str">
        <f>CONCATENATE("MANTENIMIENTO PREVENTIVO N°",BDEGENER[[#This Row],[GA1]])</f>
        <v>MANTENIMIENTO PREVENTIVO N°9</v>
      </c>
      <c r="BA899" s="325" t="str">
        <f>IF(BDEGENER[[#This Row],[SERVICIO]]=BDEGENER[[#This Row],[GA2]],BDEGENER[[#This Row],[HORAS]],"0")</f>
        <v>0</v>
      </c>
      <c r="BB899" s="325">
        <f>SUMIF(BDEGENER[SERIE],BDEGENER[[#This Row],[SERIE]],BDEGENER[GA3])</f>
        <v>4662.2</v>
      </c>
      <c r="BC899" s="683" t="str">
        <f>CONCATENATE("MANT",COUNTIF($Y$7:Y899,Y899))</f>
        <v>MANT13</v>
      </c>
      <c r="BD899" s="29" t="str">
        <f>CONCATENATE(BDEGENER[[#This Row],[SERIE]],BDEGENER[[#This Row],[GA5]])</f>
        <v>3003962766MANT13</v>
      </c>
      <c r="BE899" s="29" t="str">
        <f>CONCATENATE(BDEGENER[[#This Row],[CODIGO PATRIMONIAL]],BDEGENER[[#This Row],[GA5]])</f>
        <v>SUR-GEG-0006MANT13</v>
      </c>
      <c r="BF899" s="16">
        <f>COUNTIF(BDEGENER[SERIE],BDEGENER[[#This Row],[SERIE]])</f>
        <v>16</v>
      </c>
      <c r="BG899" s="683" t="str">
        <f>CONCATENATE("F",COUNTIF($K$7:K899,K899))</f>
        <v>F1</v>
      </c>
      <c r="BH899" s="325" t="str">
        <f>CONCATENATE(BDEGENER[[#This Row],[FECHA DE SERVICIO]],BDEGENER[[#This Row],[N° DE REGISTROS DEL DIA]])</f>
        <v>43710F1</v>
      </c>
      <c r="BI899" s="324"/>
      <c r="BJ899" s="325"/>
      <c r="BK899" s="326"/>
    </row>
    <row r="900" spans="2:63" ht="69" hidden="1" x14ac:dyDescent="0.3">
      <c r="B900" s="34"/>
      <c r="C900" s="34"/>
      <c r="D900" s="34"/>
      <c r="E900" s="34"/>
      <c r="F900" s="34"/>
      <c r="G900" s="34"/>
      <c r="H900" s="34"/>
      <c r="I900" s="34"/>
      <c r="J900" s="34"/>
      <c r="K900" s="37">
        <v>43708</v>
      </c>
      <c r="L900" s="30" t="s">
        <v>561</v>
      </c>
      <c r="M900" s="19" t="s">
        <v>562</v>
      </c>
      <c r="N900" s="19" t="s">
        <v>563</v>
      </c>
      <c r="O900" s="19"/>
      <c r="P900" s="19"/>
      <c r="Q900" s="19" t="s">
        <v>109</v>
      </c>
      <c r="R900" s="85" t="s">
        <v>1782</v>
      </c>
      <c r="S900" s="19" t="s">
        <v>614</v>
      </c>
      <c r="T900" s="85" t="s">
        <v>1782</v>
      </c>
      <c r="U900" s="19"/>
      <c r="V900" s="19" t="s">
        <v>146</v>
      </c>
      <c r="W900" s="85" t="s">
        <v>913</v>
      </c>
      <c r="X900" s="85" t="s">
        <v>918</v>
      </c>
      <c r="Y900" s="31">
        <v>3004555914</v>
      </c>
      <c r="Z900" s="692" t="s">
        <v>2611</v>
      </c>
      <c r="AA900" s="740" t="s">
        <v>33</v>
      </c>
      <c r="AB900" s="19" t="s">
        <v>217</v>
      </c>
      <c r="AC900" s="19" t="s">
        <v>749</v>
      </c>
      <c r="AD900" s="16"/>
      <c r="AE900" s="16"/>
      <c r="AF900" s="146">
        <v>0.4</v>
      </c>
      <c r="AG900" s="16"/>
      <c r="AH900" s="16"/>
      <c r="AI900" s="16"/>
      <c r="AJ900" s="16"/>
      <c r="AK900" s="16"/>
      <c r="AL900" s="16"/>
      <c r="AM900" s="16"/>
      <c r="AN900" s="16"/>
      <c r="AO900" s="16"/>
      <c r="AP900" s="19" t="s">
        <v>240</v>
      </c>
      <c r="AQ900" s="6" t="str">
        <f>CONCATENATE("REG-",BDEGENER[[#This Row],[FECHA DE SERVICIO]],"-",BDEGENER[[#This Row],[SERIE]],"-",BDEGENER[[#This Row],[HORAS]])</f>
        <v>REG-43708-3004555914-0,4</v>
      </c>
      <c r="AR900" s="5" t="str">
        <f>CONCATENATE("MARCA: ",BDEGENER[[#This Row],[MARCA]],"
 MODELO: ",BDEGENER[[#This Row],[MODELO]])</f>
        <v>MARCA: GENERAC
 MODELO: RG022</v>
      </c>
      <c r="AS900" s="5" t="str">
        <f>CONCATENATE("MARCA: ",BDEGENER[[#This Row],[MARCA DE MOTOR]],"
SERIE: ",BDEGENER[[#This Row],[SERIE DE MOTOR]])</f>
        <v xml:space="preserve">MARCA: 
SERIE: </v>
      </c>
      <c r="AT900" s="5" t="str">
        <f>CONCATENATE("MARCA: ",BDEGENER[[#This Row],[MARCA ALTERNADOR ]],"
SERIE: ",BDEGENER[[#This Row],[SERIE DE ALTERNADOR]])</f>
        <v xml:space="preserve">MARCA: 
SERIE: </v>
      </c>
      <c r="AU900" s="29" t="str">
        <f>CONCATENATE("HORAS: ",BDEGENER[[#This Row],[HORAS]],"
KW-HR: ",BDEGENER[[#This Row],[KW-HORA]],"
VOLT.BATERIA: ",BDEGENER[[#This Row],[VOLTAJE DE BATERIA]],"
TEMPERATURA: ",BDEGENER[[#This Row],[TEMPERATURA DE AGUA]],"
PRES. ACEITE: ",BDEGENER[[#This Row],[PRESION DE ACEITE]])</f>
        <v xml:space="preserve">HORAS: 0,4
KW-HR: 
VOLT.BATERIA: 
TEMPERATURA: 
PRES. ACEITE: </v>
      </c>
      <c r="AV900" s="683">
        <f>COUNTIFS(Q900:Q2900,"MANTENIMIENTO CORRECTIVO",Y900:Y2900,BDEGENER[[#This Row],[SERIE]])</f>
        <v>0</v>
      </c>
      <c r="AW900" s="683">
        <f>COUNTIFS(Q900:Q2900,"MANTENIMIENTO PREVENTIVO",Y900:Y2900,BDEGENER[[#This Row],[SERIE]])</f>
        <v>0</v>
      </c>
      <c r="AX90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00" s="29">
        <f>COUNTIFS(BDEGENER[SERIE],BDEGENER[[#This Row],[SERIE]],BDEGENER[TIPO DE SERVICIO],"MANTENIMIENTO PREVENTIVO")</f>
        <v>5</v>
      </c>
      <c r="AZ900" s="29" t="str">
        <f>CONCATENATE("MANTENIMIENTO PREVENTIVO N°",BDEGENER[[#This Row],[GA1]])</f>
        <v>MANTENIMIENTO PREVENTIVO N°5</v>
      </c>
      <c r="BA900" s="325" t="str">
        <f>IF(BDEGENER[[#This Row],[SERVICIO]]=BDEGENER[[#This Row],[GA2]],BDEGENER[[#This Row],[HORAS]],"0")</f>
        <v>0</v>
      </c>
      <c r="BB900" s="325">
        <f>SUMIF(BDEGENER[SERIE],BDEGENER[[#This Row],[SERIE]],BDEGENER[GA3])</f>
        <v>2894.4</v>
      </c>
      <c r="BC900" s="683" t="str">
        <f>CONCATENATE("MANT",COUNTIF($Y$7:Y900,Y900))</f>
        <v>MANT11</v>
      </c>
      <c r="BD900" s="29" t="str">
        <f>CONCATENATE(BDEGENER[[#This Row],[SERIE]],BDEGENER[[#This Row],[GA5]])</f>
        <v>3004555914MANT11</v>
      </c>
      <c r="BE900" s="29" t="str">
        <f>CONCATENATE(BDEGENER[[#This Row],[CODIGO PATRIMONIAL]],BDEGENER[[#This Row],[GA5]])</f>
        <v>SUR-GEG-0023MANT11</v>
      </c>
      <c r="BF900" s="16">
        <f>COUNTIF(BDEGENER[SERIE],BDEGENER[[#This Row],[SERIE]])</f>
        <v>11</v>
      </c>
      <c r="BG900" s="683" t="str">
        <f>CONCATENATE("F",COUNTIF($K$7:K900,K900))</f>
        <v>F1</v>
      </c>
      <c r="BH900" s="325" t="str">
        <f>CONCATENATE(BDEGENER[[#This Row],[FECHA DE SERVICIO]],BDEGENER[[#This Row],[N° DE REGISTROS DEL DIA]])</f>
        <v>43708F1</v>
      </c>
      <c r="BI900" s="324"/>
      <c r="BJ900" s="325"/>
      <c r="BK900" s="326"/>
    </row>
    <row r="901" spans="2:63" ht="69" hidden="1" x14ac:dyDescent="0.3">
      <c r="B901" s="129"/>
      <c r="C901" s="129"/>
      <c r="D901" s="129"/>
      <c r="E901" s="129"/>
      <c r="F901" s="129"/>
      <c r="G901" s="129"/>
      <c r="H901" s="129"/>
      <c r="I901" s="129"/>
      <c r="J901" s="129"/>
      <c r="K901" s="131">
        <v>43705</v>
      </c>
      <c r="L901" s="130" t="s">
        <v>181</v>
      </c>
      <c r="M901" s="85" t="s">
        <v>1388</v>
      </c>
      <c r="N901" s="14" t="s">
        <v>1538</v>
      </c>
      <c r="O901" s="85"/>
      <c r="P901" s="85"/>
      <c r="Q901" s="85" t="s">
        <v>109</v>
      </c>
      <c r="R901" s="85" t="s">
        <v>1782</v>
      </c>
      <c r="S901" s="6" t="s">
        <v>1389</v>
      </c>
      <c r="T901" s="85" t="s">
        <v>1390</v>
      </c>
      <c r="U901" s="85"/>
      <c r="V901" s="85" t="s">
        <v>149</v>
      </c>
      <c r="W901" s="683" t="s">
        <v>914</v>
      </c>
      <c r="X901" s="691" t="s">
        <v>918</v>
      </c>
      <c r="Y901" s="130">
        <v>3004428523</v>
      </c>
      <c r="Z901" s="692"/>
      <c r="AA901" s="85" t="s">
        <v>33</v>
      </c>
      <c r="AB901" s="85" t="s">
        <v>34</v>
      </c>
      <c r="AC901" s="85" t="s">
        <v>230</v>
      </c>
      <c r="AD901" s="85" t="s">
        <v>1123</v>
      </c>
      <c r="AE901" s="85">
        <v>60</v>
      </c>
      <c r="AF901" s="132">
        <v>0.6</v>
      </c>
      <c r="AG901" s="85" t="s">
        <v>243</v>
      </c>
      <c r="AH901" s="85" t="s">
        <v>220</v>
      </c>
      <c r="AI901" s="85" t="s">
        <v>33</v>
      </c>
      <c r="AJ901" s="85">
        <v>3004426215</v>
      </c>
      <c r="AK901" s="85" t="s">
        <v>33</v>
      </c>
      <c r="AL901" s="85">
        <v>106301030</v>
      </c>
      <c r="AM901" s="85" t="s">
        <v>1145</v>
      </c>
      <c r="AN901" s="85" t="s">
        <v>1391</v>
      </c>
      <c r="AO901" s="85" t="s">
        <v>1392</v>
      </c>
      <c r="AP901" s="85" t="s">
        <v>240</v>
      </c>
      <c r="AQ901" s="9" t="str">
        <f>CONCATENATE("REG-",BDEGENER[[#This Row],[FECHA DE SERVICIO]],"-",BDEGENER[[#This Row],[SERIE]],"-",BDEGENER[[#This Row],[HORAS]])</f>
        <v>REG-43705-3004428523-0,6</v>
      </c>
      <c r="AR901" s="85" t="str">
        <f>CONCATENATE("MARCA: ",BDEGENER[[#This Row],[MARCA]],"
 MODELO: ",BDEGENER[[#This Row],[MODELO]])</f>
        <v>MARCA: GENERAC
 MODELO: PG090</v>
      </c>
      <c r="AS901" s="85" t="str">
        <f>CONCATENATE("MARCA: ",BDEGENER[[#This Row],[MARCA DE MOTOR]],"
SERIE: ",BDEGENER[[#This Row],[SERIE DE MOTOR]])</f>
        <v>MARCA: GENERAC
SERIE: 3004426215</v>
      </c>
      <c r="AT901" s="85" t="str">
        <f>CONCATENATE("MARCA: ",BDEGENER[[#This Row],[MARCA ALTERNADOR ]],"
SERIE: ",BDEGENER[[#This Row],[SERIE DE ALTERNADOR]])</f>
        <v>MARCA: GENERAC
SERIE: 106301030</v>
      </c>
      <c r="AU901" s="85" t="str">
        <f>CONCATENATE("HORAS: ",BDEGENER[[#This Row],[HORAS]],"
KW-HR: ",BDEGENER[[#This Row],[KW-HORA]],"
VOLT.BATERIA: ",BDEGENER[[#This Row],[VOLTAJE DE BATERIA]],"
TEMPERATURA: ",BDEGENER[[#This Row],[TEMPERATURA DE AGUA]],"
PRES. ACEITE: ",BDEGENER[[#This Row],[PRESION DE ACEITE]])</f>
        <v>HORAS: 0,6
KW-HR: 
VOLT.BATERIA: 13.4 V
TEMPERATURA: 90 °F
PRES. ACEITE: 75 PSI</v>
      </c>
      <c r="AV901" s="761">
        <f>COUNTIFS(Q901:Q2901,"MANTENIMIENTO CORRECTIVO",Y901:Y2901,BDEGENER[[#This Row],[SERIE]])</f>
        <v>0</v>
      </c>
      <c r="AW901" s="761">
        <f>COUNTIFS(Q901:Q2901,"MANTENIMIENTO PREVENTIVO",Y901:Y2901,BDEGENER[[#This Row],[SERIE]])</f>
        <v>0</v>
      </c>
      <c r="AX90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01" s="85">
        <f>COUNTIFS(BDEGENER[SERIE],BDEGENER[[#This Row],[SERIE]],BDEGENER[TIPO DE SERVICIO],"MANTENIMIENTO PREVENTIVO")</f>
        <v>9</v>
      </c>
      <c r="AZ901" s="85" t="str">
        <f>CONCATENATE("MANTENIMIENTO PREVENTIVO N°",BDEGENER[[#This Row],[GA1]])</f>
        <v>MANTENIMIENTO PREVENTIVO N°9</v>
      </c>
      <c r="BA901" s="85" t="str">
        <f>IF(BDEGENER[[#This Row],[SERVICIO]]=BDEGENER[[#This Row],[GA2]],BDEGENER[[#This Row],[HORAS]],"0")</f>
        <v>0</v>
      </c>
      <c r="BB901" s="85">
        <f>SUMIF(BDEGENER[SERIE],BDEGENER[[#This Row],[SERIE]],BDEGENER[GA3])</f>
        <v>2439.9</v>
      </c>
      <c r="BC901" s="761" t="str">
        <f>CONCATENATE("MANT",COUNTIF($Y$7:Y901,Y901))</f>
        <v>MANT14</v>
      </c>
      <c r="BD901" s="85" t="str">
        <f>CONCATENATE(BDEGENER[[#This Row],[SERIE]],BDEGENER[[#This Row],[GA5]])</f>
        <v>3004428523MANT14</v>
      </c>
      <c r="BE901" s="85" t="str">
        <f>CONCATENATE(BDEGENER[[#This Row],[CODIGO PATRIMONIAL]],BDEGENER[[#This Row],[GA5]])</f>
        <v>MANT14</v>
      </c>
      <c r="BF901" s="129">
        <f>COUNTIF(BDEGENER[SERIE],BDEGENER[[#This Row],[SERIE]])</f>
        <v>14</v>
      </c>
      <c r="BG901" s="761" t="str">
        <f>CONCATENATE("F",COUNTIF($K$7:K901,K901))</f>
        <v>F1</v>
      </c>
      <c r="BH901" s="129" t="str">
        <f>CONCATENATE(BDEGENER[[#This Row],[FECHA DE SERVICIO]],BDEGENER[[#This Row],[N° DE REGISTROS DEL DIA]])</f>
        <v>43705F1</v>
      </c>
      <c r="BI901" s="324"/>
      <c r="BJ901" s="325"/>
      <c r="BK901" s="326"/>
    </row>
    <row r="902" spans="2:63" ht="69" hidden="1" x14ac:dyDescent="0.3">
      <c r="B902" s="5"/>
      <c r="C902" s="34"/>
      <c r="D902" s="34"/>
      <c r="E902" s="34"/>
      <c r="F902" s="34"/>
      <c r="G902" s="34"/>
      <c r="H902" s="34"/>
      <c r="I902" s="34"/>
      <c r="J902" s="34"/>
      <c r="K902" s="37">
        <v>43703</v>
      </c>
      <c r="L902" s="31" t="s">
        <v>791</v>
      </c>
      <c r="M902" s="85" t="s">
        <v>1174</v>
      </c>
      <c r="N902" s="19" t="s">
        <v>793</v>
      </c>
      <c r="O902" s="35"/>
      <c r="P902" s="3"/>
      <c r="Q902" s="19" t="s">
        <v>108</v>
      </c>
      <c r="R902" s="85" t="s">
        <v>1782</v>
      </c>
      <c r="S902" s="19" t="s">
        <v>813</v>
      </c>
      <c r="T902" s="19" t="s">
        <v>814</v>
      </c>
      <c r="U902" s="19"/>
      <c r="V902" s="19" t="s">
        <v>149</v>
      </c>
      <c r="W902" s="19" t="s">
        <v>914</v>
      </c>
      <c r="X902" s="19" t="s">
        <v>917</v>
      </c>
      <c r="Y902" s="31" t="s">
        <v>836</v>
      </c>
      <c r="Z902" s="16"/>
      <c r="AA902" s="19" t="s">
        <v>841</v>
      </c>
      <c r="AB902" s="19" t="s">
        <v>1171</v>
      </c>
      <c r="AC902" s="19" t="s">
        <v>852</v>
      </c>
      <c r="AD902" s="16"/>
      <c r="AE902" s="16"/>
      <c r="AF902" s="31" t="s">
        <v>858</v>
      </c>
      <c r="AG902" s="16"/>
      <c r="AH902" s="16"/>
      <c r="AI902" s="19" t="s">
        <v>841</v>
      </c>
      <c r="AJ902" s="19" t="s">
        <v>865</v>
      </c>
      <c r="AK902" s="16" t="s">
        <v>841</v>
      </c>
      <c r="AL902" s="16" t="s">
        <v>836</v>
      </c>
      <c r="AM902" s="16"/>
      <c r="AN902" s="16"/>
      <c r="AO902" s="16"/>
      <c r="AP902" s="19" t="s">
        <v>557</v>
      </c>
      <c r="AQ902" s="6" t="str">
        <f>CONCATENATE("REG-",BDEGENER[[#This Row],[FECHA DE SERVICIO]],"-",BDEGENER[[#This Row],[SERIE]],"-",BDEGENER[[#This Row],[HORAS]])</f>
        <v>REG-43703-6JA02715-119,6</v>
      </c>
      <c r="AR902" s="29" t="str">
        <f>CONCATENATE("MARCA: ",BDEGENER[[#This Row],[MARCA]],"
 MODELO: ",BDEGENER[[#This Row],[MODELO]])</f>
        <v>MARCA: CATERPILLAR
 MODELO: SR4</v>
      </c>
      <c r="AS902" s="29" t="str">
        <f>CONCATENATE("MARCA: ",BDEGENER[[#This Row],[MARCA DE MOTOR]],"
SERIE: ",BDEGENER[[#This Row],[SERIE DE MOTOR]])</f>
        <v>MARCA: CATERPILLAR
SERIE: 3DAD4135</v>
      </c>
      <c r="AT902" s="29" t="str">
        <f>CONCATENATE("MARCA: ",BDEGENER[[#This Row],[MARCA ALTERNADOR ]],"
SERIE: ",BDEGENER[[#This Row],[SERIE DE ALTERNADOR]])</f>
        <v>MARCA: CATERPILLAR
SERIE: 6JA02715</v>
      </c>
      <c r="AU902" s="29" t="str">
        <f>CONCATENATE("HORAS: ",BDEGENER[[#This Row],[HORAS]],"
KW-HR: ",BDEGENER[[#This Row],[KW-HORA]],"
VOLT.BATERIA: ",BDEGENER[[#This Row],[VOLTAJE DE BATERIA]],"
TEMPERATURA: ",BDEGENER[[#This Row],[TEMPERATURA DE AGUA]],"
PRES. ACEITE: ",BDEGENER[[#This Row],[PRESION DE ACEITE]])</f>
        <v xml:space="preserve">HORAS: 119,6
KW-HR: 
VOLT.BATERIA: 
TEMPERATURA: 
PRES. ACEITE: </v>
      </c>
      <c r="AV902" s="683">
        <f>COUNTIFS(Q902:Q2902,"MANTENIMIENTO CORRECTIVO",Y902:Y2902,BDEGENER[[#This Row],[SERIE]])</f>
        <v>0</v>
      </c>
      <c r="AW902" s="683">
        <f>COUNTIFS(Q902:Q2902,"MANTENIMIENTO PREVENTIVO",Y902:Y2902,BDEGENER[[#This Row],[SERIE]])</f>
        <v>0</v>
      </c>
      <c r="AX90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902" s="29">
        <f>COUNTIFS(BDEGENER[SERIE],BDEGENER[[#This Row],[SERIE]],BDEGENER[TIPO DE SERVICIO],"MANTENIMIENTO PREVENTIVO")</f>
        <v>4</v>
      </c>
      <c r="AZ902" s="29" t="str">
        <f>CONCATENATE("MANTENIMIENTO PREVENTIVO N°",BDEGENER[[#This Row],[GA1]])</f>
        <v>MANTENIMIENTO PREVENTIVO N°4</v>
      </c>
      <c r="BA902" s="325" t="str">
        <f>IF(BDEGENER[[#This Row],[SERVICIO]]=BDEGENER[[#This Row],[GA2]],BDEGENER[[#This Row],[HORAS]],"0")</f>
        <v>0</v>
      </c>
      <c r="BB902" s="325">
        <f>SUMIF(BDEGENER[SERIE],BDEGENER[[#This Row],[SERIE]],BDEGENER[GA3])</f>
        <v>119.6</v>
      </c>
      <c r="BC902" s="683" t="str">
        <f>CONCATENATE("MANT",COUNTIF($Y$7:Y902,Y902))</f>
        <v>MANT6</v>
      </c>
      <c r="BD902" s="29" t="str">
        <f>CONCATENATE(BDEGENER[[#This Row],[SERIE]],BDEGENER[[#This Row],[GA5]])</f>
        <v>6JA02715MANT6</v>
      </c>
      <c r="BE902" s="29" t="str">
        <f>CONCATENATE(BDEGENER[[#This Row],[CODIGO PATRIMONIAL]],BDEGENER[[#This Row],[GA5]])</f>
        <v>MANT6</v>
      </c>
      <c r="BF902" s="16">
        <f>COUNTIF(BDEGENER[SERIE],BDEGENER[[#This Row],[SERIE]])</f>
        <v>6</v>
      </c>
      <c r="BG902" s="683" t="str">
        <f>CONCATENATE("F",COUNTIF($K$7:K902,K902))</f>
        <v>F1</v>
      </c>
      <c r="BH902" s="325" t="str">
        <f>CONCATENATE(BDEGENER[[#This Row],[FECHA DE SERVICIO]],BDEGENER[[#This Row],[N° DE REGISTROS DEL DIA]])</f>
        <v>43703F1</v>
      </c>
      <c r="BI902" s="324"/>
      <c r="BJ902" s="325"/>
      <c r="BK902" s="326"/>
    </row>
    <row r="903" spans="2:63" ht="69" hidden="1" x14ac:dyDescent="0.3">
      <c r="B903" s="5"/>
      <c r="C903" s="34"/>
      <c r="D903" s="34"/>
      <c r="E903" s="34"/>
      <c r="F903" s="34"/>
      <c r="G903" s="34"/>
      <c r="H903" s="34"/>
      <c r="I903" s="34"/>
      <c r="J903" s="34"/>
      <c r="K903" s="37">
        <v>43703</v>
      </c>
      <c r="L903" s="31" t="s">
        <v>791</v>
      </c>
      <c r="M903" s="19"/>
      <c r="N903" s="19" t="s">
        <v>797</v>
      </c>
      <c r="O903" s="35"/>
      <c r="P903" s="3"/>
      <c r="Q903" s="19" t="s">
        <v>108</v>
      </c>
      <c r="R903" s="85" t="s">
        <v>1782</v>
      </c>
      <c r="S903" s="19" t="s">
        <v>813</v>
      </c>
      <c r="T903" s="19" t="s">
        <v>814</v>
      </c>
      <c r="U903" s="19"/>
      <c r="V903" s="19" t="s">
        <v>149</v>
      </c>
      <c r="W903" s="85" t="s">
        <v>914</v>
      </c>
      <c r="X903" s="85" t="s">
        <v>917</v>
      </c>
      <c r="Y903" s="85" t="s">
        <v>835</v>
      </c>
      <c r="Z903" s="16"/>
      <c r="AA903" s="19" t="s">
        <v>841</v>
      </c>
      <c r="AB903" s="85" t="s">
        <v>1171</v>
      </c>
      <c r="AC903" s="19" t="s">
        <v>852</v>
      </c>
      <c r="AD903" s="16"/>
      <c r="AE903" s="16"/>
      <c r="AF903" s="146">
        <v>2748</v>
      </c>
      <c r="AG903" s="16"/>
      <c r="AH903" s="16"/>
      <c r="AI903" s="19" t="s">
        <v>841</v>
      </c>
      <c r="AJ903" s="19" t="s">
        <v>839</v>
      </c>
      <c r="AK903" s="85" t="s">
        <v>841</v>
      </c>
      <c r="AL903" s="85" t="s">
        <v>835</v>
      </c>
      <c r="AM903" s="16"/>
      <c r="AN903" s="16"/>
      <c r="AO903" s="16"/>
      <c r="AP903" s="19" t="s">
        <v>557</v>
      </c>
      <c r="AQ903" s="6" t="str">
        <f>CONCATENATE("REG-",BDEGENER[[#This Row],[FECHA DE SERVICIO]],"-",BDEGENER[[#This Row],[SERIE]],"-",BDEGENER[[#This Row],[HORAS]])</f>
        <v>REG-43703-6JA02716-2748</v>
      </c>
      <c r="AR903" s="29" t="str">
        <f>CONCATENATE("MARCA: ",BDEGENER[[#This Row],[MARCA]],"
 MODELO: ",BDEGENER[[#This Row],[MODELO]])</f>
        <v>MARCA: CATERPILLAR
 MODELO: SR4</v>
      </c>
      <c r="AS903" s="29" t="str">
        <f>CONCATENATE("MARCA: ",BDEGENER[[#This Row],[MARCA DE MOTOR]],"
SERIE: ",BDEGENER[[#This Row],[SERIE DE MOTOR]])</f>
        <v>MARCA: CATERPILLAR
SERIE: 3DAD4134</v>
      </c>
      <c r="AT903" s="29" t="str">
        <f>CONCATENATE("MARCA: ",BDEGENER[[#This Row],[MARCA ALTERNADOR ]],"
SERIE: ",BDEGENER[[#This Row],[SERIE DE ALTERNADOR]])</f>
        <v>MARCA: CATERPILLAR
SERIE: 6JA02716</v>
      </c>
      <c r="AU903" s="29" t="str">
        <f>CONCATENATE("HORAS: ",BDEGENER[[#This Row],[HORAS]],"
KW-HR: ",BDEGENER[[#This Row],[KW-HORA]],"
VOLT.BATERIA: ",BDEGENER[[#This Row],[VOLTAJE DE BATERIA]],"
TEMPERATURA: ",BDEGENER[[#This Row],[TEMPERATURA DE AGUA]],"
PRES. ACEITE: ",BDEGENER[[#This Row],[PRESION DE ACEITE]])</f>
        <v xml:space="preserve">HORAS: 2748
KW-HR: 
VOLT.BATERIA: 
TEMPERATURA: 
PRES. ACEITE: </v>
      </c>
      <c r="AV903" s="683">
        <f>COUNTIFS(Q903:Q2903,"MANTENIMIENTO CORRECTIVO",Y903:Y2903,BDEGENER[[#This Row],[SERIE]])</f>
        <v>0</v>
      </c>
      <c r="AW903" s="683">
        <f>COUNTIFS(Q903:Q2903,"MANTENIMIENTO PREVENTIVO",Y903:Y2903,BDEGENER[[#This Row],[SERIE]])</f>
        <v>0</v>
      </c>
      <c r="AX90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903" s="29">
        <f>COUNTIFS(BDEGENER[SERIE],BDEGENER[[#This Row],[SERIE]],BDEGENER[TIPO DE SERVICIO],"MANTENIMIENTO PREVENTIVO")</f>
        <v>4</v>
      </c>
      <c r="AZ903" s="29" t="str">
        <f>CONCATENATE("MANTENIMIENTO PREVENTIVO N°",BDEGENER[[#This Row],[GA1]])</f>
        <v>MANTENIMIENTO PREVENTIVO N°4</v>
      </c>
      <c r="BA903" s="325" t="str">
        <f>IF(BDEGENER[[#This Row],[SERVICIO]]=BDEGENER[[#This Row],[GA2]],BDEGENER[[#This Row],[HORAS]],"0")</f>
        <v>0</v>
      </c>
      <c r="BB903" s="325">
        <f>SUMIF(BDEGENER[SERIE],BDEGENER[[#This Row],[SERIE]],BDEGENER[GA3])</f>
        <v>2751</v>
      </c>
      <c r="BC903" s="683" t="str">
        <f>CONCATENATE("MANT",COUNTIF($Y$7:Y903,Y903))</f>
        <v>MANT7</v>
      </c>
      <c r="BD903" s="29" t="str">
        <f>CONCATENATE(BDEGENER[[#This Row],[SERIE]],BDEGENER[[#This Row],[GA5]])</f>
        <v>6JA02716MANT7</v>
      </c>
      <c r="BE903" s="29" t="str">
        <f>CONCATENATE(BDEGENER[[#This Row],[CODIGO PATRIMONIAL]],BDEGENER[[#This Row],[GA5]])</f>
        <v>MANT7</v>
      </c>
      <c r="BF903" s="16">
        <f>COUNTIF(BDEGENER[SERIE],BDEGENER[[#This Row],[SERIE]])</f>
        <v>7</v>
      </c>
      <c r="BG903" s="683" t="str">
        <f>CONCATENATE("F",COUNTIF($K$7:K903,K903))</f>
        <v>F2</v>
      </c>
      <c r="BH903" s="325" t="str">
        <f>CONCATENATE(BDEGENER[[#This Row],[FECHA DE SERVICIO]],BDEGENER[[#This Row],[N° DE REGISTROS DEL DIA]])</f>
        <v>43703F2</v>
      </c>
      <c r="BI903" s="324"/>
      <c r="BJ903" s="325"/>
      <c r="BK903" s="326"/>
    </row>
    <row r="904" spans="2:63" ht="69" hidden="1" x14ac:dyDescent="0.3">
      <c r="B904" s="129"/>
      <c r="C904" s="129"/>
      <c r="D904" s="129"/>
      <c r="E904" s="129"/>
      <c r="F904" s="129"/>
      <c r="G904" s="129"/>
      <c r="H904" s="129"/>
      <c r="I904" s="129"/>
      <c r="J904" s="129"/>
      <c r="K904" s="131">
        <v>43700</v>
      </c>
      <c r="L904" s="130" t="s">
        <v>561</v>
      </c>
      <c r="M904" s="85" t="s">
        <v>1245</v>
      </c>
      <c r="N904" s="85" t="s">
        <v>570</v>
      </c>
      <c r="O904" s="85"/>
      <c r="P904" s="85"/>
      <c r="Q904" s="85" t="s">
        <v>37</v>
      </c>
      <c r="R904" s="85" t="s">
        <v>1782</v>
      </c>
      <c r="S904" s="6" t="s">
        <v>1246</v>
      </c>
      <c r="T904" s="85" t="s">
        <v>1782</v>
      </c>
      <c r="U904" s="85" t="s">
        <v>1247</v>
      </c>
      <c r="V904" s="85" t="s">
        <v>146</v>
      </c>
      <c r="W904" s="85" t="s">
        <v>913</v>
      </c>
      <c r="X904" s="85" t="s">
        <v>918</v>
      </c>
      <c r="Y904" s="130">
        <v>3004555912</v>
      </c>
      <c r="Z904" s="85" t="s">
        <v>2607</v>
      </c>
      <c r="AA904" s="19" t="s">
        <v>33</v>
      </c>
      <c r="AB904" s="19" t="s">
        <v>217</v>
      </c>
      <c r="AC904" s="85" t="s">
        <v>749</v>
      </c>
      <c r="AD904" s="85"/>
      <c r="AE904" s="85"/>
      <c r="AF904" s="132">
        <v>235.2</v>
      </c>
      <c r="AG904" s="85" t="s">
        <v>243</v>
      </c>
      <c r="AH904" s="85"/>
      <c r="AI904" s="85"/>
      <c r="AJ904" s="85"/>
      <c r="AK904" s="85"/>
      <c r="AL904" s="85"/>
      <c r="AM904" s="85"/>
      <c r="AN904" s="85"/>
      <c r="AO904" s="85"/>
      <c r="AP904" s="85" t="s">
        <v>240</v>
      </c>
      <c r="AQ904" s="9" t="str">
        <f>CONCATENATE("REG-",BDEGENER[[#This Row],[FECHA DE SERVICIO]],"-",BDEGENER[[#This Row],[SERIE]],"-",BDEGENER[[#This Row],[HORAS]])</f>
        <v>REG-43700-3004555912-235,2</v>
      </c>
      <c r="AR904" s="85" t="str">
        <f>CONCATENATE("MARCA: ",BDEGENER[[#This Row],[MARCA]],"
 MODELO: ",BDEGENER[[#This Row],[MODELO]])</f>
        <v>MARCA: GENERAC
 MODELO: RG022</v>
      </c>
      <c r="AS904" s="85" t="str">
        <f>CONCATENATE("MARCA: ",BDEGENER[[#This Row],[MARCA DE MOTOR]],"
SERIE: ",BDEGENER[[#This Row],[SERIE DE MOTOR]])</f>
        <v xml:space="preserve">MARCA: 
SERIE: </v>
      </c>
      <c r="AT904" s="85" t="str">
        <f>CONCATENATE("MARCA: ",BDEGENER[[#This Row],[MARCA ALTERNADOR ]],"
SERIE: ",BDEGENER[[#This Row],[SERIE DE ALTERNADOR]])</f>
        <v xml:space="preserve">MARCA: 
SERIE: </v>
      </c>
      <c r="AU904" s="85" t="str">
        <f>CONCATENATE("HORAS: ",BDEGENER[[#This Row],[HORAS]],"
KW-HR: ",BDEGENER[[#This Row],[KW-HORA]],"
VOLT.BATERIA: ",BDEGENER[[#This Row],[VOLTAJE DE BATERIA]],"
TEMPERATURA: ",BDEGENER[[#This Row],[TEMPERATURA DE AGUA]],"
PRES. ACEITE: ",BDEGENER[[#This Row],[PRESION DE ACEITE]])</f>
        <v xml:space="preserve">HORAS: 235,2
KW-HR: 
VOLT.BATERIA: 
TEMPERATURA: 
PRES. ACEITE: </v>
      </c>
      <c r="AV904" s="761">
        <f>COUNTIFS(Q904:Q2904,"MANTENIMIENTO CORRECTIVO",Y904:Y2904,BDEGENER[[#This Row],[SERIE]])</f>
        <v>0</v>
      </c>
      <c r="AW904" s="761">
        <f>COUNTIFS(Q904:Q2904,"MANTENIMIENTO PREVENTIVO",Y904:Y2904,BDEGENER[[#This Row],[SERIE]])</f>
        <v>2</v>
      </c>
      <c r="AX904"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04" s="85">
        <f>COUNTIFS(BDEGENER[SERIE],BDEGENER[[#This Row],[SERIE]],BDEGENER[TIPO DE SERVICIO],"MANTENIMIENTO PREVENTIVO")</f>
        <v>6</v>
      </c>
      <c r="AZ904" s="85" t="str">
        <f>CONCATENATE("MANTENIMIENTO PREVENTIVO N°",BDEGENER[[#This Row],[GA1]])</f>
        <v>MANTENIMIENTO PREVENTIVO N°6</v>
      </c>
      <c r="BA904" s="85" t="str">
        <f>IF(BDEGENER[[#This Row],[SERVICIO]]=BDEGENER[[#This Row],[GA2]],BDEGENER[[#This Row],[HORAS]],"0")</f>
        <v>0</v>
      </c>
      <c r="BB904" s="85">
        <f>SUMIF(BDEGENER[SERIE],BDEGENER[[#This Row],[SERIE]],BDEGENER[GA3])</f>
        <v>2869.9</v>
      </c>
      <c r="BC904" s="761" t="str">
        <f>CONCATENATE("MANT",COUNTIF($Y$7:Y904,Y904))</f>
        <v>MANT9</v>
      </c>
      <c r="BD904" s="85" t="str">
        <f>CONCATENATE(BDEGENER[[#This Row],[SERIE]],BDEGENER[[#This Row],[GA5]])</f>
        <v>3004555912MANT9</v>
      </c>
      <c r="BE904" s="85" t="str">
        <f>CONCATENATE(BDEGENER[[#This Row],[CODIGO PATRIMONIAL]],BDEGENER[[#This Row],[GA5]])</f>
        <v>SUR-GEG-0011MANT9</v>
      </c>
      <c r="BF904" s="129">
        <f>COUNTIF(BDEGENER[SERIE],BDEGENER[[#This Row],[SERIE]])</f>
        <v>11</v>
      </c>
      <c r="BG904" s="761" t="str">
        <f>CONCATENATE("F",COUNTIF($K$7:K904,K904))</f>
        <v>F1</v>
      </c>
      <c r="BH904" s="325" t="str">
        <f>CONCATENATE(BDEGENER[[#This Row],[FECHA DE SERVICIO]],BDEGENER[[#This Row],[N° DE REGISTROS DEL DIA]])</f>
        <v>43700F1</v>
      </c>
      <c r="BI904" s="324"/>
      <c r="BJ904" s="325"/>
      <c r="BK904" s="326"/>
    </row>
    <row r="905" spans="2:63" ht="69" hidden="1" x14ac:dyDescent="0.3">
      <c r="B905" s="129"/>
      <c r="C905" s="129"/>
      <c r="D905" s="129"/>
      <c r="E905" s="129"/>
      <c r="F905" s="129"/>
      <c r="G905" s="129"/>
      <c r="H905" s="129"/>
      <c r="I905" s="129"/>
      <c r="J905" s="129"/>
      <c r="K905" s="131">
        <v>43700</v>
      </c>
      <c r="L905" s="130" t="s">
        <v>561</v>
      </c>
      <c r="M905" s="85" t="s">
        <v>2439</v>
      </c>
      <c r="N905" s="85" t="s">
        <v>564</v>
      </c>
      <c r="O905" s="85"/>
      <c r="P905" s="85"/>
      <c r="Q905" s="85" t="s">
        <v>37</v>
      </c>
      <c r="R905" s="85" t="s">
        <v>1782</v>
      </c>
      <c r="S905" s="6" t="s">
        <v>1243</v>
      </c>
      <c r="T905" s="85" t="s">
        <v>1782</v>
      </c>
      <c r="U905" s="85" t="s">
        <v>1244</v>
      </c>
      <c r="V905" s="85" t="s">
        <v>146</v>
      </c>
      <c r="W905" s="683" t="s">
        <v>914</v>
      </c>
      <c r="X905" s="691" t="s">
        <v>918</v>
      </c>
      <c r="Y905" s="130">
        <v>3003963149</v>
      </c>
      <c r="Z905" s="692" t="s">
        <v>2603</v>
      </c>
      <c r="AA905" s="85" t="s">
        <v>33</v>
      </c>
      <c r="AB905" s="85" t="s">
        <v>34</v>
      </c>
      <c r="AC905" s="85" t="s">
        <v>230</v>
      </c>
      <c r="AD905" s="85"/>
      <c r="AE905" s="85"/>
      <c r="AF905" s="132">
        <v>358.1</v>
      </c>
      <c r="AG905" s="683" t="s">
        <v>243</v>
      </c>
      <c r="AH905" s="85" t="s">
        <v>220</v>
      </c>
      <c r="AI905" s="85"/>
      <c r="AJ905" s="85"/>
      <c r="AK905" s="85"/>
      <c r="AL905" s="85"/>
      <c r="AM905" s="85"/>
      <c r="AN905" s="85"/>
      <c r="AO905" s="85"/>
      <c r="AP905" s="85" t="s">
        <v>240</v>
      </c>
      <c r="AQ905" s="9" t="str">
        <f>CONCATENATE("REG-",BDEGENER[[#This Row],[FECHA DE SERVICIO]],"-",BDEGENER[[#This Row],[SERIE]],"-",BDEGENER[[#This Row],[HORAS]])</f>
        <v>REG-43700-3003963149-358,1</v>
      </c>
      <c r="AR905" s="85" t="str">
        <f>CONCATENATE("MARCA: ",BDEGENER[[#This Row],[MARCA]],"
 MODELO: ",BDEGENER[[#This Row],[MODELO]])</f>
        <v>MARCA: GENERAC
 MODELO: PG090</v>
      </c>
      <c r="AS905" s="85" t="str">
        <f>CONCATENATE("MARCA: ",BDEGENER[[#This Row],[MARCA DE MOTOR]],"
SERIE: ",BDEGENER[[#This Row],[SERIE DE MOTOR]])</f>
        <v xml:space="preserve">MARCA: 
SERIE: </v>
      </c>
      <c r="AT905" s="85" t="str">
        <f>CONCATENATE("MARCA: ",BDEGENER[[#This Row],[MARCA ALTERNADOR ]],"
SERIE: ",BDEGENER[[#This Row],[SERIE DE ALTERNADOR]])</f>
        <v xml:space="preserve">MARCA: 
SERIE: </v>
      </c>
      <c r="AU905" s="85" t="str">
        <f>CONCATENATE("HORAS: ",BDEGENER[[#This Row],[HORAS]],"
KW-HR: ",BDEGENER[[#This Row],[KW-HORA]],"
VOLT.BATERIA: ",BDEGENER[[#This Row],[VOLTAJE DE BATERIA]],"
TEMPERATURA: ",BDEGENER[[#This Row],[TEMPERATURA DE AGUA]],"
PRES. ACEITE: ",BDEGENER[[#This Row],[PRESION DE ACEITE]])</f>
        <v xml:space="preserve">HORAS: 358,1
KW-HR: 
VOLT.BATERIA: 
TEMPERATURA: 
PRES. ACEITE: </v>
      </c>
      <c r="AV905" s="683">
        <f>COUNTIFS(Q905:Q2905,"MANTENIMIENTO CORRECTIVO",Y905:Y2905,BDEGENER[[#This Row],[SERIE]])</f>
        <v>0</v>
      </c>
      <c r="AW905" s="683">
        <f>COUNTIFS(Q905:Q2905,"MANTENIMIENTO PREVENTIVO",Y905:Y2905,BDEGENER[[#This Row],[SERIE]])</f>
        <v>2</v>
      </c>
      <c r="AX90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05" s="85">
        <f>COUNTIFS(BDEGENER[SERIE],BDEGENER[[#This Row],[SERIE]],BDEGENER[TIPO DE SERVICIO],"MANTENIMIENTO PREVENTIVO")</f>
        <v>6</v>
      </c>
      <c r="AZ905" s="85" t="str">
        <f>CONCATENATE("MANTENIMIENTO PREVENTIVO N°",BDEGENER[[#This Row],[GA1]])</f>
        <v>MANTENIMIENTO PREVENTIVO N°6</v>
      </c>
      <c r="BA905" s="85" t="str">
        <f>IF(BDEGENER[[#This Row],[SERVICIO]]=BDEGENER[[#This Row],[GA2]],BDEGENER[[#This Row],[HORAS]],"0")</f>
        <v>0</v>
      </c>
      <c r="BB905" s="85">
        <f>SUMIF(BDEGENER[SERIE],BDEGENER[[#This Row],[SERIE]],BDEGENER[GA3])</f>
        <v>3959.4</v>
      </c>
      <c r="BC905" s="683" t="str">
        <f>CONCATENATE("MANT",COUNTIF($Y$7:Y905,Y905))</f>
        <v>MANT9</v>
      </c>
      <c r="BD905" s="85" t="str">
        <f>CONCATENATE(BDEGENER[[#This Row],[SERIE]],BDEGENER[[#This Row],[GA5]])</f>
        <v>3003963149MANT9</v>
      </c>
      <c r="BE905" s="85" t="str">
        <f>CONCATENATE(BDEGENER[[#This Row],[CODIGO PATRIMONIAL]],BDEGENER[[#This Row],[GA5]])</f>
        <v>SUR-GEG-0007MANT9</v>
      </c>
      <c r="BF905" s="129">
        <f>COUNTIF(BDEGENER[SERIE],BDEGENER[[#This Row],[SERIE]])</f>
        <v>12</v>
      </c>
      <c r="BG905" s="683" t="str">
        <f>CONCATENATE("F",COUNTIF($K$7:K905,K905))</f>
        <v>F2</v>
      </c>
      <c r="BH905" s="325" t="str">
        <f>CONCATENATE(BDEGENER[[#This Row],[FECHA DE SERVICIO]],BDEGENER[[#This Row],[N° DE REGISTROS DEL DIA]])</f>
        <v>43700F2</v>
      </c>
      <c r="BI905" s="324"/>
      <c r="BJ905" s="325"/>
      <c r="BK905" s="326"/>
    </row>
    <row r="906" spans="2:63" ht="69" hidden="1" x14ac:dyDescent="0.3">
      <c r="B906" s="129"/>
      <c r="C906" s="129"/>
      <c r="D906" s="129"/>
      <c r="E906" s="129"/>
      <c r="F906" s="129"/>
      <c r="G906" s="129"/>
      <c r="H906" s="129"/>
      <c r="I906" s="129"/>
      <c r="J906" s="129"/>
      <c r="K906" s="131">
        <v>43700</v>
      </c>
      <c r="L906" s="130" t="s">
        <v>561</v>
      </c>
      <c r="M906" s="683" t="s">
        <v>1240</v>
      </c>
      <c r="N906" s="85" t="s">
        <v>570</v>
      </c>
      <c r="O906" s="85"/>
      <c r="P906" s="85"/>
      <c r="Q906" s="85" t="s">
        <v>37</v>
      </c>
      <c r="R906" s="85" t="s">
        <v>1782</v>
      </c>
      <c r="S906" s="6" t="s">
        <v>1241</v>
      </c>
      <c r="T906" s="85" t="s">
        <v>1782</v>
      </c>
      <c r="U906" s="85" t="s">
        <v>1242</v>
      </c>
      <c r="V906" s="85" t="s">
        <v>146</v>
      </c>
      <c r="W906" s="85" t="s">
        <v>913</v>
      </c>
      <c r="X906" s="85" t="s">
        <v>918</v>
      </c>
      <c r="Y906" s="130">
        <v>3004597775</v>
      </c>
      <c r="Z906" s="692" t="s">
        <v>2608</v>
      </c>
      <c r="AA906" s="740" t="s">
        <v>33</v>
      </c>
      <c r="AB906" s="19" t="s">
        <v>217</v>
      </c>
      <c r="AC906" s="683" t="s">
        <v>749</v>
      </c>
      <c r="AD906" s="85"/>
      <c r="AE906" s="85"/>
      <c r="AF906" s="132">
        <v>259.2</v>
      </c>
      <c r="AG906" s="85" t="s">
        <v>243</v>
      </c>
      <c r="AH906" s="85"/>
      <c r="AI906" s="85"/>
      <c r="AJ906" s="85"/>
      <c r="AK906" s="85"/>
      <c r="AL906" s="85"/>
      <c r="AM906" s="85"/>
      <c r="AN906" s="85"/>
      <c r="AO906" s="85"/>
      <c r="AP906" s="85" t="s">
        <v>240</v>
      </c>
      <c r="AQ906" s="9" t="str">
        <f>CONCATENATE("REG-",BDEGENER[[#This Row],[FECHA DE SERVICIO]],"-",BDEGENER[[#This Row],[SERIE]],"-",BDEGENER[[#This Row],[HORAS]])</f>
        <v>REG-43700-3004597775-259,2</v>
      </c>
      <c r="AR906" s="85" t="str">
        <f>CONCATENATE("MARCA: ",BDEGENER[[#This Row],[MARCA]],"
 MODELO: ",BDEGENER[[#This Row],[MODELO]])</f>
        <v>MARCA: GENERAC
 MODELO: RG022</v>
      </c>
      <c r="AS906" s="85" t="str">
        <f>CONCATENATE("MARCA: ",BDEGENER[[#This Row],[MARCA DE MOTOR]],"
SERIE: ",BDEGENER[[#This Row],[SERIE DE MOTOR]])</f>
        <v xml:space="preserve">MARCA: 
SERIE: </v>
      </c>
      <c r="AT906" s="85" t="str">
        <f>CONCATENATE("MARCA: ",BDEGENER[[#This Row],[MARCA ALTERNADOR ]],"
SERIE: ",BDEGENER[[#This Row],[SERIE DE ALTERNADOR]])</f>
        <v xml:space="preserve">MARCA: 
SERIE: </v>
      </c>
      <c r="AU906" s="85" t="str">
        <f>CONCATENATE("HORAS: ",BDEGENER[[#This Row],[HORAS]],"
KW-HR: ",BDEGENER[[#This Row],[KW-HORA]],"
VOLT.BATERIA: ",BDEGENER[[#This Row],[VOLTAJE DE BATERIA]],"
TEMPERATURA: ",BDEGENER[[#This Row],[TEMPERATURA DE AGUA]],"
PRES. ACEITE: ",BDEGENER[[#This Row],[PRESION DE ACEITE]])</f>
        <v xml:space="preserve">HORAS: 259,2
KW-HR: 
VOLT.BATERIA: 
TEMPERATURA: 
PRES. ACEITE: </v>
      </c>
      <c r="AV906" s="683">
        <f>COUNTIFS(Q906:Q2906,"MANTENIMIENTO CORRECTIVO",Y906:Y2906,BDEGENER[[#This Row],[SERIE]])</f>
        <v>0</v>
      </c>
      <c r="AW906" s="683">
        <f>COUNTIFS(Q906:Q2906,"MANTENIMIENTO PREVENTIVO",Y906:Y2906,BDEGENER[[#This Row],[SERIE]])</f>
        <v>2</v>
      </c>
      <c r="AX90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06" s="85">
        <f>COUNTIFS(BDEGENER[SERIE],BDEGENER[[#This Row],[SERIE]],BDEGENER[TIPO DE SERVICIO],"MANTENIMIENTO PREVENTIVO")</f>
        <v>7</v>
      </c>
      <c r="AZ906" s="85" t="str">
        <f>CONCATENATE("MANTENIMIENTO PREVENTIVO N°",BDEGENER[[#This Row],[GA1]])</f>
        <v>MANTENIMIENTO PREVENTIVO N°7</v>
      </c>
      <c r="BA906" s="85" t="str">
        <f>IF(BDEGENER[[#This Row],[SERVICIO]]=BDEGENER[[#This Row],[GA2]],BDEGENER[[#This Row],[HORAS]],"0")</f>
        <v>0</v>
      </c>
      <c r="BB906" s="85">
        <f>SUMIF(BDEGENER[SERIE],BDEGENER[[#This Row],[SERIE]],BDEGENER[GA3])</f>
        <v>2487</v>
      </c>
      <c r="BC906" s="683" t="str">
        <f>CONCATENATE("MANT",COUNTIF($Y$7:Y906,Y906))</f>
        <v>MANT7</v>
      </c>
      <c r="BD906" s="85" t="str">
        <f>CONCATENATE(BDEGENER[[#This Row],[SERIE]],BDEGENER[[#This Row],[GA5]])</f>
        <v>3004597775MANT7</v>
      </c>
      <c r="BE906" s="85" t="str">
        <f>CONCATENATE(BDEGENER[[#This Row],[CODIGO PATRIMONIAL]],BDEGENER[[#This Row],[GA5]])</f>
        <v>SUR-GEG-0012MANT7</v>
      </c>
      <c r="BF906" s="129">
        <f>COUNTIF(BDEGENER[SERIE],BDEGENER[[#This Row],[SERIE]])</f>
        <v>8</v>
      </c>
      <c r="BG906" s="683" t="str">
        <f>CONCATENATE("F",COUNTIF($K$7:K906,K906))</f>
        <v>F3</v>
      </c>
      <c r="BH906" s="325" t="str">
        <f>CONCATENATE(BDEGENER[[#This Row],[FECHA DE SERVICIO]],BDEGENER[[#This Row],[N° DE REGISTROS DEL DIA]])</f>
        <v>43700F3</v>
      </c>
      <c r="BI906" s="324"/>
      <c r="BJ906" s="325"/>
      <c r="BK906" s="326"/>
    </row>
    <row r="907" spans="2:63" ht="69" hidden="1" x14ac:dyDescent="0.3">
      <c r="B907" s="129"/>
      <c r="C907" s="129"/>
      <c r="D907" s="129"/>
      <c r="E907" s="129"/>
      <c r="F907" s="129"/>
      <c r="G907" s="129"/>
      <c r="H907" s="129"/>
      <c r="I907" s="129"/>
      <c r="J907" s="129"/>
      <c r="K907" s="131">
        <v>43699</v>
      </c>
      <c r="L907" s="130" t="s">
        <v>796</v>
      </c>
      <c r="M907" s="85" t="s">
        <v>796</v>
      </c>
      <c r="N907" s="85" t="s">
        <v>1083</v>
      </c>
      <c r="O907" s="85"/>
      <c r="P907" s="85"/>
      <c r="Q907" s="85" t="s">
        <v>37</v>
      </c>
      <c r="R907" s="85" t="s">
        <v>1782</v>
      </c>
      <c r="S907" s="6" t="s">
        <v>1595</v>
      </c>
      <c r="T907" s="85" t="s">
        <v>1782</v>
      </c>
      <c r="U907" s="85" t="s">
        <v>1596</v>
      </c>
      <c r="V907" s="85" t="s">
        <v>149</v>
      </c>
      <c r="W907" s="683" t="s">
        <v>915</v>
      </c>
      <c r="X907" s="691" t="s">
        <v>917</v>
      </c>
      <c r="Y907" s="15">
        <v>1603600</v>
      </c>
      <c r="Z907" s="692"/>
      <c r="AA907" s="85" t="s">
        <v>33</v>
      </c>
      <c r="AB907" s="85" t="s">
        <v>1120</v>
      </c>
      <c r="AC907" s="85" t="s">
        <v>231</v>
      </c>
      <c r="AD907" s="85"/>
      <c r="AE907" s="85"/>
      <c r="AF907" s="132">
        <v>969</v>
      </c>
      <c r="AG907" s="85" t="s">
        <v>243</v>
      </c>
      <c r="AH907" s="85" t="s">
        <v>1578</v>
      </c>
      <c r="AI907" s="85" t="s">
        <v>868</v>
      </c>
      <c r="AJ907" s="85" t="s">
        <v>1592</v>
      </c>
      <c r="AK907" s="85" t="s">
        <v>1572</v>
      </c>
      <c r="AL907" s="85"/>
      <c r="AM907" s="85"/>
      <c r="AN907" s="85"/>
      <c r="AO907" s="85"/>
      <c r="AP907" s="85" t="s">
        <v>240</v>
      </c>
      <c r="AQ907" s="85" t="str">
        <f>CONCATENATE("REG-",BDEGENER[[#This Row],[FECHA DE SERVICIO]],"-",BDEGENER[[#This Row],[SERIE]],"-",BDEGENER[[#This Row],[HORAS]])</f>
        <v>REG-43699-1603600-969</v>
      </c>
      <c r="AR907" s="85" t="str">
        <f>CONCATENATE("MARCA: ",BDEGENER[[#This Row],[MARCA]],"
 MODELO: ",BDEGENER[[#This Row],[MODELO]])</f>
        <v>MARCA: GENERAC
 MODELO: VT8 K3</v>
      </c>
      <c r="AS907" s="85" t="str">
        <f>CONCATENATE("MARCA: ",BDEGENER[[#This Row],[MARCA DE MOTOR]],"
SERIE: ",BDEGENER[[#This Row],[SERIE DE MOTOR]])</f>
        <v>MARCA: KUBOTA
SERIE: 1GL1631</v>
      </c>
      <c r="AT907" s="85" t="str">
        <f>CONCATENATE("MARCA: ",BDEGENER[[#This Row],[MARCA ALTERNADOR ]],"
SERIE: ",BDEGENER[[#This Row],[SERIE DE ALTERNADOR]])</f>
        <v xml:space="preserve">MARCA: LINZ
SERIE: </v>
      </c>
      <c r="AU907" s="85" t="str">
        <f>CONCATENATE("HORAS: ",BDEGENER[[#This Row],[HORAS]],"
KW-HR: ",BDEGENER[[#This Row],[KW-HORA]],"
VOLT.BATERIA: ",BDEGENER[[#This Row],[VOLTAJE DE BATERIA]],"
TEMPERATURA: ",BDEGENER[[#This Row],[TEMPERATURA DE AGUA]],"
PRES. ACEITE: ",BDEGENER[[#This Row],[PRESION DE ACEITE]])</f>
        <v xml:space="preserve">HORAS: 969
KW-HR: 
VOLT.BATERIA: 
TEMPERATURA: 
PRES. ACEITE: </v>
      </c>
      <c r="AV907" s="761">
        <f>COUNTIFS(Q907:Q2907,"MANTENIMIENTO CORRECTIVO",Y907:Y2907,BDEGENER[[#This Row],[SERIE]])</f>
        <v>0</v>
      </c>
      <c r="AW907" s="761">
        <f>COUNTIFS(Q907:Q2907,"MANTENIMIENTO PREVENTIVO",Y907:Y2907,BDEGENER[[#This Row],[SERIE]])</f>
        <v>2</v>
      </c>
      <c r="AX907"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07" s="85">
        <f>COUNTIFS(BDEGENER[SERIE],BDEGENER[[#This Row],[SERIE]],BDEGENER[TIPO DE SERVICIO],"MANTENIMIENTO PREVENTIVO")</f>
        <v>4</v>
      </c>
      <c r="AZ907" s="85" t="str">
        <f>CONCATENATE("MANTENIMIENTO PREVENTIVO N°",BDEGENER[[#This Row],[GA1]])</f>
        <v>MANTENIMIENTO PREVENTIVO N°4</v>
      </c>
      <c r="BA907" s="85" t="str">
        <f>IF(BDEGENER[[#This Row],[SERVICIO]]=BDEGENER[[#This Row],[GA2]],BDEGENER[[#This Row],[HORAS]],"0")</f>
        <v>0</v>
      </c>
      <c r="BB907" s="85">
        <f>SUMIF(BDEGENER[SERIE],BDEGENER[[#This Row],[SERIE]],BDEGENER[GA3])</f>
        <v>1493</v>
      </c>
      <c r="BC907" s="761" t="str">
        <f>CONCATENATE("MANT",COUNTIF($Y$7:Y907,Y907))</f>
        <v>MANT3</v>
      </c>
      <c r="BD907" s="85" t="str">
        <f>CONCATENATE(BDEGENER[[#This Row],[SERIE]],BDEGENER[[#This Row],[GA5]])</f>
        <v>1603600MANT3</v>
      </c>
      <c r="BE907" s="85" t="str">
        <f>CONCATENATE(BDEGENER[[#This Row],[CODIGO PATRIMONIAL]],BDEGENER[[#This Row],[GA5]])</f>
        <v>MANT3</v>
      </c>
      <c r="BF907" s="85">
        <f>COUNTIF(BDEGENER[SERIE],BDEGENER[[#This Row],[SERIE]])</f>
        <v>4</v>
      </c>
      <c r="BG907" s="761" t="str">
        <f>CONCATENATE("F",COUNTIF($K$7:K907,K907))</f>
        <v>F1</v>
      </c>
      <c r="BH907" s="85" t="str">
        <f>CONCATENATE(BDEGENER[[#This Row],[FECHA DE SERVICIO]],BDEGENER[[#This Row],[N° DE REGISTROS DEL DIA]])</f>
        <v>43699F1</v>
      </c>
      <c r="BI907" s="132"/>
      <c r="BJ907" s="85" t="s">
        <v>1545</v>
      </c>
      <c r="BK907" s="326"/>
    </row>
    <row r="908" spans="2:63" ht="124.2" hidden="1" x14ac:dyDescent="0.3">
      <c r="B908" s="129"/>
      <c r="C908" s="129"/>
      <c r="D908" s="129"/>
      <c r="E908" s="129"/>
      <c r="F908" s="129"/>
      <c r="G908" s="129"/>
      <c r="H908" s="129"/>
      <c r="I908" s="129"/>
      <c r="J908" s="129"/>
      <c r="K908" s="131">
        <v>43699</v>
      </c>
      <c r="L908" s="130" t="s">
        <v>796</v>
      </c>
      <c r="M908" s="85" t="s">
        <v>796</v>
      </c>
      <c r="N908" s="85" t="s">
        <v>1083</v>
      </c>
      <c r="O908" s="85"/>
      <c r="P908" s="85"/>
      <c r="Q908" s="85" t="s">
        <v>37</v>
      </c>
      <c r="R908" s="85" t="s">
        <v>1782</v>
      </c>
      <c r="S908" s="6" t="s">
        <v>1583</v>
      </c>
      <c r="T908" s="85" t="s">
        <v>1782</v>
      </c>
      <c r="U908" s="85" t="s">
        <v>1584</v>
      </c>
      <c r="V908" s="85" t="s">
        <v>149</v>
      </c>
      <c r="W908" s="85" t="s">
        <v>915</v>
      </c>
      <c r="X908" s="85" t="s">
        <v>917</v>
      </c>
      <c r="Y908" s="15">
        <v>1603596</v>
      </c>
      <c r="Z908" s="85" t="s">
        <v>159</v>
      </c>
      <c r="AA908" s="85" t="s">
        <v>33</v>
      </c>
      <c r="AB908" s="85" t="s">
        <v>1120</v>
      </c>
      <c r="AC908" s="85" t="s">
        <v>231</v>
      </c>
      <c r="AD908" s="85"/>
      <c r="AE908" s="85"/>
      <c r="AF908" s="132">
        <v>1035</v>
      </c>
      <c r="AG908" s="85" t="s">
        <v>243</v>
      </c>
      <c r="AH908" s="85" t="s">
        <v>1578</v>
      </c>
      <c r="AI908" s="85" t="s">
        <v>868</v>
      </c>
      <c r="AJ908" s="85" t="s">
        <v>1579</v>
      </c>
      <c r="AK908" s="85" t="s">
        <v>33</v>
      </c>
      <c r="AL908" s="85" t="s">
        <v>159</v>
      </c>
      <c r="AM908" s="85"/>
      <c r="AN908" s="85"/>
      <c r="AO908" s="85"/>
      <c r="AP908" s="85" t="s">
        <v>240</v>
      </c>
      <c r="AQ908" s="85" t="str">
        <f>CONCATENATE("REG-",BDEGENER[[#This Row],[FECHA DE SERVICIO]],"-",BDEGENER[[#This Row],[SERIE]],"-",BDEGENER[[#This Row],[HORAS]])</f>
        <v>REG-43699-1603596-1035</v>
      </c>
      <c r="AR908" s="85" t="str">
        <f>CONCATENATE("MARCA: ",BDEGENER[[#This Row],[MARCA]],"
 MODELO: ",BDEGENER[[#This Row],[MODELO]])</f>
        <v>MARCA: GENERAC
 MODELO: VT8 K3</v>
      </c>
      <c r="AS908" s="85" t="str">
        <f>CONCATENATE("MARCA: ",BDEGENER[[#This Row],[MARCA DE MOTOR]],"
SERIE: ",BDEGENER[[#This Row],[SERIE DE MOTOR]])</f>
        <v>MARCA: KUBOTA
SERIE: 1GL1486</v>
      </c>
      <c r="AT908" s="85" t="str">
        <f>CONCATENATE("MARCA: ",BDEGENER[[#This Row],[MARCA ALTERNADOR ]],"
SERIE: ",BDEGENER[[#This Row],[SERIE DE ALTERNADOR]])</f>
        <v xml:space="preserve">MARCA: GENERAC
SERIE: </v>
      </c>
      <c r="AU908" s="85" t="str">
        <f>CONCATENATE("HORAS: ",BDEGENER[[#This Row],[HORAS]],"
KW-HR: ",BDEGENER[[#This Row],[KW-HORA]],"
VOLT.BATERIA: ",BDEGENER[[#This Row],[VOLTAJE DE BATERIA]],"
TEMPERATURA: ",BDEGENER[[#This Row],[TEMPERATURA DE AGUA]],"
PRES. ACEITE: ",BDEGENER[[#This Row],[PRESION DE ACEITE]])</f>
        <v xml:space="preserve">HORAS: 1035
KW-HR: 
VOLT.BATERIA: 
TEMPERATURA: 
PRES. ACEITE: </v>
      </c>
      <c r="AV908" s="683">
        <f>COUNTIFS(Q908:Q2908,"MANTENIMIENTO CORRECTIVO",Y908:Y2908,BDEGENER[[#This Row],[SERIE]])</f>
        <v>0</v>
      </c>
      <c r="AW908" s="683">
        <f>COUNTIFS(Q908:Q2908,"MANTENIMIENTO PREVENTIVO",Y908:Y2908,BDEGENER[[#This Row],[SERIE]])</f>
        <v>2</v>
      </c>
      <c r="AX908"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08" s="85">
        <f>COUNTIFS(BDEGENER[SERIE],BDEGENER[[#This Row],[SERIE]],BDEGENER[TIPO DE SERVICIO],"MANTENIMIENTO PREVENTIVO")</f>
        <v>4</v>
      </c>
      <c r="AZ908" s="85" t="str">
        <f>CONCATENATE("MANTENIMIENTO PREVENTIVO N°",BDEGENER[[#This Row],[GA1]])</f>
        <v>MANTENIMIENTO PREVENTIVO N°4</v>
      </c>
      <c r="BA908" s="85" t="str">
        <f>IF(BDEGENER[[#This Row],[SERVICIO]]=BDEGENER[[#This Row],[GA2]],BDEGENER[[#This Row],[HORAS]],"0")</f>
        <v>0</v>
      </c>
      <c r="BB908" s="85">
        <f>SUMIF(BDEGENER[SERIE],BDEGENER[[#This Row],[SERIE]],BDEGENER[GA3])</f>
        <v>1817.8</v>
      </c>
      <c r="BC908" s="683" t="str">
        <f>CONCATENATE("MANT",COUNTIF($Y$7:Y908,Y908))</f>
        <v>MANT5</v>
      </c>
      <c r="BD908" s="85" t="str">
        <f>CONCATENATE(BDEGENER[[#This Row],[SERIE]],BDEGENER[[#This Row],[GA5]])</f>
        <v>1603596MANT5</v>
      </c>
      <c r="BE908" s="85" t="str">
        <f>CONCATENATE(BDEGENER[[#This Row],[CODIGO PATRIMONIAL]],BDEGENER[[#This Row],[GA5]])</f>
        <v>MANT5</v>
      </c>
      <c r="BF908" s="85">
        <f>COUNTIF(BDEGENER[SERIE],BDEGENER[[#This Row],[SERIE]])</f>
        <v>6</v>
      </c>
      <c r="BG908" s="683" t="str">
        <f>CONCATENATE("F",COUNTIF($K$7:K908,K908))</f>
        <v>F2</v>
      </c>
      <c r="BH908" s="85" t="str">
        <f>CONCATENATE(BDEGENER[[#This Row],[FECHA DE SERVICIO]],BDEGENER[[#This Row],[N° DE REGISTROS DEL DIA]])</f>
        <v>43699F2</v>
      </c>
      <c r="BI908" s="132"/>
      <c r="BJ908" s="85" t="s">
        <v>1545</v>
      </c>
      <c r="BK908" s="326"/>
    </row>
    <row r="909" spans="2:63" ht="69" hidden="1" x14ac:dyDescent="0.3">
      <c r="B909" s="129"/>
      <c r="C909" s="129"/>
      <c r="D909" s="129"/>
      <c r="E909" s="129"/>
      <c r="F909" s="129"/>
      <c r="G909" s="129"/>
      <c r="H909" s="129"/>
      <c r="I909" s="129"/>
      <c r="J909" s="129"/>
      <c r="K909" s="131">
        <v>43699</v>
      </c>
      <c r="L909" s="130" t="s">
        <v>796</v>
      </c>
      <c r="M909" s="85" t="s">
        <v>796</v>
      </c>
      <c r="N909" s="85" t="s">
        <v>1083</v>
      </c>
      <c r="O909" s="85"/>
      <c r="P909" s="85"/>
      <c r="Q909" s="85" t="s">
        <v>37</v>
      </c>
      <c r="R909" s="85" t="s">
        <v>1782</v>
      </c>
      <c r="S909" s="6" t="s">
        <v>1573</v>
      </c>
      <c r="T909" s="85" t="s">
        <v>1782</v>
      </c>
      <c r="U909" s="85" t="s">
        <v>1574</v>
      </c>
      <c r="V909" s="85" t="s">
        <v>149</v>
      </c>
      <c r="W909" s="85" t="s">
        <v>915</v>
      </c>
      <c r="X909" s="85" t="s">
        <v>917</v>
      </c>
      <c r="Y909" s="15">
        <v>1603595</v>
      </c>
      <c r="Z909" s="85"/>
      <c r="AA909" s="85" t="s">
        <v>33</v>
      </c>
      <c r="AB909" s="85" t="s">
        <v>1120</v>
      </c>
      <c r="AC909" s="85" t="s">
        <v>231</v>
      </c>
      <c r="AD909" s="85"/>
      <c r="AE909" s="85"/>
      <c r="AF909" s="132">
        <v>975</v>
      </c>
      <c r="AG909" s="85" t="s">
        <v>243</v>
      </c>
      <c r="AH909" s="85" t="s">
        <v>1088</v>
      </c>
      <c r="AI909" s="85" t="s">
        <v>868</v>
      </c>
      <c r="AJ909" s="85" t="s">
        <v>1571</v>
      </c>
      <c r="AK909" s="85" t="s">
        <v>1572</v>
      </c>
      <c r="AL909" s="85"/>
      <c r="AM909" s="85"/>
      <c r="AN909" s="85"/>
      <c r="AO909" s="85"/>
      <c r="AP909" s="85" t="s">
        <v>240</v>
      </c>
      <c r="AQ909" s="85" t="str">
        <f>CONCATENATE("REG-",BDEGENER[[#This Row],[FECHA DE SERVICIO]],"-",BDEGENER[[#This Row],[SERIE]],"-",BDEGENER[[#This Row],[HORAS]])</f>
        <v>REG-43699-1603595-975</v>
      </c>
      <c r="AR909" s="85" t="str">
        <f>CONCATENATE("MARCA: ",BDEGENER[[#This Row],[MARCA]],"
 MODELO: ",BDEGENER[[#This Row],[MODELO]])</f>
        <v>MARCA: GENERAC
 MODELO: VT8 K3</v>
      </c>
      <c r="AS909" s="85" t="str">
        <f>CONCATENATE("MARCA: ",BDEGENER[[#This Row],[MARCA DE MOTOR]],"
SERIE: ",BDEGENER[[#This Row],[SERIE DE MOTOR]])</f>
        <v>MARCA: KUBOTA
SERIE: 1GL0885</v>
      </c>
      <c r="AT909" s="85" t="str">
        <f>CONCATENATE("MARCA: ",BDEGENER[[#This Row],[MARCA ALTERNADOR ]],"
SERIE: ",BDEGENER[[#This Row],[SERIE DE ALTERNADOR]])</f>
        <v xml:space="preserve">MARCA: LINZ
SERIE: </v>
      </c>
      <c r="AU909" s="85" t="str">
        <f>CONCATENATE("HORAS: ",BDEGENER[[#This Row],[HORAS]],"
KW-HR: ",BDEGENER[[#This Row],[KW-HORA]],"
VOLT.BATERIA: ",BDEGENER[[#This Row],[VOLTAJE DE BATERIA]],"
TEMPERATURA: ",BDEGENER[[#This Row],[TEMPERATURA DE AGUA]],"
PRES. ACEITE: ",BDEGENER[[#This Row],[PRESION DE ACEITE]])</f>
        <v xml:space="preserve">HORAS: 975
KW-HR: 
VOLT.BATERIA: 
TEMPERATURA: 
PRES. ACEITE: </v>
      </c>
      <c r="AV909" s="683">
        <f>COUNTIFS(Q909:Q2909,"MANTENIMIENTO CORRECTIVO",Y909:Y2909,BDEGENER[[#This Row],[SERIE]])</f>
        <v>1</v>
      </c>
      <c r="AW909" s="683">
        <f>COUNTIFS(Q909:Q2909,"MANTENIMIENTO PREVENTIVO",Y909:Y2909,BDEGENER[[#This Row],[SERIE]])</f>
        <v>2</v>
      </c>
      <c r="AX90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09" s="85">
        <f>COUNTIFS(BDEGENER[SERIE],BDEGENER[[#This Row],[SERIE]],BDEGENER[TIPO DE SERVICIO],"MANTENIMIENTO PREVENTIVO")</f>
        <v>3</v>
      </c>
      <c r="AZ909" s="85" t="str">
        <f>CONCATENATE("MANTENIMIENTO PREVENTIVO N°",BDEGENER[[#This Row],[GA1]])</f>
        <v>MANTENIMIENTO PREVENTIVO N°3</v>
      </c>
      <c r="BA909" s="85" t="str">
        <f>IF(BDEGENER[[#This Row],[SERVICIO]]=BDEGENER[[#This Row],[GA2]],BDEGENER[[#This Row],[HORAS]],"0")</f>
        <v>0</v>
      </c>
      <c r="BB909" s="85">
        <f>SUMIF(BDEGENER[SERIE],BDEGENER[[#This Row],[SERIE]],BDEGENER[GA3])</f>
        <v>1242</v>
      </c>
      <c r="BC909" s="683" t="str">
        <f>CONCATENATE("MANT",COUNTIF($Y$7:Y909,Y909))</f>
        <v>MANT2</v>
      </c>
      <c r="BD909" s="85" t="str">
        <f>CONCATENATE(BDEGENER[[#This Row],[SERIE]],BDEGENER[[#This Row],[GA5]])</f>
        <v>1603595MANT2</v>
      </c>
      <c r="BE909" s="85" t="str">
        <f>CONCATENATE(BDEGENER[[#This Row],[CODIGO PATRIMONIAL]],BDEGENER[[#This Row],[GA5]])</f>
        <v>MANT2</v>
      </c>
      <c r="BF909" s="85">
        <f>COUNTIF(BDEGENER[SERIE],BDEGENER[[#This Row],[SERIE]])</f>
        <v>4</v>
      </c>
      <c r="BG909" s="683" t="str">
        <f>CONCATENATE("F",COUNTIF($K$7:K909,K909))</f>
        <v>F3</v>
      </c>
      <c r="BH909" s="85" t="str">
        <f>CONCATENATE(BDEGENER[[#This Row],[FECHA DE SERVICIO]],BDEGENER[[#This Row],[N° DE REGISTROS DEL DIA]])</f>
        <v>43699F3</v>
      </c>
      <c r="BI909" s="132"/>
      <c r="BJ909" s="85" t="s">
        <v>1545</v>
      </c>
      <c r="BK909" s="326"/>
    </row>
    <row r="910" spans="2:63" ht="69" hidden="1" x14ac:dyDescent="0.3">
      <c r="B910" s="33"/>
      <c r="C910" s="33"/>
      <c r="D910" s="33"/>
      <c r="E910" s="33"/>
      <c r="F910" s="33"/>
      <c r="G910" s="33"/>
      <c r="H910" s="33"/>
      <c r="I910" s="33"/>
      <c r="J910" s="33"/>
      <c r="K910" s="38">
        <v>43696</v>
      </c>
      <c r="L910" s="18" t="s">
        <v>248</v>
      </c>
      <c r="M910" s="23" t="s">
        <v>265</v>
      </c>
      <c r="N910" s="23" t="s">
        <v>266</v>
      </c>
      <c r="O910" s="23"/>
      <c r="P910" s="21"/>
      <c r="Q910" s="22" t="s">
        <v>37</v>
      </c>
      <c r="R910" s="85" t="s">
        <v>1782</v>
      </c>
      <c r="S910" s="25" t="s">
        <v>1421</v>
      </c>
      <c r="T910" s="85" t="s">
        <v>1782</v>
      </c>
      <c r="U910" s="25" t="s">
        <v>1422</v>
      </c>
      <c r="V910" s="25" t="s">
        <v>146</v>
      </c>
      <c r="W910" s="23" t="s">
        <v>911</v>
      </c>
      <c r="X910" s="23" t="s">
        <v>917</v>
      </c>
      <c r="Y910" s="31">
        <v>3003932010</v>
      </c>
      <c r="Z910" s="16">
        <v>23877</v>
      </c>
      <c r="AA910" s="16" t="s">
        <v>33</v>
      </c>
      <c r="AB910" s="16" t="s">
        <v>1205</v>
      </c>
      <c r="AC910" s="23" t="s">
        <v>529</v>
      </c>
      <c r="AD910" s="16"/>
      <c r="AE910" s="16"/>
      <c r="AF910" s="27">
        <v>12.4</v>
      </c>
      <c r="AG910" s="16"/>
      <c r="AH910" s="16"/>
      <c r="AI910" s="16" t="s">
        <v>523</v>
      </c>
      <c r="AJ910" s="16">
        <v>5223</v>
      </c>
      <c r="AK910" s="16"/>
      <c r="AL910" s="16"/>
      <c r="AM910" s="16"/>
      <c r="AN910" s="16"/>
      <c r="AO910" s="16"/>
      <c r="AP910" s="22" t="s">
        <v>240</v>
      </c>
      <c r="AQ910" s="6" t="str">
        <f>CONCATENATE("REG-",BDEGENER[[#This Row],[FECHA DE SERVICIO]],"-",BDEGENER[[#This Row],[SERIE]],"-",BDEGENER[[#This Row],[HORAS]])</f>
        <v>REG-43696-3003932010-12,4</v>
      </c>
      <c r="AR910" s="5" t="str">
        <f>CONCATENATE("MARCA: ",BDEGENER[[#This Row],[MARCA]],"
 MODELO: ",BDEGENER[[#This Row],[MODELO]])</f>
        <v>MARCA: GENERAC
 MODELO: XD5000E</v>
      </c>
      <c r="AS910" s="5" t="str">
        <f>CONCATENATE("MARCA: ",BDEGENER[[#This Row],[MARCA DE MOTOR]],"
SERIE: ",BDEGENER[[#This Row],[SERIE DE MOTOR]])</f>
        <v>MARCA: YANMAR
SERIE: 5223</v>
      </c>
      <c r="AT910" s="5" t="str">
        <f>CONCATENATE("MARCA: ",BDEGENER[[#This Row],[MARCA ALTERNADOR ]],"
SERIE: ",BDEGENER[[#This Row],[SERIE DE ALTERNADOR]])</f>
        <v xml:space="preserve">MARCA: 
SERIE: </v>
      </c>
      <c r="AU910" s="5" t="str">
        <f>CONCATENATE("HORAS: ",BDEGENER[[#This Row],[HORAS]],"
KW-HR: ",BDEGENER[[#This Row],[KW-HORA]],"
VOLT.BATERIA: ",BDEGENER[[#This Row],[VOLTAJE DE BATERIA]],"
TEMPERATURA: ",BDEGENER[[#This Row],[TEMPERATURA DE AGUA]],"
PRES. ACEITE: ",BDEGENER[[#This Row],[PRESION DE ACEITE]])</f>
        <v xml:space="preserve">HORAS: 12,4
KW-HR: 
VOLT.BATERIA: 
TEMPERATURA: 
PRES. ACEITE: </v>
      </c>
      <c r="AV910" s="761">
        <f>COUNTIFS(Q910:Q2910,"MANTENIMIENTO CORRECTIVO",Y910:Y2910,BDEGENER[[#This Row],[SERIE]])</f>
        <v>0</v>
      </c>
      <c r="AW910" s="761">
        <f>COUNTIFS(Q910:Q2910,"MANTENIMIENTO PREVENTIVO",Y910:Y2910,BDEGENER[[#This Row],[SERIE]])</f>
        <v>1</v>
      </c>
      <c r="AX91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10" s="29">
        <f>COUNTIFS(BDEGENER[SERIE],BDEGENER[[#This Row],[SERIE]],BDEGENER[TIPO DE SERVICIO],"MANTENIMIENTO PREVENTIVO")</f>
        <v>2</v>
      </c>
      <c r="AZ910" s="29" t="str">
        <f>CONCATENATE("MANTENIMIENTO PREVENTIVO N°",BDEGENER[[#This Row],[GA1]])</f>
        <v>MANTENIMIENTO PREVENTIVO N°2</v>
      </c>
      <c r="BA910" s="325" t="str">
        <f>IF(BDEGENER[[#This Row],[SERVICIO]]=BDEGENER[[#This Row],[GA2]],BDEGENER[[#This Row],[HORAS]],"0")</f>
        <v>0</v>
      </c>
      <c r="BB910" s="325">
        <f>SUMIF(BDEGENER[SERIE],BDEGENER[[#This Row],[SERIE]],BDEGENER[GA3])</f>
        <v>218.3</v>
      </c>
      <c r="BC910" s="761" t="str">
        <f>CONCATENATE("MANT",COUNTIF($Y$7:Y910,Y910))</f>
        <v>MANT3</v>
      </c>
      <c r="BD910" s="29" t="str">
        <f>CONCATENATE(BDEGENER[[#This Row],[SERIE]],BDEGENER[[#This Row],[GA5]])</f>
        <v>3003932010MANT3</v>
      </c>
      <c r="BE910" s="29" t="str">
        <f>CONCATENATE(BDEGENER[[#This Row],[CODIGO PATRIMONIAL]],BDEGENER[[#This Row],[GA5]])</f>
        <v>23877MANT3</v>
      </c>
      <c r="BF910" s="16">
        <f>COUNTIF(BDEGENER[SERIE],BDEGENER[[#This Row],[SERIE]])</f>
        <v>3</v>
      </c>
      <c r="BG910" s="761" t="str">
        <f>CONCATENATE("F",COUNTIF($K$7:K910,K910))</f>
        <v>F1</v>
      </c>
      <c r="BH910" s="325" t="str">
        <f>CONCATENATE(BDEGENER[[#This Row],[FECHA DE SERVICIO]],BDEGENER[[#This Row],[N° DE REGISTROS DEL DIA]])</f>
        <v>43696F1</v>
      </c>
      <c r="BI910" s="324"/>
      <c r="BJ910" s="325"/>
      <c r="BK910" s="326"/>
    </row>
    <row r="911" spans="2:63" ht="69" hidden="1" x14ac:dyDescent="0.3">
      <c r="B911" s="34"/>
      <c r="C911" s="34"/>
      <c r="D911" s="34"/>
      <c r="E911" s="34"/>
      <c r="F911" s="34"/>
      <c r="G911" s="34"/>
      <c r="H911" s="34"/>
      <c r="I911" s="34"/>
      <c r="J911" s="34"/>
      <c r="K911" s="37">
        <v>43692</v>
      </c>
      <c r="L911" s="30" t="s">
        <v>561</v>
      </c>
      <c r="M911" s="19" t="s">
        <v>567</v>
      </c>
      <c r="N911" s="19" t="s">
        <v>568</v>
      </c>
      <c r="O911" s="19"/>
      <c r="P911" s="19"/>
      <c r="Q911" s="19" t="s">
        <v>107</v>
      </c>
      <c r="R911" s="85" t="s">
        <v>1782</v>
      </c>
      <c r="S911" s="19" t="s">
        <v>615</v>
      </c>
      <c r="T911" s="85" t="s">
        <v>1782</v>
      </c>
      <c r="U911" s="19" t="s">
        <v>687</v>
      </c>
      <c r="V911" s="19" t="s">
        <v>146</v>
      </c>
      <c r="W911" s="85" t="s">
        <v>914</v>
      </c>
      <c r="X911" s="85" t="s">
        <v>918</v>
      </c>
      <c r="Y911" s="31">
        <v>3003962766</v>
      </c>
      <c r="Z911" s="85" t="s">
        <v>2602</v>
      </c>
      <c r="AA911" s="85" t="s">
        <v>33</v>
      </c>
      <c r="AB911" s="85" t="s">
        <v>34</v>
      </c>
      <c r="AC911" s="19" t="s">
        <v>230</v>
      </c>
      <c r="AD911" s="16"/>
      <c r="AE911" s="16"/>
      <c r="AF911" s="146">
        <v>130.19999999999999</v>
      </c>
      <c r="AG911" s="16"/>
      <c r="AH911" s="16"/>
      <c r="AI911" s="16"/>
      <c r="AJ911" s="16"/>
      <c r="AK911" s="16"/>
      <c r="AL911" s="16"/>
      <c r="AM911" s="16"/>
      <c r="AN911" s="16"/>
      <c r="AO911" s="16"/>
      <c r="AP911" s="19" t="s">
        <v>240</v>
      </c>
      <c r="AQ911" s="6" t="str">
        <f>CONCATENATE("REG-",BDEGENER[[#This Row],[FECHA DE SERVICIO]],"-",BDEGENER[[#This Row],[SERIE]],"-",BDEGENER[[#This Row],[HORAS]])</f>
        <v>REG-43692-3003962766-130,2</v>
      </c>
      <c r="AR911" s="5" t="str">
        <f>CONCATENATE("MARCA: ",BDEGENER[[#This Row],[MARCA]],"
 MODELO: ",BDEGENER[[#This Row],[MODELO]])</f>
        <v>MARCA: GENERAC
 MODELO: PG090</v>
      </c>
      <c r="AS911" s="5" t="str">
        <f>CONCATENATE("MARCA: ",BDEGENER[[#This Row],[MARCA DE MOTOR]],"
SERIE: ",BDEGENER[[#This Row],[SERIE DE MOTOR]])</f>
        <v xml:space="preserve">MARCA: 
SERIE: </v>
      </c>
      <c r="AT911" s="5" t="str">
        <f>CONCATENATE("MARCA: ",BDEGENER[[#This Row],[MARCA ALTERNADOR ]],"
SERIE: ",BDEGENER[[#This Row],[SERIE DE ALTERNADOR]])</f>
        <v xml:space="preserve">MARCA: 
SERIE: </v>
      </c>
      <c r="AU911" s="29" t="str">
        <f>CONCATENATE("HORAS: ",BDEGENER[[#This Row],[HORAS]],"
KW-HR: ",BDEGENER[[#This Row],[KW-HORA]],"
VOLT.BATERIA: ",BDEGENER[[#This Row],[VOLTAJE DE BATERIA]],"
TEMPERATURA: ",BDEGENER[[#This Row],[TEMPERATURA DE AGUA]],"
PRES. ACEITE: ",BDEGENER[[#This Row],[PRESION DE ACEITE]])</f>
        <v xml:space="preserve">HORAS: 130,2
KW-HR: 
VOLT.BATERIA: 
TEMPERATURA: 
PRES. ACEITE: </v>
      </c>
      <c r="AV911" s="683">
        <f>COUNTIFS(Q911:Q2911,"MANTENIMIENTO CORRECTIVO",Y911:Y2911,BDEGENER[[#This Row],[SERIE]])</f>
        <v>1</v>
      </c>
      <c r="AW911" s="683">
        <f>COUNTIFS(Q911:Q2911,"MANTENIMIENTO PREVENTIVO",Y911:Y2911,BDEGENER[[#This Row],[SERIE]])</f>
        <v>1</v>
      </c>
      <c r="AX91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911" s="29">
        <f>COUNTIFS(BDEGENER[SERIE],BDEGENER[[#This Row],[SERIE]],BDEGENER[TIPO DE SERVICIO],"MANTENIMIENTO PREVENTIVO")</f>
        <v>9</v>
      </c>
      <c r="AZ911" s="29" t="str">
        <f>CONCATENATE("MANTENIMIENTO PREVENTIVO N°",BDEGENER[[#This Row],[GA1]])</f>
        <v>MANTENIMIENTO PREVENTIVO N°9</v>
      </c>
      <c r="BA911" s="325" t="str">
        <f>IF(BDEGENER[[#This Row],[SERVICIO]]=BDEGENER[[#This Row],[GA2]],BDEGENER[[#This Row],[HORAS]],"0")</f>
        <v>0</v>
      </c>
      <c r="BB911" s="325">
        <f>SUMIF(BDEGENER[SERIE],BDEGENER[[#This Row],[SERIE]],BDEGENER[GA3])</f>
        <v>4662.2</v>
      </c>
      <c r="BC911" s="683" t="str">
        <f>CONCATENATE("MANT",COUNTIF($Y$7:Y911,Y911))</f>
        <v>MANT14</v>
      </c>
      <c r="BD911" s="29" t="str">
        <f>CONCATENATE(BDEGENER[[#This Row],[SERIE]],BDEGENER[[#This Row],[GA5]])</f>
        <v>3003962766MANT14</v>
      </c>
      <c r="BE911" s="29" t="str">
        <f>CONCATENATE(BDEGENER[[#This Row],[CODIGO PATRIMONIAL]],BDEGENER[[#This Row],[GA5]])</f>
        <v>SUR-GEG-0006MANT14</v>
      </c>
      <c r="BF911" s="16">
        <f>COUNTIF(BDEGENER[SERIE],BDEGENER[[#This Row],[SERIE]])</f>
        <v>16</v>
      </c>
      <c r="BG911" s="683" t="str">
        <f>CONCATENATE("F",COUNTIF($K$7:K911,K911))</f>
        <v>F1</v>
      </c>
      <c r="BH911" s="325" t="str">
        <f>CONCATENATE(BDEGENER[[#This Row],[FECHA DE SERVICIO]],BDEGENER[[#This Row],[N° DE REGISTROS DEL DIA]])</f>
        <v>43692F1</v>
      </c>
      <c r="BI911" s="324"/>
      <c r="BJ911" s="325"/>
      <c r="BK911" s="326"/>
    </row>
    <row r="912" spans="2:63" ht="69" hidden="1" x14ac:dyDescent="0.3">
      <c r="B912" s="34"/>
      <c r="C912" s="34"/>
      <c r="D912" s="34"/>
      <c r="E912" s="34"/>
      <c r="F912" s="34"/>
      <c r="G912" s="34"/>
      <c r="H912" s="34"/>
      <c r="I912" s="34"/>
      <c r="J912" s="34"/>
      <c r="K912" s="37">
        <v>43690</v>
      </c>
      <c r="L912" s="30" t="s">
        <v>561</v>
      </c>
      <c r="M912" s="19" t="s">
        <v>2445</v>
      </c>
      <c r="N912" s="19" t="s">
        <v>579</v>
      </c>
      <c r="O912" s="19"/>
      <c r="P912" s="19"/>
      <c r="Q912" s="19" t="s">
        <v>107</v>
      </c>
      <c r="R912" s="85" t="s">
        <v>1782</v>
      </c>
      <c r="S912" s="19" t="s">
        <v>616</v>
      </c>
      <c r="T912" s="85" t="s">
        <v>1782</v>
      </c>
      <c r="U912" s="19" t="s">
        <v>688</v>
      </c>
      <c r="V912" s="19" t="s">
        <v>146</v>
      </c>
      <c r="W912" s="19"/>
      <c r="X912" s="19"/>
      <c r="Y912" s="31">
        <v>3003415539</v>
      </c>
      <c r="Z912" s="692" t="s">
        <v>2600</v>
      </c>
      <c r="AA912" s="740" t="s">
        <v>33</v>
      </c>
      <c r="AB912" s="19" t="s">
        <v>217</v>
      </c>
      <c r="AC912" s="19" t="s">
        <v>749</v>
      </c>
      <c r="AD912" s="16"/>
      <c r="AE912" s="16"/>
      <c r="AF912" s="146">
        <v>2714.1</v>
      </c>
      <c r="AG912" s="16"/>
      <c r="AH912" s="16"/>
      <c r="AI912" s="16"/>
      <c r="AJ912" s="16"/>
      <c r="AK912" s="16"/>
      <c r="AL912" s="16"/>
      <c r="AM912" s="16"/>
      <c r="AN912" s="16"/>
      <c r="AO912" s="16"/>
      <c r="AP912" s="19" t="s">
        <v>240</v>
      </c>
      <c r="AQ912" s="6" t="str">
        <f>CONCATENATE("REG-",BDEGENER[[#This Row],[FECHA DE SERVICIO]],"-",BDEGENER[[#This Row],[SERIE]],"-",BDEGENER[[#This Row],[HORAS]])</f>
        <v>REG-43690-3003415539-2714,1</v>
      </c>
      <c r="AR912" s="5" t="str">
        <f>CONCATENATE("MARCA: ",BDEGENER[[#This Row],[MARCA]],"
 MODELO: ",BDEGENER[[#This Row],[MODELO]])</f>
        <v>MARCA: GENERAC
 MODELO: RG022</v>
      </c>
      <c r="AS912" s="5" t="str">
        <f>CONCATENATE("MARCA: ",BDEGENER[[#This Row],[MARCA DE MOTOR]],"
SERIE: ",BDEGENER[[#This Row],[SERIE DE MOTOR]])</f>
        <v xml:space="preserve">MARCA: 
SERIE: </v>
      </c>
      <c r="AT912" s="5" t="str">
        <f>CONCATENATE("MARCA: ",BDEGENER[[#This Row],[MARCA ALTERNADOR ]],"
SERIE: ",BDEGENER[[#This Row],[SERIE DE ALTERNADOR]])</f>
        <v xml:space="preserve">MARCA: 
SERIE: </v>
      </c>
      <c r="AU912" s="29" t="str">
        <f>CONCATENATE("HORAS: ",BDEGENER[[#This Row],[HORAS]],"
KW-HR: ",BDEGENER[[#This Row],[KW-HORA]],"
VOLT.BATERIA: ",BDEGENER[[#This Row],[VOLTAJE DE BATERIA]],"
TEMPERATURA: ",BDEGENER[[#This Row],[TEMPERATURA DE AGUA]],"
PRES. ACEITE: ",BDEGENER[[#This Row],[PRESION DE ACEITE]])</f>
        <v xml:space="preserve">HORAS: 2714,1
KW-HR: 
VOLT.BATERIA: 
TEMPERATURA: 
PRES. ACEITE: </v>
      </c>
      <c r="AV912" s="683">
        <f>COUNTIFS(Q912:Q2912,"MANTENIMIENTO CORRECTIVO",Y912:Y2912,BDEGENER[[#This Row],[SERIE]])</f>
        <v>1</v>
      </c>
      <c r="AW912" s="683">
        <f>COUNTIFS(Q912:Q2912,"MANTENIMIENTO PREVENTIVO",Y912:Y2912,BDEGENER[[#This Row],[SERIE]])</f>
        <v>6</v>
      </c>
      <c r="AX91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912" s="29">
        <f>COUNTIFS(BDEGENER[SERIE],BDEGENER[[#This Row],[SERIE]],BDEGENER[TIPO DE SERVICIO],"MANTENIMIENTO PREVENTIVO")</f>
        <v>11</v>
      </c>
      <c r="AZ912" s="29" t="str">
        <f>CONCATENATE("MANTENIMIENTO PREVENTIVO N°",BDEGENER[[#This Row],[GA1]])</f>
        <v>MANTENIMIENTO PREVENTIVO N°11</v>
      </c>
      <c r="BA912" s="325" t="str">
        <f>IF(BDEGENER[[#This Row],[SERVICIO]]=BDEGENER[[#This Row],[GA2]],BDEGENER[[#This Row],[HORAS]],"0")</f>
        <v>0</v>
      </c>
      <c r="BB912" s="325">
        <f>SUMIF(BDEGENER[SERIE],BDEGENER[[#This Row],[SERIE]],BDEGENER[GA3])</f>
        <v>5881.6</v>
      </c>
      <c r="BC912" s="683" t="str">
        <f>CONCATENATE("MANT",COUNTIF($Y$7:Y912,Y912))</f>
        <v>MANT10</v>
      </c>
      <c r="BD912" s="29" t="str">
        <f>CONCATENATE(BDEGENER[[#This Row],[SERIE]],BDEGENER[[#This Row],[GA5]])</f>
        <v>3003415539MANT10</v>
      </c>
      <c r="BE912" s="29" t="str">
        <f>CONCATENATE(BDEGENER[[#This Row],[CODIGO PATRIMONIAL]],BDEGENER[[#This Row],[GA5]])</f>
        <v>SUR-GEG-0004MANT10</v>
      </c>
      <c r="BF912" s="16">
        <f>COUNTIF(BDEGENER[SERIE],BDEGENER[[#This Row],[SERIE]])</f>
        <v>16</v>
      </c>
      <c r="BG912" s="683" t="str">
        <f>CONCATENATE("F",COUNTIF($K$7:K912,K912))</f>
        <v>F1</v>
      </c>
      <c r="BH912" s="325" t="str">
        <f>CONCATENATE(BDEGENER[[#This Row],[FECHA DE SERVICIO]],BDEGENER[[#This Row],[N° DE REGISTROS DEL DIA]])</f>
        <v>43690F1</v>
      </c>
      <c r="BI912" s="324"/>
      <c r="BJ912" s="325"/>
      <c r="BK912" s="326"/>
    </row>
    <row r="913" spans="2:63" ht="69" hidden="1" x14ac:dyDescent="0.3">
      <c r="B913" s="34"/>
      <c r="C913" s="34"/>
      <c r="D913" s="34"/>
      <c r="E913" s="34"/>
      <c r="F913" s="34"/>
      <c r="G913" s="34"/>
      <c r="H913" s="34"/>
      <c r="I913" s="34"/>
      <c r="J913" s="34"/>
      <c r="K913" s="37">
        <v>43689</v>
      </c>
      <c r="L913" s="30" t="s">
        <v>561</v>
      </c>
      <c r="M913" s="85" t="s">
        <v>2480</v>
      </c>
      <c r="N913" s="85" t="s">
        <v>2481</v>
      </c>
      <c r="O913" s="19"/>
      <c r="P913" s="19"/>
      <c r="Q913" s="19" t="s">
        <v>37</v>
      </c>
      <c r="R913" s="85" t="s">
        <v>1782</v>
      </c>
      <c r="S913" s="19" t="s">
        <v>617</v>
      </c>
      <c r="T913" s="85" t="s">
        <v>1782</v>
      </c>
      <c r="U913" s="19" t="s">
        <v>689</v>
      </c>
      <c r="V913" s="19" t="s">
        <v>149</v>
      </c>
      <c r="W913" s="85" t="s">
        <v>913</v>
      </c>
      <c r="X913" s="85" t="s">
        <v>918</v>
      </c>
      <c r="Y913" s="31">
        <v>3004597773</v>
      </c>
      <c r="Z913" s="692" t="s">
        <v>2609</v>
      </c>
      <c r="AA913" s="19" t="s">
        <v>33</v>
      </c>
      <c r="AB913" s="19" t="s">
        <v>217</v>
      </c>
      <c r="AC913" s="19" t="s">
        <v>749</v>
      </c>
      <c r="AD913" s="16"/>
      <c r="AE913" s="16"/>
      <c r="AF913" s="146">
        <v>65</v>
      </c>
      <c r="AG913" s="16"/>
      <c r="AH913" s="16"/>
      <c r="AI913" s="16"/>
      <c r="AJ913" s="16"/>
      <c r="AK913" s="16"/>
      <c r="AL913" s="16"/>
      <c r="AM913" s="16"/>
      <c r="AN913" s="16"/>
      <c r="AO913" s="16"/>
      <c r="AP913" s="19" t="s">
        <v>240</v>
      </c>
      <c r="AQ913" s="6" t="str">
        <f>CONCATENATE("REG-",BDEGENER[[#This Row],[FECHA DE SERVICIO]],"-",BDEGENER[[#This Row],[SERIE]],"-",BDEGENER[[#This Row],[HORAS]])</f>
        <v>REG-43689-3004597773-65</v>
      </c>
      <c r="AR913" s="5" t="str">
        <f>CONCATENATE("MARCA: ",BDEGENER[[#This Row],[MARCA]],"
 MODELO: ",BDEGENER[[#This Row],[MODELO]])</f>
        <v>MARCA: GENERAC
 MODELO: RG022</v>
      </c>
      <c r="AS913" s="5" t="str">
        <f>CONCATENATE("MARCA: ",BDEGENER[[#This Row],[MARCA DE MOTOR]],"
SERIE: ",BDEGENER[[#This Row],[SERIE DE MOTOR]])</f>
        <v xml:space="preserve">MARCA: 
SERIE: </v>
      </c>
      <c r="AT913" s="5" t="str">
        <f>CONCATENATE("MARCA: ",BDEGENER[[#This Row],[MARCA ALTERNADOR ]],"
SERIE: ",BDEGENER[[#This Row],[SERIE DE ALTERNADOR]])</f>
        <v xml:space="preserve">MARCA: 
SERIE: </v>
      </c>
      <c r="AU913" s="29" t="str">
        <f>CONCATENATE("HORAS: ",BDEGENER[[#This Row],[HORAS]],"
KW-HR: ",BDEGENER[[#This Row],[KW-HORA]],"
VOLT.BATERIA: ",BDEGENER[[#This Row],[VOLTAJE DE BATERIA]],"
TEMPERATURA: ",BDEGENER[[#This Row],[TEMPERATURA DE AGUA]],"
PRES. ACEITE: ",BDEGENER[[#This Row],[PRESION DE ACEITE]])</f>
        <v xml:space="preserve">HORAS: 65
KW-HR: 
VOLT.BATERIA: 
TEMPERATURA: 
PRES. ACEITE: </v>
      </c>
      <c r="AV913" s="761">
        <f>COUNTIFS(Q913:Q2913,"MANTENIMIENTO CORRECTIVO",Y913:Y2913,BDEGENER[[#This Row],[SERIE]])</f>
        <v>0</v>
      </c>
      <c r="AW913" s="761">
        <f>COUNTIFS(Q913:Q2913,"MANTENIMIENTO PREVENTIVO",Y913:Y2913,BDEGENER[[#This Row],[SERIE]])</f>
        <v>2</v>
      </c>
      <c r="AX91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13" s="29">
        <f>COUNTIFS(BDEGENER[SERIE],BDEGENER[[#This Row],[SERIE]],BDEGENER[TIPO DE SERVICIO],"MANTENIMIENTO PREVENTIVO")</f>
        <v>9</v>
      </c>
      <c r="AZ913" s="29" t="str">
        <f>CONCATENATE("MANTENIMIENTO PREVENTIVO N°",BDEGENER[[#This Row],[GA1]])</f>
        <v>MANTENIMIENTO PREVENTIVO N°9</v>
      </c>
      <c r="BA913" s="325" t="str">
        <f>IF(BDEGENER[[#This Row],[SERVICIO]]=BDEGENER[[#This Row],[GA2]],BDEGENER[[#This Row],[HORAS]],"0")</f>
        <v>0</v>
      </c>
      <c r="BB913" s="325">
        <f>SUMIF(BDEGENER[SERIE],BDEGENER[[#This Row],[SERIE]],BDEGENER[GA3])</f>
        <v>3087.7</v>
      </c>
      <c r="BC913" s="761" t="str">
        <f>CONCATENATE("MANT",COUNTIF($Y$7:Y913,Y913))</f>
        <v>MANT9</v>
      </c>
      <c r="BD913" s="29" t="str">
        <f>CONCATENATE(BDEGENER[[#This Row],[SERIE]],BDEGENER[[#This Row],[GA5]])</f>
        <v>3004597773MANT9</v>
      </c>
      <c r="BE913" s="29" t="str">
        <f>CONCATENATE(BDEGENER[[#This Row],[CODIGO PATRIMONIAL]],BDEGENER[[#This Row],[GA5]])</f>
        <v>SUR-GEG-0013MANT9</v>
      </c>
      <c r="BF913" s="16">
        <f>COUNTIF(BDEGENER[SERIE],BDEGENER[[#This Row],[SERIE]])</f>
        <v>11</v>
      </c>
      <c r="BG913" s="761" t="str">
        <f>CONCATENATE("F",COUNTIF($K$7:K913,K913))</f>
        <v>F1</v>
      </c>
      <c r="BH913" s="325" t="str">
        <f>CONCATENATE(BDEGENER[[#This Row],[FECHA DE SERVICIO]],BDEGENER[[#This Row],[N° DE REGISTROS DEL DIA]])</f>
        <v>43689F1</v>
      </c>
      <c r="BI913" s="324"/>
      <c r="BJ913" s="325"/>
      <c r="BK913" s="326"/>
    </row>
    <row r="914" spans="2:63" ht="69" hidden="1" x14ac:dyDescent="0.3">
      <c r="B914" s="34"/>
      <c r="C914" s="34"/>
      <c r="D914" s="34"/>
      <c r="E914" s="34"/>
      <c r="F914" s="34"/>
      <c r="G914" s="34"/>
      <c r="H914" s="34"/>
      <c r="I914" s="34"/>
      <c r="J914" s="34"/>
      <c r="K914" s="37">
        <v>43689</v>
      </c>
      <c r="L914" s="30" t="s">
        <v>561</v>
      </c>
      <c r="M914" s="740" t="s">
        <v>2445</v>
      </c>
      <c r="N914" s="740" t="s">
        <v>579</v>
      </c>
      <c r="O914" s="19"/>
      <c r="P914" s="19"/>
      <c r="Q914" s="19" t="s">
        <v>37</v>
      </c>
      <c r="R914" s="85" t="s">
        <v>1782</v>
      </c>
      <c r="S914" s="19" t="s">
        <v>42</v>
      </c>
      <c r="T914" s="85" t="s">
        <v>1782</v>
      </c>
      <c r="U914" s="19" t="s">
        <v>690</v>
      </c>
      <c r="V914" s="19" t="s">
        <v>149</v>
      </c>
      <c r="W914" s="19"/>
      <c r="X914" s="19"/>
      <c r="Y914" s="31">
        <v>3003415539</v>
      </c>
      <c r="Z914" s="692" t="s">
        <v>2600</v>
      </c>
      <c r="AA914" s="19" t="s">
        <v>33</v>
      </c>
      <c r="AB914" s="19" t="s">
        <v>217</v>
      </c>
      <c r="AC914" s="19" t="s">
        <v>749</v>
      </c>
      <c r="AD914" s="16"/>
      <c r="AE914" s="16"/>
      <c r="AF914" s="146">
        <v>2700</v>
      </c>
      <c r="AG914" s="16"/>
      <c r="AH914" s="16"/>
      <c r="AI914" s="16"/>
      <c r="AJ914" s="16"/>
      <c r="AK914" s="16"/>
      <c r="AL914" s="16"/>
      <c r="AM914" s="16"/>
      <c r="AN914" s="16"/>
      <c r="AO914" s="16"/>
      <c r="AP914" s="19" t="s">
        <v>240</v>
      </c>
      <c r="AQ914" s="6" t="str">
        <f>CONCATENATE("REG-",BDEGENER[[#This Row],[FECHA DE SERVICIO]],"-",BDEGENER[[#This Row],[SERIE]],"-",BDEGENER[[#This Row],[HORAS]])</f>
        <v>REG-43689-3003415539-2700</v>
      </c>
      <c r="AR914" s="5" t="str">
        <f>CONCATENATE("MARCA: ",BDEGENER[[#This Row],[MARCA]],"
 MODELO: ",BDEGENER[[#This Row],[MODELO]])</f>
        <v>MARCA: GENERAC
 MODELO: RG022</v>
      </c>
      <c r="AS914" s="5" t="str">
        <f>CONCATENATE("MARCA: ",BDEGENER[[#This Row],[MARCA DE MOTOR]],"
SERIE: ",BDEGENER[[#This Row],[SERIE DE MOTOR]])</f>
        <v xml:space="preserve">MARCA: 
SERIE: </v>
      </c>
      <c r="AT914" s="5" t="str">
        <f>CONCATENATE("MARCA: ",BDEGENER[[#This Row],[MARCA ALTERNADOR ]],"
SERIE: ",BDEGENER[[#This Row],[SERIE DE ALTERNADOR]])</f>
        <v xml:space="preserve">MARCA: 
SERIE: </v>
      </c>
      <c r="AU914" s="29" t="str">
        <f>CONCATENATE("HORAS: ",BDEGENER[[#This Row],[HORAS]],"
KW-HR: ",BDEGENER[[#This Row],[KW-HORA]],"
VOLT.BATERIA: ",BDEGENER[[#This Row],[VOLTAJE DE BATERIA]],"
TEMPERATURA: ",BDEGENER[[#This Row],[TEMPERATURA DE AGUA]],"
PRES. ACEITE: ",BDEGENER[[#This Row],[PRESION DE ACEITE]])</f>
        <v xml:space="preserve">HORAS: 2700
KW-HR: 
VOLT.BATERIA: 
TEMPERATURA: 
PRES. ACEITE: </v>
      </c>
      <c r="AV914" s="683">
        <f>COUNTIFS(Q914:Q2914,"MANTENIMIENTO CORRECTIVO",Y914:Y2914,BDEGENER[[#This Row],[SERIE]])</f>
        <v>0</v>
      </c>
      <c r="AW914" s="683">
        <f>COUNTIFS(Q914:Q2914,"MANTENIMIENTO PREVENTIVO",Y914:Y2914,BDEGENER[[#This Row],[SERIE]])</f>
        <v>6</v>
      </c>
      <c r="AX91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914" s="29">
        <f>COUNTIFS(BDEGENER[SERIE],BDEGENER[[#This Row],[SERIE]],BDEGENER[TIPO DE SERVICIO],"MANTENIMIENTO PREVENTIVO")</f>
        <v>11</v>
      </c>
      <c r="AZ914" s="29" t="str">
        <f>CONCATENATE("MANTENIMIENTO PREVENTIVO N°",BDEGENER[[#This Row],[GA1]])</f>
        <v>MANTENIMIENTO PREVENTIVO N°11</v>
      </c>
      <c r="BA914" s="325" t="str">
        <f>IF(BDEGENER[[#This Row],[SERVICIO]]=BDEGENER[[#This Row],[GA2]],BDEGENER[[#This Row],[HORAS]],"0")</f>
        <v>0</v>
      </c>
      <c r="BB914" s="325">
        <f>SUMIF(BDEGENER[SERIE],BDEGENER[[#This Row],[SERIE]],BDEGENER[GA3])</f>
        <v>5881.6</v>
      </c>
      <c r="BC914" s="683" t="str">
        <f>CONCATENATE("MANT",COUNTIF($Y$7:Y914,Y914))</f>
        <v>MANT11</v>
      </c>
      <c r="BD914" s="29" t="str">
        <f>CONCATENATE(BDEGENER[[#This Row],[SERIE]],BDEGENER[[#This Row],[GA5]])</f>
        <v>3003415539MANT11</v>
      </c>
      <c r="BE914" s="29" t="str">
        <f>CONCATENATE(BDEGENER[[#This Row],[CODIGO PATRIMONIAL]],BDEGENER[[#This Row],[GA5]])</f>
        <v>SUR-GEG-0004MANT11</v>
      </c>
      <c r="BF914" s="16">
        <f>COUNTIF(BDEGENER[SERIE],BDEGENER[[#This Row],[SERIE]])</f>
        <v>16</v>
      </c>
      <c r="BG914" s="683" t="str">
        <f>CONCATENATE("F",COUNTIF($K$7:K914,K914))</f>
        <v>F2</v>
      </c>
      <c r="BH914" s="325" t="str">
        <f>CONCATENATE(BDEGENER[[#This Row],[FECHA DE SERVICIO]],BDEGENER[[#This Row],[N° DE REGISTROS DEL DIA]])</f>
        <v>43689F2</v>
      </c>
      <c r="BI914" s="324"/>
      <c r="BJ914" s="325"/>
      <c r="BK914" s="326"/>
    </row>
    <row r="915" spans="2:63" ht="69" hidden="1" x14ac:dyDescent="0.3">
      <c r="B915" s="129"/>
      <c r="C915" s="129"/>
      <c r="D915" s="129"/>
      <c r="E915" s="129"/>
      <c r="F915" s="129"/>
      <c r="G915" s="129"/>
      <c r="H915" s="129"/>
      <c r="I915" s="129"/>
      <c r="J915" s="129"/>
      <c r="K915" s="131">
        <v>43687</v>
      </c>
      <c r="L915" s="130" t="s">
        <v>248</v>
      </c>
      <c r="M915" s="85" t="s">
        <v>265</v>
      </c>
      <c r="N915" s="85" t="s">
        <v>266</v>
      </c>
      <c r="O915" s="85"/>
      <c r="P915" s="85"/>
      <c r="Q915" s="85" t="s">
        <v>37</v>
      </c>
      <c r="R915" s="85" t="s">
        <v>1782</v>
      </c>
      <c r="S915" s="6" t="s">
        <v>1238</v>
      </c>
      <c r="T915" s="85" t="s">
        <v>1227</v>
      </c>
      <c r="U915" s="85" t="s">
        <v>1239</v>
      </c>
      <c r="V915" s="85" t="s">
        <v>146</v>
      </c>
      <c r="W915" s="85" t="s">
        <v>911</v>
      </c>
      <c r="X915" s="85" t="s">
        <v>917</v>
      </c>
      <c r="Y915" s="130">
        <v>3003932011</v>
      </c>
      <c r="Z915" s="692">
        <v>23878</v>
      </c>
      <c r="AA915" s="16" t="s">
        <v>33</v>
      </c>
      <c r="AB915" s="85" t="s">
        <v>1205</v>
      </c>
      <c r="AC915" s="85" t="s">
        <v>529</v>
      </c>
      <c r="AD915" s="85"/>
      <c r="AE915" s="85"/>
      <c r="AF915" s="132">
        <v>14.1</v>
      </c>
      <c r="AG915" s="85" t="s">
        <v>243</v>
      </c>
      <c r="AH915" s="85"/>
      <c r="AI915" s="85" t="s">
        <v>523</v>
      </c>
      <c r="AJ915" s="85">
        <v>5219</v>
      </c>
      <c r="AK915" s="85"/>
      <c r="AL915" s="85"/>
      <c r="AM915" s="85"/>
      <c r="AN915" s="85"/>
      <c r="AO915" s="85"/>
      <c r="AP915" s="85" t="s">
        <v>240</v>
      </c>
      <c r="AQ915" s="9" t="str">
        <f>CONCATENATE("REG-",BDEGENER[[#This Row],[FECHA DE SERVICIO]],"-",BDEGENER[[#This Row],[SERIE]],"-",BDEGENER[[#This Row],[HORAS]])</f>
        <v>REG-43687-3003932011-14,1</v>
      </c>
      <c r="AR915" s="85" t="str">
        <f>CONCATENATE("MARCA: ",BDEGENER[[#This Row],[MARCA]],"
 MODELO: ",BDEGENER[[#This Row],[MODELO]])</f>
        <v>MARCA: GENERAC
 MODELO: XD5000E</v>
      </c>
      <c r="AS915" s="85" t="str">
        <f>CONCATENATE("MARCA: ",BDEGENER[[#This Row],[MARCA DE MOTOR]],"
SERIE: ",BDEGENER[[#This Row],[SERIE DE MOTOR]])</f>
        <v>MARCA: YANMAR
SERIE: 5219</v>
      </c>
      <c r="AT915" s="85" t="str">
        <f>CONCATENATE("MARCA: ",BDEGENER[[#This Row],[MARCA ALTERNADOR ]],"
SERIE: ",BDEGENER[[#This Row],[SERIE DE ALTERNADOR]])</f>
        <v xml:space="preserve">MARCA: 
SERIE: </v>
      </c>
      <c r="AU915" s="85" t="str">
        <f>CONCATENATE("HORAS: ",BDEGENER[[#This Row],[HORAS]],"
KW-HR: ",BDEGENER[[#This Row],[KW-HORA]],"
VOLT.BATERIA: ",BDEGENER[[#This Row],[VOLTAJE DE BATERIA]],"
TEMPERATURA: ",BDEGENER[[#This Row],[TEMPERATURA DE AGUA]],"
PRES. ACEITE: ",BDEGENER[[#This Row],[PRESION DE ACEITE]])</f>
        <v xml:space="preserve">HORAS: 14,1
KW-HR: 
VOLT.BATERIA: 
TEMPERATURA: 
PRES. ACEITE: </v>
      </c>
      <c r="AV915" s="683">
        <f>COUNTIFS(Q915:Q2915,"MANTENIMIENTO CORRECTIVO",Y915:Y2915,BDEGENER[[#This Row],[SERIE]])</f>
        <v>0</v>
      </c>
      <c r="AW915" s="683">
        <f>COUNTIFS(Q915:Q2915,"MANTENIMIENTO PREVENTIVO",Y915:Y2915,BDEGENER[[#This Row],[SERIE]])</f>
        <v>1</v>
      </c>
      <c r="AX91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15" s="85">
        <f>COUNTIFS(BDEGENER[SERIE],BDEGENER[[#This Row],[SERIE]],BDEGENER[TIPO DE SERVICIO],"MANTENIMIENTO PREVENTIVO")</f>
        <v>2</v>
      </c>
      <c r="AZ915" s="85" t="str">
        <f>CONCATENATE("MANTENIMIENTO PREVENTIVO N°",BDEGENER[[#This Row],[GA1]])</f>
        <v>MANTENIMIENTO PREVENTIVO N°2</v>
      </c>
      <c r="BA915" s="85" t="str">
        <f>IF(BDEGENER[[#This Row],[SERVICIO]]=BDEGENER[[#This Row],[GA2]],BDEGENER[[#This Row],[HORAS]],"0")</f>
        <v>0</v>
      </c>
      <c r="BB915" s="85">
        <f>SUMIF(BDEGENER[SERIE],BDEGENER[[#This Row],[SERIE]],BDEGENER[GA3])</f>
        <v>141</v>
      </c>
      <c r="BC915" s="683" t="str">
        <f>CONCATENATE("MANT",COUNTIF($Y$7:Y915,Y915))</f>
        <v>MANT2</v>
      </c>
      <c r="BD915" s="85" t="str">
        <f>CONCATENATE(BDEGENER[[#This Row],[SERIE]],BDEGENER[[#This Row],[GA5]])</f>
        <v>3003932011MANT2</v>
      </c>
      <c r="BE915" s="85" t="str">
        <f>CONCATENATE(BDEGENER[[#This Row],[CODIGO PATRIMONIAL]],BDEGENER[[#This Row],[GA5]])</f>
        <v>23878MANT2</v>
      </c>
      <c r="BF915" s="129">
        <f>COUNTIF(BDEGENER[SERIE],BDEGENER[[#This Row],[SERIE]])</f>
        <v>2</v>
      </c>
      <c r="BG915" s="683" t="str">
        <f>CONCATENATE("F",COUNTIF($K$7:K915,K915))</f>
        <v>F1</v>
      </c>
      <c r="BH915" s="325" t="str">
        <f>CONCATENATE(BDEGENER[[#This Row],[FECHA DE SERVICIO]],BDEGENER[[#This Row],[N° DE REGISTROS DEL DIA]])</f>
        <v>43687F1</v>
      </c>
      <c r="BI915" s="324"/>
      <c r="BJ915" s="325"/>
      <c r="BK915" s="326"/>
    </row>
    <row r="916" spans="2:63" ht="69" hidden="1" x14ac:dyDescent="0.3">
      <c r="B916" s="129"/>
      <c r="C916" s="129"/>
      <c r="D916" s="129"/>
      <c r="E916" s="129"/>
      <c r="F916" s="129"/>
      <c r="G916" s="129"/>
      <c r="H916" s="129"/>
      <c r="I916" s="129"/>
      <c r="J916" s="129"/>
      <c r="K916" s="131">
        <v>43687</v>
      </c>
      <c r="L916" s="130" t="s">
        <v>248</v>
      </c>
      <c r="M916" s="85" t="s">
        <v>1237</v>
      </c>
      <c r="N916" s="85" t="s">
        <v>1231</v>
      </c>
      <c r="O916" s="85"/>
      <c r="P916" s="85"/>
      <c r="Q916" s="85" t="s">
        <v>37</v>
      </c>
      <c r="R916" s="85" t="s">
        <v>1782</v>
      </c>
      <c r="S916" s="6" t="s">
        <v>1233</v>
      </c>
      <c r="T916" s="85" t="s">
        <v>1782</v>
      </c>
      <c r="U916" s="85" t="s">
        <v>1234</v>
      </c>
      <c r="V916" s="85" t="s">
        <v>146</v>
      </c>
      <c r="W916" s="85" t="s">
        <v>913</v>
      </c>
      <c r="X916" s="85" t="s">
        <v>917</v>
      </c>
      <c r="Y916" s="130" t="s">
        <v>505</v>
      </c>
      <c r="Z916" s="85">
        <v>23893</v>
      </c>
      <c r="AA916" s="85" t="s">
        <v>33</v>
      </c>
      <c r="AB916" s="85" t="s">
        <v>500</v>
      </c>
      <c r="AC916" s="85" t="s">
        <v>530</v>
      </c>
      <c r="AD916" s="85"/>
      <c r="AE916" s="85">
        <v>60</v>
      </c>
      <c r="AF916" s="132">
        <v>69</v>
      </c>
      <c r="AG916" s="85" t="s">
        <v>243</v>
      </c>
      <c r="AH916" s="85" t="s">
        <v>1236</v>
      </c>
      <c r="AI916" s="85" t="s">
        <v>844</v>
      </c>
      <c r="AJ916" s="85"/>
      <c r="AK916" s="85" t="s">
        <v>1235</v>
      </c>
      <c r="AL916" s="85"/>
      <c r="AM916" s="85"/>
      <c r="AN916" s="85"/>
      <c r="AO916" s="85"/>
      <c r="AP916" s="85" t="s">
        <v>240</v>
      </c>
      <c r="AQ916" s="9" t="str">
        <f>CONCATENATE("REG-",BDEGENER[[#This Row],[FECHA DE SERVICIO]],"-",BDEGENER[[#This Row],[SERIE]],"-",BDEGENER[[#This Row],[HORAS]])</f>
        <v>REG-43687-PEE2626891-69</v>
      </c>
      <c r="AR916" s="85" t="str">
        <f>CONCATENATE("MARCA: ",BDEGENER[[#This Row],[MARCA]],"
 MODELO: ",BDEGENER[[#This Row],[MODELO]])</f>
        <v>MARCA: GENERAC
 MODELO: PMY20B</v>
      </c>
      <c r="AS916" s="85" t="str">
        <f>CONCATENATE("MARCA: ",BDEGENER[[#This Row],[MARCA DE MOTOR]],"
SERIE: ",BDEGENER[[#This Row],[SERIE DE MOTOR]])</f>
        <v xml:space="preserve">MARCA: PERKINS
SERIE: </v>
      </c>
      <c r="AT916" s="85" t="str">
        <f>CONCATENATE("MARCA: ",BDEGENER[[#This Row],[MARCA ALTERNADOR ]],"
SERIE: ",BDEGENER[[#This Row],[SERIE DE ALTERNADOR]])</f>
        <v xml:space="preserve">MARCA: MECC ALTE
SERIE: </v>
      </c>
      <c r="AU916" s="85" t="str">
        <f>CONCATENATE("HORAS: ",BDEGENER[[#This Row],[HORAS]],"
KW-HR: ",BDEGENER[[#This Row],[KW-HORA]],"
VOLT.BATERIA: ",BDEGENER[[#This Row],[VOLTAJE DE BATERIA]],"
TEMPERATURA: ",BDEGENER[[#This Row],[TEMPERATURA DE AGUA]],"
PRES. ACEITE: ",BDEGENER[[#This Row],[PRESION DE ACEITE]])</f>
        <v xml:space="preserve">HORAS: 69
KW-HR: 
VOLT.BATERIA: 
TEMPERATURA: 
PRES. ACEITE: </v>
      </c>
      <c r="AV916" s="761">
        <f>COUNTIFS(Q916:Q2916,"MANTENIMIENTO CORRECTIVO",Y916:Y2916,BDEGENER[[#This Row],[SERIE]])</f>
        <v>0</v>
      </c>
      <c r="AW916" s="761">
        <f>COUNTIFS(Q916:Q2916,"MANTENIMIENTO PREVENTIVO",Y916:Y2916,BDEGENER[[#This Row],[SERIE]])</f>
        <v>1</v>
      </c>
      <c r="AX91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16" s="85">
        <f>COUNTIFS(BDEGENER[SERIE],BDEGENER[[#This Row],[SERIE]],BDEGENER[TIPO DE SERVICIO],"MANTENIMIENTO PREVENTIVO")</f>
        <v>2</v>
      </c>
      <c r="AZ916" s="85" t="str">
        <f>CONCATENATE("MANTENIMIENTO PREVENTIVO N°",BDEGENER[[#This Row],[GA1]])</f>
        <v>MANTENIMIENTO PREVENTIVO N°2</v>
      </c>
      <c r="BA916" s="85" t="str">
        <f>IF(BDEGENER[[#This Row],[SERVICIO]]=BDEGENER[[#This Row],[GA2]],BDEGENER[[#This Row],[HORAS]],"0")</f>
        <v>0</v>
      </c>
      <c r="BB916" s="85">
        <f>SUMIF(BDEGENER[SERIE],BDEGENER[[#This Row],[SERIE]],BDEGENER[GA3])</f>
        <v>328.6</v>
      </c>
      <c r="BC916" s="761" t="str">
        <f>CONCATENATE("MANT",COUNTIF($Y$7:Y916,Y916))</f>
        <v>MANT2</v>
      </c>
      <c r="BD916" s="85" t="str">
        <f>CONCATENATE(BDEGENER[[#This Row],[SERIE]],BDEGENER[[#This Row],[GA5]])</f>
        <v>PEE2626891MANT2</v>
      </c>
      <c r="BE916" s="85" t="str">
        <f>CONCATENATE(BDEGENER[[#This Row],[CODIGO PATRIMONIAL]],BDEGENER[[#This Row],[GA5]])</f>
        <v>23893MANT2</v>
      </c>
      <c r="BF916" s="129">
        <f>COUNTIF(BDEGENER[SERIE],BDEGENER[[#This Row],[SERIE]])</f>
        <v>2</v>
      </c>
      <c r="BG916" s="761" t="str">
        <f>CONCATENATE("F",COUNTIF($K$7:K916,K916))</f>
        <v>F2</v>
      </c>
      <c r="BH916" s="325" t="str">
        <f>CONCATENATE(BDEGENER[[#This Row],[FECHA DE SERVICIO]],BDEGENER[[#This Row],[N° DE REGISTROS DEL DIA]])</f>
        <v>43687F2</v>
      </c>
      <c r="BI916" s="324"/>
      <c r="BJ916" s="325"/>
      <c r="BK916" s="326"/>
    </row>
    <row r="917" spans="2:63" ht="69" hidden="1" x14ac:dyDescent="0.3">
      <c r="B917" s="129"/>
      <c r="C917" s="129"/>
      <c r="D917" s="129"/>
      <c r="E917" s="129"/>
      <c r="F917" s="129"/>
      <c r="G917" s="129"/>
      <c r="H917" s="129"/>
      <c r="I917" s="129"/>
      <c r="J917" s="129"/>
      <c r="K917" s="131">
        <v>43687</v>
      </c>
      <c r="L917" s="130" t="s">
        <v>248</v>
      </c>
      <c r="M917" s="85" t="s">
        <v>1232</v>
      </c>
      <c r="N917" s="85" t="s">
        <v>1231</v>
      </c>
      <c r="O917" s="85"/>
      <c r="P917" s="85"/>
      <c r="Q917" s="85" t="s">
        <v>37</v>
      </c>
      <c r="R917" s="85" t="s">
        <v>1782</v>
      </c>
      <c r="S917" s="6" t="s">
        <v>1233</v>
      </c>
      <c r="T917" s="85" t="s">
        <v>1782</v>
      </c>
      <c r="U917" s="85" t="s">
        <v>1234</v>
      </c>
      <c r="V917" s="85" t="s">
        <v>146</v>
      </c>
      <c r="W917" s="85" t="s">
        <v>913</v>
      </c>
      <c r="X917" s="85" t="s">
        <v>917</v>
      </c>
      <c r="Y917" s="130" t="s">
        <v>506</v>
      </c>
      <c r="Z917" s="85">
        <v>23892</v>
      </c>
      <c r="AA917" s="85" t="s">
        <v>33</v>
      </c>
      <c r="AB917" s="85" t="s">
        <v>500</v>
      </c>
      <c r="AC917" s="85" t="s">
        <v>530</v>
      </c>
      <c r="AD917" s="85"/>
      <c r="AE917" s="85">
        <v>60</v>
      </c>
      <c r="AF917" s="132">
        <v>59.6</v>
      </c>
      <c r="AG917" s="85" t="s">
        <v>243</v>
      </c>
      <c r="AH917" s="85" t="s">
        <v>1236</v>
      </c>
      <c r="AI917" s="85" t="s">
        <v>844</v>
      </c>
      <c r="AJ917" s="85"/>
      <c r="AK917" s="85" t="s">
        <v>1235</v>
      </c>
      <c r="AL917" s="85"/>
      <c r="AM917" s="85"/>
      <c r="AN917" s="85"/>
      <c r="AO917" s="85"/>
      <c r="AP917" s="85" t="s">
        <v>240</v>
      </c>
      <c r="AQ917" s="200" t="str">
        <f>CONCATENATE("REG-",BDEGENER[[#This Row],[FECHA DE SERVICIO]],"-",BDEGENER[[#This Row],[SERIE]],"-",BDEGENER[[#This Row],[HORAS]])</f>
        <v>REG-43687-PEE2628355-59,6</v>
      </c>
      <c r="AR917" s="85" t="str">
        <f>CONCATENATE("MARCA: ",BDEGENER[[#This Row],[MARCA]],"
 MODELO: ",BDEGENER[[#This Row],[MODELO]])</f>
        <v>MARCA: GENERAC
 MODELO: PMY20B</v>
      </c>
      <c r="AS917" s="85" t="str">
        <f>CONCATENATE("MARCA: ",BDEGENER[[#This Row],[MARCA DE MOTOR]],"
SERIE: ",BDEGENER[[#This Row],[SERIE DE MOTOR]])</f>
        <v xml:space="preserve">MARCA: PERKINS
SERIE: </v>
      </c>
      <c r="AT917" s="85" t="str">
        <f>CONCATENATE("MARCA: ",BDEGENER[[#This Row],[MARCA ALTERNADOR ]],"
SERIE: ",BDEGENER[[#This Row],[SERIE DE ALTERNADOR]])</f>
        <v xml:space="preserve">MARCA: MECC ALTE
SERIE: </v>
      </c>
      <c r="AU917" s="85" t="str">
        <f>CONCATENATE("HORAS: ",BDEGENER[[#This Row],[HORAS]],"
KW-HR: ",BDEGENER[[#This Row],[KW-HORA]],"
VOLT.BATERIA: ",BDEGENER[[#This Row],[VOLTAJE DE BATERIA]],"
TEMPERATURA: ",BDEGENER[[#This Row],[TEMPERATURA DE AGUA]],"
PRES. ACEITE: ",BDEGENER[[#This Row],[PRESION DE ACEITE]])</f>
        <v xml:space="preserve">HORAS: 59,6
KW-HR: 
VOLT.BATERIA: 
TEMPERATURA: 
PRES. ACEITE: </v>
      </c>
      <c r="AV917" s="683">
        <f>COUNTIFS(Q917:Q2917,"MANTENIMIENTO CORRECTIVO",Y917:Y2917,BDEGENER[[#This Row],[SERIE]])</f>
        <v>0</v>
      </c>
      <c r="AW917" s="683">
        <f>COUNTIFS(Q917:Q2917,"MANTENIMIENTO PREVENTIVO",Y917:Y2917,BDEGENER[[#This Row],[SERIE]])</f>
        <v>1</v>
      </c>
      <c r="AX917"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17" s="85">
        <f>COUNTIFS(BDEGENER[SERIE],BDEGENER[[#This Row],[SERIE]],BDEGENER[TIPO DE SERVICIO],"MANTENIMIENTO PREVENTIVO")</f>
        <v>2</v>
      </c>
      <c r="AZ917" s="85" t="str">
        <f>CONCATENATE("MANTENIMIENTO PREVENTIVO N°",BDEGENER[[#This Row],[GA1]])</f>
        <v>MANTENIMIENTO PREVENTIVO N°2</v>
      </c>
      <c r="BA917" s="85" t="str">
        <f>IF(BDEGENER[[#This Row],[SERVICIO]]=BDEGENER[[#This Row],[GA2]],BDEGENER[[#This Row],[HORAS]],"0")</f>
        <v>0</v>
      </c>
      <c r="BB917" s="85">
        <f>SUMIF(BDEGENER[SERIE],BDEGENER[[#This Row],[SERIE]],BDEGENER[GA3])</f>
        <v>351.5</v>
      </c>
      <c r="BC917" s="683" t="str">
        <f>CONCATENATE("MANT",COUNTIF($Y$7:Y917,Y917))</f>
        <v>MANT2</v>
      </c>
      <c r="BD917" s="85" t="str">
        <f>CONCATENATE(BDEGENER[[#This Row],[SERIE]],BDEGENER[[#This Row],[GA5]])</f>
        <v>PEE2628355MANT2</v>
      </c>
      <c r="BE917" s="85" t="str">
        <f>CONCATENATE(BDEGENER[[#This Row],[CODIGO PATRIMONIAL]],BDEGENER[[#This Row],[GA5]])</f>
        <v>23892MANT2</v>
      </c>
      <c r="BF917" s="129">
        <f>COUNTIF(BDEGENER[SERIE],BDEGENER[[#This Row],[SERIE]])</f>
        <v>2</v>
      </c>
      <c r="BG917" s="683" t="str">
        <f>CONCATENATE("F",COUNTIF($K$7:K917,K917))</f>
        <v>F3</v>
      </c>
      <c r="BH917" s="325" t="str">
        <f>CONCATENATE(BDEGENER[[#This Row],[FECHA DE SERVICIO]],BDEGENER[[#This Row],[N° DE REGISTROS DEL DIA]])</f>
        <v>43687F3</v>
      </c>
      <c r="BI917" s="324"/>
      <c r="BJ917" s="325"/>
      <c r="BK917" s="326"/>
    </row>
    <row r="918" spans="2:63" ht="69" hidden="1" x14ac:dyDescent="0.3">
      <c r="B918" s="34"/>
      <c r="C918" s="34"/>
      <c r="D918" s="34"/>
      <c r="E918" s="34"/>
      <c r="F918" s="34"/>
      <c r="G918" s="34"/>
      <c r="H918" s="34"/>
      <c r="I918" s="34"/>
      <c r="J918" s="34"/>
      <c r="K918" s="37">
        <v>43686</v>
      </c>
      <c r="L918" s="30" t="s">
        <v>561</v>
      </c>
      <c r="M918" s="85" t="s">
        <v>2480</v>
      </c>
      <c r="N918" s="85" t="s">
        <v>2481</v>
      </c>
      <c r="O918" s="19"/>
      <c r="P918" s="19"/>
      <c r="Q918" s="19" t="s">
        <v>37</v>
      </c>
      <c r="R918" s="85" t="s">
        <v>1782</v>
      </c>
      <c r="S918" s="19" t="s">
        <v>618</v>
      </c>
      <c r="T918" s="85" t="s">
        <v>1782</v>
      </c>
      <c r="U918" s="19" t="s">
        <v>691</v>
      </c>
      <c r="V918" s="19" t="s">
        <v>146</v>
      </c>
      <c r="W918" s="85" t="s">
        <v>913</v>
      </c>
      <c r="X918" s="85" t="s">
        <v>918</v>
      </c>
      <c r="Y918" s="31">
        <v>3004597773</v>
      </c>
      <c r="Z918" s="85" t="s">
        <v>2609</v>
      </c>
      <c r="AA918" s="19" t="s">
        <v>33</v>
      </c>
      <c r="AB918" s="19" t="s">
        <v>217</v>
      </c>
      <c r="AC918" s="19" t="s">
        <v>749</v>
      </c>
      <c r="AD918" s="16"/>
      <c r="AE918" s="16"/>
      <c r="AF918" s="146">
        <v>18.5</v>
      </c>
      <c r="AG918" s="16"/>
      <c r="AH918" s="16"/>
      <c r="AI918" s="16"/>
      <c r="AJ918" s="16"/>
      <c r="AK918" s="16"/>
      <c r="AL918" s="16"/>
      <c r="AM918" s="16"/>
      <c r="AN918" s="16"/>
      <c r="AO918" s="16"/>
      <c r="AP918" s="19" t="s">
        <v>240</v>
      </c>
      <c r="AQ918" s="6" t="str">
        <f>CONCATENATE("REG-",BDEGENER[[#This Row],[FECHA DE SERVICIO]],"-",BDEGENER[[#This Row],[SERIE]],"-",BDEGENER[[#This Row],[HORAS]])</f>
        <v>REG-43686-3004597773-18,5</v>
      </c>
      <c r="AR918" s="5" t="str">
        <f>CONCATENATE("MARCA: ",BDEGENER[[#This Row],[MARCA]],"
 MODELO: ",BDEGENER[[#This Row],[MODELO]])</f>
        <v>MARCA: GENERAC
 MODELO: RG022</v>
      </c>
      <c r="AS918" s="5" t="str">
        <f>CONCATENATE("MARCA: ",BDEGENER[[#This Row],[MARCA DE MOTOR]],"
SERIE: ",BDEGENER[[#This Row],[SERIE DE MOTOR]])</f>
        <v xml:space="preserve">MARCA: 
SERIE: </v>
      </c>
      <c r="AT918" s="5" t="str">
        <f>CONCATENATE("MARCA: ",BDEGENER[[#This Row],[MARCA ALTERNADOR ]],"
SERIE: ",BDEGENER[[#This Row],[SERIE DE ALTERNADOR]])</f>
        <v xml:space="preserve">MARCA: 
SERIE: </v>
      </c>
      <c r="AU918" s="29" t="str">
        <f>CONCATENATE("HORAS: ",BDEGENER[[#This Row],[HORAS]],"
KW-HR: ",BDEGENER[[#This Row],[KW-HORA]],"
VOLT.BATERIA: ",BDEGENER[[#This Row],[VOLTAJE DE BATERIA]],"
TEMPERATURA: ",BDEGENER[[#This Row],[TEMPERATURA DE AGUA]],"
PRES. ACEITE: ",BDEGENER[[#This Row],[PRESION DE ACEITE]])</f>
        <v xml:space="preserve">HORAS: 18,5
KW-HR: 
VOLT.BATERIA: 
TEMPERATURA: 
PRES. ACEITE: </v>
      </c>
      <c r="AV918" s="683">
        <f>COUNTIFS(Q918:Q2918,"MANTENIMIENTO CORRECTIVO",Y918:Y2918,BDEGENER[[#This Row],[SERIE]])</f>
        <v>0</v>
      </c>
      <c r="AW918" s="683">
        <f>COUNTIFS(Q918:Q2918,"MANTENIMIENTO PREVENTIVO",Y918:Y2918,BDEGENER[[#This Row],[SERIE]])</f>
        <v>1</v>
      </c>
      <c r="AX91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18" s="29">
        <f>COUNTIFS(BDEGENER[SERIE],BDEGENER[[#This Row],[SERIE]],BDEGENER[TIPO DE SERVICIO],"MANTENIMIENTO PREVENTIVO")</f>
        <v>9</v>
      </c>
      <c r="AZ918" s="29" t="str">
        <f>CONCATENATE("MANTENIMIENTO PREVENTIVO N°",BDEGENER[[#This Row],[GA1]])</f>
        <v>MANTENIMIENTO PREVENTIVO N°9</v>
      </c>
      <c r="BA918" s="325" t="str">
        <f>IF(BDEGENER[[#This Row],[SERVICIO]]=BDEGENER[[#This Row],[GA2]],BDEGENER[[#This Row],[HORAS]],"0")</f>
        <v>0</v>
      </c>
      <c r="BB918" s="325">
        <f>SUMIF(BDEGENER[SERIE],BDEGENER[[#This Row],[SERIE]],BDEGENER[GA3])</f>
        <v>3087.7</v>
      </c>
      <c r="BC918" s="683" t="str">
        <f>CONCATENATE("MANT",COUNTIF($Y$7:Y918,Y918))</f>
        <v>MANT10</v>
      </c>
      <c r="BD918" s="29" t="str">
        <f>CONCATENATE(BDEGENER[[#This Row],[SERIE]],BDEGENER[[#This Row],[GA5]])</f>
        <v>3004597773MANT10</v>
      </c>
      <c r="BE918" s="29" t="str">
        <f>CONCATENATE(BDEGENER[[#This Row],[CODIGO PATRIMONIAL]],BDEGENER[[#This Row],[GA5]])</f>
        <v>SUR-GEG-0013MANT10</v>
      </c>
      <c r="BF918" s="16">
        <f>COUNTIF(BDEGENER[SERIE],BDEGENER[[#This Row],[SERIE]])</f>
        <v>11</v>
      </c>
      <c r="BG918" s="683" t="str">
        <f>CONCATENATE("F",COUNTIF($K$7:K918,K918))</f>
        <v>F1</v>
      </c>
      <c r="BH918" s="325" t="str">
        <f>CONCATENATE(BDEGENER[[#This Row],[FECHA DE SERVICIO]],BDEGENER[[#This Row],[N° DE REGISTROS DEL DIA]])</f>
        <v>43686F1</v>
      </c>
      <c r="BI918" s="324"/>
      <c r="BJ918" s="325"/>
      <c r="BK918" s="326"/>
    </row>
    <row r="919" spans="2:63" ht="69" hidden="1" x14ac:dyDescent="0.3">
      <c r="B919" s="34"/>
      <c r="C919" s="34"/>
      <c r="D919" s="34"/>
      <c r="E919" s="34"/>
      <c r="F919" s="34"/>
      <c r="G919" s="34"/>
      <c r="H919" s="34"/>
      <c r="I919" s="34"/>
      <c r="J919" s="34"/>
      <c r="K919" s="37">
        <v>43683</v>
      </c>
      <c r="L919" s="30" t="s">
        <v>561</v>
      </c>
      <c r="M919" s="740" t="s">
        <v>562</v>
      </c>
      <c r="N919" s="740" t="s">
        <v>563</v>
      </c>
      <c r="O919" s="19"/>
      <c r="P919" s="19"/>
      <c r="Q919" s="19" t="s">
        <v>37</v>
      </c>
      <c r="R919" s="85" t="s">
        <v>1782</v>
      </c>
      <c r="S919" s="19" t="s">
        <v>596</v>
      </c>
      <c r="T919" s="85" t="s">
        <v>1782</v>
      </c>
      <c r="U919" s="19" t="s">
        <v>692</v>
      </c>
      <c r="V919" s="19" t="s">
        <v>146</v>
      </c>
      <c r="W919" s="19" t="s">
        <v>913</v>
      </c>
      <c r="X919" s="19" t="s">
        <v>918</v>
      </c>
      <c r="Y919" s="31">
        <v>3004370203</v>
      </c>
      <c r="Z919" s="767" t="s">
        <v>2598</v>
      </c>
      <c r="AA919" s="19" t="s">
        <v>33</v>
      </c>
      <c r="AB919" s="19" t="s">
        <v>217</v>
      </c>
      <c r="AC919" s="19" t="s">
        <v>749</v>
      </c>
      <c r="AD919" s="16"/>
      <c r="AE919" s="16"/>
      <c r="AF919" s="146">
        <v>435.7</v>
      </c>
      <c r="AG919" s="16"/>
      <c r="AH919" s="16"/>
      <c r="AI919" s="16"/>
      <c r="AJ919" s="16"/>
      <c r="AK919" s="16"/>
      <c r="AL919" s="16"/>
      <c r="AM919" s="16"/>
      <c r="AN919" s="16"/>
      <c r="AO919" s="16"/>
      <c r="AP919" s="19" t="s">
        <v>240</v>
      </c>
      <c r="AQ919" s="200" t="str">
        <f>CONCATENATE("REG-",BDEGENER[[#This Row],[FECHA DE SERVICIO]],"-",BDEGENER[[#This Row],[SERIE]],"-",BDEGENER[[#This Row],[HORAS]])</f>
        <v>REG-43683-3004370203-435,7</v>
      </c>
      <c r="AR919" s="5" t="str">
        <f>CONCATENATE("MARCA: ",BDEGENER[[#This Row],[MARCA]],"
 MODELO: ",BDEGENER[[#This Row],[MODELO]])</f>
        <v>MARCA: GENERAC
 MODELO: RG022</v>
      </c>
      <c r="AS919" s="5" t="str">
        <f>CONCATENATE("MARCA: ",BDEGENER[[#This Row],[MARCA DE MOTOR]],"
SERIE: ",BDEGENER[[#This Row],[SERIE DE MOTOR]])</f>
        <v xml:space="preserve">MARCA: 
SERIE: </v>
      </c>
      <c r="AT919" s="5" t="str">
        <f>CONCATENATE("MARCA: ",BDEGENER[[#This Row],[MARCA ALTERNADOR ]],"
SERIE: ",BDEGENER[[#This Row],[SERIE DE ALTERNADOR]])</f>
        <v xml:space="preserve">MARCA: 
SERIE: </v>
      </c>
      <c r="AU919" s="29" t="str">
        <f>CONCATENATE("HORAS: ",BDEGENER[[#This Row],[HORAS]],"
KW-HR: ",BDEGENER[[#This Row],[KW-HORA]],"
VOLT.BATERIA: ",BDEGENER[[#This Row],[VOLTAJE DE BATERIA]],"
TEMPERATURA: ",BDEGENER[[#This Row],[TEMPERATURA DE AGUA]],"
PRES. ACEITE: ",BDEGENER[[#This Row],[PRESION DE ACEITE]])</f>
        <v xml:space="preserve">HORAS: 435,7
KW-HR: 
VOLT.BATERIA: 
TEMPERATURA: 
PRES. ACEITE: </v>
      </c>
      <c r="AV919" s="761">
        <f>COUNTIFS(Q919:Q2919,"MANTENIMIENTO CORRECTIVO",Y919:Y2919,BDEGENER[[#This Row],[SERIE]])</f>
        <v>0</v>
      </c>
      <c r="AW919" s="761">
        <f>COUNTIFS(Q919:Q2919,"MANTENIMIENTO PREVENTIVO",Y919:Y2919,BDEGENER[[#This Row],[SERIE]])</f>
        <v>2</v>
      </c>
      <c r="AX91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19" s="29">
        <f>COUNTIFS(BDEGENER[SERIE],BDEGENER[[#This Row],[SERIE]],BDEGENER[TIPO DE SERVICIO],"MANTENIMIENTO PREVENTIVO")</f>
        <v>6</v>
      </c>
      <c r="AZ919" s="29" t="str">
        <f>CONCATENATE("MANTENIMIENTO PREVENTIVO N°",BDEGENER[[#This Row],[GA1]])</f>
        <v>MANTENIMIENTO PREVENTIVO N°6</v>
      </c>
      <c r="BA919" s="325" t="str">
        <f>IF(BDEGENER[[#This Row],[SERVICIO]]=BDEGENER[[#This Row],[GA2]],BDEGENER[[#This Row],[HORAS]],"0")</f>
        <v>0</v>
      </c>
      <c r="BB919" s="325">
        <f>SUMIF(BDEGENER[SERIE],BDEGENER[[#This Row],[SERIE]],BDEGENER[GA3])</f>
        <v>2885.1</v>
      </c>
      <c r="BC919" s="761" t="str">
        <f>CONCATENATE("MANT",COUNTIF($Y$7:Y919,Y919))</f>
        <v>MANT12</v>
      </c>
      <c r="BD919" s="29" t="str">
        <f>CONCATENATE(BDEGENER[[#This Row],[SERIE]],BDEGENER[[#This Row],[GA5]])</f>
        <v>3004370203MANT12</v>
      </c>
      <c r="BE919" s="29" t="str">
        <f>CONCATENATE(BDEGENER[[#This Row],[CODIGO PATRIMONIAL]],BDEGENER[[#This Row],[GA5]])</f>
        <v>SUR-GEG-0002MANT12</v>
      </c>
      <c r="BF919" s="16">
        <f>COUNTIF(BDEGENER[SERIE],BDEGENER[[#This Row],[SERIE]])</f>
        <v>14</v>
      </c>
      <c r="BG919" s="761" t="str">
        <f>CONCATENATE("F",COUNTIF($K$7:K919,K919))</f>
        <v>F1</v>
      </c>
      <c r="BH919" s="325" t="str">
        <f>CONCATENATE(BDEGENER[[#This Row],[FECHA DE SERVICIO]],BDEGENER[[#This Row],[N° DE REGISTROS DEL DIA]])</f>
        <v>43683F1</v>
      </c>
      <c r="BI919" s="324"/>
      <c r="BJ919" s="325"/>
      <c r="BK919" s="326"/>
    </row>
    <row r="920" spans="2:63" ht="69" hidden="1" x14ac:dyDescent="0.3">
      <c r="B920" s="34"/>
      <c r="C920" s="34"/>
      <c r="D920" s="34"/>
      <c r="E920" s="34"/>
      <c r="F920" s="34"/>
      <c r="G920" s="34"/>
      <c r="H920" s="34"/>
      <c r="I920" s="34"/>
      <c r="J920" s="34"/>
      <c r="K920" s="37">
        <v>43683</v>
      </c>
      <c r="L920" s="30" t="s">
        <v>561</v>
      </c>
      <c r="M920" s="85" t="s">
        <v>2480</v>
      </c>
      <c r="N920" s="85" t="s">
        <v>2481</v>
      </c>
      <c r="O920" s="19"/>
      <c r="P920" s="19"/>
      <c r="Q920" s="19" t="s">
        <v>109</v>
      </c>
      <c r="R920" s="85" t="s">
        <v>1782</v>
      </c>
      <c r="S920" s="19" t="s">
        <v>619</v>
      </c>
      <c r="T920" s="85" t="s">
        <v>1782</v>
      </c>
      <c r="U920" s="19"/>
      <c r="V920" s="19" t="s">
        <v>146</v>
      </c>
      <c r="W920" s="85" t="s">
        <v>913</v>
      </c>
      <c r="X920" s="85" t="s">
        <v>918</v>
      </c>
      <c r="Y920" s="31">
        <v>3004597773</v>
      </c>
      <c r="Z920" s="85" t="s">
        <v>2609</v>
      </c>
      <c r="AA920" s="19" t="s">
        <v>33</v>
      </c>
      <c r="AB920" s="19" t="s">
        <v>217</v>
      </c>
      <c r="AC920" s="19" t="s">
        <v>752</v>
      </c>
      <c r="AD920" s="16"/>
      <c r="AE920" s="16"/>
      <c r="AF920" s="146">
        <v>0.5</v>
      </c>
      <c r="AG920" s="16"/>
      <c r="AH920" s="16"/>
      <c r="AI920" s="16"/>
      <c r="AJ920" s="16"/>
      <c r="AK920" s="16"/>
      <c r="AL920" s="16"/>
      <c r="AM920" s="16"/>
      <c r="AN920" s="16"/>
      <c r="AO920" s="16"/>
      <c r="AP920" s="19" t="s">
        <v>240</v>
      </c>
      <c r="AQ920" s="200" t="str">
        <f>CONCATENATE("REG-",BDEGENER[[#This Row],[FECHA DE SERVICIO]],"-",BDEGENER[[#This Row],[SERIE]],"-",BDEGENER[[#This Row],[HORAS]])</f>
        <v>REG-43683-3004597773-0,5</v>
      </c>
      <c r="AR920" s="5" t="str">
        <f>CONCATENATE("MARCA: ",BDEGENER[[#This Row],[MARCA]],"
 MODELO: ",BDEGENER[[#This Row],[MODELO]])</f>
        <v>MARCA: GENERAC
 MODELO: RG022</v>
      </c>
      <c r="AS920" s="5" t="str">
        <f>CONCATENATE("MARCA: ",BDEGENER[[#This Row],[MARCA DE MOTOR]],"
SERIE: ",BDEGENER[[#This Row],[SERIE DE MOTOR]])</f>
        <v xml:space="preserve">MARCA: 
SERIE: </v>
      </c>
      <c r="AT920" s="5" t="str">
        <f>CONCATENATE("MARCA: ",BDEGENER[[#This Row],[MARCA ALTERNADOR ]],"
SERIE: ",BDEGENER[[#This Row],[SERIE DE ALTERNADOR]])</f>
        <v xml:space="preserve">MARCA: 
SERIE: </v>
      </c>
      <c r="AU920" s="29" t="str">
        <f>CONCATENATE("HORAS: ",BDEGENER[[#This Row],[HORAS]],"
KW-HR: ",BDEGENER[[#This Row],[KW-HORA]],"
VOLT.BATERIA: ",BDEGENER[[#This Row],[VOLTAJE DE BATERIA]],"
TEMPERATURA: ",BDEGENER[[#This Row],[TEMPERATURA DE AGUA]],"
PRES. ACEITE: ",BDEGENER[[#This Row],[PRESION DE ACEITE]])</f>
        <v xml:space="preserve">HORAS: 0,5
KW-HR: 
VOLT.BATERIA: 
TEMPERATURA: 
PRES. ACEITE: </v>
      </c>
      <c r="AV920" s="683">
        <f>COUNTIFS(Q920:Q2920,"MANTENIMIENTO CORRECTIVO",Y920:Y2920,BDEGENER[[#This Row],[SERIE]])</f>
        <v>0</v>
      </c>
      <c r="AW920" s="683">
        <f>COUNTIFS(Q920:Q2920,"MANTENIMIENTO PREVENTIVO",Y920:Y2920,BDEGENER[[#This Row],[SERIE]])</f>
        <v>0</v>
      </c>
      <c r="AX92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20" s="29">
        <f>COUNTIFS(BDEGENER[SERIE],BDEGENER[[#This Row],[SERIE]],BDEGENER[TIPO DE SERVICIO],"MANTENIMIENTO PREVENTIVO")</f>
        <v>9</v>
      </c>
      <c r="AZ920" s="29" t="str">
        <f>CONCATENATE("MANTENIMIENTO PREVENTIVO N°",BDEGENER[[#This Row],[GA1]])</f>
        <v>MANTENIMIENTO PREVENTIVO N°9</v>
      </c>
      <c r="BA920" s="325" t="str">
        <f>IF(BDEGENER[[#This Row],[SERVICIO]]=BDEGENER[[#This Row],[GA2]],BDEGENER[[#This Row],[HORAS]],"0")</f>
        <v>0</v>
      </c>
      <c r="BB920" s="325">
        <f>SUMIF(BDEGENER[SERIE],BDEGENER[[#This Row],[SERIE]],BDEGENER[GA3])</f>
        <v>3087.7</v>
      </c>
      <c r="BC920" s="683" t="str">
        <f>CONCATENATE("MANT",COUNTIF($Y$7:Y920,Y920))</f>
        <v>MANT11</v>
      </c>
      <c r="BD920" s="29" t="str">
        <f>CONCATENATE(BDEGENER[[#This Row],[SERIE]],BDEGENER[[#This Row],[GA5]])</f>
        <v>3004597773MANT11</v>
      </c>
      <c r="BE920" s="29" t="str">
        <f>CONCATENATE(BDEGENER[[#This Row],[CODIGO PATRIMONIAL]],BDEGENER[[#This Row],[GA5]])</f>
        <v>SUR-GEG-0013MANT11</v>
      </c>
      <c r="BF920" s="16">
        <f>COUNTIF(BDEGENER[SERIE],BDEGENER[[#This Row],[SERIE]])</f>
        <v>11</v>
      </c>
      <c r="BG920" s="683" t="str">
        <f>CONCATENATE("F",COUNTIF($K$7:K920,K920))</f>
        <v>F2</v>
      </c>
      <c r="BH920" s="325" t="str">
        <f>CONCATENATE(BDEGENER[[#This Row],[FECHA DE SERVICIO]],BDEGENER[[#This Row],[N° DE REGISTROS DEL DIA]])</f>
        <v>43683F2</v>
      </c>
      <c r="BI920" s="324"/>
      <c r="BJ920" s="325"/>
      <c r="BK920" s="326"/>
    </row>
    <row r="921" spans="2:63" ht="69" hidden="1" x14ac:dyDescent="0.3">
      <c r="B921" s="223"/>
      <c r="C921" s="223"/>
      <c r="D921" s="223"/>
      <c r="E921" s="223"/>
      <c r="F921" s="223"/>
      <c r="G921" s="223"/>
      <c r="H921" s="223"/>
      <c r="I921" s="223"/>
      <c r="J921" s="223"/>
      <c r="K921" s="723">
        <v>43682</v>
      </c>
      <c r="L921" s="15" t="s">
        <v>181</v>
      </c>
      <c r="M921" s="697" t="s">
        <v>193</v>
      </c>
      <c r="N921" s="697" t="s">
        <v>194</v>
      </c>
      <c r="O921" s="8"/>
      <c r="P921" s="10"/>
      <c r="Q921" s="14" t="s">
        <v>107</v>
      </c>
      <c r="R921" s="85" t="s">
        <v>1782</v>
      </c>
      <c r="S921" s="5" t="s">
        <v>55</v>
      </c>
      <c r="T921" s="85" t="s">
        <v>1782</v>
      </c>
      <c r="U921" s="14"/>
      <c r="V921" s="14" t="s">
        <v>148</v>
      </c>
      <c r="W921" s="14"/>
      <c r="X921" s="14"/>
      <c r="Y921" s="15">
        <v>9658426</v>
      </c>
      <c r="Z921" s="779" t="s">
        <v>216</v>
      </c>
      <c r="AA921" s="19" t="s">
        <v>33</v>
      </c>
      <c r="AB921" s="19" t="s">
        <v>217</v>
      </c>
      <c r="AC921" s="14" t="s">
        <v>234</v>
      </c>
      <c r="AD921" s="16"/>
      <c r="AE921" s="16"/>
      <c r="AF921" s="12">
        <v>5863.9</v>
      </c>
      <c r="AG921" s="16"/>
      <c r="AH921" s="16"/>
      <c r="AI921" s="16"/>
      <c r="AJ921" s="16"/>
      <c r="AK921" s="16"/>
      <c r="AL921" s="16"/>
      <c r="AM921" s="16"/>
      <c r="AN921" s="16"/>
      <c r="AO921" s="16"/>
      <c r="AP921" s="14" t="s">
        <v>240</v>
      </c>
      <c r="AQ921" s="6" t="str">
        <f>CONCATENATE("REG-",BDEGENER[[#This Row],[FECHA DE SERVICIO]],"-",BDEGENER[[#This Row],[SERIE]],"-",BDEGENER[[#This Row],[HORAS]])</f>
        <v>REG-43682-9658426-5863,9</v>
      </c>
      <c r="AR921" s="5" t="str">
        <f>CONCATENATE("MARCA: ",BDEGENER[[#This Row],[MARCA]],"
 MODELO: ",BDEGENER[[#This Row],[MODELO]])</f>
        <v>MARCA: GENERAC
 MODELO: RG022</v>
      </c>
      <c r="AS921" s="5" t="str">
        <f>CONCATENATE("MARCA: ",BDEGENER[[#This Row],[MARCA DE MOTOR]],"
SERIE: ",BDEGENER[[#This Row],[SERIE DE MOTOR]])</f>
        <v xml:space="preserve">MARCA: 
SERIE: </v>
      </c>
      <c r="AT921" s="5" t="str">
        <f>CONCATENATE("MARCA: ",BDEGENER[[#This Row],[MARCA ALTERNADOR ]],"
SERIE: ",BDEGENER[[#This Row],[SERIE DE ALTERNADOR]])</f>
        <v xml:space="preserve">MARCA: 
SERIE: </v>
      </c>
      <c r="AU921" s="5" t="str">
        <f>CONCATENATE("HORAS: ",BDEGENER[[#This Row],[HORAS]],"
KW-HR: ",BDEGENER[[#This Row],[KW-HORA]],"
VOLT.BATERIA: ",BDEGENER[[#This Row],[VOLTAJE DE BATERIA]],"
TEMPERATURA: ",BDEGENER[[#This Row],[TEMPERATURA DE AGUA]],"
PRES. ACEITE: ",BDEGENER[[#This Row],[PRESION DE ACEITE]])</f>
        <v xml:space="preserve">HORAS: 5863,9
KW-HR: 
VOLT.BATERIA: 
TEMPERATURA: 
PRES. ACEITE: </v>
      </c>
      <c r="AV921" s="683">
        <f>COUNTIFS(Q921:Q2921,"MANTENIMIENTO CORRECTIVO",Y921:Y2921,BDEGENER[[#This Row],[SERIE]])</f>
        <v>3</v>
      </c>
      <c r="AW921" s="683">
        <f>COUNTIFS(Q921:Q2921,"MANTENIMIENTO PREVENTIVO",Y921:Y2921,BDEGENER[[#This Row],[SERIE]])</f>
        <v>0</v>
      </c>
      <c r="AX92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921" s="29">
        <f>COUNTIFS(BDEGENER[SERIE],BDEGENER[[#This Row],[SERIE]],BDEGENER[TIPO DE SERVICIO],"MANTENIMIENTO PREVENTIVO")</f>
        <v>0</v>
      </c>
      <c r="AZ921" s="29" t="str">
        <f>CONCATENATE("MANTENIMIENTO PREVENTIVO N°",BDEGENER[[#This Row],[GA1]])</f>
        <v>MANTENIMIENTO PREVENTIVO N°0</v>
      </c>
      <c r="BA921" s="325" t="str">
        <f>IF(BDEGENER[[#This Row],[SERVICIO]]=BDEGENER[[#This Row],[GA2]],BDEGENER[[#This Row],[HORAS]],"0")</f>
        <v>0</v>
      </c>
      <c r="BB921" s="325">
        <f>SUMIF(BDEGENER[SERIE],BDEGENER[[#This Row],[SERIE]],BDEGENER[GA3])</f>
        <v>0</v>
      </c>
      <c r="BC921" s="683" t="str">
        <f>CONCATENATE("MANT",COUNTIF($Y$7:Y921,Y921))</f>
        <v>MANT1</v>
      </c>
      <c r="BD921" s="29" t="str">
        <f>CONCATENATE(BDEGENER[[#This Row],[SERIE]],BDEGENER[[#This Row],[GA5]])</f>
        <v>9658426MANT1</v>
      </c>
      <c r="BE921" s="29" t="str">
        <f>CONCATENATE(BDEGENER[[#This Row],[CODIGO PATRIMONIAL]],BDEGENER[[#This Row],[GA5]])</f>
        <v>GEGA023MANT1</v>
      </c>
      <c r="BF921" s="16">
        <f>COUNTIF(BDEGENER[SERIE],BDEGENER[[#This Row],[SERIE]])</f>
        <v>3</v>
      </c>
      <c r="BG921" s="683" t="str">
        <f>CONCATENATE("F",COUNTIF($K$7:K921,K921))</f>
        <v>F1</v>
      </c>
      <c r="BH921" s="325" t="str">
        <f>CONCATENATE(BDEGENER[[#This Row],[FECHA DE SERVICIO]],BDEGENER[[#This Row],[N° DE REGISTROS DEL DIA]])</f>
        <v>43682F1</v>
      </c>
      <c r="BI921" s="324"/>
      <c r="BJ921" s="325"/>
      <c r="BK921" s="326"/>
    </row>
    <row r="922" spans="2:63" ht="69" hidden="1" x14ac:dyDescent="0.3">
      <c r="B922" s="223"/>
      <c r="C922" s="223"/>
      <c r="D922" s="223"/>
      <c r="E922" s="223"/>
      <c r="F922" s="223"/>
      <c r="G922" s="223"/>
      <c r="H922" s="223"/>
      <c r="I922" s="223"/>
      <c r="J922" s="223"/>
      <c r="K922" s="723">
        <v>43682</v>
      </c>
      <c r="L922" s="15" t="s">
        <v>181</v>
      </c>
      <c r="M922" s="14" t="s">
        <v>193</v>
      </c>
      <c r="N922" s="14" t="s">
        <v>194</v>
      </c>
      <c r="O922" s="8" t="s">
        <v>159</v>
      </c>
      <c r="P922" s="15" t="s">
        <v>159</v>
      </c>
      <c r="Q922" s="14" t="s">
        <v>107</v>
      </c>
      <c r="R922" s="85" t="s">
        <v>1782</v>
      </c>
      <c r="S922" s="5" t="s">
        <v>55</v>
      </c>
      <c r="T922" s="85" t="s">
        <v>1782</v>
      </c>
      <c r="U922" s="14"/>
      <c r="V922" s="14" t="s">
        <v>148</v>
      </c>
      <c r="W922" s="14"/>
      <c r="X922" s="14"/>
      <c r="Y922" s="15">
        <v>9658426</v>
      </c>
      <c r="Z922" s="14" t="s">
        <v>216</v>
      </c>
      <c r="AA922" s="19" t="s">
        <v>33</v>
      </c>
      <c r="AB922" s="19" t="s">
        <v>217</v>
      </c>
      <c r="AC922" s="14" t="s">
        <v>234</v>
      </c>
      <c r="AD922" s="16"/>
      <c r="AE922" s="16"/>
      <c r="AF922" s="12">
        <v>5863.9</v>
      </c>
      <c r="AG922" s="16"/>
      <c r="AH922" s="16"/>
      <c r="AI922" s="16"/>
      <c r="AJ922" s="16"/>
      <c r="AK922" s="16"/>
      <c r="AL922" s="16"/>
      <c r="AM922" s="16"/>
      <c r="AN922" s="16"/>
      <c r="AO922" s="16"/>
      <c r="AP922" s="14" t="s">
        <v>240</v>
      </c>
      <c r="AQ922" s="200" t="str">
        <f>CONCATENATE("REG-",BDEGENER[[#This Row],[FECHA DE SERVICIO]],"-",BDEGENER[[#This Row],[SERIE]],"-",BDEGENER[[#This Row],[HORAS]])</f>
        <v>REG-43682-9658426-5863,9</v>
      </c>
      <c r="AR922" s="5" t="str">
        <f>CONCATENATE("MARCA: ",BDEGENER[[#This Row],[MARCA]],"
 MODELO: ",BDEGENER[[#This Row],[MODELO]])</f>
        <v>MARCA: GENERAC
 MODELO: RG022</v>
      </c>
      <c r="AS922" s="5" t="str">
        <f>CONCATENATE("MARCA: ",BDEGENER[[#This Row],[MARCA DE MOTOR]],"
SERIE: ",BDEGENER[[#This Row],[SERIE DE MOTOR]])</f>
        <v xml:space="preserve">MARCA: 
SERIE: </v>
      </c>
      <c r="AT922" s="5" t="str">
        <f>CONCATENATE("MARCA: ",BDEGENER[[#This Row],[MARCA ALTERNADOR ]],"
SERIE: ",BDEGENER[[#This Row],[SERIE DE ALTERNADOR]])</f>
        <v xml:space="preserve">MARCA: 
SERIE: </v>
      </c>
      <c r="AU922" s="5" t="str">
        <f>CONCATENATE("HORAS: ",BDEGENER[[#This Row],[HORAS]],"
KW-HR: ",BDEGENER[[#This Row],[KW-HORA]],"
VOLT.BATERIA: ",BDEGENER[[#This Row],[VOLTAJE DE BATERIA]],"
TEMPERATURA: ",BDEGENER[[#This Row],[TEMPERATURA DE AGUA]],"
PRES. ACEITE: ",BDEGENER[[#This Row],[PRESION DE ACEITE]])</f>
        <v xml:space="preserve">HORAS: 5863,9
KW-HR: 
VOLT.BATERIA: 
TEMPERATURA: 
PRES. ACEITE: </v>
      </c>
      <c r="AV922" s="761">
        <f>COUNTIFS(Q922:Q2922,"MANTENIMIENTO CORRECTIVO",Y922:Y2922,BDEGENER[[#This Row],[SERIE]])</f>
        <v>2</v>
      </c>
      <c r="AW922" s="761">
        <f>COUNTIFS(Q922:Q2922,"MANTENIMIENTO PREVENTIVO",Y922:Y2922,BDEGENER[[#This Row],[SERIE]])</f>
        <v>0</v>
      </c>
      <c r="AX92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922" s="29">
        <f>COUNTIFS(BDEGENER[SERIE],BDEGENER[[#This Row],[SERIE]],BDEGENER[TIPO DE SERVICIO],"MANTENIMIENTO PREVENTIVO")</f>
        <v>0</v>
      </c>
      <c r="AZ922" s="29" t="str">
        <f>CONCATENATE("MANTENIMIENTO PREVENTIVO N°",BDEGENER[[#This Row],[GA1]])</f>
        <v>MANTENIMIENTO PREVENTIVO N°0</v>
      </c>
      <c r="BA922" s="325" t="str">
        <f>IF(BDEGENER[[#This Row],[SERVICIO]]=BDEGENER[[#This Row],[GA2]],BDEGENER[[#This Row],[HORAS]],"0")</f>
        <v>0</v>
      </c>
      <c r="BB922" s="325">
        <f>SUMIF(BDEGENER[SERIE],BDEGENER[[#This Row],[SERIE]],BDEGENER[GA3])</f>
        <v>0</v>
      </c>
      <c r="BC922" s="761" t="str">
        <f>CONCATENATE("MANT",COUNTIF($Y$7:Y922,Y922))</f>
        <v>MANT2</v>
      </c>
      <c r="BD922" s="29" t="str">
        <f>CONCATENATE(BDEGENER[[#This Row],[SERIE]],BDEGENER[[#This Row],[GA5]])</f>
        <v>9658426MANT2</v>
      </c>
      <c r="BE922" s="29" t="str">
        <f>CONCATENATE(BDEGENER[[#This Row],[CODIGO PATRIMONIAL]],BDEGENER[[#This Row],[GA5]])</f>
        <v>GEGA023MANT2</v>
      </c>
      <c r="BF922" s="16">
        <f>COUNTIF(BDEGENER[SERIE],BDEGENER[[#This Row],[SERIE]])</f>
        <v>3</v>
      </c>
      <c r="BG922" s="761" t="str">
        <f>CONCATENATE("F",COUNTIF($K$7:K922,K922))</f>
        <v>F2</v>
      </c>
      <c r="BH922" s="325" t="str">
        <f>CONCATENATE(BDEGENER[[#This Row],[FECHA DE SERVICIO]],BDEGENER[[#This Row],[N° DE REGISTROS DEL DIA]])</f>
        <v>43682F2</v>
      </c>
      <c r="BI922" s="324"/>
      <c r="BJ922" s="325"/>
      <c r="BK922" s="326"/>
    </row>
    <row r="923" spans="2:63" ht="69" hidden="1" x14ac:dyDescent="0.3">
      <c r="B923" s="223"/>
      <c r="C923" s="223"/>
      <c r="D923" s="223"/>
      <c r="E923" s="223"/>
      <c r="F923" s="223"/>
      <c r="G923" s="223"/>
      <c r="H923" s="223"/>
      <c r="I923" s="223"/>
      <c r="J923" s="223"/>
      <c r="K923" s="723">
        <v>43682</v>
      </c>
      <c r="L923" s="15" t="s">
        <v>181</v>
      </c>
      <c r="M923" s="14" t="s">
        <v>193</v>
      </c>
      <c r="N923" s="14" t="s">
        <v>2782</v>
      </c>
      <c r="O923" s="8"/>
      <c r="P923" s="10"/>
      <c r="Q923" s="14" t="s">
        <v>107</v>
      </c>
      <c r="R923" s="85" t="s">
        <v>1782</v>
      </c>
      <c r="S923" s="5" t="s">
        <v>55</v>
      </c>
      <c r="T923" s="14" t="s">
        <v>96</v>
      </c>
      <c r="U923" s="14" t="s">
        <v>2781</v>
      </c>
      <c r="V923" s="14" t="s">
        <v>148</v>
      </c>
      <c r="W923" s="14"/>
      <c r="X923" s="14"/>
      <c r="Y923" s="15">
        <v>9658425</v>
      </c>
      <c r="Z923" s="14" t="s">
        <v>218</v>
      </c>
      <c r="AA923" s="19" t="s">
        <v>33</v>
      </c>
      <c r="AB923" s="19" t="s">
        <v>217</v>
      </c>
      <c r="AC923" s="14" t="s">
        <v>234</v>
      </c>
      <c r="AD923" s="16"/>
      <c r="AE923" s="16"/>
      <c r="AF923" s="12">
        <v>3305.2</v>
      </c>
      <c r="AG923" s="16"/>
      <c r="AH923" s="16"/>
      <c r="AI923" s="16"/>
      <c r="AJ923" s="16"/>
      <c r="AK923" s="16"/>
      <c r="AL923" s="16"/>
      <c r="AM923" s="16"/>
      <c r="AN923" s="16"/>
      <c r="AO923" s="16"/>
      <c r="AP923" s="14" t="s">
        <v>240</v>
      </c>
      <c r="AQ923" s="200" t="str">
        <f>CONCATENATE("REG-",BDEGENER[[#This Row],[FECHA DE SERVICIO]],"-",BDEGENER[[#This Row],[SERIE]],"-",BDEGENER[[#This Row],[HORAS]])</f>
        <v>REG-43682-9658425-3305,2</v>
      </c>
      <c r="AR923" s="5" t="str">
        <f>CONCATENATE("MARCA: ",BDEGENER[[#This Row],[MARCA]],"
 MODELO: ",BDEGENER[[#This Row],[MODELO]])</f>
        <v>MARCA: GENERAC
 MODELO: RG022</v>
      </c>
      <c r="AS923" s="5" t="str">
        <f>CONCATENATE("MARCA: ",BDEGENER[[#This Row],[MARCA DE MOTOR]],"
SERIE: ",BDEGENER[[#This Row],[SERIE DE MOTOR]])</f>
        <v xml:space="preserve">MARCA: 
SERIE: </v>
      </c>
      <c r="AT923" s="5" t="str">
        <f>CONCATENATE("MARCA: ",BDEGENER[[#This Row],[MARCA ALTERNADOR ]],"
SERIE: ",BDEGENER[[#This Row],[SERIE DE ALTERNADOR]])</f>
        <v xml:space="preserve">MARCA: 
SERIE: </v>
      </c>
      <c r="AU923" s="5" t="str">
        <f>CONCATENATE("HORAS: ",BDEGENER[[#This Row],[HORAS]],"
KW-HR: ",BDEGENER[[#This Row],[KW-HORA]],"
VOLT.BATERIA: ",BDEGENER[[#This Row],[VOLTAJE DE BATERIA]],"
TEMPERATURA: ",BDEGENER[[#This Row],[TEMPERATURA DE AGUA]],"
PRES. ACEITE: ",BDEGENER[[#This Row],[PRESION DE ACEITE]])</f>
        <v xml:space="preserve">HORAS: 3305,2
KW-HR: 
VOLT.BATERIA: 
TEMPERATURA: 
PRES. ACEITE: </v>
      </c>
      <c r="AV923" s="683">
        <f>COUNTIFS(Q923:Q2923,"MANTENIMIENTO CORRECTIVO",Y923:Y2923,BDEGENER[[#This Row],[SERIE]])</f>
        <v>2</v>
      </c>
      <c r="AW923" s="683">
        <f>COUNTIFS(Q923:Q2923,"MANTENIMIENTO PREVENTIVO",Y923:Y2923,BDEGENER[[#This Row],[SERIE]])</f>
        <v>0</v>
      </c>
      <c r="AX92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923" s="29">
        <f>COUNTIFS(BDEGENER[SERIE],BDEGENER[[#This Row],[SERIE]],BDEGENER[TIPO DE SERVICIO],"MANTENIMIENTO PREVENTIVO")</f>
        <v>0</v>
      </c>
      <c r="AZ923" s="29" t="str">
        <f>CONCATENATE("MANTENIMIENTO PREVENTIVO N°",BDEGENER[[#This Row],[GA1]])</f>
        <v>MANTENIMIENTO PREVENTIVO N°0</v>
      </c>
      <c r="BA923" s="325" t="str">
        <f>IF(BDEGENER[[#This Row],[SERVICIO]]=BDEGENER[[#This Row],[GA2]],BDEGENER[[#This Row],[HORAS]],"0")</f>
        <v>0</v>
      </c>
      <c r="BB923" s="325">
        <f>SUMIF(BDEGENER[SERIE],BDEGENER[[#This Row],[SERIE]],BDEGENER[GA3])</f>
        <v>0</v>
      </c>
      <c r="BC923" s="683" t="str">
        <f>CONCATENATE("MANT",COUNTIF($Y$7:Y923,Y923))</f>
        <v>MANT1</v>
      </c>
      <c r="BD923" s="29" t="str">
        <f>CONCATENATE(BDEGENER[[#This Row],[SERIE]],BDEGENER[[#This Row],[GA5]])</f>
        <v>9658425MANT1</v>
      </c>
      <c r="BE923" s="29" t="str">
        <f>CONCATENATE(BDEGENER[[#This Row],[CODIGO PATRIMONIAL]],BDEGENER[[#This Row],[GA5]])</f>
        <v>GEGA022MANT1</v>
      </c>
      <c r="BF923" s="16">
        <f>COUNTIF(BDEGENER[SERIE],BDEGENER[[#This Row],[SERIE]])</f>
        <v>2</v>
      </c>
      <c r="BG923" s="683" t="str">
        <f>CONCATENATE("F",COUNTIF($K$7:K923,K923))</f>
        <v>F3</v>
      </c>
      <c r="BH923" s="325" t="str">
        <f>CONCATENATE(BDEGENER[[#This Row],[FECHA DE SERVICIO]],BDEGENER[[#This Row],[N° DE REGISTROS DEL DIA]])</f>
        <v>43682F3</v>
      </c>
      <c r="BI923" s="324"/>
      <c r="BJ923" s="325"/>
      <c r="BK923" s="326"/>
    </row>
    <row r="924" spans="2:63" ht="69" hidden="1" x14ac:dyDescent="0.3">
      <c r="B924" s="223"/>
      <c r="C924" s="223"/>
      <c r="D924" s="223"/>
      <c r="E924" s="223"/>
      <c r="F924" s="223"/>
      <c r="G924" s="223"/>
      <c r="H924" s="223"/>
      <c r="I924" s="223"/>
      <c r="J924" s="223"/>
      <c r="K924" s="723">
        <v>43682</v>
      </c>
      <c r="L924" s="15" t="s">
        <v>181</v>
      </c>
      <c r="M924" s="14" t="s">
        <v>3603</v>
      </c>
      <c r="N924" s="14" t="s">
        <v>196</v>
      </c>
      <c r="O924" s="8"/>
      <c r="P924" s="10"/>
      <c r="Q924" s="14" t="s">
        <v>107</v>
      </c>
      <c r="R924" s="85" t="s">
        <v>1782</v>
      </c>
      <c r="S924" s="5" t="s">
        <v>56</v>
      </c>
      <c r="T924" s="85" t="s">
        <v>1782</v>
      </c>
      <c r="U924" s="14"/>
      <c r="V924" s="14" t="s">
        <v>149</v>
      </c>
      <c r="W924" s="14"/>
      <c r="X924" s="14"/>
      <c r="Y924" s="15">
        <v>8893263</v>
      </c>
      <c r="Z924" s="14"/>
      <c r="AA924" s="14" t="s">
        <v>33</v>
      </c>
      <c r="AB924" s="14" t="s">
        <v>210</v>
      </c>
      <c r="AC924" s="14" t="s">
        <v>231</v>
      </c>
      <c r="AD924" s="16"/>
      <c r="AE924" s="16"/>
      <c r="AF924" s="12">
        <v>67</v>
      </c>
      <c r="AG924" s="16"/>
      <c r="AH924" s="16"/>
      <c r="AI924" s="16"/>
      <c r="AJ924" s="16"/>
      <c r="AK924" s="16"/>
      <c r="AL924" s="16"/>
      <c r="AM924" s="16"/>
      <c r="AN924" s="16"/>
      <c r="AO924" s="16"/>
      <c r="AP924" s="14" t="s">
        <v>240</v>
      </c>
      <c r="AQ924" s="6" t="str">
        <f>CONCATENATE("REG-",BDEGENER[[#This Row],[FECHA DE SERVICIO]],"-",BDEGENER[[#This Row],[SERIE]],"-",BDEGENER[[#This Row],[HORAS]])</f>
        <v>REG-43682-8893263-67</v>
      </c>
      <c r="AR924" s="5" t="str">
        <f>CONCATENATE("MARCA: ",BDEGENER[[#This Row],[MARCA]],"
 MODELO: ",BDEGENER[[#This Row],[MODELO]])</f>
        <v>MARCA: GENERAC
 MODELO: 0062370</v>
      </c>
      <c r="AS924" s="5" t="str">
        <f>CONCATENATE("MARCA: ",BDEGENER[[#This Row],[MARCA DE MOTOR]],"
SERIE: ",BDEGENER[[#This Row],[SERIE DE MOTOR]])</f>
        <v xml:space="preserve">MARCA: 
SERIE: </v>
      </c>
      <c r="AT924" s="5" t="str">
        <f>CONCATENATE("MARCA: ",BDEGENER[[#This Row],[MARCA ALTERNADOR ]],"
SERIE: ",BDEGENER[[#This Row],[SERIE DE ALTERNADOR]])</f>
        <v xml:space="preserve">MARCA: 
SERIE: </v>
      </c>
      <c r="AU924" s="5" t="str">
        <f>CONCATENATE("HORAS: ",BDEGENER[[#This Row],[HORAS]],"
KW-HR: ",BDEGENER[[#This Row],[KW-HORA]],"
VOLT.BATERIA: ",BDEGENER[[#This Row],[VOLTAJE DE BATERIA]],"
TEMPERATURA: ",BDEGENER[[#This Row],[TEMPERATURA DE AGUA]],"
PRES. ACEITE: ",BDEGENER[[#This Row],[PRESION DE ACEITE]])</f>
        <v xml:space="preserve">HORAS: 67
KW-HR: 
VOLT.BATERIA: 
TEMPERATURA: 
PRES. ACEITE: </v>
      </c>
      <c r="AV924" s="683">
        <f>COUNTIFS(Q924:Q2924,"MANTENIMIENTO CORRECTIVO",Y924:Y2924,BDEGENER[[#This Row],[SERIE]])</f>
        <v>2</v>
      </c>
      <c r="AW924" s="683">
        <f>COUNTIFS(Q924:Q2924,"MANTENIMIENTO PREVENTIVO",Y924:Y2924,BDEGENER[[#This Row],[SERIE]])</f>
        <v>1</v>
      </c>
      <c r="AX92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924" s="29">
        <f>COUNTIFS(BDEGENER[SERIE],BDEGENER[[#This Row],[SERIE]],BDEGENER[TIPO DE SERVICIO],"MANTENIMIENTO PREVENTIVO")</f>
        <v>3</v>
      </c>
      <c r="AZ924" s="29" t="str">
        <f>CONCATENATE("MANTENIMIENTO PREVENTIVO N°",BDEGENER[[#This Row],[GA1]])</f>
        <v>MANTENIMIENTO PREVENTIVO N°3</v>
      </c>
      <c r="BA924" s="325" t="str">
        <f>IF(BDEGENER[[#This Row],[SERVICIO]]=BDEGENER[[#This Row],[GA2]],BDEGENER[[#This Row],[HORAS]],"0")</f>
        <v>0</v>
      </c>
      <c r="BB924" s="325">
        <f>SUMIF(BDEGENER[SERIE],BDEGENER[[#This Row],[SERIE]],BDEGENER[GA3])</f>
        <v>351.77</v>
      </c>
      <c r="BC924" s="683" t="str">
        <f>CONCATENATE("MANT",COUNTIF($Y$7:Y924,Y924))</f>
        <v>MANT3</v>
      </c>
      <c r="BD924" s="29" t="str">
        <f>CONCATENATE(BDEGENER[[#This Row],[SERIE]],BDEGENER[[#This Row],[GA5]])</f>
        <v>8893263MANT3</v>
      </c>
      <c r="BE924" s="29" t="str">
        <f>CONCATENATE(BDEGENER[[#This Row],[CODIGO PATRIMONIAL]],BDEGENER[[#This Row],[GA5]])</f>
        <v>MANT3</v>
      </c>
      <c r="BF924" s="16">
        <f>COUNTIF(BDEGENER[SERIE],BDEGENER[[#This Row],[SERIE]])</f>
        <v>5</v>
      </c>
      <c r="BG924" s="683" t="str">
        <f>CONCATENATE("F",COUNTIF($K$7:K924,K924))</f>
        <v>F4</v>
      </c>
      <c r="BH924" s="325" t="str">
        <f>CONCATENATE(BDEGENER[[#This Row],[FECHA DE SERVICIO]],BDEGENER[[#This Row],[N° DE REGISTROS DEL DIA]])</f>
        <v>43682F4</v>
      </c>
      <c r="BI924" s="324"/>
      <c r="BJ924" s="325"/>
      <c r="BK924" s="326"/>
    </row>
    <row r="925" spans="2:63" ht="69" hidden="1" x14ac:dyDescent="0.3">
      <c r="B925" s="129"/>
      <c r="C925" s="129"/>
      <c r="D925" s="129"/>
      <c r="E925" s="129"/>
      <c r="F925" s="129"/>
      <c r="G925" s="129"/>
      <c r="H925" s="129"/>
      <c r="I925" s="129"/>
      <c r="J925" s="129"/>
      <c r="K925" s="131">
        <v>43678</v>
      </c>
      <c r="L925" s="130" t="s">
        <v>561</v>
      </c>
      <c r="M925" s="85" t="s">
        <v>565</v>
      </c>
      <c r="N925" s="85" t="s">
        <v>566</v>
      </c>
      <c r="O925" s="85"/>
      <c r="P925" s="85"/>
      <c r="Q925" s="85" t="s">
        <v>37</v>
      </c>
      <c r="R925" s="85" t="s">
        <v>1782</v>
      </c>
      <c r="S925" s="6" t="s">
        <v>1229</v>
      </c>
      <c r="T925" s="85" t="s">
        <v>1227</v>
      </c>
      <c r="U925" s="85" t="s">
        <v>1228</v>
      </c>
      <c r="V925" s="85" t="s">
        <v>146</v>
      </c>
      <c r="W925" s="85" t="s">
        <v>913</v>
      </c>
      <c r="X925" s="85" t="s">
        <v>918</v>
      </c>
      <c r="Y925" s="130">
        <v>3004370193</v>
      </c>
      <c r="Z925" s="85" t="s">
        <v>2599</v>
      </c>
      <c r="AA925" s="19" t="s">
        <v>33</v>
      </c>
      <c r="AB925" s="19" t="s">
        <v>217</v>
      </c>
      <c r="AC925" s="85" t="s">
        <v>749</v>
      </c>
      <c r="AD925" s="85" t="s">
        <v>1230</v>
      </c>
      <c r="AE925" s="85">
        <v>50</v>
      </c>
      <c r="AF925" s="132">
        <v>502.7</v>
      </c>
      <c r="AG925" s="85"/>
      <c r="AH925" s="85"/>
      <c r="AI925" s="85"/>
      <c r="AJ925" s="85"/>
      <c r="AK925" s="85"/>
      <c r="AL925" s="85"/>
      <c r="AM925" s="85"/>
      <c r="AN925" s="85"/>
      <c r="AO925" s="85"/>
      <c r="AP925" s="85" t="s">
        <v>240</v>
      </c>
      <c r="AQ925" s="9" t="str">
        <f>CONCATENATE("REG-",BDEGENER[[#This Row],[FECHA DE SERVICIO]],"-",BDEGENER[[#This Row],[SERIE]],"-",BDEGENER[[#This Row],[HORAS]])</f>
        <v>REG-43678-3004370193-502,7</v>
      </c>
      <c r="AR925" s="85" t="str">
        <f>CONCATENATE("MARCA: ",BDEGENER[[#This Row],[MARCA]],"
 MODELO: ",BDEGENER[[#This Row],[MODELO]])</f>
        <v>MARCA: GENERAC
 MODELO: RG022</v>
      </c>
      <c r="AS925" s="85" t="str">
        <f>CONCATENATE("MARCA: ",BDEGENER[[#This Row],[MARCA DE MOTOR]],"
SERIE: ",BDEGENER[[#This Row],[SERIE DE MOTOR]])</f>
        <v xml:space="preserve">MARCA: 
SERIE: </v>
      </c>
      <c r="AT925" s="85" t="str">
        <f>CONCATENATE("MARCA: ",BDEGENER[[#This Row],[MARCA ALTERNADOR ]],"
SERIE: ",BDEGENER[[#This Row],[SERIE DE ALTERNADOR]])</f>
        <v xml:space="preserve">MARCA: 
SERIE: </v>
      </c>
      <c r="AU925" s="85" t="str">
        <f>CONCATENATE("HORAS: ",BDEGENER[[#This Row],[HORAS]],"
KW-HR: ",BDEGENER[[#This Row],[KW-HORA]],"
VOLT.BATERIA: ",BDEGENER[[#This Row],[VOLTAJE DE BATERIA]],"
TEMPERATURA: ",BDEGENER[[#This Row],[TEMPERATURA DE AGUA]],"
PRES. ACEITE: ",BDEGENER[[#This Row],[PRESION DE ACEITE]])</f>
        <v xml:space="preserve">HORAS: 502,7
KW-HR: 
VOLT.BATERIA: 
TEMPERATURA: 
PRES. ACEITE: </v>
      </c>
      <c r="AV925" s="761">
        <f>COUNTIFS(Q925:Q2925,"MANTENIMIENTO CORRECTIVO",Y925:Y2925,BDEGENER[[#This Row],[SERIE]])</f>
        <v>0</v>
      </c>
      <c r="AW925" s="761">
        <f>COUNTIFS(Q925:Q2925,"MANTENIMIENTO PREVENTIVO",Y925:Y2925,BDEGENER[[#This Row],[SERIE]])</f>
        <v>2</v>
      </c>
      <c r="AX925"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25" s="85">
        <f>COUNTIFS(BDEGENER[SERIE],BDEGENER[[#This Row],[SERIE]],BDEGENER[TIPO DE SERVICIO],"MANTENIMIENTO PREVENTIVO")</f>
        <v>9</v>
      </c>
      <c r="AZ925" s="85" t="str">
        <f>CONCATENATE("MANTENIMIENTO PREVENTIVO N°",BDEGENER[[#This Row],[GA1]])</f>
        <v>MANTENIMIENTO PREVENTIVO N°9</v>
      </c>
      <c r="BA925" s="85" t="str">
        <f>IF(BDEGENER[[#This Row],[SERVICIO]]=BDEGENER[[#This Row],[GA2]],BDEGENER[[#This Row],[HORAS]],"0")</f>
        <v>0</v>
      </c>
      <c r="BB925" s="85">
        <f>SUMIF(BDEGENER[SERIE],BDEGENER[[#This Row],[SERIE]],BDEGENER[GA3])</f>
        <v>3580.3</v>
      </c>
      <c r="BC925" s="761" t="str">
        <f>CONCATENATE("MANT",COUNTIF($Y$7:Y925,Y925))</f>
        <v>MANT14</v>
      </c>
      <c r="BD925" s="85" t="str">
        <f>CONCATENATE(BDEGENER[[#This Row],[SERIE]],BDEGENER[[#This Row],[GA5]])</f>
        <v>3004370193MANT14</v>
      </c>
      <c r="BE925" s="85" t="str">
        <f>CONCATENATE(BDEGENER[[#This Row],[CODIGO PATRIMONIAL]],BDEGENER[[#This Row],[GA5]])</f>
        <v>SUR-GEG-0003MANT14</v>
      </c>
      <c r="BF925" s="129">
        <f>COUNTIF(BDEGENER[SERIE],BDEGENER[[#This Row],[SERIE]])</f>
        <v>16</v>
      </c>
      <c r="BG925" s="761" t="str">
        <f>CONCATENATE("F",COUNTIF($K$7:K925,K925))</f>
        <v>F1</v>
      </c>
      <c r="BH925" s="325" t="str">
        <f>CONCATENATE(BDEGENER[[#This Row],[FECHA DE SERVICIO]],BDEGENER[[#This Row],[N° DE REGISTROS DEL DIA]])</f>
        <v>43678F1</v>
      </c>
      <c r="BI925" s="324"/>
      <c r="BJ925" s="325"/>
      <c r="BK925" s="326"/>
    </row>
    <row r="926" spans="2:63" ht="69" hidden="1" x14ac:dyDescent="0.3">
      <c r="B926" s="129"/>
      <c r="C926" s="129"/>
      <c r="D926" s="129"/>
      <c r="E926" s="129"/>
      <c r="F926" s="129"/>
      <c r="G926" s="129"/>
      <c r="H926" s="129"/>
      <c r="I926" s="129"/>
      <c r="J926" s="129"/>
      <c r="K926" s="131">
        <v>43678</v>
      </c>
      <c r="L926" s="130" t="s">
        <v>561</v>
      </c>
      <c r="M926" s="85" t="s">
        <v>575</v>
      </c>
      <c r="N926" s="85" t="s">
        <v>576</v>
      </c>
      <c r="O926" s="85"/>
      <c r="P926" s="85"/>
      <c r="Q926" s="85" t="s">
        <v>37</v>
      </c>
      <c r="R926" s="85" t="s">
        <v>1782</v>
      </c>
      <c r="S926" s="6" t="s">
        <v>1229</v>
      </c>
      <c r="T926" s="85" t="s">
        <v>1227</v>
      </c>
      <c r="U926" s="85" t="s">
        <v>1228</v>
      </c>
      <c r="V926" s="85" t="s">
        <v>146</v>
      </c>
      <c r="W926" s="85" t="s">
        <v>913</v>
      </c>
      <c r="X926" s="85" t="s">
        <v>918</v>
      </c>
      <c r="Y926" s="130">
        <v>3004370195</v>
      </c>
      <c r="Z926" s="692" t="s">
        <v>2597</v>
      </c>
      <c r="AA926" s="19" t="s">
        <v>33</v>
      </c>
      <c r="AB926" s="19" t="s">
        <v>217</v>
      </c>
      <c r="AC926" s="85" t="s">
        <v>749</v>
      </c>
      <c r="AD926" s="85" t="s">
        <v>1230</v>
      </c>
      <c r="AE926" s="85">
        <v>50</v>
      </c>
      <c r="AF926" s="132">
        <v>439.7</v>
      </c>
      <c r="AG926" s="85"/>
      <c r="AH926" s="85"/>
      <c r="AI926" s="85"/>
      <c r="AJ926" s="85"/>
      <c r="AK926" s="85"/>
      <c r="AL926" s="85"/>
      <c r="AM926" s="85"/>
      <c r="AN926" s="85"/>
      <c r="AO926" s="85"/>
      <c r="AP926" s="85" t="s">
        <v>240</v>
      </c>
      <c r="AQ926" s="9" t="str">
        <f>CONCATENATE("REG-",BDEGENER[[#This Row],[FECHA DE SERVICIO]],"-",BDEGENER[[#This Row],[SERIE]],"-",BDEGENER[[#This Row],[HORAS]])</f>
        <v>REG-43678-3004370195-439,7</v>
      </c>
      <c r="AR926" s="85" t="str">
        <f>CONCATENATE("MARCA: ",BDEGENER[[#This Row],[MARCA]],"
 MODELO: ",BDEGENER[[#This Row],[MODELO]])</f>
        <v>MARCA: GENERAC
 MODELO: RG022</v>
      </c>
      <c r="AS926" s="85" t="str">
        <f>CONCATENATE("MARCA: ",BDEGENER[[#This Row],[MARCA DE MOTOR]],"
SERIE: ",BDEGENER[[#This Row],[SERIE DE MOTOR]])</f>
        <v xml:space="preserve">MARCA: 
SERIE: </v>
      </c>
      <c r="AT926" s="85" t="str">
        <f>CONCATENATE("MARCA: ",BDEGENER[[#This Row],[MARCA ALTERNADOR ]],"
SERIE: ",BDEGENER[[#This Row],[SERIE DE ALTERNADOR]])</f>
        <v xml:space="preserve">MARCA: 
SERIE: </v>
      </c>
      <c r="AU926" s="85" t="str">
        <f>CONCATENATE("HORAS: ",BDEGENER[[#This Row],[HORAS]],"
KW-HR: ",BDEGENER[[#This Row],[KW-HORA]],"
VOLT.BATERIA: ",BDEGENER[[#This Row],[VOLTAJE DE BATERIA]],"
TEMPERATURA: ",BDEGENER[[#This Row],[TEMPERATURA DE AGUA]],"
PRES. ACEITE: ",BDEGENER[[#This Row],[PRESION DE ACEITE]])</f>
        <v xml:space="preserve">HORAS: 439,7
KW-HR: 
VOLT.BATERIA: 
TEMPERATURA: 
PRES. ACEITE: </v>
      </c>
      <c r="AV926" s="683">
        <f>COUNTIFS(Q926:Q2926,"MANTENIMIENTO CORRECTIVO",Y926:Y2926,BDEGENER[[#This Row],[SERIE]])</f>
        <v>0</v>
      </c>
      <c r="AW926" s="683">
        <f>COUNTIFS(Q926:Q2926,"MANTENIMIENTO PREVENTIVO",Y926:Y2926,BDEGENER[[#This Row],[SERIE]])</f>
        <v>2</v>
      </c>
      <c r="AX92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26" s="85">
        <f>COUNTIFS(BDEGENER[SERIE],BDEGENER[[#This Row],[SERIE]],BDEGENER[TIPO DE SERVICIO],"MANTENIMIENTO PREVENTIVO")</f>
        <v>7</v>
      </c>
      <c r="AZ926" s="85" t="str">
        <f>CONCATENATE("MANTENIMIENTO PREVENTIVO N°",BDEGENER[[#This Row],[GA1]])</f>
        <v>MANTENIMIENTO PREVENTIVO N°7</v>
      </c>
      <c r="BA926" s="85" t="str">
        <f>IF(BDEGENER[[#This Row],[SERVICIO]]=BDEGENER[[#This Row],[GA2]],BDEGENER[[#This Row],[HORAS]],"0")</f>
        <v>0</v>
      </c>
      <c r="BB926" s="85">
        <f>SUMIF(BDEGENER[SERIE],BDEGENER[[#This Row],[SERIE]],BDEGENER[GA3])</f>
        <v>3519.7</v>
      </c>
      <c r="BC926" s="683" t="str">
        <f>CONCATENATE("MANT",COUNTIF($Y$7:Y926,Y926))</f>
        <v>MANT10</v>
      </c>
      <c r="BD926" s="85" t="str">
        <f>CONCATENATE(BDEGENER[[#This Row],[SERIE]],BDEGENER[[#This Row],[GA5]])</f>
        <v>3004370195MANT10</v>
      </c>
      <c r="BE926" s="85" t="str">
        <f>CONCATENATE(BDEGENER[[#This Row],[CODIGO PATRIMONIAL]],BDEGENER[[#This Row],[GA5]])</f>
        <v>SUR-GEG-0001MANT10</v>
      </c>
      <c r="BF926" s="129">
        <f>COUNTIF(BDEGENER[SERIE],BDEGENER[[#This Row],[SERIE]])</f>
        <v>12</v>
      </c>
      <c r="BG926" s="683" t="str">
        <f>CONCATENATE("F",COUNTIF($K$7:K926,K926))</f>
        <v>F2</v>
      </c>
      <c r="BH926" s="325" t="str">
        <f>CONCATENATE(BDEGENER[[#This Row],[FECHA DE SERVICIO]],BDEGENER[[#This Row],[N° DE REGISTROS DEL DIA]])</f>
        <v>43678F2</v>
      </c>
      <c r="BI926" s="324"/>
      <c r="BJ926" s="325"/>
      <c r="BK926" s="326"/>
    </row>
    <row r="927" spans="2:63" ht="69" hidden="1" x14ac:dyDescent="0.3">
      <c r="B927" s="34"/>
      <c r="C927" s="34"/>
      <c r="D927" s="34"/>
      <c r="E927" s="34"/>
      <c r="F927" s="34"/>
      <c r="G927" s="34"/>
      <c r="H927" s="34"/>
      <c r="I927" s="34"/>
      <c r="J927" s="34"/>
      <c r="K927" s="37">
        <v>43678</v>
      </c>
      <c r="L927" s="30" t="s">
        <v>561</v>
      </c>
      <c r="M927" s="19" t="s">
        <v>569</v>
      </c>
      <c r="N927" s="19" t="s">
        <v>570</v>
      </c>
      <c r="O927" s="19"/>
      <c r="P927" s="19"/>
      <c r="Q927" s="19" t="s">
        <v>37</v>
      </c>
      <c r="R927" s="85" t="s">
        <v>1782</v>
      </c>
      <c r="S927" s="19" t="s">
        <v>596</v>
      </c>
      <c r="T927" s="85" t="s">
        <v>1782</v>
      </c>
      <c r="U927" s="19" t="s">
        <v>693</v>
      </c>
      <c r="V927" s="19" t="s">
        <v>146</v>
      </c>
      <c r="W927" s="683" t="s">
        <v>913</v>
      </c>
      <c r="X927" s="691" t="s">
        <v>918</v>
      </c>
      <c r="Y927" s="31">
        <v>3004555912</v>
      </c>
      <c r="Z927" s="692" t="s">
        <v>2607</v>
      </c>
      <c r="AA927" s="19" t="s">
        <v>33</v>
      </c>
      <c r="AB927" s="19" t="s">
        <v>217</v>
      </c>
      <c r="AC927" s="19" t="s">
        <v>749</v>
      </c>
      <c r="AD927" s="16"/>
      <c r="AE927" s="16"/>
      <c r="AF927" s="146">
        <v>54.5</v>
      </c>
      <c r="AG927" s="85" t="s">
        <v>243</v>
      </c>
      <c r="AH927" s="16"/>
      <c r="AI927" s="16"/>
      <c r="AJ927" s="16"/>
      <c r="AK927" s="16"/>
      <c r="AL927" s="16"/>
      <c r="AM927" s="16"/>
      <c r="AN927" s="16"/>
      <c r="AO927" s="16"/>
      <c r="AP927" s="19" t="s">
        <v>240</v>
      </c>
      <c r="AQ927" s="127" t="str">
        <f>CONCATENATE("REG-",BDEGENER[[#This Row],[FECHA DE SERVICIO]],"-",BDEGENER[[#This Row],[SERIE]],"-",BDEGENER[[#This Row],[HORAS]])</f>
        <v>REG-43678-3004555912-54,5</v>
      </c>
      <c r="AR927" s="5" t="str">
        <f>CONCATENATE("MARCA: ",BDEGENER[[#This Row],[MARCA]],"
 MODELO: ",BDEGENER[[#This Row],[MODELO]])</f>
        <v>MARCA: GENERAC
 MODELO: RG022</v>
      </c>
      <c r="AS927" s="5" t="str">
        <f>CONCATENATE("MARCA: ",BDEGENER[[#This Row],[MARCA DE MOTOR]],"
SERIE: ",BDEGENER[[#This Row],[SERIE DE MOTOR]])</f>
        <v xml:space="preserve">MARCA: 
SERIE: </v>
      </c>
      <c r="AT927" s="5" t="str">
        <f>CONCATENATE("MARCA: ",BDEGENER[[#This Row],[MARCA ALTERNADOR ]],"
SERIE: ",BDEGENER[[#This Row],[SERIE DE ALTERNADOR]])</f>
        <v xml:space="preserve">MARCA: 
SERIE: </v>
      </c>
      <c r="AU927" s="29" t="str">
        <f>CONCATENATE("HORAS: ",BDEGENER[[#This Row],[HORAS]],"
KW-HR: ",BDEGENER[[#This Row],[KW-HORA]],"
VOLT.BATERIA: ",BDEGENER[[#This Row],[VOLTAJE DE BATERIA]],"
TEMPERATURA: ",BDEGENER[[#This Row],[TEMPERATURA DE AGUA]],"
PRES. ACEITE: ",BDEGENER[[#This Row],[PRESION DE ACEITE]])</f>
        <v xml:space="preserve">HORAS: 54,5
KW-HR: 
VOLT.BATERIA: 
TEMPERATURA: 
PRES. ACEITE: </v>
      </c>
      <c r="AV927" s="683">
        <f>COUNTIFS(Q927:Q2927,"MANTENIMIENTO CORRECTIVO",Y927:Y2927,BDEGENER[[#This Row],[SERIE]])</f>
        <v>0</v>
      </c>
      <c r="AW927" s="683">
        <f>COUNTIFS(Q927:Q2927,"MANTENIMIENTO PREVENTIVO",Y927:Y2927,BDEGENER[[#This Row],[SERIE]])</f>
        <v>1</v>
      </c>
      <c r="AX92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27" s="29">
        <f>COUNTIFS(BDEGENER[SERIE],BDEGENER[[#This Row],[SERIE]],BDEGENER[TIPO DE SERVICIO],"MANTENIMIENTO PREVENTIVO")</f>
        <v>6</v>
      </c>
      <c r="AZ927" s="29" t="str">
        <f>CONCATENATE("MANTENIMIENTO PREVENTIVO N°",BDEGENER[[#This Row],[GA1]])</f>
        <v>MANTENIMIENTO PREVENTIVO N°6</v>
      </c>
      <c r="BA927" s="325" t="str">
        <f>IF(BDEGENER[[#This Row],[SERVICIO]]=BDEGENER[[#This Row],[GA2]],BDEGENER[[#This Row],[HORAS]],"0")</f>
        <v>0</v>
      </c>
      <c r="BB927" s="325">
        <f>SUMIF(BDEGENER[SERIE],BDEGENER[[#This Row],[SERIE]],BDEGENER[GA3])</f>
        <v>2869.9</v>
      </c>
      <c r="BC927" s="683" t="str">
        <f>CONCATENATE("MANT",COUNTIF($Y$7:Y927,Y927))</f>
        <v>MANT10</v>
      </c>
      <c r="BD927" s="29" t="str">
        <f>CONCATENATE(BDEGENER[[#This Row],[SERIE]],BDEGENER[[#This Row],[GA5]])</f>
        <v>3004555912MANT10</v>
      </c>
      <c r="BE927" s="29" t="str">
        <f>CONCATENATE(BDEGENER[[#This Row],[CODIGO PATRIMONIAL]],BDEGENER[[#This Row],[GA5]])</f>
        <v>SUR-GEG-0011MANT10</v>
      </c>
      <c r="BF927" s="16">
        <f>COUNTIF(BDEGENER[SERIE],BDEGENER[[#This Row],[SERIE]])</f>
        <v>11</v>
      </c>
      <c r="BG927" s="683" t="str">
        <f>CONCATENATE("F",COUNTIF($K$7:K927,K927))</f>
        <v>F3</v>
      </c>
      <c r="BH927" s="325" t="str">
        <f>CONCATENATE(BDEGENER[[#This Row],[FECHA DE SERVICIO]],BDEGENER[[#This Row],[N° DE REGISTROS DEL DIA]])</f>
        <v>43678F3</v>
      </c>
      <c r="BI927" s="324"/>
      <c r="BJ927" s="325"/>
      <c r="BK927" s="326"/>
    </row>
    <row r="928" spans="2:63" ht="69" hidden="1" x14ac:dyDescent="0.3">
      <c r="B928" s="34"/>
      <c r="C928" s="34"/>
      <c r="D928" s="34"/>
      <c r="E928" s="34"/>
      <c r="F928" s="34"/>
      <c r="G928" s="34"/>
      <c r="H928" s="34"/>
      <c r="I928" s="34"/>
      <c r="J928" s="34"/>
      <c r="K928" s="37">
        <v>43678</v>
      </c>
      <c r="L928" s="30" t="s">
        <v>561</v>
      </c>
      <c r="M928" s="19" t="s">
        <v>569</v>
      </c>
      <c r="N928" s="19" t="s">
        <v>570</v>
      </c>
      <c r="O928" s="19"/>
      <c r="P928" s="19"/>
      <c r="Q928" s="19" t="s">
        <v>37</v>
      </c>
      <c r="R928" s="85" t="s">
        <v>1782</v>
      </c>
      <c r="S928" s="19" t="s">
        <v>596</v>
      </c>
      <c r="T928" s="85" t="s">
        <v>1782</v>
      </c>
      <c r="U928" s="19" t="s">
        <v>693</v>
      </c>
      <c r="V928" s="19" t="s">
        <v>146</v>
      </c>
      <c r="W928" s="683" t="s">
        <v>913</v>
      </c>
      <c r="X928" s="691" t="s">
        <v>918</v>
      </c>
      <c r="Y928" s="31">
        <v>3004597775</v>
      </c>
      <c r="Z928" s="692" t="s">
        <v>2608</v>
      </c>
      <c r="AA928" s="19" t="s">
        <v>33</v>
      </c>
      <c r="AB928" s="19" t="s">
        <v>217</v>
      </c>
      <c r="AC928" s="19" t="s">
        <v>749</v>
      </c>
      <c r="AD928" s="16"/>
      <c r="AE928" s="16"/>
      <c r="AF928" s="146">
        <v>100.9</v>
      </c>
      <c r="AG928" s="722"/>
      <c r="AH928" s="16"/>
      <c r="AI928" s="16"/>
      <c r="AJ928" s="16"/>
      <c r="AK928" s="16"/>
      <c r="AL928" s="16"/>
      <c r="AM928" s="16"/>
      <c r="AN928" s="16"/>
      <c r="AO928" s="16"/>
      <c r="AP928" s="19" t="s">
        <v>240</v>
      </c>
      <c r="AQ928" s="127" t="str">
        <f>CONCATENATE("REG-",BDEGENER[[#This Row],[FECHA DE SERVICIO]],"-",BDEGENER[[#This Row],[SERIE]],"-",BDEGENER[[#This Row],[HORAS]])</f>
        <v>REG-43678-3004597775-100,9</v>
      </c>
      <c r="AR928" s="5" t="str">
        <f>CONCATENATE("MARCA: ",BDEGENER[[#This Row],[MARCA]],"
 MODELO: ",BDEGENER[[#This Row],[MODELO]])</f>
        <v>MARCA: GENERAC
 MODELO: RG022</v>
      </c>
      <c r="AS928" s="5" t="str">
        <f>CONCATENATE("MARCA: ",BDEGENER[[#This Row],[MARCA DE MOTOR]],"
SERIE: ",BDEGENER[[#This Row],[SERIE DE MOTOR]])</f>
        <v xml:space="preserve">MARCA: 
SERIE: </v>
      </c>
      <c r="AT928" s="5" t="str">
        <f>CONCATENATE("MARCA: ",BDEGENER[[#This Row],[MARCA ALTERNADOR ]],"
SERIE: ",BDEGENER[[#This Row],[SERIE DE ALTERNADOR]])</f>
        <v xml:space="preserve">MARCA: 
SERIE: </v>
      </c>
      <c r="AU928" s="29" t="str">
        <f>CONCATENATE("HORAS: ",BDEGENER[[#This Row],[HORAS]],"
KW-HR: ",BDEGENER[[#This Row],[KW-HORA]],"
VOLT.BATERIA: ",BDEGENER[[#This Row],[VOLTAJE DE BATERIA]],"
TEMPERATURA: ",BDEGENER[[#This Row],[TEMPERATURA DE AGUA]],"
PRES. ACEITE: ",BDEGENER[[#This Row],[PRESION DE ACEITE]])</f>
        <v xml:space="preserve">HORAS: 100,9
KW-HR: 
VOLT.BATERIA: 
TEMPERATURA: 
PRES. ACEITE: </v>
      </c>
      <c r="AV928" s="761">
        <f>COUNTIFS(Q928:Q2928,"MANTENIMIENTO CORRECTIVO",Y928:Y2928,BDEGENER[[#This Row],[SERIE]])</f>
        <v>0</v>
      </c>
      <c r="AW928" s="761">
        <f>COUNTIFS(Q928:Q2928,"MANTENIMIENTO PREVENTIVO",Y928:Y2928,BDEGENER[[#This Row],[SERIE]])</f>
        <v>1</v>
      </c>
      <c r="AX92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28" s="29">
        <f>COUNTIFS(BDEGENER[SERIE],BDEGENER[[#This Row],[SERIE]],BDEGENER[TIPO DE SERVICIO],"MANTENIMIENTO PREVENTIVO")</f>
        <v>7</v>
      </c>
      <c r="AZ928" s="29" t="str">
        <f>CONCATENATE("MANTENIMIENTO PREVENTIVO N°",BDEGENER[[#This Row],[GA1]])</f>
        <v>MANTENIMIENTO PREVENTIVO N°7</v>
      </c>
      <c r="BA928" s="325" t="str">
        <f>IF(BDEGENER[[#This Row],[SERVICIO]]=BDEGENER[[#This Row],[GA2]],BDEGENER[[#This Row],[HORAS]],"0")</f>
        <v>0</v>
      </c>
      <c r="BB928" s="325">
        <f>SUMIF(BDEGENER[SERIE],BDEGENER[[#This Row],[SERIE]],BDEGENER[GA3])</f>
        <v>2487</v>
      </c>
      <c r="BC928" s="761" t="str">
        <f>CONCATENATE("MANT",COUNTIF($Y$7:Y928,Y928))</f>
        <v>MANT8</v>
      </c>
      <c r="BD928" s="29" t="str">
        <f>CONCATENATE(BDEGENER[[#This Row],[SERIE]],BDEGENER[[#This Row],[GA5]])</f>
        <v>3004597775MANT8</v>
      </c>
      <c r="BE928" s="29" t="str">
        <f>CONCATENATE(BDEGENER[[#This Row],[CODIGO PATRIMONIAL]],BDEGENER[[#This Row],[GA5]])</f>
        <v>SUR-GEG-0012MANT8</v>
      </c>
      <c r="BF928" s="16">
        <f>COUNTIF(BDEGENER[SERIE],BDEGENER[[#This Row],[SERIE]])</f>
        <v>8</v>
      </c>
      <c r="BG928" s="761" t="str">
        <f>CONCATENATE("F",COUNTIF($K$7:K928,K928))</f>
        <v>F4</v>
      </c>
      <c r="BH928" s="325" t="str">
        <f>CONCATENATE(BDEGENER[[#This Row],[FECHA DE SERVICIO]],BDEGENER[[#This Row],[N° DE REGISTROS DEL DIA]])</f>
        <v>43678F4</v>
      </c>
      <c r="BI928" s="324"/>
      <c r="BJ928" s="325"/>
      <c r="BK928" s="326"/>
    </row>
    <row r="929" spans="2:63" ht="69" hidden="1" x14ac:dyDescent="0.3">
      <c r="B929" s="34"/>
      <c r="C929" s="34"/>
      <c r="D929" s="34"/>
      <c r="E929" s="34"/>
      <c r="F929" s="34"/>
      <c r="G929" s="34"/>
      <c r="H929" s="34"/>
      <c r="I929" s="34"/>
      <c r="J929" s="34"/>
      <c r="K929" s="37">
        <v>43673</v>
      </c>
      <c r="L929" s="30" t="s">
        <v>561</v>
      </c>
      <c r="M929" s="19" t="s">
        <v>573</v>
      </c>
      <c r="N929" s="19" t="s">
        <v>574</v>
      </c>
      <c r="O929" s="19"/>
      <c r="P929" s="19"/>
      <c r="Q929" s="19" t="s">
        <v>37</v>
      </c>
      <c r="R929" s="85" t="s">
        <v>1782</v>
      </c>
      <c r="S929" s="19" t="s">
        <v>42</v>
      </c>
      <c r="T929" s="85" t="s">
        <v>1782</v>
      </c>
      <c r="U929" s="19" t="s">
        <v>694</v>
      </c>
      <c r="V929" s="19" t="s">
        <v>148</v>
      </c>
      <c r="W929" s="740"/>
      <c r="X929" s="741"/>
      <c r="Y929" s="31">
        <v>3003415539</v>
      </c>
      <c r="Z929" s="692" t="s">
        <v>2600</v>
      </c>
      <c r="AA929" s="19" t="s">
        <v>33</v>
      </c>
      <c r="AB929" s="19" t="s">
        <v>217</v>
      </c>
      <c r="AC929" s="19" t="s">
        <v>749</v>
      </c>
      <c r="AD929" s="16"/>
      <c r="AE929" s="16"/>
      <c r="AF929" s="146">
        <v>2492.1</v>
      </c>
      <c r="AG929" s="16"/>
      <c r="AH929" s="16"/>
      <c r="AI929" s="16"/>
      <c r="AJ929" s="16"/>
      <c r="AK929" s="16"/>
      <c r="AL929" s="16"/>
      <c r="AM929" s="16"/>
      <c r="AN929" s="16"/>
      <c r="AO929" s="16"/>
      <c r="AP929" s="19" t="s">
        <v>240</v>
      </c>
      <c r="AQ929" s="6" t="str">
        <f>CONCATENATE("REG-",BDEGENER[[#This Row],[FECHA DE SERVICIO]],"-",BDEGENER[[#This Row],[SERIE]],"-",BDEGENER[[#This Row],[HORAS]])</f>
        <v>REG-43673-3003415539-2492,1</v>
      </c>
      <c r="AR929" s="5" t="str">
        <f>CONCATENATE("MARCA: ",BDEGENER[[#This Row],[MARCA]],"
 MODELO: ",BDEGENER[[#This Row],[MODELO]])</f>
        <v>MARCA: GENERAC
 MODELO: RG022</v>
      </c>
      <c r="AS929" s="5" t="str">
        <f>CONCATENATE("MARCA: ",BDEGENER[[#This Row],[MARCA DE MOTOR]],"
SERIE: ",BDEGENER[[#This Row],[SERIE DE MOTOR]])</f>
        <v xml:space="preserve">MARCA: 
SERIE: </v>
      </c>
      <c r="AT929" s="5" t="str">
        <f>CONCATENATE("MARCA: ",BDEGENER[[#This Row],[MARCA ALTERNADOR ]],"
SERIE: ",BDEGENER[[#This Row],[SERIE DE ALTERNADOR]])</f>
        <v xml:space="preserve">MARCA: 
SERIE: </v>
      </c>
      <c r="AU929" s="29" t="str">
        <f>CONCATENATE("HORAS: ",BDEGENER[[#This Row],[HORAS]],"
KW-HR: ",BDEGENER[[#This Row],[KW-HORA]],"
VOLT.BATERIA: ",BDEGENER[[#This Row],[VOLTAJE DE BATERIA]],"
TEMPERATURA: ",BDEGENER[[#This Row],[TEMPERATURA DE AGUA]],"
PRES. ACEITE: ",BDEGENER[[#This Row],[PRESION DE ACEITE]])</f>
        <v xml:space="preserve">HORAS: 2492,1
KW-HR: 
VOLT.BATERIA: 
TEMPERATURA: 
PRES. ACEITE: </v>
      </c>
      <c r="AV929" s="683">
        <f>COUNTIFS(Q929:Q2929,"MANTENIMIENTO CORRECTIVO",Y929:Y2929,BDEGENER[[#This Row],[SERIE]])</f>
        <v>0</v>
      </c>
      <c r="AW929" s="683">
        <f>COUNTIFS(Q929:Q2929,"MANTENIMIENTO PREVENTIVO",Y929:Y2929,BDEGENER[[#This Row],[SERIE]])</f>
        <v>5</v>
      </c>
      <c r="AX92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929" s="29">
        <f>COUNTIFS(BDEGENER[SERIE],BDEGENER[[#This Row],[SERIE]],BDEGENER[TIPO DE SERVICIO],"MANTENIMIENTO PREVENTIVO")</f>
        <v>11</v>
      </c>
      <c r="AZ929" s="29" t="str">
        <f>CONCATENATE("MANTENIMIENTO PREVENTIVO N°",BDEGENER[[#This Row],[GA1]])</f>
        <v>MANTENIMIENTO PREVENTIVO N°11</v>
      </c>
      <c r="BA929" s="325" t="str">
        <f>IF(BDEGENER[[#This Row],[SERVICIO]]=BDEGENER[[#This Row],[GA2]],BDEGENER[[#This Row],[HORAS]],"0")</f>
        <v>0</v>
      </c>
      <c r="BB929" s="325">
        <f>SUMIF(BDEGENER[SERIE],BDEGENER[[#This Row],[SERIE]],BDEGENER[GA3])</f>
        <v>5881.6</v>
      </c>
      <c r="BC929" s="683" t="str">
        <f>CONCATENATE("MANT",COUNTIF($Y$7:Y929,Y929))</f>
        <v>MANT12</v>
      </c>
      <c r="BD929" s="29" t="str">
        <f>CONCATENATE(BDEGENER[[#This Row],[SERIE]],BDEGENER[[#This Row],[GA5]])</f>
        <v>3003415539MANT12</v>
      </c>
      <c r="BE929" s="29" t="str">
        <f>CONCATENATE(BDEGENER[[#This Row],[CODIGO PATRIMONIAL]],BDEGENER[[#This Row],[GA5]])</f>
        <v>SUR-GEG-0004MANT12</v>
      </c>
      <c r="BF929" s="16">
        <f>COUNTIF(BDEGENER[SERIE],BDEGENER[[#This Row],[SERIE]])</f>
        <v>16</v>
      </c>
      <c r="BG929" s="683" t="str">
        <f>CONCATENATE("F",COUNTIF($K$7:K929,K929))</f>
        <v>F1</v>
      </c>
      <c r="BH929" s="325" t="str">
        <f>CONCATENATE(BDEGENER[[#This Row],[FECHA DE SERVICIO]],BDEGENER[[#This Row],[N° DE REGISTROS DEL DIA]])</f>
        <v>43673F1</v>
      </c>
      <c r="BI929" s="324"/>
      <c r="BJ929" s="325"/>
      <c r="BK929" s="326"/>
    </row>
    <row r="930" spans="2:63" ht="69" hidden="1" x14ac:dyDescent="0.3">
      <c r="B930" s="34"/>
      <c r="C930" s="34"/>
      <c r="D930" s="34"/>
      <c r="E930" s="34"/>
      <c r="F930" s="34"/>
      <c r="G930" s="34"/>
      <c r="H930" s="34"/>
      <c r="I930" s="34"/>
      <c r="J930" s="34"/>
      <c r="K930" s="37">
        <v>43673</v>
      </c>
      <c r="L930" s="30" t="s">
        <v>561</v>
      </c>
      <c r="M930" s="19" t="s">
        <v>580</v>
      </c>
      <c r="N930" s="19" t="s">
        <v>581</v>
      </c>
      <c r="O930" s="19"/>
      <c r="P930" s="19"/>
      <c r="Q930" s="19" t="s">
        <v>109</v>
      </c>
      <c r="R930" s="85" t="s">
        <v>1782</v>
      </c>
      <c r="S930" s="19" t="s">
        <v>620</v>
      </c>
      <c r="T930" s="85" t="s">
        <v>1782</v>
      </c>
      <c r="U930" s="19"/>
      <c r="V930" s="19" t="s">
        <v>148</v>
      </c>
      <c r="W930" s="85" t="s">
        <v>913</v>
      </c>
      <c r="X930" s="85" t="s">
        <v>918</v>
      </c>
      <c r="Y930" s="31">
        <v>3004555912</v>
      </c>
      <c r="Z930" s="692" t="s">
        <v>2607</v>
      </c>
      <c r="AA930" s="19" t="s">
        <v>33</v>
      </c>
      <c r="AB930" s="19" t="s">
        <v>217</v>
      </c>
      <c r="AC930" s="19" t="s">
        <v>749</v>
      </c>
      <c r="AD930" s="16"/>
      <c r="AE930" s="16"/>
      <c r="AF930" s="146">
        <v>0.4</v>
      </c>
      <c r="AG930" s="85" t="s">
        <v>243</v>
      </c>
      <c r="AH930" s="16"/>
      <c r="AI930" s="16"/>
      <c r="AJ930" s="16"/>
      <c r="AK930" s="16"/>
      <c r="AL930" s="16"/>
      <c r="AM930" s="16"/>
      <c r="AN930" s="16"/>
      <c r="AO930" s="16"/>
      <c r="AP930" s="19" t="s">
        <v>240</v>
      </c>
      <c r="AQ930" s="6" t="str">
        <f>CONCATENATE("REG-",BDEGENER[[#This Row],[FECHA DE SERVICIO]],"-",BDEGENER[[#This Row],[SERIE]],"-",BDEGENER[[#This Row],[HORAS]])</f>
        <v>REG-43673-3004555912-0,4</v>
      </c>
      <c r="AR930" s="5" t="str">
        <f>CONCATENATE("MARCA: ",BDEGENER[[#This Row],[MARCA]],"
 MODELO: ",BDEGENER[[#This Row],[MODELO]])</f>
        <v>MARCA: GENERAC
 MODELO: RG022</v>
      </c>
      <c r="AS930" s="5" t="str">
        <f>CONCATENATE("MARCA: ",BDEGENER[[#This Row],[MARCA DE MOTOR]],"
SERIE: ",BDEGENER[[#This Row],[SERIE DE MOTOR]])</f>
        <v xml:space="preserve">MARCA: 
SERIE: </v>
      </c>
      <c r="AT930" s="5" t="str">
        <f>CONCATENATE("MARCA: ",BDEGENER[[#This Row],[MARCA ALTERNADOR ]],"
SERIE: ",BDEGENER[[#This Row],[SERIE DE ALTERNADOR]])</f>
        <v xml:space="preserve">MARCA: 
SERIE: </v>
      </c>
      <c r="AU930" s="29" t="str">
        <f>CONCATENATE("HORAS: ",BDEGENER[[#This Row],[HORAS]],"
KW-HR: ",BDEGENER[[#This Row],[KW-HORA]],"
VOLT.BATERIA: ",BDEGENER[[#This Row],[VOLTAJE DE BATERIA]],"
TEMPERATURA: ",BDEGENER[[#This Row],[TEMPERATURA DE AGUA]],"
PRES. ACEITE: ",BDEGENER[[#This Row],[PRESION DE ACEITE]])</f>
        <v xml:space="preserve">HORAS: 0,4
KW-HR: 
VOLT.BATERIA: 
TEMPERATURA: 
PRES. ACEITE: </v>
      </c>
      <c r="AV930" s="683">
        <f>COUNTIFS(Q930:Q2930,"MANTENIMIENTO CORRECTIVO",Y930:Y2930,BDEGENER[[#This Row],[SERIE]])</f>
        <v>0</v>
      </c>
      <c r="AW930" s="683">
        <f>COUNTIFS(Q930:Q2930,"MANTENIMIENTO PREVENTIVO",Y930:Y2930,BDEGENER[[#This Row],[SERIE]])</f>
        <v>0</v>
      </c>
      <c r="AX93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30" s="29">
        <f>COUNTIFS(BDEGENER[SERIE],BDEGENER[[#This Row],[SERIE]],BDEGENER[TIPO DE SERVICIO],"MANTENIMIENTO PREVENTIVO")</f>
        <v>6</v>
      </c>
      <c r="AZ930" s="29" t="str">
        <f>CONCATENATE("MANTENIMIENTO PREVENTIVO N°",BDEGENER[[#This Row],[GA1]])</f>
        <v>MANTENIMIENTO PREVENTIVO N°6</v>
      </c>
      <c r="BA930" s="325" t="str">
        <f>IF(BDEGENER[[#This Row],[SERVICIO]]=BDEGENER[[#This Row],[GA2]],BDEGENER[[#This Row],[HORAS]],"0")</f>
        <v>0</v>
      </c>
      <c r="BB930" s="325">
        <f>SUMIF(BDEGENER[SERIE],BDEGENER[[#This Row],[SERIE]],BDEGENER[GA3])</f>
        <v>2869.9</v>
      </c>
      <c r="BC930" s="683" t="str">
        <f>CONCATENATE("MANT",COUNTIF($Y$7:Y930,Y930))</f>
        <v>MANT11</v>
      </c>
      <c r="BD930" s="29" t="str">
        <f>CONCATENATE(BDEGENER[[#This Row],[SERIE]],BDEGENER[[#This Row],[GA5]])</f>
        <v>3004555912MANT11</v>
      </c>
      <c r="BE930" s="29" t="str">
        <f>CONCATENATE(BDEGENER[[#This Row],[CODIGO PATRIMONIAL]],BDEGENER[[#This Row],[GA5]])</f>
        <v>SUR-GEG-0011MANT11</v>
      </c>
      <c r="BF930" s="16">
        <f>COUNTIF(BDEGENER[SERIE],BDEGENER[[#This Row],[SERIE]])</f>
        <v>11</v>
      </c>
      <c r="BG930" s="683" t="str">
        <f>CONCATENATE("F",COUNTIF($K$7:K930,K930))</f>
        <v>F2</v>
      </c>
      <c r="BH930" s="325" t="str">
        <f>CONCATENATE(BDEGENER[[#This Row],[FECHA DE SERVICIO]],BDEGENER[[#This Row],[N° DE REGISTROS DEL DIA]])</f>
        <v>43673F2</v>
      </c>
      <c r="BI930" s="324"/>
      <c r="BJ930" s="325"/>
      <c r="BK930" s="326"/>
    </row>
    <row r="931" spans="2:63" ht="69" hidden="1" x14ac:dyDescent="0.3">
      <c r="B931" s="34"/>
      <c r="C931" s="34"/>
      <c r="D931" s="34"/>
      <c r="E931" s="34"/>
      <c r="F931" s="34"/>
      <c r="G931" s="34"/>
      <c r="H931" s="34"/>
      <c r="I931" s="34"/>
      <c r="J931" s="34"/>
      <c r="K931" s="37">
        <v>43662</v>
      </c>
      <c r="L931" s="30" t="s">
        <v>561</v>
      </c>
      <c r="M931" s="85" t="s">
        <v>2439</v>
      </c>
      <c r="N931" s="19" t="s">
        <v>564</v>
      </c>
      <c r="O931" s="19"/>
      <c r="P931" s="19"/>
      <c r="Q931" s="19" t="s">
        <v>108</v>
      </c>
      <c r="R931" s="85" t="s">
        <v>1782</v>
      </c>
      <c r="S931" s="19" t="s">
        <v>621</v>
      </c>
      <c r="T931" s="85" t="s">
        <v>1782</v>
      </c>
      <c r="U931" s="19"/>
      <c r="V931" s="19" t="s">
        <v>148</v>
      </c>
      <c r="W931" s="683" t="s">
        <v>914</v>
      </c>
      <c r="X931" s="691" t="s">
        <v>918</v>
      </c>
      <c r="Y931" s="31">
        <v>3003963149</v>
      </c>
      <c r="Z931" s="692" t="s">
        <v>2603</v>
      </c>
      <c r="AA931" s="85" t="s">
        <v>33</v>
      </c>
      <c r="AB931" s="85" t="s">
        <v>34</v>
      </c>
      <c r="AC931" s="85" t="s">
        <v>230</v>
      </c>
      <c r="AD931" s="16"/>
      <c r="AE931" s="16"/>
      <c r="AF931" s="146">
        <v>152.69999999999999</v>
      </c>
      <c r="AG931" s="722"/>
      <c r="AH931" s="16"/>
      <c r="AI931" s="16"/>
      <c r="AJ931" s="16"/>
      <c r="AK931" s="16"/>
      <c r="AL931" s="16"/>
      <c r="AM931" s="16"/>
      <c r="AN931" s="16"/>
      <c r="AO931" s="16"/>
      <c r="AP931" s="19" t="s">
        <v>557</v>
      </c>
      <c r="AQ931" s="6" t="str">
        <f>CONCATENATE("REG-",BDEGENER[[#This Row],[FECHA DE SERVICIO]],"-",BDEGENER[[#This Row],[SERIE]],"-",BDEGENER[[#This Row],[HORAS]])</f>
        <v>REG-43662-3003963149-152,7</v>
      </c>
      <c r="AR931" s="5" t="str">
        <f>CONCATENATE("MARCA: ",BDEGENER[[#This Row],[MARCA]],"
 MODELO: ",BDEGENER[[#This Row],[MODELO]])</f>
        <v>MARCA: GENERAC
 MODELO: PG090</v>
      </c>
      <c r="AS931" s="5" t="str">
        <f>CONCATENATE("MARCA: ",BDEGENER[[#This Row],[MARCA DE MOTOR]],"
SERIE: ",BDEGENER[[#This Row],[SERIE DE MOTOR]])</f>
        <v xml:space="preserve">MARCA: 
SERIE: </v>
      </c>
      <c r="AT931" s="5" t="str">
        <f>CONCATENATE("MARCA: ",BDEGENER[[#This Row],[MARCA ALTERNADOR ]],"
SERIE: ",BDEGENER[[#This Row],[SERIE DE ALTERNADOR]])</f>
        <v xml:space="preserve">MARCA: 
SERIE: </v>
      </c>
      <c r="AU931" s="29" t="str">
        <f>CONCATENATE("HORAS: ",BDEGENER[[#This Row],[HORAS]],"
KW-HR: ",BDEGENER[[#This Row],[KW-HORA]],"
VOLT.BATERIA: ",BDEGENER[[#This Row],[VOLTAJE DE BATERIA]],"
TEMPERATURA: ",BDEGENER[[#This Row],[TEMPERATURA DE AGUA]],"
PRES. ACEITE: ",BDEGENER[[#This Row],[PRESION DE ACEITE]])</f>
        <v xml:space="preserve">HORAS: 152,7
KW-HR: 
VOLT.BATERIA: 
TEMPERATURA: 
PRES. ACEITE: </v>
      </c>
      <c r="AV931" s="761">
        <f>COUNTIFS(Q931:Q2931,"MANTENIMIENTO CORRECTIVO",Y931:Y2931,BDEGENER[[#This Row],[SERIE]])</f>
        <v>0</v>
      </c>
      <c r="AW931" s="761">
        <f>COUNTIFS(Q931:Q2931,"MANTENIMIENTO PREVENTIVO",Y931:Y2931,BDEGENER[[#This Row],[SERIE]])</f>
        <v>1</v>
      </c>
      <c r="AX93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931" s="29">
        <f>COUNTIFS(BDEGENER[SERIE],BDEGENER[[#This Row],[SERIE]],BDEGENER[TIPO DE SERVICIO],"MANTENIMIENTO PREVENTIVO")</f>
        <v>6</v>
      </c>
      <c r="AZ931" s="29" t="str">
        <f>CONCATENATE("MANTENIMIENTO PREVENTIVO N°",BDEGENER[[#This Row],[GA1]])</f>
        <v>MANTENIMIENTO PREVENTIVO N°6</v>
      </c>
      <c r="BA931" s="325" t="str">
        <f>IF(BDEGENER[[#This Row],[SERVICIO]]=BDEGENER[[#This Row],[GA2]],BDEGENER[[#This Row],[HORAS]],"0")</f>
        <v>0</v>
      </c>
      <c r="BB931" s="325">
        <f>SUMIF(BDEGENER[SERIE],BDEGENER[[#This Row],[SERIE]],BDEGENER[GA3])</f>
        <v>3959.4</v>
      </c>
      <c r="BC931" s="761" t="str">
        <f>CONCATENATE("MANT",COUNTIF($Y$7:Y931,Y931))</f>
        <v>MANT10</v>
      </c>
      <c r="BD931" s="29" t="str">
        <f>CONCATENATE(BDEGENER[[#This Row],[SERIE]],BDEGENER[[#This Row],[GA5]])</f>
        <v>3003963149MANT10</v>
      </c>
      <c r="BE931" s="29" t="str">
        <f>CONCATENATE(BDEGENER[[#This Row],[CODIGO PATRIMONIAL]],BDEGENER[[#This Row],[GA5]])</f>
        <v>SUR-GEG-0007MANT10</v>
      </c>
      <c r="BF931" s="16">
        <f>COUNTIF(BDEGENER[SERIE],BDEGENER[[#This Row],[SERIE]])</f>
        <v>12</v>
      </c>
      <c r="BG931" s="761" t="str">
        <f>CONCATENATE("F",COUNTIF($K$7:K931,K931))</f>
        <v>F1</v>
      </c>
      <c r="BH931" s="325" t="str">
        <f>CONCATENATE(BDEGENER[[#This Row],[FECHA DE SERVICIO]],BDEGENER[[#This Row],[N° DE REGISTROS DEL DIA]])</f>
        <v>43662F1</v>
      </c>
      <c r="BI931" s="324"/>
      <c r="BJ931" s="325"/>
      <c r="BK931" s="326"/>
    </row>
    <row r="932" spans="2:63" ht="69" hidden="1" x14ac:dyDescent="0.3">
      <c r="B932" s="34"/>
      <c r="C932" s="34"/>
      <c r="D932" s="34"/>
      <c r="E932" s="34"/>
      <c r="F932" s="34"/>
      <c r="G932" s="34"/>
      <c r="H932" s="34"/>
      <c r="I932" s="34"/>
      <c r="J932" s="34"/>
      <c r="K932" s="37">
        <v>43662</v>
      </c>
      <c r="L932" s="30" t="s">
        <v>561</v>
      </c>
      <c r="M932" s="740" t="s">
        <v>577</v>
      </c>
      <c r="N932" s="19" t="s">
        <v>578</v>
      </c>
      <c r="O932" s="19"/>
      <c r="P932" s="19"/>
      <c r="Q932" s="19" t="s">
        <v>37</v>
      </c>
      <c r="R932" s="85" t="s">
        <v>1782</v>
      </c>
      <c r="S932" s="19" t="s">
        <v>622</v>
      </c>
      <c r="T932" s="85" t="s">
        <v>1782</v>
      </c>
      <c r="U932" s="19" t="s">
        <v>695</v>
      </c>
      <c r="V932" s="19" t="s">
        <v>148</v>
      </c>
      <c r="W932" s="85" t="s">
        <v>913</v>
      </c>
      <c r="X932" s="85" t="s">
        <v>918</v>
      </c>
      <c r="Y932" s="31">
        <v>3003415536</v>
      </c>
      <c r="Z932" s="692" t="s">
        <v>2604</v>
      </c>
      <c r="AA932" s="740" t="s">
        <v>33</v>
      </c>
      <c r="AB932" s="19" t="s">
        <v>217</v>
      </c>
      <c r="AC932" s="740" t="s">
        <v>749</v>
      </c>
      <c r="AD932" s="16"/>
      <c r="AE932" s="16"/>
      <c r="AF932" s="146">
        <v>1699.2</v>
      </c>
      <c r="AG932" s="16"/>
      <c r="AH932" s="16"/>
      <c r="AI932" s="16"/>
      <c r="AJ932" s="16"/>
      <c r="AK932" s="16"/>
      <c r="AL932" s="16"/>
      <c r="AM932" s="16"/>
      <c r="AN932" s="16"/>
      <c r="AO932" s="16"/>
      <c r="AP932" s="19" t="s">
        <v>240</v>
      </c>
      <c r="AQ932" s="6" t="str">
        <f>CONCATENATE("REG-",BDEGENER[[#This Row],[FECHA DE SERVICIO]],"-",BDEGENER[[#This Row],[SERIE]],"-",BDEGENER[[#This Row],[HORAS]])</f>
        <v>REG-43662-3003415536-1699,2</v>
      </c>
      <c r="AR932" s="5" t="str">
        <f>CONCATENATE("MARCA: ",BDEGENER[[#This Row],[MARCA]],"
 MODELO: ",BDEGENER[[#This Row],[MODELO]])</f>
        <v>MARCA: GENERAC
 MODELO: RG022</v>
      </c>
      <c r="AS932" s="5" t="str">
        <f>CONCATENATE("MARCA: ",BDEGENER[[#This Row],[MARCA DE MOTOR]],"
SERIE: ",BDEGENER[[#This Row],[SERIE DE MOTOR]])</f>
        <v xml:space="preserve">MARCA: 
SERIE: </v>
      </c>
      <c r="AT932" s="5" t="str">
        <f>CONCATENATE("MARCA: ",BDEGENER[[#This Row],[MARCA ALTERNADOR ]],"
SERIE: ",BDEGENER[[#This Row],[SERIE DE ALTERNADOR]])</f>
        <v xml:space="preserve">MARCA: 
SERIE: </v>
      </c>
      <c r="AU932" s="29" t="str">
        <f>CONCATENATE("HORAS: ",BDEGENER[[#This Row],[HORAS]],"
KW-HR: ",BDEGENER[[#This Row],[KW-HORA]],"
VOLT.BATERIA: ",BDEGENER[[#This Row],[VOLTAJE DE BATERIA]],"
TEMPERATURA: ",BDEGENER[[#This Row],[TEMPERATURA DE AGUA]],"
PRES. ACEITE: ",BDEGENER[[#This Row],[PRESION DE ACEITE]])</f>
        <v xml:space="preserve">HORAS: 1699,2
KW-HR: 
VOLT.BATERIA: 
TEMPERATURA: 
PRES. ACEITE: </v>
      </c>
      <c r="AV932" s="683">
        <f>COUNTIFS(Q932:Q2932,"MANTENIMIENTO CORRECTIVO",Y932:Y2932,BDEGENER[[#This Row],[SERIE]])</f>
        <v>0</v>
      </c>
      <c r="AW932" s="683">
        <f>COUNTIFS(Q932:Q2932,"MANTENIMIENTO PREVENTIVO",Y932:Y2932,BDEGENER[[#This Row],[SERIE]])</f>
        <v>3</v>
      </c>
      <c r="AX93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932" s="29">
        <f>COUNTIFS(BDEGENER[SERIE],BDEGENER[[#This Row],[SERIE]],BDEGENER[TIPO DE SERVICIO],"MANTENIMIENTO PREVENTIVO")</f>
        <v>10</v>
      </c>
      <c r="AZ932" s="29" t="str">
        <f>CONCATENATE("MANTENIMIENTO PREVENTIVO N°",BDEGENER[[#This Row],[GA1]])</f>
        <v>MANTENIMIENTO PREVENTIVO N°10</v>
      </c>
      <c r="BA932" s="325" t="str">
        <f>IF(BDEGENER[[#This Row],[SERVICIO]]=BDEGENER[[#This Row],[GA2]],BDEGENER[[#This Row],[HORAS]],"0")</f>
        <v>0</v>
      </c>
      <c r="BB932" s="325">
        <f>SUMIF(BDEGENER[SERIE],BDEGENER[[#This Row],[SERIE]],BDEGENER[GA3])</f>
        <v>5559.8</v>
      </c>
      <c r="BC932" s="683" t="str">
        <f>CONCATENATE("MANT",COUNTIF($Y$7:Y932,Y932))</f>
        <v>MANT10</v>
      </c>
      <c r="BD932" s="29" t="str">
        <f>CONCATENATE(BDEGENER[[#This Row],[SERIE]],BDEGENER[[#This Row],[GA5]])</f>
        <v>3003415536MANT10</v>
      </c>
      <c r="BE932" s="29" t="str">
        <f>CONCATENATE(BDEGENER[[#This Row],[CODIGO PATRIMONIAL]],BDEGENER[[#This Row],[GA5]])</f>
        <v>SUR-GEG-0008MANT10</v>
      </c>
      <c r="BF932" s="16">
        <f>COUNTIF(BDEGENER[SERIE],BDEGENER[[#This Row],[SERIE]])</f>
        <v>12</v>
      </c>
      <c r="BG932" s="683" t="str">
        <f>CONCATENATE("F",COUNTIF($K$7:K932,K932))</f>
        <v>F2</v>
      </c>
      <c r="BH932" s="325" t="str">
        <f>CONCATENATE(BDEGENER[[#This Row],[FECHA DE SERVICIO]],BDEGENER[[#This Row],[N° DE REGISTROS DEL DIA]])</f>
        <v>43662F2</v>
      </c>
      <c r="BI932" s="324"/>
      <c r="BJ932" s="325"/>
      <c r="BK932" s="326"/>
    </row>
    <row r="933" spans="2:63" ht="69" hidden="1" x14ac:dyDescent="0.3">
      <c r="B933" s="34"/>
      <c r="C933" s="34"/>
      <c r="D933" s="34"/>
      <c r="E933" s="34"/>
      <c r="F933" s="34"/>
      <c r="G933" s="34"/>
      <c r="H933" s="34"/>
      <c r="I933" s="34"/>
      <c r="J933" s="34"/>
      <c r="K933" s="37">
        <v>43662</v>
      </c>
      <c r="L933" s="30" t="s">
        <v>561</v>
      </c>
      <c r="M933" s="19" t="s">
        <v>582</v>
      </c>
      <c r="N933" s="19" t="s">
        <v>578</v>
      </c>
      <c r="O933" s="19"/>
      <c r="P933" s="19"/>
      <c r="Q933" s="19" t="s">
        <v>37</v>
      </c>
      <c r="R933" s="85" t="s">
        <v>1782</v>
      </c>
      <c r="S933" s="19" t="s">
        <v>623</v>
      </c>
      <c r="T933" s="85" t="s">
        <v>1782</v>
      </c>
      <c r="U933" s="19" t="s">
        <v>696</v>
      </c>
      <c r="V933" s="19" t="s">
        <v>148</v>
      </c>
      <c r="W933" s="740"/>
      <c r="X933" s="741"/>
      <c r="Y933" s="31">
        <v>3003415540</v>
      </c>
      <c r="Z933" s="767" t="s">
        <v>2605</v>
      </c>
      <c r="AA933" s="19" t="s">
        <v>33</v>
      </c>
      <c r="AB933" s="19" t="s">
        <v>217</v>
      </c>
      <c r="AC933" s="19" t="s">
        <v>749</v>
      </c>
      <c r="AD933" s="16"/>
      <c r="AE933" s="16"/>
      <c r="AF933" s="146">
        <v>1985.6</v>
      </c>
      <c r="AG933" s="16"/>
      <c r="AH933" s="16"/>
      <c r="AI933" s="16"/>
      <c r="AJ933" s="16"/>
      <c r="AK933" s="16"/>
      <c r="AL933" s="16"/>
      <c r="AM933" s="16"/>
      <c r="AN933" s="16"/>
      <c r="AO933" s="16"/>
      <c r="AP933" s="19" t="s">
        <v>240</v>
      </c>
      <c r="AQ933" s="6" t="str">
        <f>CONCATENATE("REG-",BDEGENER[[#This Row],[FECHA DE SERVICIO]],"-",BDEGENER[[#This Row],[SERIE]],"-",BDEGENER[[#This Row],[HORAS]])</f>
        <v>REG-43662-3003415540-1985,6</v>
      </c>
      <c r="AR933" s="5" t="str">
        <f>CONCATENATE("MARCA: ",BDEGENER[[#This Row],[MARCA]],"
 MODELO: ",BDEGENER[[#This Row],[MODELO]])</f>
        <v>MARCA: GENERAC
 MODELO: RG022</v>
      </c>
      <c r="AS933" s="5" t="str">
        <f>CONCATENATE("MARCA: ",BDEGENER[[#This Row],[MARCA DE MOTOR]],"
SERIE: ",BDEGENER[[#This Row],[SERIE DE MOTOR]])</f>
        <v xml:space="preserve">MARCA: 
SERIE: </v>
      </c>
      <c r="AT933" s="5" t="str">
        <f>CONCATENATE("MARCA: ",BDEGENER[[#This Row],[MARCA ALTERNADOR ]],"
SERIE: ",BDEGENER[[#This Row],[SERIE DE ALTERNADOR]])</f>
        <v xml:space="preserve">MARCA: 
SERIE: </v>
      </c>
      <c r="AU933" s="29" t="str">
        <f>CONCATENATE("HORAS: ",BDEGENER[[#This Row],[HORAS]],"
KW-HR: ",BDEGENER[[#This Row],[KW-HORA]],"
VOLT.BATERIA: ",BDEGENER[[#This Row],[VOLTAJE DE BATERIA]],"
TEMPERATURA: ",BDEGENER[[#This Row],[TEMPERATURA DE AGUA]],"
PRES. ACEITE: ",BDEGENER[[#This Row],[PRESION DE ACEITE]])</f>
        <v xml:space="preserve">HORAS: 1985,6
KW-HR: 
VOLT.BATERIA: 
TEMPERATURA: 
PRES. ACEITE: </v>
      </c>
      <c r="AV933" s="683">
        <f>COUNTIFS(Q933:Q2933,"MANTENIMIENTO CORRECTIVO",Y933:Y2933,BDEGENER[[#This Row],[SERIE]])</f>
        <v>0</v>
      </c>
      <c r="AW933" s="683">
        <f>COUNTIFS(Q933:Q2933,"MANTENIMIENTO PREVENTIVO",Y933:Y2933,BDEGENER[[#This Row],[SERIE]])</f>
        <v>5</v>
      </c>
      <c r="AX93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933" s="29">
        <f>COUNTIFS(BDEGENER[SERIE],BDEGENER[[#This Row],[SERIE]],BDEGENER[TIPO DE SERVICIO],"MANTENIMIENTO PREVENTIVO")</f>
        <v>6</v>
      </c>
      <c r="AZ933" s="29" t="str">
        <f>CONCATENATE("MANTENIMIENTO PREVENTIVO N°",BDEGENER[[#This Row],[GA1]])</f>
        <v>MANTENIMIENTO PREVENTIVO N°6</v>
      </c>
      <c r="BA933" s="325" t="str">
        <f>IF(BDEGENER[[#This Row],[SERVICIO]]=BDEGENER[[#This Row],[GA2]],BDEGENER[[#This Row],[HORAS]],"0")</f>
        <v>0</v>
      </c>
      <c r="BB933" s="325">
        <f>SUMIF(BDEGENER[SERIE],BDEGENER[[#This Row],[SERIE]],BDEGENER[GA3])</f>
        <v>4522.8999999999996</v>
      </c>
      <c r="BC933" s="683" t="str">
        <f>CONCATENATE("MANT",COUNTIF($Y$7:Y933,Y933))</f>
        <v>MANT2</v>
      </c>
      <c r="BD933" s="29" t="str">
        <f>CONCATENATE(BDEGENER[[#This Row],[SERIE]],BDEGENER[[#This Row],[GA5]])</f>
        <v>3003415540MANT2</v>
      </c>
      <c r="BE933" s="29" t="str">
        <f>CONCATENATE(BDEGENER[[#This Row],[CODIGO PATRIMONIAL]],BDEGENER[[#This Row],[GA5]])</f>
        <v>SUR-GEG-0009MANT2</v>
      </c>
      <c r="BF933" s="16">
        <f>COUNTIF(BDEGENER[SERIE],BDEGENER[[#This Row],[SERIE]])</f>
        <v>6</v>
      </c>
      <c r="BG933" s="683" t="str">
        <f>CONCATENATE("F",COUNTIF($K$7:K933,K933))</f>
        <v>F3</v>
      </c>
      <c r="BH933" s="325" t="str">
        <f>CONCATENATE(BDEGENER[[#This Row],[FECHA DE SERVICIO]],BDEGENER[[#This Row],[N° DE REGISTROS DEL DIA]])</f>
        <v>43662F3</v>
      </c>
      <c r="BI933" s="324"/>
      <c r="BJ933" s="325"/>
      <c r="BK933" s="326"/>
    </row>
    <row r="934" spans="2:63" ht="69" hidden="1" x14ac:dyDescent="0.3">
      <c r="B934" s="34"/>
      <c r="C934" s="34"/>
      <c r="D934" s="34"/>
      <c r="E934" s="34"/>
      <c r="F934" s="34"/>
      <c r="G934" s="34"/>
      <c r="H934" s="34"/>
      <c r="I934" s="34"/>
      <c r="J934" s="34"/>
      <c r="K934" s="37">
        <v>43662</v>
      </c>
      <c r="L934" s="30" t="s">
        <v>561</v>
      </c>
      <c r="M934" s="19" t="s">
        <v>583</v>
      </c>
      <c r="N934" s="19" t="s">
        <v>578</v>
      </c>
      <c r="O934" s="19"/>
      <c r="P934" s="19"/>
      <c r="Q934" s="19" t="s">
        <v>37</v>
      </c>
      <c r="R934" s="85" t="s">
        <v>1782</v>
      </c>
      <c r="S934" s="19" t="s">
        <v>623</v>
      </c>
      <c r="T934" s="85" t="s">
        <v>1782</v>
      </c>
      <c r="U934" s="19" t="s">
        <v>696</v>
      </c>
      <c r="V934" s="19" t="s">
        <v>148</v>
      </c>
      <c r="W934" s="19" t="s">
        <v>913</v>
      </c>
      <c r="X934" s="19" t="s">
        <v>918</v>
      </c>
      <c r="Y934" s="31">
        <v>3003415532</v>
      </c>
      <c r="Z934" s="19" t="s">
        <v>2606</v>
      </c>
      <c r="AA934" s="19" t="s">
        <v>33</v>
      </c>
      <c r="AB934" s="19" t="s">
        <v>217</v>
      </c>
      <c r="AC934" s="19" t="s">
        <v>749</v>
      </c>
      <c r="AD934" s="16"/>
      <c r="AE934" s="16"/>
      <c r="AF934" s="146">
        <v>1939.8</v>
      </c>
      <c r="AG934" s="16"/>
      <c r="AH934" s="16"/>
      <c r="AI934" s="16"/>
      <c r="AJ934" s="16"/>
      <c r="AK934" s="16"/>
      <c r="AL934" s="16"/>
      <c r="AM934" s="16"/>
      <c r="AN934" s="16"/>
      <c r="AO934" s="16"/>
      <c r="AP934" s="19" t="s">
        <v>240</v>
      </c>
      <c r="AQ934" s="6" t="str">
        <f>CONCATENATE("REG-",BDEGENER[[#This Row],[FECHA DE SERVICIO]],"-",BDEGENER[[#This Row],[SERIE]],"-",BDEGENER[[#This Row],[HORAS]])</f>
        <v>REG-43662-3003415532-1939,8</v>
      </c>
      <c r="AR934" s="5" t="str">
        <f>CONCATENATE("MARCA: ",BDEGENER[[#This Row],[MARCA]],"
 MODELO: ",BDEGENER[[#This Row],[MODELO]])</f>
        <v>MARCA: GENERAC
 MODELO: RG022</v>
      </c>
      <c r="AS934" s="5" t="str">
        <f>CONCATENATE("MARCA: ",BDEGENER[[#This Row],[MARCA DE MOTOR]],"
SERIE: ",BDEGENER[[#This Row],[SERIE DE MOTOR]])</f>
        <v xml:space="preserve">MARCA: 
SERIE: </v>
      </c>
      <c r="AT934" s="5" t="str">
        <f>CONCATENATE("MARCA: ",BDEGENER[[#This Row],[MARCA ALTERNADOR ]],"
SERIE: ",BDEGENER[[#This Row],[SERIE DE ALTERNADOR]])</f>
        <v xml:space="preserve">MARCA: 
SERIE: </v>
      </c>
      <c r="AU934" s="29" t="str">
        <f>CONCATENATE("HORAS: ",BDEGENER[[#This Row],[HORAS]],"
KW-HR: ",BDEGENER[[#This Row],[KW-HORA]],"
VOLT.BATERIA: ",BDEGENER[[#This Row],[VOLTAJE DE BATERIA]],"
TEMPERATURA: ",BDEGENER[[#This Row],[TEMPERATURA DE AGUA]],"
PRES. ACEITE: ",BDEGENER[[#This Row],[PRESION DE ACEITE]])</f>
        <v xml:space="preserve">HORAS: 1939,8
KW-HR: 
VOLT.BATERIA: 
TEMPERATURA: 
PRES. ACEITE: </v>
      </c>
      <c r="AV934" s="761">
        <f>COUNTIFS(Q934:Q2934,"MANTENIMIENTO CORRECTIVO",Y934:Y2934,BDEGENER[[#This Row],[SERIE]])</f>
        <v>0</v>
      </c>
      <c r="AW934" s="761">
        <f>COUNTIFS(Q934:Q2934,"MANTENIMIENTO PREVENTIVO",Y934:Y2934,BDEGENER[[#This Row],[SERIE]])</f>
        <v>6</v>
      </c>
      <c r="AX93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N°6</v>
      </c>
      <c r="AY934" s="29">
        <f>COUNTIFS(BDEGENER[SERIE],BDEGENER[[#This Row],[SERIE]],BDEGENER[TIPO DE SERVICIO],"MANTENIMIENTO PREVENTIVO")</f>
        <v>14</v>
      </c>
      <c r="AZ934" s="29" t="str">
        <f>CONCATENATE("MANTENIMIENTO PREVENTIVO N°",BDEGENER[[#This Row],[GA1]])</f>
        <v>MANTENIMIENTO PREVENTIVO N°14</v>
      </c>
      <c r="BA934" s="325" t="str">
        <f>IF(BDEGENER[[#This Row],[SERVICIO]]=BDEGENER[[#This Row],[GA2]],BDEGENER[[#This Row],[HORAS]],"0")</f>
        <v>0</v>
      </c>
      <c r="BB934" s="325">
        <f>SUMIF(BDEGENER[SERIE],BDEGENER[[#This Row],[SERIE]],BDEGENER[GA3])</f>
        <v>5730.6</v>
      </c>
      <c r="BC934" s="761" t="str">
        <f>CONCATENATE("MANT",COUNTIF($Y$7:Y934,Y934))</f>
        <v>MANT9</v>
      </c>
      <c r="BD934" s="29" t="str">
        <f>CONCATENATE(BDEGENER[[#This Row],[SERIE]],BDEGENER[[#This Row],[GA5]])</f>
        <v>3003415532MANT9</v>
      </c>
      <c r="BE934" s="29" t="str">
        <f>CONCATENATE(BDEGENER[[#This Row],[CODIGO PATRIMONIAL]],BDEGENER[[#This Row],[GA5]])</f>
        <v>SUR-GEG-0010MANT9</v>
      </c>
      <c r="BF934" s="16">
        <f>COUNTIF(BDEGENER[SERIE],BDEGENER[[#This Row],[SERIE]])</f>
        <v>14</v>
      </c>
      <c r="BG934" s="761" t="str">
        <f>CONCATENATE("F",COUNTIF($K$7:K934,K934))</f>
        <v>F4</v>
      </c>
      <c r="BH934" s="325" t="str">
        <f>CONCATENATE(BDEGENER[[#This Row],[FECHA DE SERVICIO]],BDEGENER[[#This Row],[N° DE REGISTROS DEL DIA]])</f>
        <v>43662F4</v>
      </c>
      <c r="BI934" s="324"/>
      <c r="BJ934" s="325"/>
      <c r="BK934" s="326"/>
    </row>
    <row r="935" spans="2:63" ht="69" hidden="1" x14ac:dyDescent="0.3">
      <c r="B935" s="223"/>
      <c r="C935" s="223"/>
      <c r="D935" s="223"/>
      <c r="E935" s="223"/>
      <c r="F935" s="223"/>
      <c r="G935" s="223"/>
      <c r="H935" s="223"/>
      <c r="I935" s="223"/>
      <c r="J935" s="223"/>
      <c r="K935" s="723">
        <v>43651</v>
      </c>
      <c r="L935" s="15" t="s">
        <v>181</v>
      </c>
      <c r="M935" s="14" t="s">
        <v>3603</v>
      </c>
      <c r="N935" s="14" t="s">
        <v>196</v>
      </c>
      <c r="O935" s="8" t="s">
        <v>159</v>
      </c>
      <c r="P935" s="15" t="s">
        <v>159</v>
      </c>
      <c r="Q935" s="14" t="s">
        <v>107</v>
      </c>
      <c r="R935" s="85" t="s">
        <v>1782</v>
      </c>
      <c r="S935" s="5" t="s">
        <v>1782</v>
      </c>
      <c r="T935" s="14" t="s">
        <v>97</v>
      </c>
      <c r="U935" s="14"/>
      <c r="V935" s="14"/>
      <c r="W935" s="14"/>
      <c r="X935" s="14"/>
      <c r="Y935" s="15">
        <v>8893263</v>
      </c>
      <c r="Z935" s="14"/>
      <c r="AA935" s="14" t="s">
        <v>33</v>
      </c>
      <c r="AB935" s="14" t="s">
        <v>210</v>
      </c>
      <c r="AC935" s="14" t="s">
        <v>231</v>
      </c>
      <c r="AD935" s="16"/>
      <c r="AE935" s="16"/>
      <c r="AF935" s="12">
        <v>65.3</v>
      </c>
      <c r="AG935" s="16"/>
      <c r="AH935" s="16"/>
      <c r="AI935" s="16"/>
      <c r="AJ935" s="16"/>
      <c r="AK935" s="16"/>
      <c r="AL935" s="16"/>
      <c r="AM935" s="16"/>
      <c r="AN935" s="16"/>
      <c r="AO935" s="16"/>
      <c r="AP935" s="14" t="s">
        <v>240</v>
      </c>
      <c r="AQ935" s="6" t="str">
        <f>CONCATENATE("REG-",BDEGENER[[#This Row],[FECHA DE SERVICIO]],"-",BDEGENER[[#This Row],[SERIE]],"-",BDEGENER[[#This Row],[HORAS]])</f>
        <v>REG-43651-8893263-65,3</v>
      </c>
      <c r="AR935" s="5" t="str">
        <f>CONCATENATE("MARCA: ",BDEGENER[[#This Row],[MARCA]],"
 MODELO: ",BDEGENER[[#This Row],[MODELO]])</f>
        <v>MARCA: GENERAC
 MODELO: 0062370</v>
      </c>
      <c r="AS935" s="5" t="str">
        <f>CONCATENATE("MARCA: ",BDEGENER[[#This Row],[MARCA DE MOTOR]],"
SERIE: ",BDEGENER[[#This Row],[SERIE DE MOTOR]])</f>
        <v xml:space="preserve">MARCA: 
SERIE: </v>
      </c>
      <c r="AT935" s="5" t="str">
        <f>CONCATENATE("MARCA: ",BDEGENER[[#This Row],[MARCA ALTERNADOR ]],"
SERIE: ",BDEGENER[[#This Row],[SERIE DE ALTERNADOR]])</f>
        <v xml:space="preserve">MARCA: 
SERIE: </v>
      </c>
      <c r="AU935" s="5" t="str">
        <f>CONCATENATE("HORAS: ",BDEGENER[[#This Row],[HORAS]],"
KW-HR: ",BDEGENER[[#This Row],[KW-HORA]],"
VOLT.BATERIA: ",BDEGENER[[#This Row],[VOLTAJE DE BATERIA]],"
TEMPERATURA: ",BDEGENER[[#This Row],[TEMPERATURA DE AGUA]],"
PRES. ACEITE: ",BDEGENER[[#This Row],[PRESION DE ACEITE]])</f>
        <v xml:space="preserve">HORAS: 65,3
KW-HR: 
VOLT.BATERIA: 
TEMPERATURA: 
PRES. ACEITE: </v>
      </c>
      <c r="AV935" s="683">
        <f>COUNTIFS(Q935:Q2935,"MANTENIMIENTO CORRECTIVO",Y935:Y2935,BDEGENER[[#This Row],[SERIE]])</f>
        <v>1</v>
      </c>
      <c r="AW935" s="683">
        <f>COUNTIFS(Q935:Q2935,"MANTENIMIENTO PREVENTIVO",Y935:Y2935,BDEGENER[[#This Row],[SERIE]])</f>
        <v>1</v>
      </c>
      <c r="AX93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935" s="29">
        <f>COUNTIFS(BDEGENER[SERIE],BDEGENER[[#This Row],[SERIE]],BDEGENER[TIPO DE SERVICIO],"MANTENIMIENTO PREVENTIVO")</f>
        <v>3</v>
      </c>
      <c r="AZ935" s="29" t="str">
        <f>CONCATENATE("MANTENIMIENTO PREVENTIVO N°",BDEGENER[[#This Row],[GA1]])</f>
        <v>MANTENIMIENTO PREVENTIVO N°3</v>
      </c>
      <c r="BA935" s="325" t="str">
        <f>IF(BDEGENER[[#This Row],[SERVICIO]]=BDEGENER[[#This Row],[GA2]],BDEGENER[[#This Row],[HORAS]],"0")</f>
        <v>0</v>
      </c>
      <c r="BB935" s="325">
        <f>SUMIF(BDEGENER[SERIE],BDEGENER[[#This Row],[SERIE]],BDEGENER[GA3])</f>
        <v>351.77</v>
      </c>
      <c r="BC935" s="683" t="str">
        <f>CONCATENATE("MANT",COUNTIF($Y$7:Y935,Y935))</f>
        <v>MANT4</v>
      </c>
      <c r="BD935" s="29" t="str">
        <f>CONCATENATE(BDEGENER[[#This Row],[SERIE]],BDEGENER[[#This Row],[GA5]])</f>
        <v>8893263MANT4</v>
      </c>
      <c r="BE935" s="29" t="str">
        <f>CONCATENATE(BDEGENER[[#This Row],[CODIGO PATRIMONIAL]],BDEGENER[[#This Row],[GA5]])</f>
        <v>MANT4</v>
      </c>
      <c r="BF935" s="16">
        <f>COUNTIF(BDEGENER[SERIE],BDEGENER[[#This Row],[SERIE]])</f>
        <v>5</v>
      </c>
      <c r="BG935" s="683" t="str">
        <f>CONCATENATE("F",COUNTIF($K$7:K935,K935))</f>
        <v>F1</v>
      </c>
      <c r="BH935" s="325" t="str">
        <f>CONCATENATE(BDEGENER[[#This Row],[FECHA DE SERVICIO]],BDEGENER[[#This Row],[N° DE REGISTROS DEL DIA]])</f>
        <v>43651F1</v>
      </c>
      <c r="BI935" s="324"/>
      <c r="BJ935" s="325"/>
      <c r="BK935" s="326"/>
    </row>
    <row r="936" spans="2:63" ht="69" hidden="1" x14ac:dyDescent="0.3">
      <c r="B936" s="223"/>
      <c r="C936" s="223"/>
      <c r="D936" s="223"/>
      <c r="E936" s="223"/>
      <c r="F936" s="223"/>
      <c r="G936" s="223"/>
      <c r="H936" s="223"/>
      <c r="I936" s="223"/>
      <c r="J936" s="223"/>
      <c r="K936" s="723">
        <v>43651</v>
      </c>
      <c r="L936" s="15" t="s">
        <v>181</v>
      </c>
      <c r="M936" s="14" t="s">
        <v>197</v>
      </c>
      <c r="N936" s="14" t="s">
        <v>197</v>
      </c>
      <c r="O936" s="8"/>
      <c r="P936" s="10"/>
      <c r="Q936" s="14" t="s">
        <v>107</v>
      </c>
      <c r="R936" s="85" t="s">
        <v>1782</v>
      </c>
      <c r="S936" s="5" t="s">
        <v>57</v>
      </c>
      <c r="T936" s="85" t="s">
        <v>1782</v>
      </c>
      <c r="U936" s="14" t="s">
        <v>128</v>
      </c>
      <c r="V936" s="14" t="s">
        <v>148</v>
      </c>
      <c r="W936" s="14"/>
      <c r="X936" s="14"/>
      <c r="Y936" s="15" t="s">
        <v>175</v>
      </c>
      <c r="Z936" s="14" t="s">
        <v>219</v>
      </c>
      <c r="AA936" s="14" t="s">
        <v>33</v>
      </c>
      <c r="AB936" s="14" t="s">
        <v>220</v>
      </c>
      <c r="AC936" s="14" t="s">
        <v>235</v>
      </c>
      <c r="AD936" s="16"/>
      <c r="AE936" s="16"/>
      <c r="AF936" s="12">
        <v>9437.2999999999993</v>
      </c>
      <c r="AG936" s="16"/>
      <c r="AH936" s="16"/>
      <c r="AI936" s="16"/>
      <c r="AJ936" s="16"/>
      <c r="AK936" s="16"/>
      <c r="AL936" s="16"/>
      <c r="AM936" s="16"/>
      <c r="AN936" s="16"/>
      <c r="AO936" s="16"/>
      <c r="AP936" s="14" t="s">
        <v>240</v>
      </c>
      <c r="AQ936" s="6" t="str">
        <f>CONCATENATE("REG-",BDEGENER[[#This Row],[FECHA DE SERVICIO]],"-",BDEGENER[[#This Row],[SERIE]],"-",BDEGENER[[#This Row],[HORAS]])</f>
        <v>REG-43651-E172A1501822280374-9437,3</v>
      </c>
      <c r="AR936" s="5" t="str">
        <f>CONCATENATE("MARCA: ",BDEGENER[[#This Row],[MARCA]],"
 MODELO: ",BDEGENER[[#This Row],[MODELO]])</f>
        <v>MARCA: GENERAC
 MODELO: H100</v>
      </c>
      <c r="AS936" s="5" t="str">
        <f>CONCATENATE("MARCA: ",BDEGENER[[#This Row],[MARCA DE MOTOR]],"
SERIE: ",BDEGENER[[#This Row],[SERIE DE MOTOR]])</f>
        <v xml:space="preserve">MARCA: 
SERIE: </v>
      </c>
      <c r="AT936" s="5" t="str">
        <f>CONCATENATE("MARCA: ",BDEGENER[[#This Row],[MARCA ALTERNADOR ]],"
SERIE: ",BDEGENER[[#This Row],[SERIE DE ALTERNADOR]])</f>
        <v xml:space="preserve">MARCA: 
SERIE: </v>
      </c>
      <c r="AU936" s="5" t="str">
        <f>CONCATENATE("HORAS: ",BDEGENER[[#This Row],[HORAS]],"
KW-HR: ",BDEGENER[[#This Row],[KW-HORA]],"
VOLT.BATERIA: ",BDEGENER[[#This Row],[VOLTAJE DE BATERIA]],"
TEMPERATURA: ",BDEGENER[[#This Row],[TEMPERATURA DE AGUA]],"
PRES. ACEITE: ",BDEGENER[[#This Row],[PRESION DE ACEITE]])</f>
        <v xml:space="preserve">HORAS: 9437,3
KW-HR: 
VOLT.BATERIA: 
TEMPERATURA: 
PRES. ACEITE: </v>
      </c>
      <c r="AV936" s="683">
        <f>COUNTIFS(Q936:Q2936,"MANTENIMIENTO CORRECTIVO",Y936:Y2936,BDEGENER[[#This Row],[SERIE]])</f>
        <v>1</v>
      </c>
      <c r="AW936" s="683">
        <f>COUNTIFS(Q936:Q2936,"MANTENIMIENTO PREVENTIVO",Y936:Y2936,BDEGENER[[#This Row],[SERIE]])</f>
        <v>0</v>
      </c>
      <c r="AX93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936" s="29">
        <f>COUNTIFS(BDEGENER[SERIE],BDEGENER[[#This Row],[SERIE]],BDEGENER[TIPO DE SERVICIO],"MANTENIMIENTO PREVENTIVO")</f>
        <v>0</v>
      </c>
      <c r="AZ936" s="29" t="str">
        <f>CONCATENATE("MANTENIMIENTO PREVENTIVO N°",BDEGENER[[#This Row],[GA1]])</f>
        <v>MANTENIMIENTO PREVENTIVO N°0</v>
      </c>
      <c r="BA936" s="325" t="str">
        <f>IF(BDEGENER[[#This Row],[SERVICIO]]=BDEGENER[[#This Row],[GA2]],BDEGENER[[#This Row],[HORAS]],"0")</f>
        <v>0</v>
      </c>
      <c r="BB936" s="325">
        <f>SUMIF(BDEGENER[SERIE],BDEGENER[[#This Row],[SERIE]],BDEGENER[GA3])</f>
        <v>0</v>
      </c>
      <c r="BC936" s="683" t="str">
        <f>CONCATENATE("MANT",COUNTIF($Y$7:Y936,Y936))</f>
        <v>MANT1</v>
      </c>
      <c r="BD936" s="29" t="str">
        <f>CONCATENATE(BDEGENER[[#This Row],[SERIE]],BDEGENER[[#This Row],[GA5]])</f>
        <v>E172A1501822280374MANT1</v>
      </c>
      <c r="BE936" s="29" t="str">
        <f>CONCATENATE(BDEGENER[[#This Row],[CODIGO PATRIMONIAL]],BDEGENER[[#This Row],[GA5]])</f>
        <v>gega 01MANT1</v>
      </c>
      <c r="BF936" s="16">
        <f>COUNTIF(BDEGENER[SERIE],BDEGENER[[#This Row],[SERIE]])</f>
        <v>1</v>
      </c>
      <c r="BG936" s="683" t="str">
        <f>CONCATENATE("F",COUNTIF($K$7:K936,K936))</f>
        <v>F2</v>
      </c>
      <c r="BH936" s="325" t="str">
        <f>CONCATENATE(BDEGENER[[#This Row],[FECHA DE SERVICIO]],BDEGENER[[#This Row],[N° DE REGISTROS DEL DIA]])</f>
        <v>43651F2</v>
      </c>
      <c r="BI936" s="324"/>
      <c r="BJ936" s="325"/>
      <c r="BK936" s="326"/>
    </row>
    <row r="937" spans="2:63" ht="69" hidden="1" x14ac:dyDescent="0.3">
      <c r="B937" s="34"/>
      <c r="C937" s="34"/>
      <c r="D937" s="34"/>
      <c r="E937" s="34"/>
      <c r="F937" s="34"/>
      <c r="G937" s="34"/>
      <c r="H937" s="34"/>
      <c r="I937" s="34"/>
      <c r="J937" s="34"/>
      <c r="K937" s="37">
        <v>43641</v>
      </c>
      <c r="L937" s="30" t="s">
        <v>561</v>
      </c>
      <c r="M937" s="19" t="s">
        <v>575</v>
      </c>
      <c r="N937" s="19" t="s">
        <v>576</v>
      </c>
      <c r="O937" s="19"/>
      <c r="P937" s="19"/>
      <c r="Q937" s="19" t="s">
        <v>37</v>
      </c>
      <c r="R937" s="85" t="s">
        <v>1782</v>
      </c>
      <c r="S937" s="19" t="s">
        <v>624</v>
      </c>
      <c r="T937" s="85" t="s">
        <v>1782</v>
      </c>
      <c r="U937" s="19" t="s">
        <v>697</v>
      </c>
      <c r="V937" s="19" t="s">
        <v>698</v>
      </c>
      <c r="W937" s="85" t="s">
        <v>913</v>
      </c>
      <c r="X937" s="85" t="s">
        <v>918</v>
      </c>
      <c r="Y937" s="31">
        <v>3004370195</v>
      </c>
      <c r="Z937" s="85" t="s">
        <v>2597</v>
      </c>
      <c r="AA937" s="19" t="s">
        <v>33</v>
      </c>
      <c r="AB937" s="19" t="s">
        <v>217</v>
      </c>
      <c r="AC937" s="19" t="s">
        <v>749</v>
      </c>
      <c r="AD937" s="16"/>
      <c r="AE937" s="16"/>
      <c r="AF937" s="146">
        <v>67.599999999999994</v>
      </c>
      <c r="AG937" s="16"/>
      <c r="AH937" s="16"/>
      <c r="AI937" s="16"/>
      <c r="AJ937" s="16"/>
      <c r="AK937" s="16"/>
      <c r="AL937" s="16"/>
      <c r="AM937" s="16"/>
      <c r="AN937" s="16"/>
      <c r="AO937" s="16"/>
      <c r="AP937" s="19" t="s">
        <v>240</v>
      </c>
      <c r="AQ937" s="6" t="str">
        <f>CONCATENATE("REG-",BDEGENER[[#This Row],[FECHA DE SERVICIO]],"-",BDEGENER[[#This Row],[SERIE]],"-",BDEGENER[[#This Row],[HORAS]])</f>
        <v>REG-43641-3004370195-67,6</v>
      </c>
      <c r="AR937" s="5" t="str">
        <f>CONCATENATE("MARCA: ",BDEGENER[[#This Row],[MARCA]],"
 MODELO: ",BDEGENER[[#This Row],[MODELO]])</f>
        <v>MARCA: GENERAC
 MODELO: RG022</v>
      </c>
      <c r="AS937" s="5" t="str">
        <f>CONCATENATE("MARCA: ",BDEGENER[[#This Row],[MARCA DE MOTOR]],"
SERIE: ",BDEGENER[[#This Row],[SERIE DE MOTOR]])</f>
        <v xml:space="preserve">MARCA: 
SERIE: </v>
      </c>
      <c r="AT937" s="5" t="str">
        <f>CONCATENATE("MARCA: ",BDEGENER[[#This Row],[MARCA ALTERNADOR ]],"
SERIE: ",BDEGENER[[#This Row],[SERIE DE ALTERNADOR]])</f>
        <v xml:space="preserve">MARCA: 
SERIE: </v>
      </c>
      <c r="AU937" s="29" t="str">
        <f>CONCATENATE("HORAS: ",BDEGENER[[#This Row],[HORAS]],"
KW-HR: ",BDEGENER[[#This Row],[KW-HORA]],"
VOLT.BATERIA: ",BDEGENER[[#This Row],[VOLTAJE DE BATERIA]],"
TEMPERATURA: ",BDEGENER[[#This Row],[TEMPERATURA DE AGUA]],"
PRES. ACEITE: ",BDEGENER[[#This Row],[PRESION DE ACEITE]])</f>
        <v xml:space="preserve">HORAS: 67,6
KW-HR: 
VOLT.BATERIA: 
TEMPERATURA: 
PRES. ACEITE: </v>
      </c>
      <c r="AV937" s="761">
        <f>COUNTIFS(Q937:Q2937,"MANTENIMIENTO CORRECTIVO",Y937:Y2937,BDEGENER[[#This Row],[SERIE]])</f>
        <v>0</v>
      </c>
      <c r="AW937" s="761">
        <f>COUNTIFS(Q937:Q2937,"MANTENIMIENTO PREVENTIVO",Y937:Y2937,BDEGENER[[#This Row],[SERIE]])</f>
        <v>1</v>
      </c>
      <c r="AX93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37" s="29">
        <f>COUNTIFS(BDEGENER[SERIE],BDEGENER[[#This Row],[SERIE]],BDEGENER[TIPO DE SERVICIO],"MANTENIMIENTO PREVENTIVO")</f>
        <v>7</v>
      </c>
      <c r="AZ937" s="29" t="str">
        <f>CONCATENATE("MANTENIMIENTO PREVENTIVO N°",BDEGENER[[#This Row],[GA1]])</f>
        <v>MANTENIMIENTO PREVENTIVO N°7</v>
      </c>
      <c r="BA937" s="325" t="str">
        <f>IF(BDEGENER[[#This Row],[SERVICIO]]=BDEGENER[[#This Row],[GA2]],BDEGENER[[#This Row],[HORAS]],"0")</f>
        <v>0</v>
      </c>
      <c r="BB937" s="325">
        <f>SUMIF(BDEGENER[SERIE],BDEGENER[[#This Row],[SERIE]],BDEGENER[GA3])</f>
        <v>3519.7</v>
      </c>
      <c r="BC937" s="761" t="str">
        <f>CONCATENATE("MANT",COUNTIF($Y$7:Y937,Y937))</f>
        <v>MANT11</v>
      </c>
      <c r="BD937" s="29" t="str">
        <f>CONCATENATE(BDEGENER[[#This Row],[SERIE]],BDEGENER[[#This Row],[GA5]])</f>
        <v>3004370195MANT11</v>
      </c>
      <c r="BE937" s="29" t="str">
        <f>CONCATENATE(BDEGENER[[#This Row],[CODIGO PATRIMONIAL]],BDEGENER[[#This Row],[GA5]])</f>
        <v>SUR-GEG-0001MANT11</v>
      </c>
      <c r="BF937" s="16">
        <f>COUNTIF(BDEGENER[SERIE],BDEGENER[[#This Row],[SERIE]])</f>
        <v>12</v>
      </c>
      <c r="BG937" s="761" t="str">
        <f>CONCATENATE("F",COUNTIF($K$7:K937,K937))</f>
        <v>F1</v>
      </c>
      <c r="BH937" s="325" t="str">
        <f>CONCATENATE(BDEGENER[[#This Row],[FECHA DE SERVICIO]],BDEGENER[[#This Row],[N° DE REGISTROS DEL DIA]])</f>
        <v>43641F1</v>
      </c>
      <c r="BI937" s="324"/>
      <c r="BJ937" s="325"/>
      <c r="BK937" s="326"/>
    </row>
    <row r="938" spans="2:63" ht="69" hidden="1" x14ac:dyDescent="0.3">
      <c r="B938" s="34"/>
      <c r="C938" s="34"/>
      <c r="D938" s="34"/>
      <c r="E938" s="34"/>
      <c r="F938" s="34"/>
      <c r="G938" s="34"/>
      <c r="H938" s="34"/>
      <c r="I938" s="34"/>
      <c r="J938" s="34"/>
      <c r="K938" s="37">
        <v>43641</v>
      </c>
      <c r="L938" s="30" t="s">
        <v>561</v>
      </c>
      <c r="M938" s="19" t="s">
        <v>562</v>
      </c>
      <c r="N938" s="19" t="s">
        <v>563</v>
      </c>
      <c r="O938" s="19"/>
      <c r="P938" s="19"/>
      <c r="Q938" s="19" t="s">
        <v>37</v>
      </c>
      <c r="R938" s="85" t="s">
        <v>1782</v>
      </c>
      <c r="S938" s="19" t="s">
        <v>625</v>
      </c>
      <c r="T938" s="85" t="s">
        <v>1782</v>
      </c>
      <c r="U938" s="19" t="s">
        <v>699</v>
      </c>
      <c r="V938" s="19" t="s">
        <v>146</v>
      </c>
      <c r="W938" s="740" t="s">
        <v>913</v>
      </c>
      <c r="X938" s="741" t="s">
        <v>918</v>
      </c>
      <c r="Y938" s="31">
        <v>3004370203</v>
      </c>
      <c r="Z938" s="767" t="s">
        <v>2598</v>
      </c>
      <c r="AA938" s="19" t="s">
        <v>33</v>
      </c>
      <c r="AB938" s="19" t="s">
        <v>217</v>
      </c>
      <c r="AC938" s="19" t="s">
        <v>749</v>
      </c>
      <c r="AD938" s="16"/>
      <c r="AE938" s="16"/>
      <c r="AF938" s="146">
        <v>67.5</v>
      </c>
      <c r="AG938" s="16"/>
      <c r="AH938" s="16"/>
      <c r="AI938" s="16"/>
      <c r="AJ938" s="16"/>
      <c r="AK938" s="16"/>
      <c r="AL938" s="16"/>
      <c r="AM938" s="16"/>
      <c r="AN938" s="16"/>
      <c r="AO938" s="16"/>
      <c r="AP938" s="19" t="s">
        <v>240</v>
      </c>
      <c r="AQ938" s="6" t="str">
        <f>CONCATENATE("REG-",BDEGENER[[#This Row],[FECHA DE SERVICIO]],"-",BDEGENER[[#This Row],[SERIE]],"-",BDEGENER[[#This Row],[HORAS]])</f>
        <v>REG-43641-3004370203-67,5</v>
      </c>
      <c r="AR938" s="5" t="str">
        <f>CONCATENATE("MARCA: ",BDEGENER[[#This Row],[MARCA]],"
 MODELO: ",BDEGENER[[#This Row],[MODELO]])</f>
        <v>MARCA: GENERAC
 MODELO: RG022</v>
      </c>
      <c r="AS938" s="5" t="str">
        <f>CONCATENATE("MARCA: ",BDEGENER[[#This Row],[MARCA DE MOTOR]],"
SERIE: ",BDEGENER[[#This Row],[SERIE DE MOTOR]])</f>
        <v xml:space="preserve">MARCA: 
SERIE: </v>
      </c>
      <c r="AT938" s="5" t="str">
        <f>CONCATENATE("MARCA: ",BDEGENER[[#This Row],[MARCA ALTERNADOR ]],"
SERIE: ",BDEGENER[[#This Row],[SERIE DE ALTERNADOR]])</f>
        <v xml:space="preserve">MARCA: 
SERIE: </v>
      </c>
      <c r="AU938" s="29" t="str">
        <f>CONCATENATE("HORAS: ",BDEGENER[[#This Row],[HORAS]],"
KW-HR: ",BDEGENER[[#This Row],[KW-HORA]],"
VOLT.BATERIA: ",BDEGENER[[#This Row],[VOLTAJE DE BATERIA]],"
TEMPERATURA: ",BDEGENER[[#This Row],[TEMPERATURA DE AGUA]],"
PRES. ACEITE: ",BDEGENER[[#This Row],[PRESION DE ACEITE]])</f>
        <v xml:space="preserve">HORAS: 67,5
KW-HR: 
VOLT.BATERIA: 
TEMPERATURA: 
PRES. ACEITE: </v>
      </c>
      <c r="AV938" s="683">
        <f>COUNTIFS(Q938:Q2938,"MANTENIMIENTO CORRECTIVO",Y938:Y2938,BDEGENER[[#This Row],[SERIE]])</f>
        <v>0</v>
      </c>
      <c r="AW938" s="683">
        <f>COUNTIFS(Q938:Q2938,"MANTENIMIENTO PREVENTIVO",Y938:Y2938,BDEGENER[[#This Row],[SERIE]])</f>
        <v>1</v>
      </c>
      <c r="AX93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38" s="29">
        <f>COUNTIFS(BDEGENER[SERIE],BDEGENER[[#This Row],[SERIE]],BDEGENER[TIPO DE SERVICIO],"MANTENIMIENTO PREVENTIVO")</f>
        <v>6</v>
      </c>
      <c r="AZ938" s="29" t="str">
        <f>CONCATENATE("MANTENIMIENTO PREVENTIVO N°",BDEGENER[[#This Row],[GA1]])</f>
        <v>MANTENIMIENTO PREVENTIVO N°6</v>
      </c>
      <c r="BA938" s="325" t="str">
        <f>IF(BDEGENER[[#This Row],[SERVICIO]]=BDEGENER[[#This Row],[GA2]],BDEGENER[[#This Row],[HORAS]],"0")</f>
        <v>0</v>
      </c>
      <c r="BB938" s="325">
        <f>SUMIF(BDEGENER[SERIE],BDEGENER[[#This Row],[SERIE]],BDEGENER[GA3])</f>
        <v>2885.1</v>
      </c>
      <c r="BC938" s="683" t="str">
        <f>CONCATENATE("MANT",COUNTIF($Y$7:Y938,Y938))</f>
        <v>MANT13</v>
      </c>
      <c r="BD938" s="29" t="str">
        <f>CONCATENATE(BDEGENER[[#This Row],[SERIE]],BDEGENER[[#This Row],[GA5]])</f>
        <v>3004370203MANT13</v>
      </c>
      <c r="BE938" s="29" t="str">
        <f>CONCATENATE(BDEGENER[[#This Row],[CODIGO PATRIMONIAL]],BDEGENER[[#This Row],[GA5]])</f>
        <v>SUR-GEG-0002MANT13</v>
      </c>
      <c r="BF938" s="16">
        <f>COUNTIF(BDEGENER[SERIE],BDEGENER[[#This Row],[SERIE]])</f>
        <v>14</v>
      </c>
      <c r="BG938" s="683" t="str">
        <f>CONCATENATE("F",COUNTIF($K$7:K938,K938))</f>
        <v>F2</v>
      </c>
      <c r="BH938" s="325" t="str">
        <f>CONCATENATE(BDEGENER[[#This Row],[FECHA DE SERVICIO]],BDEGENER[[#This Row],[N° DE REGISTROS DEL DIA]])</f>
        <v>43641F2</v>
      </c>
      <c r="BI938" s="324"/>
      <c r="BJ938" s="325"/>
      <c r="BK938" s="326"/>
    </row>
    <row r="939" spans="2:63" ht="69" hidden="1" x14ac:dyDescent="0.3">
      <c r="B939" s="34"/>
      <c r="C939" s="34"/>
      <c r="D939" s="34"/>
      <c r="E939" s="34"/>
      <c r="F939" s="34"/>
      <c r="G939" s="34"/>
      <c r="H939" s="34"/>
      <c r="I939" s="34"/>
      <c r="J939" s="34"/>
      <c r="K939" s="37">
        <v>43640</v>
      </c>
      <c r="L939" s="30" t="s">
        <v>561</v>
      </c>
      <c r="M939" s="19" t="s">
        <v>565</v>
      </c>
      <c r="N939" s="19" t="s">
        <v>566</v>
      </c>
      <c r="O939" s="19"/>
      <c r="P939" s="19"/>
      <c r="Q939" s="19" t="s">
        <v>37</v>
      </c>
      <c r="R939" s="85" t="s">
        <v>1782</v>
      </c>
      <c r="S939" s="19" t="s">
        <v>626</v>
      </c>
      <c r="T939" s="85" t="s">
        <v>1782</v>
      </c>
      <c r="U939" s="19" t="s">
        <v>693</v>
      </c>
      <c r="V939" s="19" t="s">
        <v>149</v>
      </c>
      <c r="W939" s="85" t="s">
        <v>913</v>
      </c>
      <c r="X939" s="85" t="s">
        <v>918</v>
      </c>
      <c r="Y939" s="31">
        <v>3004370193</v>
      </c>
      <c r="Z939" s="85" t="s">
        <v>2599</v>
      </c>
      <c r="AA939" s="19" t="s">
        <v>33</v>
      </c>
      <c r="AB939" s="19" t="s">
        <v>217</v>
      </c>
      <c r="AC939" s="19" t="s">
        <v>749</v>
      </c>
      <c r="AD939" s="16"/>
      <c r="AE939" s="16"/>
      <c r="AF939" s="146">
        <v>109.2</v>
      </c>
      <c r="AG939" s="16"/>
      <c r="AH939" s="16"/>
      <c r="AI939" s="16"/>
      <c r="AJ939" s="16"/>
      <c r="AK939" s="16"/>
      <c r="AL939" s="16"/>
      <c r="AM939" s="16"/>
      <c r="AN939" s="16"/>
      <c r="AO939" s="16"/>
      <c r="AP939" s="19" t="s">
        <v>240</v>
      </c>
      <c r="AQ939" s="6" t="str">
        <f>CONCATENATE("REG-",BDEGENER[[#This Row],[FECHA DE SERVICIO]],"-",BDEGENER[[#This Row],[SERIE]],"-",BDEGENER[[#This Row],[HORAS]])</f>
        <v>REG-43640-3004370193-109,2</v>
      </c>
      <c r="AR939" s="5" t="str">
        <f>CONCATENATE("MARCA: ",BDEGENER[[#This Row],[MARCA]],"
 MODELO: ",BDEGENER[[#This Row],[MODELO]])</f>
        <v>MARCA: GENERAC
 MODELO: RG022</v>
      </c>
      <c r="AS939" s="5" t="str">
        <f>CONCATENATE("MARCA: ",BDEGENER[[#This Row],[MARCA DE MOTOR]],"
SERIE: ",BDEGENER[[#This Row],[SERIE DE MOTOR]])</f>
        <v xml:space="preserve">MARCA: 
SERIE: </v>
      </c>
      <c r="AT939" s="5" t="str">
        <f>CONCATENATE("MARCA: ",BDEGENER[[#This Row],[MARCA ALTERNADOR ]],"
SERIE: ",BDEGENER[[#This Row],[SERIE DE ALTERNADOR]])</f>
        <v xml:space="preserve">MARCA: 
SERIE: </v>
      </c>
      <c r="AU939" s="29" t="str">
        <f>CONCATENATE("HORAS: ",BDEGENER[[#This Row],[HORAS]],"
KW-HR: ",BDEGENER[[#This Row],[KW-HORA]],"
VOLT.BATERIA: ",BDEGENER[[#This Row],[VOLTAJE DE BATERIA]],"
TEMPERATURA: ",BDEGENER[[#This Row],[TEMPERATURA DE AGUA]],"
PRES. ACEITE: ",BDEGENER[[#This Row],[PRESION DE ACEITE]])</f>
        <v xml:space="preserve">HORAS: 109,2
KW-HR: 
VOLT.BATERIA: 
TEMPERATURA: 
PRES. ACEITE: </v>
      </c>
      <c r="AV939" s="683">
        <f>COUNTIFS(Q939:Q2939,"MANTENIMIENTO CORRECTIVO",Y939:Y2939,BDEGENER[[#This Row],[SERIE]])</f>
        <v>0</v>
      </c>
      <c r="AW939" s="683">
        <f>COUNTIFS(Q939:Q2939,"MANTENIMIENTO PREVENTIVO",Y939:Y2939,BDEGENER[[#This Row],[SERIE]])</f>
        <v>1</v>
      </c>
      <c r="AX93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39" s="29">
        <f>COUNTIFS(BDEGENER[SERIE],BDEGENER[[#This Row],[SERIE]],BDEGENER[TIPO DE SERVICIO],"MANTENIMIENTO PREVENTIVO")</f>
        <v>9</v>
      </c>
      <c r="AZ939" s="29" t="str">
        <f>CONCATENATE("MANTENIMIENTO PREVENTIVO N°",BDEGENER[[#This Row],[GA1]])</f>
        <v>MANTENIMIENTO PREVENTIVO N°9</v>
      </c>
      <c r="BA939" s="325" t="str">
        <f>IF(BDEGENER[[#This Row],[SERVICIO]]=BDEGENER[[#This Row],[GA2]],BDEGENER[[#This Row],[HORAS]],"0")</f>
        <v>0</v>
      </c>
      <c r="BB939" s="325">
        <f>SUMIF(BDEGENER[SERIE],BDEGENER[[#This Row],[SERIE]],BDEGENER[GA3])</f>
        <v>3580.3</v>
      </c>
      <c r="BC939" s="683" t="str">
        <f>CONCATENATE("MANT",COUNTIF($Y$7:Y939,Y939))</f>
        <v>MANT15</v>
      </c>
      <c r="BD939" s="29" t="str">
        <f>CONCATENATE(BDEGENER[[#This Row],[SERIE]],BDEGENER[[#This Row],[GA5]])</f>
        <v>3004370193MANT15</v>
      </c>
      <c r="BE939" s="29" t="str">
        <f>CONCATENATE(BDEGENER[[#This Row],[CODIGO PATRIMONIAL]],BDEGENER[[#This Row],[GA5]])</f>
        <v>SUR-GEG-0003MANT15</v>
      </c>
      <c r="BF939" s="16">
        <f>COUNTIF(BDEGENER[SERIE],BDEGENER[[#This Row],[SERIE]])</f>
        <v>16</v>
      </c>
      <c r="BG939" s="683" t="str">
        <f>CONCATENATE("F",COUNTIF($K$7:K939,K939))</f>
        <v>F1</v>
      </c>
      <c r="BH939" s="325" t="str">
        <f>CONCATENATE(BDEGENER[[#This Row],[FECHA DE SERVICIO]],BDEGENER[[#This Row],[N° DE REGISTROS DEL DIA]])</f>
        <v>43640F1</v>
      </c>
      <c r="BI939" s="324"/>
      <c r="BJ939" s="325"/>
      <c r="BK939" s="326"/>
    </row>
    <row r="940" spans="2:63" ht="69" hidden="1" x14ac:dyDescent="0.3">
      <c r="B940" s="129"/>
      <c r="C940" s="129"/>
      <c r="D940" s="129"/>
      <c r="E940" s="129"/>
      <c r="F940" s="129"/>
      <c r="G940" s="129"/>
      <c r="H940" s="129"/>
      <c r="I940" s="129"/>
      <c r="J940" s="129"/>
      <c r="K940" s="131">
        <v>43637</v>
      </c>
      <c r="L940" s="85" t="s">
        <v>791</v>
      </c>
      <c r="M940" s="85" t="s">
        <v>3356</v>
      </c>
      <c r="N940" s="85" t="s">
        <v>792</v>
      </c>
      <c r="O940" s="85"/>
      <c r="P940" s="85"/>
      <c r="Q940" s="85" t="s">
        <v>37</v>
      </c>
      <c r="R940" s="85" t="s">
        <v>1782</v>
      </c>
      <c r="S940" s="6" t="s">
        <v>3364</v>
      </c>
      <c r="T940" s="85" t="s">
        <v>3365</v>
      </c>
      <c r="U940" s="85" t="s">
        <v>3366</v>
      </c>
      <c r="V940" s="85" t="s">
        <v>149</v>
      </c>
      <c r="W940" s="85" t="s">
        <v>914</v>
      </c>
      <c r="X940" s="85" t="s">
        <v>917</v>
      </c>
      <c r="Y940" s="15" t="s">
        <v>3367</v>
      </c>
      <c r="Z940" s="692"/>
      <c r="AA940" s="85" t="s">
        <v>840</v>
      </c>
      <c r="AB940" s="85" t="s">
        <v>3361</v>
      </c>
      <c r="AC940" s="85" t="s">
        <v>851</v>
      </c>
      <c r="AD940" s="85" t="s">
        <v>1945</v>
      </c>
      <c r="AE940" s="85">
        <v>63</v>
      </c>
      <c r="AF940" s="132">
        <v>306.3</v>
      </c>
      <c r="AG940" s="85"/>
      <c r="AH940" s="85" t="s">
        <v>3368</v>
      </c>
      <c r="AI940" s="85" t="s">
        <v>844</v>
      </c>
      <c r="AJ940" s="85" t="s">
        <v>859</v>
      </c>
      <c r="AK940" s="85" t="s">
        <v>1923</v>
      </c>
      <c r="AL940" s="85" t="s">
        <v>3355</v>
      </c>
      <c r="AM940" s="85" t="s">
        <v>1858</v>
      </c>
      <c r="AN940" s="85" t="s">
        <v>2438</v>
      </c>
      <c r="AO940" s="85" t="s">
        <v>1443</v>
      </c>
      <c r="AP940" s="85" t="s">
        <v>240</v>
      </c>
      <c r="AQ940" s="9" t="str">
        <f>CONCATENATE("REG-",BDEGENER[[#This Row],[FECHA DE SERVICIO]],"-",BDEGENER[[#This Row],[SERIE]],"-",BDEGENER[[#This Row],[HORAS]])</f>
        <v>REG-43637-A5245J-001-306,3</v>
      </c>
      <c r="AR940" s="85" t="str">
        <f>CONCATENATE("MARCA: ",BDEGENER[[#This Row],[MARCA]],"
 MODELO: ",BDEGENER[[#This Row],[MODELO]])</f>
        <v>MARCA: FG - WILSON
 MODELO: PG-90</v>
      </c>
      <c r="AS940" s="85" t="str">
        <f>CONCATENATE("MARCA: ",BDEGENER[[#This Row],[MARCA DE MOTOR]],"
SERIE: ",BDEGENER[[#This Row],[SERIE DE MOTOR]])</f>
        <v>MARCA: PERKINS
SERIE: U613189</v>
      </c>
      <c r="AT940" s="85" t="str">
        <f>CONCATENATE("MARCA: ",BDEGENER[[#This Row],[MARCA ALTERNADOR ]],"
SERIE: ",BDEGENER[[#This Row],[SERIE DE ALTERNADOR]])</f>
        <v>MARCA: FG WILSON
SERIE: A5245J/001</v>
      </c>
      <c r="AU940" s="85" t="str">
        <f>CONCATENATE("HORAS: ",BDEGENER[[#This Row],[HORAS]],"
KW-HR: ",BDEGENER[[#This Row],[KW-HORA]],"
VOLT.BATERIA: ",BDEGENER[[#This Row],[VOLTAJE DE BATERIA]],"
TEMPERATURA: ",BDEGENER[[#This Row],[TEMPERATURA DE AGUA]],"
PRES. ACEITE: ",BDEGENER[[#This Row],[PRESION DE ACEITE]])</f>
        <v>HORAS: 306,3
KW-HR: 
VOLT.BATERIA: 14.1 V
TEMPERATURA: 75 °C
PRES. ACEITE: 80 PSI</v>
      </c>
      <c r="AV940" s="761">
        <f>COUNTIFS(Q940:Q2940,"MANTENIMIENTO CORRECTIVO",Y940:Y2940,BDEGENER[[#This Row],[SERIE]])</f>
        <v>0</v>
      </c>
      <c r="AW940" s="761">
        <f>COUNTIFS(Q940:Q2940,"MANTENIMIENTO PREVENTIVO",Y940:Y2940,BDEGENER[[#This Row],[SERIE]])</f>
        <v>2</v>
      </c>
      <c r="AX94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40" s="85">
        <f>COUNTIFS(BDEGENER[SERIE],BDEGENER[[#This Row],[SERIE]],BDEGENER[TIPO DE SERVICIO],"MANTENIMIENTO PREVENTIVO")</f>
        <v>6</v>
      </c>
      <c r="AZ940" s="85" t="str">
        <f>CONCATENATE("MANTENIMIENTO PREVENTIVO N°",BDEGENER[[#This Row],[GA1]])</f>
        <v>MANTENIMIENTO PREVENTIVO N°6</v>
      </c>
      <c r="BA940" s="85" t="str">
        <f>IF(BDEGENER[[#This Row],[SERVICIO]]=BDEGENER[[#This Row],[GA2]],BDEGENER[[#This Row],[HORAS]],"0")</f>
        <v>0</v>
      </c>
      <c r="BB940" s="85">
        <f>SUMIF(BDEGENER[SERIE],BDEGENER[[#This Row],[SERIE]],BDEGENER[GA3])</f>
        <v>308.10000000000002</v>
      </c>
      <c r="BC940" s="761" t="str">
        <f>CONCATENATE("MANT",COUNTIF($Y$7:Y940,Y940))</f>
        <v>MANT6</v>
      </c>
      <c r="BD940" s="85" t="str">
        <f>CONCATENATE(BDEGENER[[#This Row],[SERIE]],BDEGENER[[#This Row],[GA5]])</f>
        <v>A5245J-001MANT6</v>
      </c>
      <c r="BE940" s="85" t="str">
        <f>CONCATENATE(BDEGENER[[#This Row],[CODIGO PATRIMONIAL]],BDEGENER[[#This Row],[GA5]])</f>
        <v>MANT6</v>
      </c>
      <c r="BF940" s="85">
        <f>COUNTIF(BDEGENER[SERIE],BDEGENER[[#This Row],[SERIE]])</f>
        <v>7</v>
      </c>
      <c r="BG940" s="761" t="str">
        <f>CONCATENATE("F",COUNTIF($K$7:K940,K940))</f>
        <v>F1</v>
      </c>
      <c r="BH940" s="85" t="str">
        <f>CONCATENATE(BDEGENER[[#This Row],[FECHA DE SERVICIO]],BDEGENER[[#This Row],[N° DE REGISTROS DEL DIA]])</f>
        <v>43637F1</v>
      </c>
      <c r="BI940" s="132"/>
      <c r="BJ940" s="85" t="s">
        <v>1544</v>
      </c>
      <c r="BK940" s="680"/>
    </row>
    <row r="941" spans="2:63" ht="69" hidden="1" x14ac:dyDescent="0.3">
      <c r="B941" s="34"/>
      <c r="C941" s="34"/>
      <c r="D941" s="34"/>
      <c r="E941" s="34"/>
      <c r="F941" s="34"/>
      <c r="G941" s="34"/>
      <c r="H941" s="34"/>
      <c r="I941" s="34"/>
      <c r="J941" s="34"/>
      <c r="K941" s="37">
        <v>43634</v>
      </c>
      <c r="L941" s="30" t="s">
        <v>561</v>
      </c>
      <c r="M941" s="19" t="s">
        <v>565</v>
      </c>
      <c r="N941" s="19" t="s">
        <v>566</v>
      </c>
      <c r="O941" s="19"/>
      <c r="P941" s="19"/>
      <c r="Q941" s="19" t="s">
        <v>109</v>
      </c>
      <c r="R941" s="85" t="s">
        <v>1782</v>
      </c>
      <c r="S941" s="19" t="s">
        <v>627</v>
      </c>
      <c r="T941" s="85" t="s">
        <v>1782</v>
      </c>
      <c r="U941" s="19"/>
      <c r="V941" s="19" t="s">
        <v>149</v>
      </c>
      <c r="W941" s="85" t="s">
        <v>913</v>
      </c>
      <c r="X941" s="85" t="s">
        <v>918</v>
      </c>
      <c r="Y941" s="31">
        <v>3004370193</v>
      </c>
      <c r="Z941" s="692" t="s">
        <v>2599</v>
      </c>
      <c r="AA941" s="19" t="s">
        <v>33</v>
      </c>
      <c r="AB941" s="19" t="s">
        <v>217</v>
      </c>
      <c r="AC941" s="19" t="s">
        <v>749</v>
      </c>
      <c r="AD941" s="16"/>
      <c r="AE941" s="16"/>
      <c r="AF941" s="146">
        <v>0</v>
      </c>
      <c r="AG941" s="16"/>
      <c r="AH941" s="16"/>
      <c r="AI941" s="16"/>
      <c r="AJ941" s="16"/>
      <c r="AK941" s="16"/>
      <c r="AL941" s="16"/>
      <c r="AM941" s="16"/>
      <c r="AN941" s="16"/>
      <c r="AO941" s="16"/>
      <c r="AP941" s="19" t="s">
        <v>240</v>
      </c>
      <c r="AQ941" s="6" t="str">
        <f>CONCATENATE("REG-",BDEGENER[[#This Row],[FECHA DE SERVICIO]],"-",BDEGENER[[#This Row],[SERIE]],"-",BDEGENER[[#This Row],[HORAS]])</f>
        <v>REG-43634-3004370193-0</v>
      </c>
      <c r="AR941" s="5" t="str">
        <f>CONCATENATE("MARCA: ",BDEGENER[[#This Row],[MARCA]],"
 MODELO: ",BDEGENER[[#This Row],[MODELO]])</f>
        <v>MARCA: GENERAC
 MODELO: RG022</v>
      </c>
      <c r="AS941" s="5" t="str">
        <f>CONCATENATE("MARCA: ",BDEGENER[[#This Row],[MARCA DE MOTOR]],"
SERIE: ",BDEGENER[[#This Row],[SERIE DE MOTOR]])</f>
        <v xml:space="preserve">MARCA: 
SERIE: </v>
      </c>
      <c r="AT941" s="5" t="str">
        <f>CONCATENATE("MARCA: ",BDEGENER[[#This Row],[MARCA ALTERNADOR ]],"
SERIE: ",BDEGENER[[#This Row],[SERIE DE ALTERNADOR]])</f>
        <v xml:space="preserve">MARCA: 
SERIE: </v>
      </c>
      <c r="AU941" s="29" t="str">
        <f>CONCATENATE("HORAS: ",BDEGENER[[#This Row],[HORAS]],"
KW-HR: ",BDEGENER[[#This Row],[KW-HORA]],"
VOLT.BATERIA: ",BDEGENER[[#This Row],[VOLTAJE DE BATERIA]],"
TEMPERATURA: ",BDEGENER[[#This Row],[TEMPERATURA DE AGUA]],"
PRES. ACEITE: ",BDEGENER[[#This Row],[PRESION DE ACEITE]])</f>
        <v xml:space="preserve">HORAS: 0
KW-HR: 
VOLT.BATERIA: 
TEMPERATURA: 
PRES. ACEITE: </v>
      </c>
      <c r="AV941" s="683">
        <f>COUNTIFS(Q941:Q2941,"MANTENIMIENTO CORRECTIVO",Y941:Y2941,BDEGENER[[#This Row],[SERIE]])</f>
        <v>0</v>
      </c>
      <c r="AW941" s="683">
        <f>COUNTIFS(Q941:Q2941,"MANTENIMIENTO PREVENTIVO",Y941:Y2941,BDEGENER[[#This Row],[SERIE]])</f>
        <v>0</v>
      </c>
      <c r="AX94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41" s="29">
        <f>COUNTIFS(BDEGENER[SERIE],BDEGENER[[#This Row],[SERIE]],BDEGENER[TIPO DE SERVICIO],"MANTENIMIENTO PREVENTIVO")</f>
        <v>9</v>
      </c>
      <c r="AZ941" s="29" t="str">
        <f>CONCATENATE("MANTENIMIENTO PREVENTIVO N°",BDEGENER[[#This Row],[GA1]])</f>
        <v>MANTENIMIENTO PREVENTIVO N°9</v>
      </c>
      <c r="BA941" s="325" t="str">
        <f>IF(BDEGENER[[#This Row],[SERVICIO]]=BDEGENER[[#This Row],[GA2]],BDEGENER[[#This Row],[HORAS]],"0")</f>
        <v>0</v>
      </c>
      <c r="BB941" s="325">
        <f>SUMIF(BDEGENER[SERIE],BDEGENER[[#This Row],[SERIE]],BDEGENER[GA3])</f>
        <v>3580.3</v>
      </c>
      <c r="BC941" s="683" t="str">
        <f>CONCATENATE("MANT",COUNTIF($Y$7:Y941,Y941))</f>
        <v>MANT16</v>
      </c>
      <c r="BD941" s="29" t="str">
        <f>CONCATENATE(BDEGENER[[#This Row],[SERIE]],BDEGENER[[#This Row],[GA5]])</f>
        <v>3004370193MANT16</v>
      </c>
      <c r="BE941" s="29" t="str">
        <f>CONCATENATE(BDEGENER[[#This Row],[CODIGO PATRIMONIAL]],BDEGENER[[#This Row],[GA5]])</f>
        <v>SUR-GEG-0003MANT16</v>
      </c>
      <c r="BF941" s="16">
        <f>COUNTIF(BDEGENER[SERIE],BDEGENER[[#This Row],[SERIE]])</f>
        <v>16</v>
      </c>
      <c r="BG941" s="683" t="str">
        <f>CONCATENATE("F",COUNTIF($K$7:K941,K941))</f>
        <v>F1</v>
      </c>
      <c r="BH941" s="325" t="str">
        <f>CONCATENATE(BDEGENER[[#This Row],[FECHA DE SERVICIO]],BDEGENER[[#This Row],[N° DE REGISTROS DEL DIA]])</f>
        <v>43634F1</v>
      </c>
      <c r="BI941" s="324"/>
      <c r="BJ941" s="325"/>
      <c r="BK941" s="326"/>
    </row>
    <row r="942" spans="2:63" ht="69" hidden="1" x14ac:dyDescent="0.3">
      <c r="B942" s="34"/>
      <c r="C942" s="34"/>
      <c r="D942" s="34"/>
      <c r="E942" s="34"/>
      <c r="F942" s="34"/>
      <c r="G942" s="34"/>
      <c r="H942" s="34"/>
      <c r="I942" s="34"/>
      <c r="J942" s="34"/>
      <c r="K942" s="37">
        <v>43634</v>
      </c>
      <c r="L942" s="30" t="s">
        <v>561</v>
      </c>
      <c r="M942" s="19" t="s">
        <v>562</v>
      </c>
      <c r="N942" s="19" t="s">
        <v>563</v>
      </c>
      <c r="O942" s="19"/>
      <c r="P942" s="19"/>
      <c r="Q942" s="19" t="s">
        <v>109</v>
      </c>
      <c r="R942" s="85" t="s">
        <v>1782</v>
      </c>
      <c r="S942" s="19" t="s">
        <v>628</v>
      </c>
      <c r="T942" s="85" t="s">
        <v>1782</v>
      </c>
      <c r="U942" s="19"/>
      <c r="V942" s="19" t="s">
        <v>149</v>
      </c>
      <c r="W942" s="19" t="s">
        <v>913</v>
      </c>
      <c r="X942" s="19" t="s">
        <v>918</v>
      </c>
      <c r="Y942" s="31">
        <v>3004370203</v>
      </c>
      <c r="Z942" s="19" t="s">
        <v>2598</v>
      </c>
      <c r="AA942" s="19" t="s">
        <v>33</v>
      </c>
      <c r="AB942" s="19" t="s">
        <v>217</v>
      </c>
      <c r="AC942" s="19" t="s">
        <v>749</v>
      </c>
      <c r="AD942" s="16"/>
      <c r="AE942" s="16"/>
      <c r="AF942" s="146">
        <v>0.4</v>
      </c>
      <c r="AG942" s="16"/>
      <c r="AH942" s="16"/>
      <c r="AI942" s="16"/>
      <c r="AJ942" s="16"/>
      <c r="AK942" s="16"/>
      <c r="AL942" s="16"/>
      <c r="AM942" s="16"/>
      <c r="AN942" s="16"/>
      <c r="AO942" s="16"/>
      <c r="AP942" s="19" t="s">
        <v>240</v>
      </c>
      <c r="AQ942" s="6" t="str">
        <f>CONCATENATE("REG-",BDEGENER[[#This Row],[FECHA DE SERVICIO]],"-",BDEGENER[[#This Row],[SERIE]],"-",BDEGENER[[#This Row],[HORAS]])</f>
        <v>REG-43634-3004370203-0,4</v>
      </c>
      <c r="AR942" s="5" t="str">
        <f>CONCATENATE("MARCA: ",BDEGENER[[#This Row],[MARCA]],"
 MODELO: ",BDEGENER[[#This Row],[MODELO]])</f>
        <v>MARCA: GENERAC
 MODELO: RG022</v>
      </c>
      <c r="AS942" s="5" t="str">
        <f>CONCATENATE("MARCA: ",BDEGENER[[#This Row],[MARCA DE MOTOR]],"
SERIE: ",BDEGENER[[#This Row],[SERIE DE MOTOR]])</f>
        <v xml:space="preserve">MARCA: 
SERIE: </v>
      </c>
      <c r="AT942" s="5" t="str">
        <f>CONCATENATE("MARCA: ",BDEGENER[[#This Row],[MARCA ALTERNADOR ]],"
SERIE: ",BDEGENER[[#This Row],[SERIE DE ALTERNADOR]])</f>
        <v xml:space="preserve">MARCA: 
SERIE: </v>
      </c>
      <c r="AU942" s="29" t="str">
        <f>CONCATENATE("HORAS: ",BDEGENER[[#This Row],[HORAS]],"
KW-HR: ",BDEGENER[[#This Row],[KW-HORA]],"
VOLT.BATERIA: ",BDEGENER[[#This Row],[VOLTAJE DE BATERIA]],"
TEMPERATURA: ",BDEGENER[[#This Row],[TEMPERATURA DE AGUA]],"
PRES. ACEITE: ",BDEGENER[[#This Row],[PRESION DE ACEITE]])</f>
        <v xml:space="preserve">HORAS: 0,4
KW-HR: 
VOLT.BATERIA: 
TEMPERATURA: 
PRES. ACEITE: </v>
      </c>
      <c r="AV942" s="683">
        <f>COUNTIFS(Q942:Q2942,"MANTENIMIENTO CORRECTIVO",Y942:Y2942,BDEGENER[[#This Row],[SERIE]])</f>
        <v>0</v>
      </c>
      <c r="AW942" s="683">
        <f>COUNTIFS(Q942:Q2942,"MANTENIMIENTO PREVENTIVO",Y942:Y2942,BDEGENER[[#This Row],[SERIE]])</f>
        <v>0</v>
      </c>
      <c r="AX94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42" s="29">
        <f>COUNTIFS(BDEGENER[SERIE],BDEGENER[[#This Row],[SERIE]],BDEGENER[TIPO DE SERVICIO],"MANTENIMIENTO PREVENTIVO")</f>
        <v>6</v>
      </c>
      <c r="AZ942" s="29" t="str">
        <f>CONCATENATE("MANTENIMIENTO PREVENTIVO N°",BDEGENER[[#This Row],[GA1]])</f>
        <v>MANTENIMIENTO PREVENTIVO N°6</v>
      </c>
      <c r="BA942" s="325" t="str">
        <f>IF(BDEGENER[[#This Row],[SERVICIO]]=BDEGENER[[#This Row],[GA2]],BDEGENER[[#This Row],[HORAS]],"0")</f>
        <v>0</v>
      </c>
      <c r="BB942" s="325">
        <f>SUMIF(BDEGENER[SERIE],BDEGENER[[#This Row],[SERIE]],BDEGENER[GA3])</f>
        <v>2885.1</v>
      </c>
      <c r="BC942" s="683" t="str">
        <f>CONCATENATE("MANT",COUNTIF($Y$7:Y942,Y942))</f>
        <v>MANT14</v>
      </c>
      <c r="BD942" s="29" t="str">
        <f>CONCATENATE(BDEGENER[[#This Row],[SERIE]],BDEGENER[[#This Row],[GA5]])</f>
        <v>3004370203MANT14</v>
      </c>
      <c r="BE942" s="29" t="str">
        <f>CONCATENATE(BDEGENER[[#This Row],[CODIGO PATRIMONIAL]],BDEGENER[[#This Row],[GA5]])</f>
        <v>SUR-GEG-0002MANT14</v>
      </c>
      <c r="BF942" s="16">
        <f>COUNTIF(BDEGENER[SERIE],BDEGENER[[#This Row],[SERIE]])</f>
        <v>14</v>
      </c>
      <c r="BG942" s="683" t="str">
        <f>CONCATENATE("F",COUNTIF($K$7:K942,K942))</f>
        <v>F2</v>
      </c>
      <c r="BH942" s="325" t="str">
        <f>CONCATENATE(BDEGENER[[#This Row],[FECHA DE SERVICIO]],BDEGENER[[#This Row],[N° DE REGISTROS DEL DIA]])</f>
        <v>43634F2</v>
      </c>
      <c r="BI942" s="324"/>
      <c r="BJ942" s="325"/>
      <c r="BK942" s="326"/>
    </row>
    <row r="943" spans="2:63" ht="69" hidden="1" x14ac:dyDescent="0.3">
      <c r="B943" s="34"/>
      <c r="C943" s="34"/>
      <c r="D943" s="34"/>
      <c r="E943" s="34"/>
      <c r="F943" s="34"/>
      <c r="G943" s="34"/>
      <c r="H943" s="34"/>
      <c r="I943" s="34"/>
      <c r="J943" s="34"/>
      <c r="K943" s="37">
        <v>43634</v>
      </c>
      <c r="L943" s="30" t="s">
        <v>561</v>
      </c>
      <c r="M943" s="19" t="s">
        <v>575</v>
      </c>
      <c r="N943" s="19" t="s">
        <v>576</v>
      </c>
      <c r="O943" s="19"/>
      <c r="P943" s="19"/>
      <c r="Q943" s="19" t="s">
        <v>109</v>
      </c>
      <c r="R943" s="85" t="s">
        <v>1782</v>
      </c>
      <c r="S943" s="19" t="s">
        <v>620</v>
      </c>
      <c r="T943" s="85" t="s">
        <v>1782</v>
      </c>
      <c r="U943" s="19"/>
      <c r="V943" s="19" t="s">
        <v>149</v>
      </c>
      <c r="W943" s="683" t="s">
        <v>913</v>
      </c>
      <c r="X943" s="691" t="s">
        <v>918</v>
      </c>
      <c r="Y943" s="31">
        <v>3004370195</v>
      </c>
      <c r="Z943" s="692" t="s">
        <v>2597</v>
      </c>
      <c r="AA943" s="19" t="s">
        <v>33</v>
      </c>
      <c r="AB943" s="19" t="s">
        <v>217</v>
      </c>
      <c r="AC943" s="19" t="s">
        <v>749</v>
      </c>
      <c r="AD943" s="16"/>
      <c r="AE943" s="16"/>
      <c r="AF943" s="146">
        <v>0.34</v>
      </c>
      <c r="AG943" s="16"/>
      <c r="AH943" s="16"/>
      <c r="AI943" s="16"/>
      <c r="AJ943" s="16"/>
      <c r="AK943" s="16"/>
      <c r="AL943" s="16"/>
      <c r="AM943" s="16"/>
      <c r="AN943" s="16"/>
      <c r="AO943" s="16"/>
      <c r="AP943" s="19" t="s">
        <v>240</v>
      </c>
      <c r="AQ943" s="6" t="str">
        <f>CONCATENATE("REG-",BDEGENER[[#This Row],[FECHA DE SERVICIO]],"-",BDEGENER[[#This Row],[SERIE]],"-",BDEGENER[[#This Row],[HORAS]])</f>
        <v>REG-43634-3004370195-0,34</v>
      </c>
      <c r="AR943" s="5" t="str">
        <f>CONCATENATE("MARCA: ",BDEGENER[[#This Row],[MARCA]],"
 MODELO: ",BDEGENER[[#This Row],[MODELO]])</f>
        <v>MARCA: GENERAC
 MODELO: RG022</v>
      </c>
      <c r="AS943" s="5" t="str">
        <f>CONCATENATE("MARCA: ",BDEGENER[[#This Row],[MARCA DE MOTOR]],"
SERIE: ",BDEGENER[[#This Row],[SERIE DE MOTOR]])</f>
        <v xml:space="preserve">MARCA: 
SERIE: </v>
      </c>
      <c r="AT943" s="5" t="str">
        <f>CONCATENATE("MARCA: ",BDEGENER[[#This Row],[MARCA ALTERNADOR ]],"
SERIE: ",BDEGENER[[#This Row],[SERIE DE ALTERNADOR]])</f>
        <v xml:space="preserve">MARCA: 
SERIE: </v>
      </c>
      <c r="AU943" s="29" t="str">
        <f>CONCATENATE("HORAS: ",BDEGENER[[#This Row],[HORAS]],"
KW-HR: ",BDEGENER[[#This Row],[KW-HORA]],"
VOLT.BATERIA: ",BDEGENER[[#This Row],[VOLTAJE DE BATERIA]],"
TEMPERATURA: ",BDEGENER[[#This Row],[TEMPERATURA DE AGUA]],"
PRES. ACEITE: ",BDEGENER[[#This Row],[PRESION DE ACEITE]])</f>
        <v xml:space="preserve">HORAS: 0,34
KW-HR: 
VOLT.BATERIA: 
TEMPERATURA: 
PRES. ACEITE: </v>
      </c>
      <c r="AV943" s="761">
        <f>COUNTIFS(Q943:Q2943,"MANTENIMIENTO CORRECTIVO",Y943:Y2943,BDEGENER[[#This Row],[SERIE]])</f>
        <v>0</v>
      </c>
      <c r="AW943" s="761">
        <f>COUNTIFS(Q943:Q2943,"MANTENIMIENTO PREVENTIVO",Y943:Y2943,BDEGENER[[#This Row],[SERIE]])</f>
        <v>0</v>
      </c>
      <c r="AX94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43" s="29">
        <f>COUNTIFS(BDEGENER[SERIE],BDEGENER[[#This Row],[SERIE]],BDEGENER[TIPO DE SERVICIO],"MANTENIMIENTO PREVENTIVO")</f>
        <v>7</v>
      </c>
      <c r="AZ943" s="29" t="str">
        <f>CONCATENATE("MANTENIMIENTO PREVENTIVO N°",BDEGENER[[#This Row],[GA1]])</f>
        <v>MANTENIMIENTO PREVENTIVO N°7</v>
      </c>
      <c r="BA943" s="325" t="str">
        <f>IF(BDEGENER[[#This Row],[SERVICIO]]=BDEGENER[[#This Row],[GA2]],BDEGENER[[#This Row],[HORAS]],"0")</f>
        <v>0</v>
      </c>
      <c r="BB943" s="325">
        <f>SUMIF(BDEGENER[SERIE],BDEGENER[[#This Row],[SERIE]],BDEGENER[GA3])</f>
        <v>3519.7</v>
      </c>
      <c r="BC943" s="761" t="str">
        <f>CONCATENATE("MANT",COUNTIF($Y$7:Y943,Y943))</f>
        <v>MANT12</v>
      </c>
      <c r="BD943" s="29" t="str">
        <f>CONCATENATE(BDEGENER[[#This Row],[SERIE]],BDEGENER[[#This Row],[GA5]])</f>
        <v>3004370195MANT12</v>
      </c>
      <c r="BE943" s="29" t="str">
        <f>CONCATENATE(BDEGENER[[#This Row],[CODIGO PATRIMONIAL]],BDEGENER[[#This Row],[GA5]])</f>
        <v>SUR-GEG-0001MANT12</v>
      </c>
      <c r="BF943" s="16">
        <f>COUNTIF(BDEGENER[SERIE],BDEGENER[[#This Row],[SERIE]])</f>
        <v>12</v>
      </c>
      <c r="BG943" s="761" t="str">
        <f>CONCATENATE("F",COUNTIF($K$7:K943,K943))</f>
        <v>F3</v>
      </c>
      <c r="BH943" s="325" t="str">
        <f>CONCATENATE(BDEGENER[[#This Row],[FECHA DE SERVICIO]],BDEGENER[[#This Row],[N° DE REGISTROS DEL DIA]])</f>
        <v>43634F3</v>
      </c>
      <c r="BI943" s="324"/>
      <c r="BJ943" s="325"/>
      <c r="BK943" s="326"/>
    </row>
    <row r="944" spans="2:63" ht="69" hidden="1" x14ac:dyDescent="0.3">
      <c r="B944" s="223"/>
      <c r="C944" s="223"/>
      <c r="D944" s="223"/>
      <c r="E944" s="223"/>
      <c r="F944" s="223"/>
      <c r="G944" s="223"/>
      <c r="H944" s="223"/>
      <c r="I944" s="223"/>
      <c r="J944" s="223"/>
      <c r="K944" s="723">
        <v>43628</v>
      </c>
      <c r="L944" s="15" t="s">
        <v>181</v>
      </c>
      <c r="M944" s="14"/>
      <c r="N944" s="14"/>
      <c r="O944" s="8" t="s">
        <v>159</v>
      </c>
      <c r="P944" s="15" t="s">
        <v>159</v>
      </c>
      <c r="Q944" s="14" t="s">
        <v>108</v>
      </c>
      <c r="R944" s="85" t="s">
        <v>1782</v>
      </c>
      <c r="S944" s="5" t="s">
        <v>58</v>
      </c>
      <c r="T944" s="14" t="s">
        <v>98</v>
      </c>
      <c r="U944" s="14"/>
      <c r="V944" s="14" t="s">
        <v>149</v>
      </c>
      <c r="W944" s="14"/>
      <c r="X944" s="14"/>
      <c r="Y944" s="15" t="s">
        <v>176</v>
      </c>
      <c r="Z944" s="14" t="s">
        <v>192</v>
      </c>
      <c r="AA944" s="14" t="s">
        <v>221</v>
      </c>
      <c r="AB944" s="14" t="s">
        <v>222</v>
      </c>
      <c r="AC944" s="14" t="s">
        <v>236</v>
      </c>
      <c r="AD944" s="16"/>
      <c r="AE944" s="16"/>
      <c r="AF944" s="12" t="s">
        <v>177</v>
      </c>
      <c r="AG944" s="16"/>
      <c r="AH944" s="16"/>
      <c r="AI944" s="16"/>
      <c r="AJ944" s="16"/>
      <c r="AK944" s="16"/>
      <c r="AL944" s="16"/>
      <c r="AM944" s="16"/>
      <c r="AN944" s="16"/>
      <c r="AO944" s="16"/>
      <c r="AP944" s="14" t="s">
        <v>240</v>
      </c>
      <c r="AQ944" s="6" t="str">
        <f>CONCATENATE("REG-",BDEGENER[[#This Row],[FECHA DE SERVICIO]],"-",BDEGENER[[#This Row],[SERIE]],"-",BDEGENER[[#This Row],[HORAS]])</f>
        <v>REG-43628-T33MPG7880-NR</v>
      </c>
      <c r="AR944" s="5" t="str">
        <f>CONCATENATE("MARCA: ",BDEGENER[[#This Row],[MARCA]],"
 MODELO: ",BDEGENER[[#This Row],[MODELO]])</f>
        <v>MARCA: MODASA
 MODELO: X20577B</v>
      </c>
      <c r="AS944" s="5" t="str">
        <f>CONCATENATE("MARCA: ",BDEGENER[[#This Row],[MARCA DE MOTOR]],"
SERIE: ",BDEGENER[[#This Row],[SERIE DE MOTOR]])</f>
        <v xml:space="preserve">MARCA: 
SERIE: </v>
      </c>
      <c r="AT944" s="5" t="str">
        <f>CONCATENATE("MARCA: ",BDEGENER[[#This Row],[MARCA ALTERNADOR ]],"
SERIE: ",BDEGENER[[#This Row],[SERIE DE ALTERNADOR]])</f>
        <v xml:space="preserve">MARCA: 
SERIE: </v>
      </c>
      <c r="AU944"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944" s="683">
        <f>COUNTIFS(Q944:Q2944,"MANTENIMIENTO CORRECTIVO",Y944:Y2944,BDEGENER[[#This Row],[SERIE]])</f>
        <v>0</v>
      </c>
      <c r="AW944" s="683">
        <f>COUNTIFS(Q944:Q2944,"MANTENIMIENTO PREVENTIVO",Y944:Y2944,BDEGENER[[#This Row],[SERIE]])</f>
        <v>0</v>
      </c>
      <c r="AX94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944" s="29">
        <f>COUNTIFS(BDEGENER[SERIE],BDEGENER[[#This Row],[SERIE]],BDEGENER[TIPO DE SERVICIO],"MANTENIMIENTO PREVENTIVO")</f>
        <v>0</v>
      </c>
      <c r="AZ944" s="29" t="str">
        <f>CONCATENATE("MANTENIMIENTO PREVENTIVO N°",BDEGENER[[#This Row],[GA1]])</f>
        <v>MANTENIMIENTO PREVENTIVO N°0</v>
      </c>
      <c r="BA944" s="325" t="str">
        <f>IF(BDEGENER[[#This Row],[SERVICIO]]=BDEGENER[[#This Row],[GA2]],BDEGENER[[#This Row],[HORAS]],"0")</f>
        <v>0</v>
      </c>
      <c r="BB944" s="325">
        <f>SUMIF(BDEGENER[SERIE],BDEGENER[[#This Row],[SERIE]],BDEGENER[GA3])</f>
        <v>0</v>
      </c>
      <c r="BC944" s="683" t="str">
        <f>CONCATENATE("MANT",COUNTIF($Y$7:Y944,Y944))</f>
        <v>MANT1</v>
      </c>
      <c r="BD944" s="29" t="str">
        <f>CONCATENATE(BDEGENER[[#This Row],[SERIE]],BDEGENER[[#This Row],[GA5]])</f>
        <v>T33MPG7880MANT1</v>
      </c>
      <c r="BE944" s="29" t="str">
        <f>CONCATENATE(BDEGENER[[#This Row],[CODIGO PATRIMONIAL]],BDEGENER[[#This Row],[GA5]])</f>
        <v xml:space="preserve"> MANT1</v>
      </c>
      <c r="BF944" s="16">
        <f>COUNTIF(BDEGENER[SERIE],BDEGENER[[#This Row],[SERIE]])</f>
        <v>1</v>
      </c>
      <c r="BG944" s="683" t="str">
        <f>CONCATENATE("F",COUNTIF($K$7:K944,K944))</f>
        <v>F1</v>
      </c>
      <c r="BH944" s="325" t="str">
        <f>CONCATENATE(BDEGENER[[#This Row],[FECHA DE SERVICIO]],BDEGENER[[#This Row],[N° DE REGISTROS DEL DIA]])</f>
        <v>43628F1</v>
      </c>
      <c r="BI944" s="324"/>
      <c r="BJ944" s="325"/>
      <c r="BK944" s="326"/>
    </row>
    <row r="945" spans="2:63" ht="69" hidden="1" x14ac:dyDescent="0.3">
      <c r="B945" s="34"/>
      <c r="C945" s="34"/>
      <c r="D945" s="34"/>
      <c r="E945" s="34"/>
      <c r="F945" s="34"/>
      <c r="G945" s="34"/>
      <c r="H945" s="34"/>
      <c r="I945" s="34"/>
      <c r="J945" s="34"/>
      <c r="K945" s="37">
        <v>43624</v>
      </c>
      <c r="L945" s="30" t="s">
        <v>561</v>
      </c>
      <c r="M945" s="19" t="s">
        <v>2451</v>
      </c>
      <c r="N945" s="19" t="s">
        <v>584</v>
      </c>
      <c r="O945" s="19"/>
      <c r="P945" s="19"/>
      <c r="Q945" s="19" t="s">
        <v>37</v>
      </c>
      <c r="R945" s="85" t="s">
        <v>1782</v>
      </c>
      <c r="S945" s="19" t="s">
        <v>42</v>
      </c>
      <c r="T945" s="85" t="s">
        <v>1782</v>
      </c>
      <c r="U945" s="19" t="s">
        <v>700</v>
      </c>
      <c r="V945" s="19" t="s">
        <v>332</v>
      </c>
      <c r="W945" s="683" t="s">
        <v>913</v>
      </c>
      <c r="X945" s="691" t="s">
        <v>918</v>
      </c>
      <c r="Y945" s="31">
        <v>3003940357</v>
      </c>
      <c r="Z945" s="692" t="s">
        <v>2612</v>
      </c>
      <c r="AA945" s="19" t="s">
        <v>33</v>
      </c>
      <c r="AB945" s="19" t="s">
        <v>217</v>
      </c>
      <c r="AC945" s="19" t="s">
        <v>749</v>
      </c>
      <c r="AD945" s="16"/>
      <c r="AE945" s="16"/>
      <c r="AF945" s="146">
        <v>747</v>
      </c>
      <c r="AG945" s="16"/>
      <c r="AH945" s="16"/>
      <c r="AI945" s="16"/>
      <c r="AJ945" s="16"/>
      <c r="AK945" s="16"/>
      <c r="AL945" s="16"/>
      <c r="AM945" s="16"/>
      <c r="AN945" s="16"/>
      <c r="AO945" s="16"/>
      <c r="AP945" s="19" t="s">
        <v>240</v>
      </c>
      <c r="AQ945" s="6" t="str">
        <f>CONCATENATE("REG-",BDEGENER[[#This Row],[FECHA DE SERVICIO]],"-",BDEGENER[[#This Row],[SERIE]],"-",BDEGENER[[#This Row],[HORAS]])</f>
        <v>REG-43624-3003940357-747</v>
      </c>
      <c r="AR945" s="5" t="str">
        <f>CONCATENATE("MARCA: ",BDEGENER[[#This Row],[MARCA]],"
 MODELO: ",BDEGENER[[#This Row],[MODELO]])</f>
        <v>MARCA: GENERAC
 MODELO: RG022</v>
      </c>
      <c r="AS945" s="5" t="str">
        <f>CONCATENATE("MARCA: ",BDEGENER[[#This Row],[MARCA DE MOTOR]],"
SERIE: ",BDEGENER[[#This Row],[SERIE DE MOTOR]])</f>
        <v xml:space="preserve">MARCA: 
SERIE: </v>
      </c>
      <c r="AT945" s="5" t="str">
        <f>CONCATENATE("MARCA: ",BDEGENER[[#This Row],[MARCA ALTERNADOR ]],"
SERIE: ",BDEGENER[[#This Row],[SERIE DE ALTERNADOR]])</f>
        <v xml:space="preserve">MARCA: 
SERIE: </v>
      </c>
      <c r="AU945" s="29" t="str">
        <f>CONCATENATE("HORAS: ",BDEGENER[[#This Row],[HORAS]],"
KW-HR: ",BDEGENER[[#This Row],[KW-HORA]],"
VOLT.BATERIA: ",BDEGENER[[#This Row],[VOLTAJE DE BATERIA]],"
TEMPERATURA: ",BDEGENER[[#This Row],[TEMPERATURA DE AGUA]],"
PRES. ACEITE: ",BDEGENER[[#This Row],[PRESION DE ACEITE]])</f>
        <v xml:space="preserve">HORAS: 747
KW-HR: 
VOLT.BATERIA: 
TEMPERATURA: 
PRES. ACEITE: </v>
      </c>
      <c r="AV945" s="683">
        <f>COUNTIFS(Q945:Q2945,"MANTENIMIENTO CORRECTIVO",Y945:Y2945,BDEGENER[[#This Row],[SERIE]])</f>
        <v>0</v>
      </c>
      <c r="AW945" s="683">
        <f>COUNTIFS(Q945:Q2945,"MANTENIMIENTO PREVENTIVO",Y945:Y2945,BDEGENER[[#This Row],[SERIE]])</f>
        <v>4</v>
      </c>
      <c r="AX94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945" s="29">
        <f>COUNTIFS(BDEGENER[SERIE],BDEGENER[[#This Row],[SERIE]],BDEGENER[TIPO DE SERVICIO],"MANTENIMIENTO PREVENTIVO")</f>
        <v>12</v>
      </c>
      <c r="AZ945" s="29" t="str">
        <f>CONCATENATE("MANTENIMIENTO PREVENTIVO N°",BDEGENER[[#This Row],[GA1]])</f>
        <v>MANTENIMIENTO PREVENTIVO N°12</v>
      </c>
      <c r="BA945" s="325" t="str">
        <f>IF(BDEGENER[[#This Row],[SERVICIO]]=BDEGENER[[#This Row],[GA2]],BDEGENER[[#This Row],[HORAS]],"0")</f>
        <v>0</v>
      </c>
      <c r="BB945" s="325">
        <f>SUMIF(BDEGENER[SERIE],BDEGENER[[#This Row],[SERIE]],BDEGENER[GA3])</f>
        <v>6263.3</v>
      </c>
      <c r="BC945" s="683" t="str">
        <f>CONCATENATE("MANT",COUNTIF($Y$7:Y945,Y945))</f>
        <v>MANT13</v>
      </c>
      <c r="BD945" s="29" t="str">
        <f>CONCATENATE(BDEGENER[[#This Row],[SERIE]],BDEGENER[[#This Row],[GA5]])</f>
        <v>3003940357MANT13</v>
      </c>
      <c r="BE945" s="29" t="str">
        <f>CONCATENATE(BDEGENER[[#This Row],[CODIGO PATRIMONIAL]],BDEGENER[[#This Row],[GA5]])</f>
        <v>NOR-GEG-0014MANT13</v>
      </c>
      <c r="BF945" s="16">
        <f>COUNTIF(BDEGENER[SERIE],BDEGENER[[#This Row],[SERIE]])</f>
        <v>16</v>
      </c>
      <c r="BG945" s="683" t="str">
        <f>CONCATENATE("F",COUNTIF($K$7:K945,K945))</f>
        <v>F1</v>
      </c>
      <c r="BH945" s="325" t="str">
        <f>CONCATENATE(BDEGENER[[#This Row],[FECHA DE SERVICIO]],BDEGENER[[#This Row],[N° DE REGISTROS DEL DIA]])</f>
        <v>43624F1</v>
      </c>
      <c r="BI945" s="324"/>
      <c r="BJ945" s="325"/>
      <c r="BK945" s="326"/>
    </row>
    <row r="946" spans="2:63" ht="69" hidden="1" x14ac:dyDescent="0.3">
      <c r="B946" s="34"/>
      <c r="C946" s="34"/>
      <c r="D946" s="34"/>
      <c r="E946" s="34"/>
      <c r="F946" s="34"/>
      <c r="G946" s="34"/>
      <c r="H946" s="34"/>
      <c r="I946" s="34"/>
      <c r="J946" s="34"/>
      <c r="K946" s="37">
        <v>43623</v>
      </c>
      <c r="L946" s="30" t="s">
        <v>561</v>
      </c>
      <c r="M946" s="19" t="s">
        <v>573</v>
      </c>
      <c r="N946" s="19" t="s">
        <v>574</v>
      </c>
      <c r="O946" s="19"/>
      <c r="P946" s="19"/>
      <c r="Q946" s="19" t="s">
        <v>37</v>
      </c>
      <c r="R946" s="85" t="s">
        <v>1782</v>
      </c>
      <c r="S946" s="19" t="s">
        <v>42</v>
      </c>
      <c r="T946" s="85" t="s">
        <v>1782</v>
      </c>
      <c r="U946" s="19" t="s">
        <v>700</v>
      </c>
      <c r="V946" s="19" t="s">
        <v>332</v>
      </c>
      <c r="W946" s="19"/>
      <c r="X946" s="19"/>
      <c r="Y946" s="31">
        <v>3003415539</v>
      </c>
      <c r="Z946" s="692" t="s">
        <v>2600</v>
      </c>
      <c r="AA946" s="19" t="s">
        <v>33</v>
      </c>
      <c r="AB946" s="19" t="s">
        <v>217</v>
      </c>
      <c r="AC946" s="19" t="s">
        <v>749</v>
      </c>
      <c r="AD946" s="16"/>
      <c r="AE946" s="16"/>
      <c r="AF946" s="146">
        <v>2055</v>
      </c>
      <c r="AG946" s="16"/>
      <c r="AH946" s="16"/>
      <c r="AI946" s="16"/>
      <c r="AJ946" s="16"/>
      <c r="AK946" s="16"/>
      <c r="AL946" s="16"/>
      <c r="AM946" s="16"/>
      <c r="AN946" s="16"/>
      <c r="AO946" s="16"/>
      <c r="AP946" s="19" t="s">
        <v>240</v>
      </c>
      <c r="AQ946" s="6" t="str">
        <f>CONCATENATE("REG-",BDEGENER[[#This Row],[FECHA DE SERVICIO]],"-",BDEGENER[[#This Row],[SERIE]],"-",BDEGENER[[#This Row],[HORAS]])</f>
        <v>REG-43623-3003415539-2055</v>
      </c>
      <c r="AR946" s="5" t="str">
        <f>CONCATENATE("MARCA: ",BDEGENER[[#This Row],[MARCA]],"
 MODELO: ",BDEGENER[[#This Row],[MODELO]])</f>
        <v>MARCA: GENERAC
 MODELO: RG022</v>
      </c>
      <c r="AS946" s="5" t="str">
        <f>CONCATENATE("MARCA: ",BDEGENER[[#This Row],[MARCA DE MOTOR]],"
SERIE: ",BDEGENER[[#This Row],[SERIE DE MOTOR]])</f>
        <v xml:space="preserve">MARCA: 
SERIE: </v>
      </c>
      <c r="AT946" s="5" t="str">
        <f>CONCATENATE("MARCA: ",BDEGENER[[#This Row],[MARCA ALTERNADOR ]],"
SERIE: ",BDEGENER[[#This Row],[SERIE DE ALTERNADOR]])</f>
        <v xml:space="preserve">MARCA: 
SERIE: </v>
      </c>
      <c r="AU946" s="29" t="str">
        <f>CONCATENATE("HORAS: ",BDEGENER[[#This Row],[HORAS]],"
KW-HR: ",BDEGENER[[#This Row],[KW-HORA]],"
VOLT.BATERIA: ",BDEGENER[[#This Row],[VOLTAJE DE BATERIA]],"
TEMPERATURA: ",BDEGENER[[#This Row],[TEMPERATURA DE AGUA]],"
PRES. ACEITE: ",BDEGENER[[#This Row],[PRESION DE ACEITE]])</f>
        <v xml:space="preserve">HORAS: 2055
KW-HR: 
VOLT.BATERIA: 
TEMPERATURA: 
PRES. ACEITE: </v>
      </c>
      <c r="AV946" s="761">
        <f>COUNTIFS(Q946:Q2946,"MANTENIMIENTO CORRECTIVO",Y946:Y2946,BDEGENER[[#This Row],[SERIE]])</f>
        <v>0</v>
      </c>
      <c r="AW946" s="761">
        <f>COUNTIFS(Q946:Q2946,"MANTENIMIENTO PREVENTIVO",Y946:Y2946,BDEGENER[[#This Row],[SERIE]])</f>
        <v>4</v>
      </c>
      <c r="AX94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946" s="29">
        <f>COUNTIFS(BDEGENER[SERIE],BDEGENER[[#This Row],[SERIE]],BDEGENER[TIPO DE SERVICIO],"MANTENIMIENTO PREVENTIVO")</f>
        <v>11</v>
      </c>
      <c r="AZ946" s="29" t="str">
        <f>CONCATENATE("MANTENIMIENTO PREVENTIVO N°",BDEGENER[[#This Row],[GA1]])</f>
        <v>MANTENIMIENTO PREVENTIVO N°11</v>
      </c>
      <c r="BA946" s="325" t="str">
        <f>IF(BDEGENER[[#This Row],[SERVICIO]]=BDEGENER[[#This Row],[GA2]],BDEGENER[[#This Row],[HORAS]],"0")</f>
        <v>0</v>
      </c>
      <c r="BB946" s="325">
        <f>SUMIF(BDEGENER[SERIE],BDEGENER[[#This Row],[SERIE]],BDEGENER[GA3])</f>
        <v>5881.6</v>
      </c>
      <c r="BC946" s="761" t="str">
        <f>CONCATENATE("MANT",COUNTIF($Y$7:Y946,Y946))</f>
        <v>MANT13</v>
      </c>
      <c r="BD946" s="29" t="str">
        <f>CONCATENATE(BDEGENER[[#This Row],[SERIE]],BDEGENER[[#This Row],[GA5]])</f>
        <v>3003415539MANT13</v>
      </c>
      <c r="BE946" s="29" t="str">
        <f>CONCATENATE(BDEGENER[[#This Row],[CODIGO PATRIMONIAL]],BDEGENER[[#This Row],[GA5]])</f>
        <v>SUR-GEG-0004MANT13</v>
      </c>
      <c r="BF946" s="16">
        <f>COUNTIF(BDEGENER[SERIE],BDEGENER[[#This Row],[SERIE]])</f>
        <v>16</v>
      </c>
      <c r="BG946" s="761" t="str">
        <f>CONCATENATE("F",COUNTIF($K$7:K946,K946))</f>
        <v>F1</v>
      </c>
      <c r="BH946" s="325" t="str">
        <f>CONCATENATE(BDEGENER[[#This Row],[FECHA DE SERVICIO]],BDEGENER[[#This Row],[N° DE REGISTROS DEL DIA]])</f>
        <v>43623F1</v>
      </c>
      <c r="BI946" s="324"/>
      <c r="BJ946" s="325"/>
      <c r="BK946" s="326"/>
    </row>
    <row r="947" spans="2:63" ht="69" hidden="1" x14ac:dyDescent="0.3">
      <c r="B947" s="34"/>
      <c r="C947" s="34"/>
      <c r="D947" s="34"/>
      <c r="E947" s="34"/>
      <c r="F947" s="34"/>
      <c r="G947" s="34"/>
      <c r="H947" s="34"/>
      <c r="I947" s="34"/>
      <c r="J947" s="34"/>
      <c r="K947" s="37">
        <v>43623</v>
      </c>
      <c r="L947" s="30" t="s">
        <v>561</v>
      </c>
      <c r="M947" s="19" t="s">
        <v>565</v>
      </c>
      <c r="N947" s="19" t="s">
        <v>566</v>
      </c>
      <c r="O947" s="19"/>
      <c r="P947" s="19"/>
      <c r="Q947" s="19" t="s">
        <v>37</v>
      </c>
      <c r="R947" s="85" t="s">
        <v>1782</v>
      </c>
      <c r="S947" s="19" t="s">
        <v>42</v>
      </c>
      <c r="T947" s="85" t="s">
        <v>1782</v>
      </c>
      <c r="U947" s="19" t="s">
        <v>700</v>
      </c>
      <c r="V947" s="19" t="s">
        <v>332</v>
      </c>
      <c r="W947" s="19"/>
      <c r="X947" s="19"/>
      <c r="Y947" s="31">
        <v>3003415540</v>
      </c>
      <c r="Z947" s="19" t="s">
        <v>2605</v>
      </c>
      <c r="AA947" s="19" t="s">
        <v>33</v>
      </c>
      <c r="AB947" s="19" t="s">
        <v>217</v>
      </c>
      <c r="AC947" s="19" t="s">
        <v>749</v>
      </c>
      <c r="AD947" s="16"/>
      <c r="AE947" s="16"/>
      <c r="AF947" s="146">
        <v>1721</v>
      </c>
      <c r="AG947" s="16"/>
      <c r="AH947" s="16"/>
      <c r="AI947" s="16"/>
      <c r="AJ947" s="16"/>
      <c r="AK947" s="16"/>
      <c r="AL947" s="16"/>
      <c r="AM947" s="16"/>
      <c r="AN947" s="16"/>
      <c r="AO947" s="16"/>
      <c r="AP947" s="19" t="s">
        <v>240</v>
      </c>
      <c r="AQ947" s="6" t="str">
        <f>CONCATENATE("REG-",BDEGENER[[#This Row],[FECHA DE SERVICIO]],"-",BDEGENER[[#This Row],[SERIE]],"-",BDEGENER[[#This Row],[HORAS]])</f>
        <v>REG-43623-3003415540-1721</v>
      </c>
      <c r="AR947" s="5" t="str">
        <f>CONCATENATE("MARCA: ",BDEGENER[[#This Row],[MARCA]],"
 MODELO: ",BDEGENER[[#This Row],[MODELO]])</f>
        <v>MARCA: GENERAC
 MODELO: RG022</v>
      </c>
      <c r="AS947" s="5" t="str">
        <f>CONCATENATE("MARCA: ",BDEGENER[[#This Row],[MARCA DE MOTOR]],"
SERIE: ",BDEGENER[[#This Row],[SERIE DE MOTOR]])</f>
        <v xml:space="preserve">MARCA: 
SERIE: </v>
      </c>
      <c r="AT947" s="5" t="str">
        <f>CONCATENATE("MARCA: ",BDEGENER[[#This Row],[MARCA ALTERNADOR ]],"
SERIE: ",BDEGENER[[#This Row],[SERIE DE ALTERNADOR]])</f>
        <v xml:space="preserve">MARCA: 
SERIE: </v>
      </c>
      <c r="AU947" s="29" t="str">
        <f>CONCATENATE("HORAS: ",BDEGENER[[#This Row],[HORAS]],"
KW-HR: ",BDEGENER[[#This Row],[KW-HORA]],"
VOLT.BATERIA: ",BDEGENER[[#This Row],[VOLTAJE DE BATERIA]],"
TEMPERATURA: ",BDEGENER[[#This Row],[TEMPERATURA DE AGUA]],"
PRES. ACEITE: ",BDEGENER[[#This Row],[PRESION DE ACEITE]])</f>
        <v xml:space="preserve">HORAS: 1721
KW-HR: 
VOLT.BATERIA: 
TEMPERATURA: 
PRES. ACEITE: </v>
      </c>
      <c r="AV947" s="683">
        <f>COUNTIFS(Q947:Q2947,"MANTENIMIENTO CORRECTIVO",Y947:Y2947,BDEGENER[[#This Row],[SERIE]])</f>
        <v>0</v>
      </c>
      <c r="AW947" s="683">
        <f>COUNTIFS(Q947:Q2947,"MANTENIMIENTO PREVENTIVO",Y947:Y2947,BDEGENER[[#This Row],[SERIE]])</f>
        <v>4</v>
      </c>
      <c r="AX94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947" s="29">
        <f>COUNTIFS(BDEGENER[SERIE],BDEGENER[[#This Row],[SERIE]],BDEGENER[TIPO DE SERVICIO],"MANTENIMIENTO PREVENTIVO")</f>
        <v>6</v>
      </c>
      <c r="AZ947" s="29" t="str">
        <f>CONCATENATE("MANTENIMIENTO PREVENTIVO N°",BDEGENER[[#This Row],[GA1]])</f>
        <v>MANTENIMIENTO PREVENTIVO N°6</v>
      </c>
      <c r="BA947" s="325" t="str">
        <f>IF(BDEGENER[[#This Row],[SERVICIO]]=BDEGENER[[#This Row],[GA2]],BDEGENER[[#This Row],[HORAS]],"0")</f>
        <v>0</v>
      </c>
      <c r="BB947" s="325">
        <f>SUMIF(BDEGENER[SERIE],BDEGENER[[#This Row],[SERIE]],BDEGENER[GA3])</f>
        <v>4522.8999999999996</v>
      </c>
      <c r="BC947" s="683" t="str">
        <f>CONCATENATE("MANT",COUNTIF($Y$7:Y947,Y947))</f>
        <v>MANT3</v>
      </c>
      <c r="BD947" s="29" t="str">
        <f>CONCATENATE(BDEGENER[[#This Row],[SERIE]],BDEGENER[[#This Row],[GA5]])</f>
        <v>3003415540MANT3</v>
      </c>
      <c r="BE947" s="29" t="str">
        <f>CONCATENATE(BDEGENER[[#This Row],[CODIGO PATRIMONIAL]],BDEGENER[[#This Row],[GA5]])</f>
        <v>SUR-GEG-0009MANT3</v>
      </c>
      <c r="BF947" s="16">
        <f>COUNTIF(BDEGENER[SERIE],BDEGENER[[#This Row],[SERIE]])</f>
        <v>6</v>
      </c>
      <c r="BG947" s="683" t="str">
        <f>CONCATENATE("F",COUNTIF($K$7:K947,K947))</f>
        <v>F2</v>
      </c>
      <c r="BH947" s="325" t="str">
        <f>CONCATENATE(BDEGENER[[#This Row],[FECHA DE SERVICIO]],BDEGENER[[#This Row],[N° DE REGISTROS DEL DIA]])</f>
        <v>43623F2</v>
      </c>
      <c r="BI947" s="324"/>
      <c r="BJ947" s="325"/>
      <c r="BK947" s="326"/>
    </row>
    <row r="948" spans="2:63" ht="69" hidden="1" x14ac:dyDescent="0.3">
      <c r="B948" s="34"/>
      <c r="C948" s="34"/>
      <c r="D948" s="34"/>
      <c r="E948" s="34"/>
      <c r="F948" s="34"/>
      <c r="G948" s="34"/>
      <c r="H948" s="34"/>
      <c r="I948" s="34"/>
      <c r="J948" s="34"/>
      <c r="K948" s="37">
        <v>43623</v>
      </c>
      <c r="L948" s="30" t="s">
        <v>561</v>
      </c>
      <c r="M948" s="19" t="s">
        <v>2445</v>
      </c>
      <c r="N948" s="19" t="s">
        <v>579</v>
      </c>
      <c r="O948" s="19"/>
      <c r="P948" s="19"/>
      <c r="Q948" s="19" t="s">
        <v>37</v>
      </c>
      <c r="R948" s="85" t="s">
        <v>1782</v>
      </c>
      <c r="S948" s="19" t="s">
        <v>42</v>
      </c>
      <c r="T948" s="85" t="s">
        <v>1782</v>
      </c>
      <c r="U948" s="19" t="s">
        <v>700</v>
      </c>
      <c r="V948" s="19" t="s">
        <v>332</v>
      </c>
      <c r="W948" s="19" t="s">
        <v>913</v>
      </c>
      <c r="X948" s="19" t="s">
        <v>918</v>
      </c>
      <c r="Y948" s="31">
        <v>3003415532</v>
      </c>
      <c r="Z948" s="19" t="s">
        <v>2606</v>
      </c>
      <c r="AA948" s="19" t="s">
        <v>33</v>
      </c>
      <c r="AB948" s="19" t="s">
        <v>217</v>
      </c>
      <c r="AC948" s="19" t="s">
        <v>749</v>
      </c>
      <c r="AD948" s="16"/>
      <c r="AE948" s="16"/>
      <c r="AF948" s="146">
        <v>1507</v>
      </c>
      <c r="AG948" s="16"/>
      <c r="AH948" s="16"/>
      <c r="AI948" s="16"/>
      <c r="AJ948" s="16"/>
      <c r="AK948" s="16"/>
      <c r="AL948" s="16"/>
      <c r="AM948" s="16"/>
      <c r="AN948" s="16"/>
      <c r="AO948" s="16"/>
      <c r="AP948" s="19" t="s">
        <v>240</v>
      </c>
      <c r="AQ948" s="6" t="str">
        <f>CONCATENATE("REG-",BDEGENER[[#This Row],[FECHA DE SERVICIO]],"-",BDEGENER[[#This Row],[SERIE]],"-",BDEGENER[[#This Row],[HORAS]])</f>
        <v>REG-43623-3003415532-1507</v>
      </c>
      <c r="AR948" s="5" t="str">
        <f>CONCATENATE("MARCA: ",BDEGENER[[#This Row],[MARCA]],"
 MODELO: ",BDEGENER[[#This Row],[MODELO]])</f>
        <v>MARCA: GENERAC
 MODELO: RG022</v>
      </c>
      <c r="AS948" s="5" t="str">
        <f>CONCATENATE("MARCA: ",BDEGENER[[#This Row],[MARCA DE MOTOR]],"
SERIE: ",BDEGENER[[#This Row],[SERIE DE MOTOR]])</f>
        <v xml:space="preserve">MARCA: 
SERIE: </v>
      </c>
      <c r="AT948" s="5" t="str">
        <f>CONCATENATE("MARCA: ",BDEGENER[[#This Row],[MARCA ALTERNADOR ]],"
SERIE: ",BDEGENER[[#This Row],[SERIE DE ALTERNADOR]])</f>
        <v xml:space="preserve">MARCA: 
SERIE: </v>
      </c>
      <c r="AU948" s="29" t="str">
        <f>CONCATENATE("HORAS: ",BDEGENER[[#This Row],[HORAS]],"
KW-HR: ",BDEGENER[[#This Row],[KW-HORA]],"
VOLT.BATERIA: ",BDEGENER[[#This Row],[VOLTAJE DE BATERIA]],"
TEMPERATURA: ",BDEGENER[[#This Row],[TEMPERATURA DE AGUA]],"
PRES. ACEITE: ",BDEGENER[[#This Row],[PRESION DE ACEITE]])</f>
        <v xml:space="preserve">HORAS: 1507
KW-HR: 
VOLT.BATERIA: 
TEMPERATURA: 
PRES. ACEITE: </v>
      </c>
      <c r="AV948" s="683">
        <f>COUNTIFS(Q948:Q2948,"MANTENIMIENTO CORRECTIVO",Y948:Y2948,BDEGENER[[#This Row],[SERIE]])</f>
        <v>0</v>
      </c>
      <c r="AW948" s="683">
        <f>COUNTIFS(Q948:Q2948,"MANTENIMIENTO PREVENTIVO",Y948:Y2948,BDEGENER[[#This Row],[SERIE]])</f>
        <v>5</v>
      </c>
      <c r="AX94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948" s="29">
        <f>COUNTIFS(BDEGENER[SERIE],BDEGENER[[#This Row],[SERIE]],BDEGENER[TIPO DE SERVICIO],"MANTENIMIENTO PREVENTIVO")</f>
        <v>14</v>
      </c>
      <c r="AZ948" s="29" t="str">
        <f>CONCATENATE("MANTENIMIENTO PREVENTIVO N°",BDEGENER[[#This Row],[GA1]])</f>
        <v>MANTENIMIENTO PREVENTIVO N°14</v>
      </c>
      <c r="BA948" s="325" t="str">
        <f>IF(BDEGENER[[#This Row],[SERVICIO]]=BDEGENER[[#This Row],[GA2]],BDEGENER[[#This Row],[HORAS]],"0")</f>
        <v>0</v>
      </c>
      <c r="BB948" s="325">
        <f>SUMIF(BDEGENER[SERIE],BDEGENER[[#This Row],[SERIE]],BDEGENER[GA3])</f>
        <v>5730.6</v>
      </c>
      <c r="BC948" s="683" t="str">
        <f>CONCATENATE("MANT",COUNTIF($Y$7:Y948,Y948))</f>
        <v>MANT10</v>
      </c>
      <c r="BD948" s="29" t="str">
        <f>CONCATENATE(BDEGENER[[#This Row],[SERIE]],BDEGENER[[#This Row],[GA5]])</f>
        <v>3003415532MANT10</v>
      </c>
      <c r="BE948" s="29" t="str">
        <f>CONCATENATE(BDEGENER[[#This Row],[CODIGO PATRIMONIAL]],BDEGENER[[#This Row],[GA5]])</f>
        <v>SUR-GEG-0010MANT10</v>
      </c>
      <c r="BF948" s="16">
        <f>COUNTIF(BDEGENER[SERIE],BDEGENER[[#This Row],[SERIE]])</f>
        <v>14</v>
      </c>
      <c r="BG948" s="683" t="str">
        <f>CONCATENATE("F",COUNTIF($K$7:K948,K948))</f>
        <v>F3</v>
      </c>
      <c r="BH948" s="325" t="str">
        <f>CONCATENATE(BDEGENER[[#This Row],[FECHA DE SERVICIO]],BDEGENER[[#This Row],[N° DE REGISTROS DEL DIA]])</f>
        <v>43623F3</v>
      </c>
      <c r="BI948" s="324"/>
      <c r="BJ948" s="325"/>
      <c r="BK948" s="326"/>
    </row>
    <row r="949" spans="2:63" ht="69" hidden="1" x14ac:dyDescent="0.3">
      <c r="B949" s="129"/>
      <c r="C949" s="129"/>
      <c r="D949" s="129"/>
      <c r="E949" s="129"/>
      <c r="F949" s="129"/>
      <c r="G949" s="129"/>
      <c r="H949" s="129"/>
      <c r="I949" s="129"/>
      <c r="J949" s="129"/>
      <c r="K949" s="131">
        <v>43621</v>
      </c>
      <c r="L949" s="130" t="s">
        <v>796</v>
      </c>
      <c r="M949" s="85" t="s">
        <v>796</v>
      </c>
      <c r="N949" s="85" t="s">
        <v>1083</v>
      </c>
      <c r="O949" s="85"/>
      <c r="P949" s="85"/>
      <c r="Q949" s="85" t="s">
        <v>37</v>
      </c>
      <c r="R949" s="85" t="s">
        <v>1782</v>
      </c>
      <c r="S949" s="6" t="s">
        <v>1593</v>
      </c>
      <c r="T949" s="85" t="s">
        <v>1782</v>
      </c>
      <c r="U949" s="85" t="s">
        <v>1594</v>
      </c>
      <c r="V949" s="85" t="s">
        <v>149</v>
      </c>
      <c r="W949" s="85" t="s">
        <v>915</v>
      </c>
      <c r="X949" s="85" t="s">
        <v>917</v>
      </c>
      <c r="Y949" s="15">
        <v>1603600</v>
      </c>
      <c r="Z949" s="85"/>
      <c r="AA949" s="85" t="s">
        <v>33</v>
      </c>
      <c r="AB949" s="85" t="s">
        <v>1120</v>
      </c>
      <c r="AC949" s="85" t="s">
        <v>231</v>
      </c>
      <c r="AD949" s="85"/>
      <c r="AE949" s="85"/>
      <c r="AF949" s="132">
        <v>450</v>
      </c>
      <c r="AG949" s="85" t="s">
        <v>243</v>
      </c>
      <c r="AH949" s="85" t="s">
        <v>1578</v>
      </c>
      <c r="AI949" s="85" t="s">
        <v>868</v>
      </c>
      <c r="AJ949" s="85" t="s">
        <v>1592</v>
      </c>
      <c r="AK949" s="85" t="s">
        <v>1572</v>
      </c>
      <c r="AL949" s="85"/>
      <c r="AM949" s="85"/>
      <c r="AN949" s="85"/>
      <c r="AO949" s="85"/>
      <c r="AP949" s="85" t="s">
        <v>240</v>
      </c>
      <c r="AQ949" s="9" t="str">
        <f>CONCATENATE("REG-",BDEGENER[[#This Row],[FECHA DE SERVICIO]],"-",BDEGENER[[#This Row],[SERIE]],"-",BDEGENER[[#This Row],[HORAS]])</f>
        <v>REG-43621-1603600-450</v>
      </c>
      <c r="AR949" s="85" t="str">
        <f>CONCATENATE("MARCA: ",BDEGENER[[#This Row],[MARCA]],"
 MODELO: ",BDEGENER[[#This Row],[MODELO]])</f>
        <v>MARCA: GENERAC
 MODELO: VT8 K3</v>
      </c>
      <c r="AS949" s="85" t="str">
        <f>CONCATENATE("MARCA: ",BDEGENER[[#This Row],[MARCA DE MOTOR]],"
SERIE: ",BDEGENER[[#This Row],[SERIE DE MOTOR]])</f>
        <v>MARCA: KUBOTA
SERIE: 1GL1631</v>
      </c>
      <c r="AT949" s="85" t="str">
        <f>CONCATENATE("MARCA: ",BDEGENER[[#This Row],[MARCA ALTERNADOR ]],"
SERIE: ",BDEGENER[[#This Row],[SERIE DE ALTERNADOR]])</f>
        <v xml:space="preserve">MARCA: LINZ
SERIE: </v>
      </c>
      <c r="AU949" s="85" t="str">
        <f>CONCATENATE("HORAS: ",BDEGENER[[#This Row],[HORAS]],"
KW-HR: ",BDEGENER[[#This Row],[KW-HORA]],"
VOLT.BATERIA: ",BDEGENER[[#This Row],[VOLTAJE DE BATERIA]],"
TEMPERATURA: ",BDEGENER[[#This Row],[TEMPERATURA DE AGUA]],"
PRES. ACEITE: ",BDEGENER[[#This Row],[PRESION DE ACEITE]])</f>
        <v xml:space="preserve">HORAS: 450
KW-HR: 
VOLT.BATERIA: 
TEMPERATURA: 
PRES. ACEITE: </v>
      </c>
      <c r="AV949" s="761">
        <f>COUNTIFS(Q949:Q2949,"MANTENIMIENTO CORRECTIVO",Y949:Y2949,BDEGENER[[#This Row],[SERIE]])</f>
        <v>0</v>
      </c>
      <c r="AW949" s="761">
        <f>COUNTIFS(Q949:Q2949,"MANTENIMIENTO PREVENTIVO",Y949:Y2949,BDEGENER[[#This Row],[SERIE]])</f>
        <v>1</v>
      </c>
      <c r="AX94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49" s="85">
        <f>COUNTIFS(BDEGENER[SERIE],BDEGENER[[#This Row],[SERIE]],BDEGENER[TIPO DE SERVICIO],"MANTENIMIENTO PREVENTIVO")</f>
        <v>4</v>
      </c>
      <c r="AZ949" s="85" t="str">
        <f>CONCATENATE("MANTENIMIENTO PREVENTIVO N°",BDEGENER[[#This Row],[GA1]])</f>
        <v>MANTENIMIENTO PREVENTIVO N°4</v>
      </c>
      <c r="BA949" s="85" t="str">
        <f>IF(BDEGENER[[#This Row],[SERVICIO]]=BDEGENER[[#This Row],[GA2]],BDEGENER[[#This Row],[HORAS]],"0")</f>
        <v>0</v>
      </c>
      <c r="BB949" s="85">
        <f>SUMIF(BDEGENER[SERIE],BDEGENER[[#This Row],[SERIE]],BDEGENER[GA3])</f>
        <v>1493</v>
      </c>
      <c r="BC949" s="761" t="str">
        <f>CONCATENATE("MANT",COUNTIF($Y$7:Y949,Y949))</f>
        <v>MANT4</v>
      </c>
      <c r="BD949" s="85" t="str">
        <f>CONCATENATE(BDEGENER[[#This Row],[SERIE]],BDEGENER[[#This Row],[GA5]])</f>
        <v>1603600MANT4</v>
      </c>
      <c r="BE949" s="85" t="str">
        <f>CONCATENATE(BDEGENER[[#This Row],[CODIGO PATRIMONIAL]],BDEGENER[[#This Row],[GA5]])</f>
        <v>MANT4</v>
      </c>
      <c r="BF949" s="85">
        <f>COUNTIF(BDEGENER[SERIE],BDEGENER[[#This Row],[SERIE]])</f>
        <v>4</v>
      </c>
      <c r="BG949" s="761" t="str">
        <f>CONCATENATE("F",COUNTIF($K$7:K949,K949))</f>
        <v>F1</v>
      </c>
      <c r="BH949" s="85" t="str">
        <f>CONCATENATE(BDEGENER[[#This Row],[FECHA DE SERVICIO]],BDEGENER[[#This Row],[N° DE REGISTROS DEL DIA]])</f>
        <v>43621F1</v>
      </c>
      <c r="BI949" s="132"/>
      <c r="BJ949" s="85" t="s">
        <v>1545</v>
      </c>
      <c r="BK949" s="326"/>
    </row>
    <row r="950" spans="2:63" ht="69" hidden="1" x14ac:dyDescent="0.3">
      <c r="B950" s="129"/>
      <c r="C950" s="129"/>
      <c r="D950" s="129"/>
      <c r="E950" s="129"/>
      <c r="F950" s="129"/>
      <c r="G950" s="129"/>
      <c r="H950" s="129"/>
      <c r="I950" s="129"/>
      <c r="J950" s="129"/>
      <c r="K950" s="131">
        <v>43621</v>
      </c>
      <c r="L950" s="130" t="s">
        <v>796</v>
      </c>
      <c r="M950" s="85" t="s">
        <v>796</v>
      </c>
      <c r="N950" s="85" t="s">
        <v>1083</v>
      </c>
      <c r="O950" s="85"/>
      <c r="P950" s="85"/>
      <c r="Q950" s="85" t="s">
        <v>37</v>
      </c>
      <c r="R950" s="85" t="s">
        <v>1782</v>
      </c>
      <c r="S950" s="6" t="s">
        <v>1589</v>
      </c>
      <c r="T950" s="85" t="s">
        <v>1590</v>
      </c>
      <c r="U950" s="85"/>
      <c r="V950" s="85" t="s">
        <v>149</v>
      </c>
      <c r="W950" s="85" t="s">
        <v>915</v>
      </c>
      <c r="X950" s="85" t="s">
        <v>917</v>
      </c>
      <c r="Y950" s="15">
        <v>1603587</v>
      </c>
      <c r="Z950" s="85"/>
      <c r="AA950" s="85" t="s">
        <v>33</v>
      </c>
      <c r="AB950" s="85" t="s">
        <v>1120</v>
      </c>
      <c r="AC950" s="85" t="s">
        <v>231</v>
      </c>
      <c r="AD950" s="85"/>
      <c r="AE950" s="85"/>
      <c r="AF950" s="132">
        <v>715</v>
      </c>
      <c r="AG950" s="85" t="s">
        <v>243</v>
      </c>
      <c r="AH950" s="85" t="s">
        <v>1578</v>
      </c>
      <c r="AI950" s="85" t="s">
        <v>868</v>
      </c>
      <c r="AJ950" s="85" t="s">
        <v>1591</v>
      </c>
      <c r="AK950" s="85" t="s">
        <v>1572</v>
      </c>
      <c r="AL950" s="85"/>
      <c r="AM950" s="85"/>
      <c r="AN950" s="85"/>
      <c r="AO950" s="85"/>
      <c r="AP950" s="85" t="s">
        <v>240</v>
      </c>
      <c r="AQ950" s="9" t="str">
        <f>CONCATENATE("REG-",BDEGENER[[#This Row],[FECHA DE SERVICIO]],"-",BDEGENER[[#This Row],[SERIE]],"-",BDEGENER[[#This Row],[HORAS]])</f>
        <v>REG-43621-1603587-715</v>
      </c>
      <c r="AR950" s="85" t="str">
        <f>CONCATENATE("MARCA: ",BDEGENER[[#This Row],[MARCA]],"
 MODELO: ",BDEGENER[[#This Row],[MODELO]])</f>
        <v>MARCA: GENERAC
 MODELO: VT8 K3</v>
      </c>
      <c r="AS950" s="85" t="str">
        <f>CONCATENATE("MARCA: ",BDEGENER[[#This Row],[MARCA DE MOTOR]],"
SERIE: ",BDEGENER[[#This Row],[SERIE DE MOTOR]])</f>
        <v>MARCA: KUBOTA
SERIE: 1GL1188</v>
      </c>
      <c r="AT950" s="85" t="str">
        <f>CONCATENATE("MARCA: ",BDEGENER[[#This Row],[MARCA ALTERNADOR ]],"
SERIE: ",BDEGENER[[#This Row],[SERIE DE ALTERNADOR]])</f>
        <v xml:space="preserve">MARCA: LINZ
SERIE: </v>
      </c>
      <c r="AU950" s="85" t="str">
        <f>CONCATENATE("HORAS: ",BDEGENER[[#This Row],[HORAS]],"
KW-HR: ",BDEGENER[[#This Row],[KW-HORA]],"
VOLT.BATERIA: ",BDEGENER[[#This Row],[VOLTAJE DE BATERIA]],"
TEMPERATURA: ",BDEGENER[[#This Row],[TEMPERATURA DE AGUA]],"
PRES. ACEITE: ",BDEGENER[[#This Row],[PRESION DE ACEITE]])</f>
        <v xml:space="preserve">HORAS: 715
KW-HR: 
VOLT.BATERIA: 
TEMPERATURA: 
PRES. ACEITE: </v>
      </c>
      <c r="AV950" s="683">
        <f>COUNTIFS(Q950:Q2950,"MANTENIMIENTO CORRECTIVO",Y950:Y2950,BDEGENER[[#This Row],[SERIE]])</f>
        <v>0</v>
      </c>
      <c r="AW950" s="683">
        <f>COUNTIFS(Q950:Q2950,"MANTENIMIENTO PREVENTIVO",Y950:Y2950,BDEGENER[[#This Row],[SERIE]])</f>
        <v>3</v>
      </c>
      <c r="AX950"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950" s="85">
        <f>COUNTIFS(BDEGENER[SERIE],BDEGENER[[#This Row],[SERIE]],BDEGENER[TIPO DE SERVICIO],"MANTENIMIENTO PREVENTIVO")</f>
        <v>5</v>
      </c>
      <c r="AZ950" s="85" t="str">
        <f>CONCATENATE("MANTENIMIENTO PREVENTIVO N°",BDEGENER[[#This Row],[GA1]])</f>
        <v>MANTENIMIENTO PREVENTIVO N°5</v>
      </c>
      <c r="BA950" s="85" t="str">
        <f>IF(BDEGENER[[#This Row],[SERVICIO]]=BDEGENER[[#This Row],[GA2]],BDEGENER[[#This Row],[HORAS]],"0")</f>
        <v>0</v>
      </c>
      <c r="BB950" s="85">
        <f>SUMIF(BDEGENER[SERIE],BDEGENER[[#This Row],[SERIE]],BDEGENER[GA3])</f>
        <v>1781.5</v>
      </c>
      <c r="BC950" s="683" t="str">
        <f>CONCATENATE("MANT",COUNTIF($Y$7:Y950,Y950))</f>
        <v>MANT4</v>
      </c>
      <c r="BD950" s="85" t="str">
        <f>CONCATENATE(BDEGENER[[#This Row],[SERIE]],BDEGENER[[#This Row],[GA5]])</f>
        <v>1603587MANT4</v>
      </c>
      <c r="BE950" s="85" t="str">
        <f>CONCATENATE(BDEGENER[[#This Row],[CODIGO PATRIMONIAL]],BDEGENER[[#This Row],[GA5]])</f>
        <v>MANT4</v>
      </c>
      <c r="BF950" s="85">
        <f>COUNTIF(BDEGENER[SERIE],BDEGENER[[#This Row],[SERIE]])</f>
        <v>6</v>
      </c>
      <c r="BG950" s="683" t="str">
        <f>CONCATENATE("F",COUNTIF($K$7:K950,K950))</f>
        <v>F2</v>
      </c>
      <c r="BH950" s="85" t="str">
        <f>CONCATENATE(BDEGENER[[#This Row],[FECHA DE SERVICIO]],BDEGENER[[#This Row],[N° DE REGISTROS DEL DIA]])</f>
        <v>43621F2</v>
      </c>
      <c r="BI950" s="132"/>
      <c r="BJ950" s="85" t="s">
        <v>1545</v>
      </c>
      <c r="BK950" s="326"/>
    </row>
    <row r="951" spans="2:63" ht="69" hidden="1" x14ac:dyDescent="0.3">
      <c r="B951" s="129"/>
      <c r="C951" s="129"/>
      <c r="D951" s="129"/>
      <c r="E951" s="129"/>
      <c r="F951" s="129"/>
      <c r="G951" s="129"/>
      <c r="H951" s="129"/>
      <c r="I951" s="129"/>
      <c r="J951" s="129"/>
      <c r="K951" s="131">
        <v>43621</v>
      </c>
      <c r="L951" s="130" t="s">
        <v>796</v>
      </c>
      <c r="M951" s="85" t="s">
        <v>796</v>
      </c>
      <c r="N951" s="85" t="s">
        <v>1083</v>
      </c>
      <c r="O951" s="85"/>
      <c r="P951" s="85"/>
      <c r="Q951" s="85" t="s">
        <v>37</v>
      </c>
      <c r="R951" s="85" t="s">
        <v>1782</v>
      </c>
      <c r="S951" s="6" t="s">
        <v>1585</v>
      </c>
      <c r="T951" s="85" t="s">
        <v>1782</v>
      </c>
      <c r="U951" s="85" t="s">
        <v>1586</v>
      </c>
      <c r="V951" s="85" t="s">
        <v>149</v>
      </c>
      <c r="W951" s="85" t="s">
        <v>915</v>
      </c>
      <c r="X951" s="85" t="s">
        <v>917</v>
      </c>
      <c r="Y951" s="15">
        <v>1603596</v>
      </c>
      <c r="Z951" s="85" t="s">
        <v>159</v>
      </c>
      <c r="AA951" s="85" t="s">
        <v>33</v>
      </c>
      <c r="AB951" s="85" t="s">
        <v>1120</v>
      </c>
      <c r="AC951" s="85" t="s">
        <v>231</v>
      </c>
      <c r="AD951" s="85"/>
      <c r="AE951" s="85"/>
      <c r="AF951" s="132">
        <v>454</v>
      </c>
      <c r="AG951" s="85" t="s">
        <v>243</v>
      </c>
      <c r="AH951" s="85" t="s">
        <v>1578</v>
      </c>
      <c r="AI951" s="85" t="s">
        <v>868</v>
      </c>
      <c r="AJ951" s="85" t="s">
        <v>1579</v>
      </c>
      <c r="AK951" s="85" t="s">
        <v>33</v>
      </c>
      <c r="AL951" s="85" t="s">
        <v>159</v>
      </c>
      <c r="AM951" s="85"/>
      <c r="AN951" s="85"/>
      <c r="AO951" s="85"/>
      <c r="AP951" s="85" t="s">
        <v>240</v>
      </c>
      <c r="AQ951" s="9" t="str">
        <f>CONCATENATE("REG-",BDEGENER[[#This Row],[FECHA DE SERVICIO]],"-",BDEGENER[[#This Row],[SERIE]],"-",BDEGENER[[#This Row],[HORAS]])</f>
        <v>REG-43621-1603596-454</v>
      </c>
      <c r="AR951" s="85" t="str">
        <f>CONCATENATE("MARCA: ",BDEGENER[[#This Row],[MARCA]],"
 MODELO: ",BDEGENER[[#This Row],[MODELO]])</f>
        <v>MARCA: GENERAC
 MODELO: VT8 K3</v>
      </c>
      <c r="AS951" s="85" t="str">
        <f>CONCATENATE("MARCA: ",BDEGENER[[#This Row],[MARCA DE MOTOR]],"
SERIE: ",BDEGENER[[#This Row],[SERIE DE MOTOR]])</f>
        <v>MARCA: KUBOTA
SERIE: 1GL1486</v>
      </c>
      <c r="AT951" s="85" t="str">
        <f>CONCATENATE("MARCA: ",BDEGENER[[#This Row],[MARCA ALTERNADOR ]],"
SERIE: ",BDEGENER[[#This Row],[SERIE DE ALTERNADOR]])</f>
        <v xml:space="preserve">MARCA: GENERAC
SERIE: </v>
      </c>
      <c r="AU951" s="85" t="str">
        <f>CONCATENATE("HORAS: ",BDEGENER[[#This Row],[HORAS]],"
KW-HR: ",BDEGENER[[#This Row],[KW-HORA]],"
VOLT.BATERIA: ",BDEGENER[[#This Row],[VOLTAJE DE BATERIA]],"
TEMPERATURA: ",BDEGENER[[#This Row],[TEMPERATURA DE AGUA]],"
PRES. ACEITE: ",BDEGENER[[#This Row],[PRESION DE ACEITE]])</f>
        <v xml:space="preserve">HORAS: 454
KW-HR: 
VOLT.BATERIA: 
TEMPERATURA: 
PRES. ACEITE: </v>
      </c>
      <c r="AV951" s="683">
        <f>COUNTIFS(Q951:Q2951,"MANTENIMIENTO CORRECTIVO",Y951:Y2951,BDEGENER[[#This Row],[SERIE]])</f>
        <v>0</v>
      </c>
      <c r="AW951" s="683">
        <f>COUNTIFS(Q951:Q2951,"MANTENIMIENTO PREVENTIVO",Y951:Y2951,BDEGENER[[#This Row],[SERIE]])</f>
        <v>1</v>
      </c>
      <c r="AX951"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51" s="85">
        <f>COUNTIFS(BDEGENER[SERIE],BDEGENER[[#This Row],[SERIE]],BDEGENER[TIPO DE SERVICIO],"MANTENIMIENTO PREVENTIVO")</f>
        <v>4</v>
      </c>
      <c r="AZ951" s="85" t="str">
        <f>CONCATENATE("MANTENIMIENTO PREVENTIVO N°",BDEGENER[[#This Row],[GA1]])</f>
        <v>MANTENIMIENTO PREVENTIVO N°4</v>
      </c>
      <c r="BA951" s="85" t="str">
        <f>IF(BDEGENER[[#This Row],[SERVICIO]]=BDEGENER[[#This Row],[GA2]],BDEGENER[[#This Row],[HORAS]],"0")</f>
        <v>0</v>
      </c>
      <c r="BB951" s="85">
        <f>SUMIF(BDEGENER[SERIE],BDEGENER[[#This Row],[SERIE]],BDEGENER[GA3])</f>
        <v>1817.8</v>
      </c>
      <c r="BC951" s="683" t="str">
        <f>CONCATENATE("MANT",COUNTIF($Y$7:Y951,Y951))</f>
        <v>MANT6</v>
      </c>
      <c r="BD951" s="85" t="str">
        <f>CONCATENATE(BDEGENER[[#This Row],[SERIE]],BDEGENER[[#This Row],[GA5]])</f>
        <v>1603596MANT6</v>
      </c>
      <c r="BE951" s="85" t="str">
        <f>CONCATENATE(BDEGENER[[#This Row],[CODIGO PATRIMONIAL]],BDEGENER[[#This Row],[GA5]])</f>
        <v>MANT6</v>
      </c>
      <c r="BF951" s="85">
        <f>COUNTIF(BDEGENER[SERIE],BDEGENER[[#This Row],[SERIE]])</f>
        <v>6</v>
      </c>
      <c r="BG951" s="683" t="str">
        <f>CONCATENATE("F",COUNTIF($K$7:K951,K951))</f>
        <v>F3</v>
      </c>
      <c r="BH951" s="85" t="str">
        <f>CONCATENATE(BDEGENER[[#This Row],[FECHA DE SERVICIO]],BDEGENER[[#This Row],[N° DE REGISTROS DEL DIA]])</f>
        <v>43621F3</v>
      </c>
      <c r="BI951" s="132"/>
      <c r="BJ951" s="85" t="s">
        <v>1545</v>
      </c>
      <c r="BK951" s="326"/>
    </row>
    <row r="952" spans="2:63" ht="69" hidden="1" x14ac:dyDescent="0.3">
      <c r="B952" s="129"/>
      <c r="C952" s="129"/>
      <c r="D952" s="129"/>
      <c r="E952" s="129"/>
      <c r="F952" s="129"/>
      <c r="G952" s="129"/>
      <c r="H952" s="129"/>
      <c r="I952" s="129"/>
      <c r="J952" s="129"/>
      <c r="K952" s="131">
        <v>43621</v>
      </c>
      <c r="L952" s="130" t="s">
        <v>796</v>
      </c>
      <c r="M952" s="85" t="s">
        <v>796</v>
      </c>
      <c r="N952" s="85" t="s">
        <v>1083</v>
      </c>
      <c r="O952" s="85"/>
      <c r="P952" s="85"/>
      <c r="Q952" s="85" t="s">
        <v>107</v>
      </c>
      <c r="R952" s="85" t="s">
        <v>1782</v>
      </c>
      <c r="S952" s="6" t="s">
        <v>1569</v>
      </c>
      <c r="T952" s="85" t="s">
        <v>1570</v>
      </c>
      <c r="U952" s="85"/>
      <c r="V952" s="85" t="s">
        <v>149</v>
      </c>
      <c r="W952" s="85" t="s">
        <v>915</v>
      </c>
      <c r="X952" s="85" t="s">
        <v>917</v>
      </c>
      <c r="Y952" s="15">
        <v>1603595</v>
      </c>
      <c r="Z952" s="85"/>
      <c r="AA952" s="85" t="s">
        <v>33</v>
      </c>
      <c r="AB952" s="85" t="s">
        <v>1120</v>
      </c>
      <c r="AC952" s="85" t="s">
        <v>231</v>
      </c>
      <c r="AD952" s="85"/>
      <c r="AE952" s="85"/>
      <c r="AF952" s="132">
        <v>465</v>
      </c>
      <c r="AG952" s="85" t="s">
        <v>243</v>
      </c>
      <c r="AH952" s="85" t="s">
        <v>1088</v>
      </c>
      <c r="AI952" s="85" t="s">
        <v>868</v>
      </c>
      <c r="AJ952" s="85" t="s">
        <v>1571</v>
      </c>
      <c r="AK952" s="85" t="s">
        <v>1572</v>
      </c>
      <c r="AL952" s="85"/>
      <c r="AM952" s="85"/>
      <c r="AN952" s="85"/>
      <c r="AO952" s="85"/>
      <c r="AP952" s="85" t="s">
        <v>240</v>
      </c>
      <c r="AQ952" s="9" t="str">
        <f>CONCATENATE("REG-",BDEGENER[[#This Row],[FECHA DE SERVICIO]],"-",BDEGENER[[#This Row],[SERIE]],"-",BDEGENER[[#This Row],[HORAS]])</f>
        <v>REG-43621-1603595-465</v>
      </c>
      <c r="AR952" s="85" t="str">
        <f>CONCATENATE("MARCA: ",BDEGENER[[#This Row],[MARCA]],"
 MODELO: ",BDEGENER[[#This Row],[MODELO]])</f>
        <v>MARCA: GENERAC
 MODELO: VT8 K3</v>
      </c>
      <c r="AS952" s="85" t="str">
        <f>CONCATENATE("MARCA: ",BDEGENER[[#This Row],[MARCA DE MOTOR]],"
SERIE: ",BDEGENER[[#This Row],[SERIE DE MOTOR]])</f>
        <v>MARCA: KUBOTA
SERIE: 1GL0885</v>
      </c>
      <c r="AT952" s="85" t="str">
        <f>CONCATENATE("MARCA: ",BDEGENER[[#This Row],[MARCA ALTERNADOR ]],"
SERIE: ",BDEGENER[[#This Row],[SERIE DE ALTERNADOR]])</f>
        <v xml:space="preserve">MARCA: LINZ
SERIE: </v>
      </c>
      <c r="AU952" s="85" t="str">
        <f>CONCATENATE("HORAS: ",BDEGENER[[#This Row],[HORAS]],"
KW-HR: ",BDEGENER[[#This Row],[KW-HORA]],"
VOLT.BATERIA: ",BDEGENER[[#This Row],[VOLTAJE DE BATERIA]],"
TEMPERATURA: ",BDEGENER[[#This Row],[TEMPERATURA DE AGUA]],"
PRES. ACEITE: ",BDEGENER[[#This Row],[PRESION DE ACEITE]])</f>
        <v xml:space="preserve">HORAS: 465
KW-HR: 
VOLT.BATERIA: 
TEMPERATURA: 
PRES. ACEITE: </v>
      </c>
      <c r="AV952" s="761">
        <f>COUNTIFS(Q952:Q2952,"MANTENIMIENTO CORRECTIVO",Y952:Y2952,BDEGENER[[#This Row],[SERIE]])</f>
        <v>1</v>
      </c>
      <c r="AW952" s="761">
        <f>COUNTIFS(Q952:Q2952,"MANTENIMIENTO PREVENTIVO",Y952:Y2952,BDEGENER[[#This Row],[SERIE]])</f>
        <v>1</v>
      </c>
      <c r="AX952"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952" s="85">
        <f>COUNTIFS(BDEGENER[SERIE],BDEGENER[[#This Row],[SERIE]],BDEGENER[TIPO DE SERVICIO],"MANTENIMIENTO PREVENTIVO")</f>
        <v>3</v>
      </c>
      <c r="AZ952" s="85" t="str">
        <f>CONCATENATE("MANTENIMIENTO PREVENTIVO N°",BDEGENER[[#This Row],[GA1]])</f>
        <v>MANTENIMIENTO PREVENTIVO N°3</v>
      </c>
      <c r="BA952" s="85" t="str">
        <f>IF(BDEGENER[[#This Row],[SERVICIO]]=BDEGENER[[#This Row],[GA2]],BDEGENER[[#This Row],[HORAS]],"0")</f>
        <v>0</v>
      </c>
      <c r="BB952" s="85">
        <f>SUMIF(BDEGENER[SERIE],BDEGENER[[#This Row],[SERIE]],BDEGENER[GA3])</f>
        <v>1242</v>
      </c>
      <c r="BC952" s="761" t="str">
        <f>CONCATENATE("MANT",COUNTIF($Y$7:Y952,Y952))</f>
        <v>MANT3</v>
      </c>
      <c r="BD952" s="85" t="str">
        <f>CONCATENATE(BDEGENER[[#This Row],[SERIE]],BDEGENER[[#This Row],[GA5]])</f>
        <v>1603595MANT3</v>
      </c>
      <c r="BE952" s="85" t="str">
        <f>CONCATENATE(BDEGENER[[#This Row],[CODIGO PATRIMONIAL]],BDEGENER[[#This Row],[GA5]])</f>
        <v>MANT3</v>
      </c>
      <c r="BF952" s="85">
        <f>COUNTIF(BDEGENER[SERIE],BDEGENER[[#This Row],[SERIE]])</f>
        <v>4</v>
      </c>
      <c r="BG952" s="761" t="str">
        <f>CONCATENATE("F",COUNTIF($K$7:K952,K952))</f>
        <v>F4</v>
      </c>
      <c r="BH952" s="85" t="str">
        <f>CONCATENATE(BDEGENER[[#This Row],[FECHA DE SERVICIO]],BDEGENER[[#This Row],[N° DE REGISTROS DEL DIA]])</f>
        <v>43621F4</v>
      </c>
      <c r="BI952" s="132"/>
      <c r="BJ952" s="85" t="s">
        <v>1545</v>
      </c>
      <c r="BK952" s="326"/>
    </row>
    <row r="953" spans="2:63" ht="69" hidden="1" x14ac:dyDescent="0.3">
      <c r="B953" s="129"/>
      <c r="C953" s="129"/>
      <c r="D953" s="129"/>
      <c r="E953" s="129"/>
      <c r="F953" s="129"/>
      <c r="G953" s="129"/>
      <c r="H953" s="129"/>
      <c r="I953" s="129"/>
      <c r="J953" s="129"/>
      <c r="K953" s="131">
        <v>43621</v>
      </c>
      <c r="L953" s="130" t="s">
        <v>796</v>
      </c>
      <c r="M953" s="85" t="s">
        <v>796</v>
      </c>
      <c r="N953" s="85" t="s">
        <v>1083</v>
      </c>
      <c r="O953" s="85"/>
      <c r="P953" s="85"/>
      <c r="Q953" s="85" t="s">
        <v>37</v>
      </c>
      <c r="R953" s="85" t="s">
        <v>1782</v>
      </c>
      <c r="S953" s="6" t="s">
        <v>1567</v>
      </c>
      <c r="T953" s="85" t="s">
        <v>1782</v>
      </c>
      <c r="U953" s="85" t="s">
        <v>1568</v>
      </c>
      <c r="V953" s="85" t="s">
        <v>149</v>
      </c>
      <c r="W953" s="85" t="s">
        <v>915</v>
      </c>
      <c r="X953" s="85" t="s">
        <v>917</v>
      </c>
      <c r="Y953" s="15">
        <v>1603597</v>
      </c>
      <c r="Z953" s="85"/>
      <c r="AA953" s="85" t="s">
        <v>33</v>
      </c>
      <c r="AB953" s="85" t="s">
        <v>1120</v>
      </c>
      <c r="AC953" s="85" t="s">
        <v>231</v>
      </c>
      <c r="AD953" s="85"/>
      <c r="AE953" s="85"/>
      <c r="AF953" s="132">
        <v>477</v>
      </c>
      <c r="AG953" s="85" t="s">
        <v>243</v>
      </c>
      <c r="AH953" s="85" t="s">
        <v>1088</v>
      </c>
      <c r="AI953" s="85" t="s">
        <v>868</v>
      </c>
      <c r="AJ953" s="85" t="s">
        <v>1564</v>
      </c>
      <c r="AK953" s="85" t="s">
        <v>33</v>
      </c>
      <c r="AL953" s="85">
        <v>0</v>
      </c>
      <c r="AM953" s="85"/>
      <c r="AN953" s="85"/>
      <c r="AO953" s="85"/>
      <c r="AP953" s="85" t="s">
        <v>240</v>
      </c>
      <c r="AQ953" s="9" t="str">
        <f>CONCATENATE("REG-",BDEGENER[[#This Row],[FECHA DE SERVICIO]],"-",BDEGENER[[#This Row],[SERIE]],"-",BDEGENER[[#This Row],[HORAS]])</f>
        <v>REG-43621-1603597-477</v>
      </c>
      <c r="AR953" s="85" t="str">
        <f>CONCATENATE("MARCA: ",BDEGENER[[#This Row],[MARCA]],"
 MODELO: ",BDEGENER[[#This Row],[MODELO]])</f>
        <v>MARCA: GENERAC
 MODELO: VT8 K3</v>
      </c>
      <c r="AS953" s="85" t="str">
        <f>CONCATENATE("MARCA: ",BDEGENER[[#This Row],[MARCA DE MOTOR]],"
SERIE: ",BDEGENER[[#This Row],[SERIE DE MOTOR]])</f>
        <v>MARCA: KUBOTA
SERIE: 1GL0716</v>
      </c>
      <c r="AT953" s="85" t="str">
        <f>CONCATENATE("MARCA: ",BDEGENER[[#This Row],[MARCA ALTERNADOR ]],"
SERIE: ",BDEGENER[[#This Row],[SERIE DE ALTERNADOR]])</f>
        <v>MARCA: GENERAC
SERIE: 0</v>
      </c>
      <c r="AU953" s="85" t="str">
        <f>CONCATENATE("HORAS: ",BDEGENER[[#This Row],[HORAS]],"
KW-HR: ",BDEGENER[[#This Row],[KW-HORA]],"
VOLT.BATERIA: ",BDEGENER[[#This Row],[VOLTAJE DE BATERIA]],"
TEMPERATURA: ",BDEGENER[[#This Row],[TEMPERATURA DE AGUA]],"
PRES. ACEITE: ",BDEGENER[[#This Row],[PRESION DE ACEITE]])</f>
        <v xml:space="preserve">HORAS: 477
KW-HR: 
VOLT.BATERIA: 
TEMPERATURA: 
PRES. ACEITE: </v>
      </c>
      <c r="AV953" s="683">
        <f>COUNTIFS(Q953:Q2953,"MANTENIMIENTO CORRECTIVO",Y953:Y2953,BDEGENER[[#This Row],[SERIE]])</f>
        <v>0</v>
      </c>
      <c r="AW953" s="683">
        <f>COUNTIFS(Q953:Q2953,"MANTENIMIENTO PREVENTIVO",Y953:Y2953,BDEGENER[[#This Row],[SERIE]])</f>
        <v>1</v>
      </c>
      <c r="AX953"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53" s="85">
        <f>COUNTIFS(BDEGENER[SERIE],BDEGENER[[#This Row],[SERIE]],BDEGENER[TIPO DE SERVICIO],"MANTENIMIENTO PREVENTIVO")</f>
        <v>2</v>
      </c>
      <c r="AZ953" s="85" t="str">
        <f>CONCATENATE("MANTENIMIENTO PREVENTIVO N°",BDEGENER[[#This Row],[GA1]])</f>
        <v>MANTENIMIENTO PREVENTIVO N°2</v>
      </c>
      <c r="BA953" s="85" t="str">
        <f>IF(BDEGENER[[#This Row],[SERVICIO]]=BDEGENER[[#This Row],[GA2]],BDEGENER[[#This Row],[HORAS]],"0")</f>
        <v>0</v>
      </c>
      <c r="BB953" s="85">
        <f>SUMIF(BDEGENER[SERIE],BDEGENER[[#This Row],[SERIE]],BDEGENER[GA3])</f>
        <v>1468</v>
      </c>
      <c r="BC953" s="683" t="str">
        <f>CONCATENATE("MANT",COUNTIF($Y$7:Y953,Y953))</f>
        <v>MANT3</v>
      </c>
      <c r="BD953" s="85" t="str">
        <f>CONCATENATE(BDEGENER[[#This Row],[SERIE]],BDEGENER[[#This Row],[GA5]])</f>
        <v>1603597MANT3</v>
      </c>
      <c r="BE953" s="85" t="str">
        <f>CONCATENATE(BDEGENER[[#This Row],[CODIGO PATRIMONIAL]],BDEGENER[[#This Row],[GA5]])</f>
        <v>MANT3</v>
      </c>
      <c r="BF953" s="85">
        <f>COUNTIF(BDEGENER[SERIE],BDEGENER[[#This Row],[SERIE]])</f>
        <v>3</v>
      </c>
      <c r="BG953" s="683" t="str">
        <f>CONCATENATE("F",COUNTIF($K$7:K953,K953))</f>
        <v>F5</v>
      </c>
      <c r="BH953" s="85" t="str">
        <f>CONCATENATE(BDEGENER[[#This Row],[FECHA DE SERVICIO]],BDEGENER[[#This Row],[N° DE REGISTROS DEL DIA]])</f>
        <v>43621F5</v>
      </c>
      <c r="BI953" s="132"/>
      <c r="BJ953" s="85" t="s">
        <v>1545</v>
      </c>
      <c r="BK953" s="326"/>
    </row>
    <row r="954" spans="2:63" ht="69" hidden="1" x14ac:dyDescent="0.3">
      <c r="B954" s="223"/>
      <c r="C954" s="223"/>
      <c r="D954" s="223"/>
      <c r="E954" s="223"/>
      <c r="F954" s="223"/>
      <c r="G954" s="223"/>
      <c r="H954" s="223"/>
      <c r="I954" s="223"/>
      <c r="J954" s="223"/>
      <c r="K954" s="723">
        <v>43619</v>
      </c>
      <c r="L954" s="15" t="s">
        <v>181</v>
      </c>
      <c r="M954" s="14" t="s">
        <v>185</v>
      </c>
      <c r="N954" s="14" t="s">
        <v>183</v>
      </c>
      <c r="O954" s="8" t="s">
        <v>159</v>
      </c>
      <c r="P954" s="15" t="s">
        <v>159</v>
      </c>
      <c r="Q954" s="14" t="s">
        <v>109</v>
      </c>
      <c r="R954" s="85" t="s">
        <v>1782</v>
      </c>
      <c r="S954" s="5" t="s">
        <v>1782</v>
      </c>
      <c r="T954" s="14" t="s">
        <v>99</v>
      </c>
      <c r="U954" s="14"/>
      <c r="V954" s="14" t="s">
        <v>152</v>
      </c>
      <c r="W954" s="85" t="s">
        <v>914</v>
      </c>
      <c r="X954" s="85" t="s">
        <v>918</v>
      </c>
      <c r="Y954" s="15">
        <v>3004402506</v>
      </c>
      <c r="Z954" s="14"/>
      <c r="AA954" s="14" t="s">
        <v>33</v>
      </c>
      <c r="AB954" s="85" t="s">
        <v>34</v>
      </c>
      <c r="AC954" s="14" t="s">
        <v>230</v>
      </c>
      <c r="AD954" s="16"/>
      <c r="AE954" s="16"/>
      <c r="AF954" s="12">
        <v>0.6</v>
      </c>
      <c r="AG954" s="16" t="s">
        <v>243</v>
      </c>
      <c r="AH954" s="16" t="s">
        <v>220</v>
      </c>
      <c r="AI954" s="16" t="s">
        <v>33</v>
      </c>
      <c r="AJ954" s="85">
        <v>3004333866</v>
      </c>
      <c r="AK954" s="16" t="s">
        <v>33</v>
      </c>
      <c r="AL954" s="85">
        <v>1063100</v>
      </c>
      <c r="AM954" s="16"/>
      <c r="AN954" s="16"/>
      <c r="AO954" s="16"/>
      <c r="AP954" s="14" t="s">
        <v>240</v>
      </c>
      <c r="AQ954" s="6" t="str">
        <f>CONCATENATE("REG-",BDEGENER[[#This Row],[FECHA DE SERVICIO]],"-",BDEGENER[[#This Row],[SERIE]],"-",BDEGENER[[#This Row],[HORAS]])</f>
        <v>REG-43619-3004402506-0,6</v>
      </c>
      <c r="AR954" s="5" t="str">
        <f>CONCATENATE("MARCA: ",BDEGENER[[#This Row],[MARCA]],"
 MODELO: ",BDEGENER[[#This Row],[MODELO]])</f>
        <v>MARCA: GENERAC
 MODELO: PG090</v>
      </c>
      <c r="AS954" s="5" t="str">
        <f>CONCATENATE("MARCA: ",BDEGENER[[#This Row],[MARCA DE MOTOR]],"
SERIE: ",BDEGENER[[#This Row],[SERIE DE MOTOR]])</f>
        <v>MARCA: GENERAC
SERIE: 3004333866</v>
      </c>
      <c r="AT954" s="5" t="str">
        <f>CONCATENATE("MARCA: ",BDEGENER[[#This Row],[MARCA ALTERNADOR ]],"
SERIE: ",BDEGENER[[#This Row],[SERIE DE ALTERNADOR]])</f>
        <v>MARCA: GENERAC
SERIE: 1063100</v>
      </c>
      <c r="AU954" s="5"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954" s="683">
        <f>COUNTIFS(Q954:Q2954,"MANTENIMIENTO CORRECTIVO",Y954:Y2954,BDEGENER[[#This Row],[SERIE]])</f>
        <v>0</v>
      </c>
      <c r="AW954" s="683">
        <f>COUNTIFS(Q954:Q2954,"MANTENIMIENTO PREVENTIVO",Y954:Y2954,BDEGENER[[#This Row],[SERIE]])</f>
        <v>0</v>
      </c>
      <c r="AX95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54" s="29">
        <f>COUNTIFS(BDEGENER[SERIE],BDEGENER[[#This Row],[SERIE]],BDEGENER[TIPO DE SERVICIO],"MANTENIMIENTO PREVENTIVO")</f>
        <v>8</v>
      </c>
      <c r="AZ954" s="29" t="str">
        <f>CONCATENATE("MANTENIMIENTO PREVENTIVO N°",BDEGENER[[#This Row],[GA1]])</f>
        <v>MANTENIMIENTO PREVENTIVO N°8</v>
      </c>
      <c r="BA954" s="325" t="str">
        <f>IF(BDEGENER[[#This Row],[SERVICIO]]=BDEGENER[[#This Row],[GA2]],BDEGENER[[#This Row],[HORAS]],"0")</f>
        <v>0</v>
      </c>
      <c r="BB954" s="325">
        <f>SUMIF(BDEGENER[SERIE],BDEGENER[[#This Row],[SERIE]],BDEGENER[GA3])</f>
        <v>2907.9</v>
      </c>
      <c r="BC954" s="683" t="str">
        <f>CONCATENATE("MANT",COUNTIF($Y$7:Y954,Y954))</f>
        <v>MANT14</v>
      </c>
      <c r="BD954" s="29" t="str">
        <f>CONCATENATE(BDEGENER[[#This Row],[SERIE]],BDEGENER[[#This Row],[GA5]])</f>
        <v>3004402506MANT14</v>
      </c>
      <c r="BE954" s="29" t="str">
        <f>CONCATENATE(BDEGENER[[#This Row],[CODIGO PATRIMONIAL]],BDEGENER[[#This Row],[GA5]])</f>
        <v>MANT14</v>
      </c>
      <c r="BF954" s="16">
        <f>COUNTIF(BDEGENER[SERIE],BDEGENER[[#This Row],[SERIE]])</f>
        <v>14</v>
      </c>
      <c r="BG954" s="683" t="str">
        <f>CONCATENATE("F",COUNTIF($K$7:K954,K954))</f>
        <v>F1</v>
      </c>
      <c r="BH954" s="325" t="str">
        <f>CONCATENATE(BDEGENER[[#This Row],[FECHA DE SERVICIO]],BDEGENER[[#This Row],[N° DE REGISTROS DEL DIA]])</f>
        <v>43619F1</v>
      </c>
      <c r="BI954" s="324"/>
      <c r="BJ954" s="85" t="s">
        <v>1544</v>
      </c>
      <c r="BK954" s="326"/>
    </row>
    <row r="955" spans="2:63" ht="69" hidden="1" x14ac:dyDescent="0.3">
      <c r="B955" s="34"/>
      <c r="C955" s="34"/>
      <c r="D955" s="34"/>
      <c r="E955" s="34"/>
      <c r="F955" s="34"/>
      <c r="G955" s="34"/>
      <c r="H955" s="34"/>
      <c r="I955" s="34"/>
      <c r="J955" s="34"/>
      <c r="K955" s="37">
        <v>43617</v>
      </c>
      <c r="L955" s="30" t="s">
        <v>561</v>
      </c>
      <c r="M955" s="19" t="s">
        <v>585</v>
      </c>
      <c r="N955" s="19" t="s">
        <v>586</v>
      </c>
      <c r="O955" s="19"/>
      <c r="P955" s="19"/>
      <c r="Q955" s="19" t="s">
        <v>37</v>
      </c>
      <c r="R955" s="85" t="s">
        <v>1782</v>
      </c>
      <c r="S955" s="19" t="s">
        <v>599</v>
      </c>
      <c r="T955" s="85" t="s">
        <v>1782</v>
      </c>
      <c r="U955" s="19" t="s">
        <v>701</v>
      </c>
      <c r="V955" s="19" t="s">
        <v>148</v>
      </c>
      <c r="W955" s="85" t="s">
        <v>914</v>
      </c>
      <c r="X955" s="85" t="s">
        <v>918</v>
      </c>
      <c r="Y955" s="31">
        <v>3003566705</v>
      </c>
      <c r="Z955" s="692" t="s">
        <v>2613</v>
      </c>
      <c r="AA955" s="683" t="s">
        <v>33</v>
      </c>
      <c r="AB955" s="85" t="s">
        <v>34</v>
      </c>
      <c r="AC955" s="683" t="s">
        <v>230</v>
      </c>
      <c r="AD955" s="16"/>
      <c r="AE955" s="16"/>
      <c r="AF955" s="146">
        <v>2013.2</v>
      </c>
      <c r="AG955" s="16"/>
      <c r="AH955" s="16"/>
      <c r="AI955" s="16"/>
      <c r="AJ955" s="16"/>
      <c r="AK955" s="16"/>
      <c r="AL955" s="16"/>
      <c r="AM955" s="16"/>
      <c r="AN955" s="16"/>
      <c r="AO955" s="16"/>
      <c r="AP955" s="19" t="s">
        <v>240</v>
      </c>
      <c r="AQ955" s="6" t="str">
        <f>CONCATENATE("REG-",BDEGENER[[#This Row],[FECHA DE SERVICIO]],"-",BDEGENER[[#This Row],[SERIE]],"-",BDEGENER[[#This Row],[HORAS]])</f>
        <v>REG-43617-3003566705-2013,2</v>
      </c>
      <c r="AR955" s="5" t="str">
        <f>CONCATENATE("MARCA: ",BDEGENER[[#This Row],[MARCA]],"
 MODELO: ",BDEGENER[[#This Row],[MODELO]])</f>
        <v>MARCA: GENERAC
 MODELO: PG090</v>
      </c>
      <c r="AS955" s="5" t="str">
        <f>CONCATENATE("MARCA: ",BDEGENER[[#This Row],[MARCA DE MOTOR]],"
SERIE: ",BDEGENER[[#This Row],[SERIE DE MOTOR]])</f>
        <v xml:space="preserve">MARCA: 
SERIE: </v>
      </c>
      <c r="AT955" s="5" t="str">
        <f>CONCATENATE("MARCA: ",BDEGENER[[#This Row],[MARCA ALTERNADOR ]],"
SERIE: ",BDEGENER[[#This Row],[SERIE DE ALTERNADOR]])</f>
        <v xml:space="preserve">MARCA: 
SERIE: </v>
      </c>
      <c r="AU955" s="29" t="str">
        <f>CONCATENATE("HORAS: ",BDEGENER[[#This Row],[HORAS]],"
KW-HR: ",BDEGENER[[#This Row],[KW-HORA]],"
VOLT.BATERIA: ",BDEGENER[[#This Row],[VOLTAJE DE BATERIA]],"
TEMPERATURA: ",BDEGENER[[#This Row],[TEMPERATURA DE AGUA]],"
PRES. ACEITE: ",BDEGENER[[#This Row],[PRESION DE ACEITE]])</f>
        <v xml:space="preserve">HORAS: 2013,2
KW-HR: 
VOLT.BATERIA: 
TEMPERATURA: 
PRES. ACEITE: </v>
      </c>
      <c r="AV955" s="761">
        <f>COUNTIFS(Q955:Q2955,"MANTENIMIENTO CORRECTIVO",Y955:Y2955,BDEGENER[[#This Row],[SERIE]])</f>
        <v>0</v>
      </c>
      <c r="AW955" s="761">
        <f>COUNTIFS(Q955:Q2955,"MANTENIMIENTO PREVENTIVO",Y955:Y2955,BDEGENER[[#This Row],[SERIE]])</f>
        <v>4</v>
      </c>
      <c r="AX95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955" s="29">
        <f>COUNTIFS(BDEGENER[SERIE],BDEGENER[[#This Row],[SERIE]],BDEGENER[TIPO DE SERVICIO],"MANTENIMIENTO PREVENTIVO")</f>
        <v>6</v>
      </c>
      <c r="AZ955" s="29" t="str">
        <f>CONCATENATE("MANTENIMIENTO PREVENTIVO N°",BDEGENER[[#This Row],[GA1]])</f>
        <v>MANTENIMIENTO PREVENTIVO N°6</v>
      </c>
      <c r="BA955" s="325" t="str">
        <f>IF(BDEGENER[[#This Row],[SERVICIO]]=BDEGENER[[#This Row],[GA2]],BDEGENER[[#This Row],[HORAS]],"0")</f>
        <v>0</v>
      </c>
      <c r="BB955" s="325">
        <f>SUMIF(BDEGENER[SERIE],BDEGENER[[#This Row],[SERIE]],BDEGENER[GA3])</f>
        <v>6247.9</v>
      </c>
      <c r="BC955" s="761" t="str">
        <f>CONCATENATE("MANT",COUNTIF($Y$7:Y955,Y955))</f>
        <v>MANT5</v>
      </c>
      <c r="BD955" s="29" t="str">
        <f>CONCATENATE(BDEGENER[[#This Row],[SERIE]],BDEGENER[[#This Row],[GA5]])</f>
        <v>3003566705MANT5</v>
      </c>
      <c r="BE955" s="29" t="str">
        <f>CONCATENATE(BDEGENER[[#This Row],[CODIGO PATRIMONIAL]],BDEGENER[[#This Row],[GA5]])</f>
        <v>NOR-GEG-0015MANT5</v>
      </c>
      <c r="BF955" s="16">
        <f>COUNTIF(BDEGENER[SERIE],BDEGENER[[#This Row],[SERIE]])</f>
        <v>8</v>
      </c>
      <c r="BG955" s="761" t="str">
        <f>CONCATENATE("F",COUNTIF($K$7:K955,K955))</f>
        <v>F1</v>
      </c>
      <c r="BH955" s="325" t="str">
        <f>CONCATENATE(BDEGENER[[#This Row],[FECHA DE SERVICIO]],BDEGENER[[#This Row],[N° DE REGISTROS DEL DIA]])</f>
        <v>43617F1</v>
      </c>
      <c r="BI955" s="324"/>
      <c r="BJ955" s="325"/>
      <c r="BK955" s="326"/>
    </row>
    <row r="956" spans="2:63" ht="69" hidden="1" x14ac:dyDescent="0.3">
      <c r="B956" s="223"/>
      <c r="C956" s="223"/>
      <c r="D956" s="223"/>
      <c r="E956" s="223"/>
      <c r="F956" s="223"/>
      <c r="G956" s="223"/>
      <c r="H956" s="223"/>
      <c r="I956" s="223"/>
      <c r="J956" s="223"/>
      <c r="K956" s="723">
        <v>43607</v>
      </c>
      <c r="L956" s="15" t="s">
        <v>181</v>
      </c>
      <c r="M956" s="14" t="s">
        <v>198</v>
      </c>
      <c r="N956" s="14" t="s">
        <v>199</v>
      </c>
      <c r="O956" s="8">
        <v>4500724493</v>
      </c>
      <c r="P956" s="10"/>
      <c r="Q956" s="14" t="s">
        <v>107</v>
      </c>
      <c r="R956" s="85" t="s">
        <v>1782</v>
      </c>
      <c r="S956" s="5" t="s">
        <v>59</v>
      </c>
      <c r="T956" s="14" t="s">
        <v>100</v>
      </c>
      <c r="U956" s="14" t="s">
        <v>129</v>
      </c>
      <c r="V956" s="14" t="s">
        <v>149</v>
      </c>
      <c r="W956" s="14"/>
      <c r="X956" s="14"/>
      <c r="Y956" s="15">
        <v>7954602</v>
      </c>
      <c r="Z956" s="14" t="s">
        <v>223</v>
      </c>
      <c r="AA956" s="14" t="s">
        <v>33</v>
      </c>
      <c r="AB956" s="14" t="s">
        <v>220</v>
      </c>
      <c r="AC956" s="14" t="s">
        <v>235</v>
      </c>
      <c r="AD956" s="16"/>
      <c r="AE956" s="16"/>
      <c r="AF956" s="12">
        <v>3486.2</v>
      </c>
      <c r="AG956" s="16"/>
      <c r="AH956" s="16"/>
      <c r="AI956" s="16"/>
      <c r="AJ956" s="16"/>
      <c r="AK956" s="16"/>
      <c r="AL956" s="16"/>
      <c r="AM956" s="16"/>
      <c r="AN956" s="16"/>
      <c r="AO956" s="16"/>
      <c r="AP956" s="14" t="s">
        <v>240</v>
      </c>
      <c r="AQ956" s="127" t="str">
        <f>CONCATENATE("REG-",BDEGENER[[#This Row],[FECHA DE SERVICIO]],"-",BDEGENER[[#This Row],[SERIE]],"-",BDEGENER[[#This Row],[HORAS]])</f>
        <v>REG-43607-7954602-3486,2</v>
      </c>
      <c r="AR956" s="5" t="str">
        <f>CONCATENATE("MARCA: ",BDEGENER[[#This Row],[MARCA]],"
 MODELO: ",BDEGENER[[#This Row],[MODELO]])</f>
        <v>MARCA: GENERAC
 MODELO: H100</v>
      </c>
      <c r="AS956" s="5" t="str">
        <f>CONCATENATE("MARCA: ",BDEGENER[[#This Row],[MARCA DE MOTOR]],"
SERIE: ",BDEGENER[[#This Row],[SERIE DE MOTOR]])</f>
        <v xml:space="preserve">MARCA: 
SERIE: </v>
      </c>
      <c r="AT956" s="5" t="str">
        <f>CONCATENATE("MARCA: ",BDEGENER[[#This Row],[MARCA ALTERNADOR ]],"
SERIE: ",BDEGENER[[#This Row],[SERIE DE ALTERNADOR]])</f>
        <v xml:space="preserve">MARCA: 
SERIE: </v>
      </c>
      <c r="AU956" s="5" t="str">
        <f>CONCATENATE("HORAS: ",BDEGENER[[#This Row],[HORAS]],"
KW-HR: ",BDEGENER[[#This Row],[KW-HORA]],"
VOLT.BATERIA: ",BDEGENER[[#This Row],[VOLTAJE DE BATERIA]],"
TEMPERATURA: ",BDEGENER[[#This Row],[TEMPERATURA DE AGUA]],"
PRES. ACEITE: ",BDEGENER[[#This Row],[PRESION DE ACEITE]])</f>
        <v xml:space="preserve">HORAS: 3486,2
KW-HR: 
VOLT.BATERIA: 
TEMPERATURA: 
PRES. ACEITE: </v>
      </c>
      <c r="AV956" s="683">
        <f>COUNTIFS(Q956:Q2956,"MANTENIMIENTO CORRECTIVO",Y956:Y2956,BDEGENER[[#This Row],[SERIE]])</f>
        <v>1</v>
      </c>
      <c r="AW956" s="683">
        <f>COUNTIFS(Q956:Q2956,"MANTENIMIENTO PREVENTIVO",Y956:Y2956,BDEGENER[[#This Row],[SERIE]])</f>
        <v>0</v>
      </c>
      <c r="AX95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956" s="29">
        <f>COUNTIFS(BDEGENER[SERIE],BDEGENER[[#This Row],[SERIE]],BDEGENER[TIPO DE SERVICIO],"MANTENIMIENTO PREVENTIVO")</f>
        <v>0</v>
      </c>
      <c r="AZ956" s="29" t="str">
        <f>CONCATENATE("MANTENIMIENTO PREVENTIVO N°",BDEGENER[[#This Row],[GA1]])</f>
        <v>MANTENIMIENTO PREVENTIVO N°0</v>
      </c>
      <c r="BA956" s="325" t="str">
        <f>IF(BDEGENER[[#This Row],[SERVICIO]]=BDEGENER[[#This Row],[GA2]],BDEGENER[[#This Row],[HORAS]],"0")</f>
        <v>0</v>
      </c>
      <c r="BB956" s="325">
        <f>SUMIF(BDEGENER[SERIE],BDEGENER[[#This Row],[SERIE]],BDEGENER[GA3])</f>
        <v>0</v>
      </c>
      <c r="BC956" s="683" t="str">
        <f>CONCATENATE("MANT",COUNTIF($Y$7:Y956,Y956))</f>
        <v>MANT1</v>
      </c>
      <c r="BD956" s="29" t="str">
        <f>CONCATENATE(BDEGENER[[#This Row],[SERIE]],BDEGENER[[#This Row],[GA5]])</f>
        <v>7954602MANT1</v>
      </c>
      <c r="BE956" s="29" t="str">
        <f>CONCATENATE(BDEGENER[[#This Row],[CODIGO PATRIMONIAL]],BDEGENER[[#This Row],[GA5]])</f>
        <v>GEGA07MANT1</v>
      </c>
      <c r="BF956" s="16">
        <f>COUNTIF(BDEGENER[SERIE],BDEGENER[[#This Row],[SERIE]])</f>
        <v>2</v>
      </c>
      <c r="BG956" s="683" t="str">
        <f>CONCATENATE("F",COUNTIF($K$7:K956,K956))</f>
        <v>F1</v>
      </c>
      <c r="BH956" s="325" t="str">
        <f>CONCATENATE(BDEGENER[[#This Row],[FECHA DE SERVICIO]],BDEGENER[[#This Row],[N° DE REGISTROS DEL DIA]])</f>
        <v>43607F1</v>
      </c>
      <c r="BI956" s="324"/>
      <c r="BJ956" s="325"/>
      <c r="BK956" s="326"/>
    </row>
    <row r="957" spans="2:63" ht="69" hidden="1" x14ac:dyDescent="0.3">
      <c r="B957" s="223"/>
      <c r="C957" s="223"/>
      <c r="D957" s="223"/>
      <c r="E957" s="223"/>
      <c r="F957" s="223"/>
      <c r="G957" s="223"/>
      <c r="H957" s="223"/>
      <c r="I957" s="223"/>
      <c r="J957" s="223"/>
      <c r="K957" s="723">
        <v>43607</v>
      </c>
      <c r="L957" s="15" t="s">
        <v>181</v>
      </c>
      <c r="M957" s="14" t="s">
        <v>198</v>
      </c>
      <c r="N957" s="14" t="s">
        <v>199</v>
      </c>
      <c r="O957" s="8"/>
      <c r="P957" s="10"/>
      <c r="Q957" s="14" t="s">
        <v>107</v>
      </c>
      <c r="R957" s="85" t="s">
        <v>1782</v>
      </c>
      <c r="S957" s="5" t="s">
        <v>60</v>
      </c>
      <c r="T957" s="85" t="s">
        <v>1782</v>
      </c>
      <c r="U957" s="14" t="s">
        <v>130</v>
      </c>
      <c r="V957" s="14" t="s">
        <v>148</v>
      </c>
      <c r="W957" s="14"/>
      <c r="X957" s="14"/>
      <c r="Y957" s="15" t="s">
        <v>177</v>
      </c>
      <c r="Z957" s="14" t="s">
        <v>224</v>
      </c>
      <c r="AA957" s="14" t="s">
        <v>33</v>
      </c>
      <c r="AB957" s="14" t="s">
        <v>220</v>
      </c>
      <c r="AC957" s="14" t="s">
        <v>235</v>
      </c>
      <c r="AD957" s="16"/>
      <c r="AE957" s="16"/>
      <c r="AF957" s="12">
        <v>9383.6</v>
      </c>
      <c r="AG957" s="16"/>
      <c r="AH957" s="16"/>
      <c r="AI957" s="16"/>
      <c r="AJ957" s="16"/>
      <c r="AK957" s="16"/>
      <c r="AL957" s="16"/>
      <c r="AM957" s="16"/>
      <c r="AN957" s="16"/>
      <c r="AO957" s="16"/>
      <c r="AP957" s="14" t="s">
        <v>240</v>
      </c>
      <c r="AQ957" s="127" t="str">
        <f>CONCATENATE("REG-",BDEGENER[[#This Row],[FECHA DE SERVICIO]],"-",BDEGENER[[#This Row],[SERIE]],"-",BDEGENER[[#This Row],[HORAS]])</f>
        <v>REG-43607-NR-9383,6</v>
      </c>
      <c r="AR957" s="5" t="str">
        <f>CONCATENATE("MARCA: ",BDEGENER[[#This Row],[MARCA]],"
 MODELO: ",BDEGENER[[#This Row],[MODELO]])</f>
        <v>MARCA: GENERAC
 MODELO: H100</v>
      </c>
      <c r="AS957" s="5" t="str">
        <f>CONCATENATE("MARCA: ",BDEGENER[[#This Row],[MARCA DE MOTOR]],"
SERIE: ",BDEGENER[[#This Row],[SERIE DE MOTOR]])</f>
        <v xml:space="preserve">MARCA: 
SERIE: </v>
      </c>
      <c r="AT957" s="5" t="str">
        <f>CONCATENATE("MARCA: ",BDEGENER[[#This Row],[MARCA ALTERNADOR ]],"
SERIE: ",BDEGENER[[#This Row],[SERIE DE ALTERNADOR]])</f>
        <v xml:space="preserve">MARCA: 
SERIE: </v>
      </c>
      <c r="AU957" s="5" t="str">
        <f>CONCATENATE("HORAS: ",BDEGENER[[#This Row],[HORAS]],"
KW-HR: ",BDEGENER[[#This Row],[KW-HORA]],"
VOLT.BATERIA: ",BDEGENER[[#This Row],[VOLTAJE DE BATERIA]],"
TEMPERATURA: ",BDEGENER[[#This Row],[TEMPERATURA DE AGUA]],"
PRES. ACEITE: ",BDEGENER[[#This Row],[PRESION DE ACEITE]])</f>
        <v xml:space="preserve">HORAS: 9383,6
KW-HR: 
VOLT.BATERIA: 
TEMPERATURA: 
PRES. ACEITE: </v>
      </c>
      <c r="AV957" s="683">
        <f>COUNTIFS(Q957:Q2957,"MANTENIMIENTO CORRECTIVO",Y957:Y2957,BDEGENER[[#This Row],[SERIE]])</f>
        <v>1</v>
      </c>
      <c r="AW957" s="683">
        <f>COUNTIFS(Q957:Q2957,"MANTENIMIENTO PREVENTIVO",Y957:Y2957,BDEGENER[[#This Row],[SERIE]])</f>
        <v>0</v>
      </c>
      <c r="AX95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957" s="29">
        <f>COUNTIFS(BDEGENER[SERIE],BDEGENER[[#This Row],[SERIE]],BDEGENER[TIPO DE SERVICIO],"MANTENIMIENTO PREVENTIVO")</f>
        <v>0</v>
      </c>
      <c r="AZ957" s="29" t="str">
        <f>CONCATENATE("MANTENIMIENTO PREVENTIVO N°",BDEGENER[[#This Row],[GA1]])</f>
        <v>MANTENIMIENTO PREVENTIVO N°0</v>
      </c>
      <c r="BA957" s="325" t="str">
        <f>IF(BDEGENER[[#This Row],[SERVICIO]]=BDEGENER[[#This Row],[GA2]],BDEGENER[[#This Row],[HORAS]],"0")</f>
        <v>0</v>
      </c>
      <c r="BB957" s="325">
        <f>SUMIF(BDEGENER[SERIE],BDEGENER[[#This Row],[SERIE]],BDEGENER[GA3])</f>
        <v>0</v>
      </c>
      <c r="BC957" s="683" t="str">
        <f>CONCATENATE("MANT",COUNTIF($Y$7:Y957,Y957))</f>
        <v>MANT4</v>
      </c>
      <c r="BD957" s="29" t="str">
        <f>CONCATENATE(BDEGENER[[#This Row],[SERIE]],BDEGENER[[#This Row],[GA5]])</f>
        <v>NRMANT4</v>
      </c>
      <c r="BE957" s="29" t="str">
        <f>CONCATENATE(BDEGENER[[#This Row],[CODIGO PATRIMONIAL]],BDEGENER[[#This Row],[GA5]])</f>
        <v>GEGA01MANT4</v>
      </c>
      <c r="BF957" s="16">
        <f>COUNTIF(BDEGENER[SERIE],BDEGENER[[#This Row],[SERIE]])</f>
        <v>5</v>
      </c>
      <c r="BG957" s="683" t="str">
        <f>CONCATENATE("F",COUNTIF($K$7:K957,K957))</f>
        <v>F2</v>
      </c>
      <c r="BH957" s="325" t="str">
        <f>CONCATENATE(BDEGENER[[#This Row],[FECHA DE SERVICIO]],BDEGENER[[#This Row],[N° DE REGISTROS DEL DIA]])</f>
        <v>43607F2</v>
      </c>
      <c r="BI957" s="324"/>
      <c r="BJ957" s="325"/>
      <c r="BK957" s="326"/>
    </row>
    <row r="958" spans="2:63" ht="69" hidden="1" x14ac:dyDescent="0.3">
      <c r="B958" s="34"/>
      <c r="C958" s="34"/>
      <c r="D958" s="34"/>
      <c r="E958" s="34"/>
      <c r="F958" s="34"/>
      <c r="G958" s="34"/>
      <c r="H958" s="34"/>
      <c r="I958" s="34"/>
      <c r="J958" s="34"/>
      <c r="K958" s="37">
        <v>43601</v>
      </c>
      <c r="L958" s="30" t="s">
        <v>561</v>
      </c>
      <c r="M958" s="19" t="s">
        <v>587</v>
      </c>
      <c r="N958" s="19" t="s">
        <v>586</v>
      </c>
      <c r="O958" s="19"/>
      <c r="P958" s="19"/>
      <c r="Q958" s="19" t="s">
        <v>37</v>
      </c>
      <c r="R958" s="85" t="s">
        <v>1782</v>
      </c>
      <c r="S958" s="19" t="s">
        <v>629</v>
      </c>
      <c r="T958" s="85" t="s">
        <v>1782</v>
      </c>
      <c r="U958" s="19" t="s">
        <v>702</v>
      </c>
      <c r="V958" s="19" t="s">
        <v>703</v>
      </c>
      <c r="W958" s="85" t="s">
        <v>914</v>
      </c>
      <c r="X958" s="85" t="s">
        <v>918</v>
      </c>
      <c r="Y958" s="31">
        <v>3003932245</v>
      </c>
      <c r="Z958" s="692" t="s">
        <v>2617</v>
      </c>
      <c r="AA958" s="683" t="s">
        <v>33</v>
      </c>
      <c r="AB958" s="85" t="s">
        <v>34</v>
      </c>
      <c r="AC958" s="19" t="s">
        <v>235</v>
      </c>
      <c r="AD958" s="16"/>
      <c r="AE958" s="16"/>
      <c r="AF958" s="146">
        <v>943.1</v>
      </c>
      <c r="AG958" s="16"/>
      <c r="AH958" s="16"/>
      <c r="AI958" s="16"/>
      <c r="AJ958" s="16"/>
      <c r="AK958" s="16"/>
      <c r="AL958" s="16"/>
      <c r="AM958" s="16"/>
      <c r="AN958" s="16"/>
      <c r="AO958" s="16"/>
      <c r="AP958" s="19" t="s">
        <v>240</v>
      </c>
      <c r="AQ958" s="72" t="str">
        <f>CONCATENATE("REG-",BDEGENER[[#This Row],[FECHA DE SERVICIO]],"-",BDEGENER[[#This Row],[SERIE]],"-",BDEGENER[[#This Row],[HORAS]])</f>
        <v>REG-43601-3003932245-943,1</v>
      </c>
      <c r="AR958" s="5" t="str">
        <f>CONCATENATE("MARCA: ",BDEGENER[[#This Row],[MARCA]],"
 MODELO: ",BDEGENER[[#This Row],[MODELO]])</f>
        <v>MARCA: GENERAC
 MODELO: PG090</v>
      </c>
      <c r="AS958" s="5" t="str">
        <f>CONCATENATE("MARCA: ",BDEGENER[[#This Row],[MARCA DE MOTOR]],"
SERIE: ",BDEGENER[[#This Row],[SERIE DE MOTOR]])</f>
        <v xml:space="preserve">MARCA: 
SERIE: </v>
      </c>
      <c r="AT958" s="5" t="str">
        <f>CONCATENATE("MARCA: ",BDEGENER[[#This Row],[MARCA ALTERNADOR ]],"
SERIE: ",BDEGENER[[#This Row],[SERIE DE ALTERNADOR]])</f>
        <v xml:space="preserve">MARCA: 
SERIE: </v>
      </c>
      <c r="AU958" s="29" t="str">
        <f>CONCATENATE("HORAS: ",BDEGENER[[#This Row],[HORAS]],"
KW-HR: ",BDEGENER[[#This Row],[KW-HORA]],"
VOLT.BATERIA: ",BDEGENER[[#This Row],[VOLTAJE DE BATERIA]],"
TEMPERATURA: ",BDEGENER[[#This Row],[TEMPERATURA DE AGUA]],"
PRES. ACEITE: ",BDEGENER[[#This Row],[PRESION DE ACEITE]])</f>
        <v xml:space="preserve">HORAS: 943,1
KW-HR: 
VOLT.BATERIA: 
TEMPERATURA: 
PRES. ACEITE: </v>
      </c>
      <c r="AV958" s="761">
        <f>COUNTIFS(Q958:Q2958,"MANTENIMIENTO CORRECTIVO",Y958:Y2958,BDEGENER[[#This Row],[SERIE]])</f>
        <v>0</v>
      </c>
      <c r="AW958" s="761">
        <f>COUNTIFS(Q958:Q2958,"MANTENIMIENTO PREVENTIVO",Y958:Y2958,BDEGENER[[#This Row],[SERIE]])</f>
        <v>3</v>
      </c>
      <c r="AX95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958" s="29">
        <f>COUNTIFS(BDEGENER[SERIE],BDEGENER[[#This Row],[SERIE]],BDEGENER[TIPO DE SERVICIO],"MANTENIMIENTO PREVENTIVO")</f>
        <v>9</v>
      </c>
      <c r="AZ958" s="29" t="str">
        <f>CONCATENATE("MANTENIMIENTO PREVENTIVO N°",BDEGENER[[#This Row],[GA1]])</f>
        <v>MANTENIMIENTO PREVENTIVO N°9</v>
      </c>
      <c r="BA958" s="325" t="str">
        <f>IF(BDEGENER[[#This Row],[SERVICIO]]=BDEGENER[[#This Row],[GA2]],BDEGENER[[#This Row],[HORAS]],"0")</f>
        <v>0</v>
      </c>
      <c r="BB958" s="325">
        <f>SUMIF(BDEGENER[SERIE],BDEGENER[[#This Row],[SERIE]],BDEGENER[GA3])</f>
        <v>6582.8</v>
      </c>
      <c r="BC958" s="761" t="str">
        <f>CONCATENATE("MANT",COUNTIF($Y$7:Y958,Y958))</f>
        <v>MANT8</v>
      </c>
      <c r="BD958" s="29" t="str">
        <f>CONCATENATE(BDEGENER[[#This Row],[SERIE]],BDEGENER[[#This Row],[GA5]])</f>
        <v>3003932245MANT8</v>
      </c>
      <c r="BE958" s="29" t="str">
        <f>CONCATENATE(BDEGENER[[#This Row],[CODIGO PATRIMONIAL]],BDEGENER[[#This Row],[GA5]])</f>
        <v>NOR-GEG-0019MANT8</v>
      </c>
      <c r="BF958" s="16">
        <f>COUNTIF(BDEGENER[SERIE],BDEGENER[[#This Row],[SERIE]])</f>
        <v>10</v>
      </c>
      <c r="BG958" s="761" t="str">
        <f>CONCATENATE("F",COUNTIF($K$7:K958,K958))</f>
        <v>F1</v>
      </c>
      <c r="BH958" s="325" t="str">
        <f>CONCATENATE(BDEGENER[[#This Row],[FECHA DE SERVICIO]],BDEGENER[[#This Row],[N° DE REGISTROS DEL DIA]])</f>
        <v>43601F1</v>
      </c>
      <c r="BI958" s="324"/>
      <c r="BJ958" s="325"/>
      <c r="BK958" s="326"/>
    </row>
    <row r="959" spans="2:63" ht="69" hidden="1" x14ac:dyDescent="0.3">
      <c r="B959" s="129"/>
      <c r="C959" s="129"/>
      <c r="D959" s="129"/>
      <c r="E959" s="129"/>
      <c r="F959" s="129"/>
      <c r="G959" s="129"/>
      <c r="H959" s="129"/>
      <c r="I959" s="129"/>
      <c r="J959" s="129"/>
      <c r="K959" s="131">
        <v>43601</v>
      </c>
      <c r="L959" s="130" t="s">
        <v>248</v>
      </c>
      <c r="M959" s="85" t="s">
        <v>1202</v>
      </c>
      <c r="N959" s="85" t="s">
        <v>254</v>
      </c>
      <c r="O959" s="85"/>
      <c r="P959" s="85"/>
      <c r="Q959" s="85" t="s">
        <v>37</v>
      </c>
      <c r="R959" s="85" t="s">
        <v>1782</v>
      </c>
      <c r="S959" s="6" t="s">
        <v>1452</v>
      </c>
      <c r="T959" s="85" t="s">
        <v>1453</v>
      </c>
      <c r="U959" s="85" t="s">
        <v>1454</v>
      </c>
      <c r="V959" s="85" t="s">
        <v>149</v>
      </c>
      <c r="W959" s="85" t="s">
        <v>911</v>
      </c>
      <c r="X959" s="85" t="s">
        <v>917</v>
      </c>
      <c r="Y959" s="130">
        <v>3003932012</v>
      </c>
      <c r="Z959" s="85">
        <v>22985</v>
      </c>
      <c r="AA959" s="85" t="s">
        <v>33</v>
      </c>
      <c r="AB959" s="85" t="s">
        <v>1205</v>
      </c>
      <c r="AC959" s="85" t="s">
        <v>529</v>
      </c>
      <c r="AD959" s="85"/>
      <c r="AE959" s="85"/>
      <c r="AF959" s="132">
        <v>388</v>
      </c>
      <c r="AG959" s="85" t="s">
        <v>159</v>
      </c>
      <c r="AH959" s="85" t="s">
        <v>159</v>
      </c>
      <c r="AI959" s="85" t="s">
        <v>523</v>
      </c>
      <c r="AJ959" s="85" t="s">
        <v>159</v>
      </c>
      <c r="AK959" s="85" t="s">
        <v>159</v>
      </c>
      <c r="AL959" s="85" t="s">
        <v>159</v>
      </c>
      <c r="AM959" s="85"/>
      <c r="AN959" s="85"/>
      <c r="AO959" s="85"/>
      <c r="AP959" s="85"/>
      <c r="AQ959" s="216" t="str">
        <f>CONCATENATE("REG-",BDEGENER[[#This Row],[FECHA DE SERVICIO]],"-",BDEGENER[[#This Row],[SERIE]],"-",BDEGENER[[#This Row],[HORAS]])</f>
        <v>REG-43601-3003932012-388</v>
      </c>
      <c r="AR959" s="215" t="str">
        <f>CONCATENATE("MARCA: ",BDEGENER[[#This Row],[MARCA]],"
 MODELO: ",BDEGENER[[#This Row],[MODELO]])</f>
        <v>MARCA: GENERAC
 MODELO: XD5000E</v>
      </c>
      <c r="AS959" s="85" t="str">
        <f>CONCATENATE("MARCA: ",BDEGENER[[#This Row],[MARCA DE MOTOR]],"
SERIE: ",BDEGENER[[#This Row],[SERIE DE MOTOR]])</f>
        <v xml:space="preserve">MARCA: YANMAR
SERIE: </v>
      </c>
      <c r="AT959" s="85" t="str">
        <f>CONCATENATE("MARCA: ",BDEGENER[[#This Row],[MARCA ALTERNADOR ]],"
SERIE: ",BDEGENER[[#This Row],[SERIE DE ALTERNADOR]])</f>
        <v xml:space="preserve">MARCA: 
SERIE: </v>
      </c>
      <c r="AU959" s="85" t="str">
        <f>CONCATENATE("HORAS: ",BDEGENER[[#This Row],[HORAS]],"
KW-HR: ",BDEGENER[[#This Row],[KW-HORA]],"
VOLT.BATERIA: ",BDEGENER[[#This Row],[VOLTAJE DE BATERIA]],"
TEMPERATURA: ",BDEGENER[[#This Row],[TEMPERATURA DE AGUA]],"
PRES. ACEITE: ",BDEGENER[[#This Row],[PRESION DE ACEITE]])</f>
        <v xml:space="preserve">HORAS: 388
KW-HR: 
VOLT.BATERIA: 
TEMPERATURA: 
PRES. ACEITE: </v>
      </c>
      <c r="AV959" s="683">
        <f>COUNTIFS(Q959:Q2959,"MANTENIMIENTO CORRECTIVO",Y959:Y2959,BDEGENER[[#This Row],[SERIE]])</f>
        <v>0</v>
      </c>
      <c r="AW959" s="683">
        <f>COUNTIFS(Q959:Q2959,"MANTENIMIENTO PREVENTIVO",Y959:Y2959,BDEGENER[[#This Row],[SERIE]])</f>
        <v>1</v>
      </c>
      <c r="AX959"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59" s="85">
        <f>COUNTIFS(BDEGENER[SERIE],BDEGENER[[#This Row],[SERIE]],BDEGENER[TIPO DE SERVICIO],"MANTENIMIENTO PREVENTIVO")</f>
        <v>1</v>
      </c>
      <c r="AZ959" s="85" t="str">
        <f>CONCATENATE("MANTENIMIENTO PREVENTIVO N°",BDEGENER[[#This Row],[GA1]])</f>
        <v>MANTENIMIENTO PREVENTIVO N°1</v>
      </c>
      <c r="BA959" s="85">
        <f>IF(BDEGENER[[#This Row],[SERVICIO]]=BDEGENER[[#This Row],[GA2]],BDEGENER[[#This Row],[HORAS]],"0")</f>
        <v>388</v>
      </c>
      <c r="BB959" s="85">
        <f>SUMIF(BDEGENER[SERIE],BDEGENER[[#This Row],[SERIE]],BDEGENER[GA3])</f>
        <v>388</v>
      </c>
      <c r="BC959" s="683" t="str">
        <f>CONCATENATE("MANT",COUNTIF($Y$7:Y959,Y959))</f>
        <v>MANT1</v>
      </c>
      <c r="BD959" s="85" t="str">
        <f>CONCATENATE(BDEGENER[[#This Row],[SERIE]],BDEGENER[[#This Row],[GA5]])</f>
        <v>3003932012MANT1</v>
      </c>
      <c r="BE959" s="85" t="str">
        <f>CONCATENATE(BDEGENER[[#This Row],[CODIGO PATRIMONIAL]],BDEGENER[[#This Row],[GA5]])</f>
        <v>22985MANT1</v>
      </c>
      <c r="BF959" s="129">
        <f>COUNTIF(BDEGENER[SERIE],BDEGENER[[#This Row],[SERIE]])</f>
        <v>2</v>
      </c>
      <c r="BG959" s="683" t="str">
        <f>CONCATENATE("F",COUNTIF($K$7:K959,K959))</f>
        <v>F2</v>
      </c>
      <c r="BH959" s="129" t="str">
        <f>CONCATENATE(BDEGENER[[#This Row],[FECHA DE SERVICIO]],BDEGENER[[#This Row],[N° DE REGISTROS DEL DIA]])</f>
        <v>43601F2</v>
      </c>
      <c r="BI959" s="324"/>
      <c r="BJ959" s="325"/>
      <c r="BK959" s="326"/>
    </row>
    <row r="960" spans="2:63" ht="69" hidden="1" x14ac:dyDescent="0.3">
      <c r="B960" s="223"/>
      <c r="C960" s="223"/>
      <c r="D960" s="223"/>
      <c r="E960" s="223"/>
      <c r="F960" s="223"/>
      <c r="G960" s="223"/>
      <c r="H960" s="223"/>
      <c r="I960" s="223"/>
      <c r="J960" s="223"/>
      <c r="K960" s="723">
        <v>43600</v>
      </c>
      <c r="L960" s="15" t="s">
        <v>181</v>
      </c>
      <c r="M960" s="14" t="s">
        <v>187</v>
      </c>
      <c r="N960" s="14" t="s">
        <v>183</v>
      </c>
      <c r="O960" s="8" t="s">
        <v>159</v>
      </c>
      <c r="P960" s="15" t="s">
        <v>159</v>
      </c>
      <c r="Q960" s="14" t="s">
        <v>109</v>
      </c>
      <c r="R960" s="85" t="s">
        <v>1782</v>
      </c>
      <c r="S960" s="5" t="s">
        <v>1782</v>
      </c>
      <c r="T960" s="14" t="s">
        <v>99</v>
      </c>
      <c r="U960" s="14"/>
      <c r="V960" s="14" t="s">
        <v>152</v>
      </c>
      <c r="W960" s="85" t="s">
        <v>914</v>
      </c>
      <c r="X960" s="85" t="s">
        <v>918</v>
      </c>
      <c r="Y960" s="15">
        <v>3004337428</v>
      </c>
      <c r="Z960" s="14"/>
      <c r="AA960" s="14" t="s">
        <v>33</v>
      </c>
      <c r="AB960" s="85" t="s">
        <v>34</v>
      </c>
      <c r="AC960" s="14" t="s">
        <v>230</v>
      </c>
      <c r="AD960" s="16"/>
      <c r="AE960" s="16"/>
      <c r="AF960" s="12">
        <v>0.6</v>
      </c>
      <c r="AG960" s="16" t="s">
        <v>243</v>
      </c>
      <c r="AH960" s="16" t="s">
        <v>220</v>
      </c>
      <c r="AI960" s="16" t="s">
        <v>33</v>
      </c>
      <c r="AJ960" s="16"/>
      <c r="AK960" s="16" t="s">
        <v>33</v>
      </c>
      <c r="AL960" s="16"/>
      <c r="AM960" s="16"/>
      <c r="AN960" s="16"/>
      <c r="AO960" s="16"/>
      <c r="AP960" s="14" t="s">
        <v>240</v>
      </c>
      <c r="AQ960" s="6" t="str">
        <f>CONCATENATE("REG-",BDEGENER[[#This Row],[FECHA DE SERVICIO]],"-",BDEGENER[[#This Row],[SERIE]],"-",BDEGENER[[#This Row],[HORAS]])</f>
        <v>REG-43600-3004337428-0,6</v>
      </c>
      <c r="AR960" s="5" t="str">
        <f>CONCATENATE("MARCA: ",BDEGENER[[#This Row],[MARCA]],"
 MODELO: ",BDEGENER[[#This Row],[MODELO]])</f>
        <v>MARCA: GENERAC
 MODELO: PG090</v>
      </c>
      <c r="AS960" s="5" t="str">
        <f>CONCATENATE("MARCA: ",BDEGENER[[#This Row],[MARCA DE MOTOR]],"
SERIE: ",BDEGENER[[#This Row],[SERIE DE MOTOR]])</f>
        <v xml:space="preserve">MARCA: GENERAC
SERIE: </v>
      </c>
      <c r="AT960" s="5" t="str">
        <f>CONCATENATE("MARCA: ",BDEGENER[[#This Row],[MARCA ALTERNADOR ]],"
SERIE: ",BDEGENER[[#This Row],[SERIE DE ALTERNADOR]])</f>
        <v xml:space="preserve">MARCA: GENERAC
SERIE: </v>
      </c>
      <c r="AU960" s="5"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960" s="683">
        <f>COUNTIFS(Q960:Q2960,"MANTENIMIENTO CORRECTIVO",Y960:Y2960,BDEGENER[[#This Row],[SERIE]])</f>
        <v>0</v>
      </c>
      <c r="AW960" s="683">
        <f>COUNTIFS(Q960:Q2960,"MANTENIMIENTO PREVENTIVO",Y960:Y2960,BDEGENER[[#This Row],[SERIE]])</f>
        <v>0</v>
      </c>
      <c r="AX96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60" s="29">
        <f>COUNTIFS(BDEGENER[SERIE],BDEGENER[[#This Row],[SERIE]],BDEGENER[TIPO DE SERVICIO],"MANTENIMIENTO PREVENTIVO")</f>
        <v>6</v>
      </c>
      <c r="AZ960" s="29" t="str">
        <f>CONCATENATE("MANTENIMIENTO PREVENTIVO N°",BDEGENER[[#This Row],[GA1]])</f>
        <v>MANTENIMIENTO PREVENTIVO N°6</v>
      </c>
      <c r="BA960" s="325" t="str">
        <f>IF(BDEGENER[[#This Row],[SERVICIO]]=BDEGENER[[#This Row],[GA2]],BDEGENER[[#This Row],[HORAS]],"0")</f>
        <v>0</v>
      </c>
      <c r="BB960" s="325">
        <f>SUMIF(BDEGENER[SERIE],BDEGENER[[#This Row],[SERIE]],BDEGENER[GA3])</f>
        <v>1586.2</v>
      </c>
      <c r="BC960" s="683" t="str">
        <f>CONCATENATE("MANT",COUNTIF($Y$7:Y960,Y960))</f>
        <v>MANT9</v>
      </c>
      <c r="BD960" s="29" t="str">
        <f>CONCATENATE(BDEGENER[[#This Row],[SERIE]],BDEGENER[[#This Row],[GA5]])</f>
        <v>3004337428MANT9</v>
      </c>
      <c r="BE960" s="29" t="str">
        <f>CONCATENATE(BDEGENER[[#This Row],[CODIGO PATRIMONIAL]],BDEGENER[[#This Row],[GA5]])</f>
        <v>MANT9</v>
      </c>
      <c r="BF960" s="16">
        <f>COUNTIF(BDEGENER[SERIE],BDEGENER[[#This Row],[SERIE]])</f>
        <v>9</v>
      </c>
      <c r="BG960" s="683" t="str">
        <f>CONCATENATE("F",COUNTIF($K$7:K960,K960))</f>
        <v>F1</v>
      </c>
      <c r="BH960" s="325" t="str">
        <f>CONCATENATE(BDEGENER[[#This Row],[FECHA DE SERVICIO]],BDEGENER[[#This Row],[N° DE REGISTROS DEL DIA]])</f>
        <v>43600F1</v>
      </c>
      <c r="BI960" s="324"/>
      <c r="BJ960" s="85" t="s">
        <v>1544</v>
      </c>
      <c r="BK960" s="326"/>
    </row>
    <row r="961" spans="2:63" ht="69" hidden="1" x14ac:dyDescent="0.3">
      <c r="B961" s="223"/>
      <c r="C961" s="223"/>
      <c r="D961" s="223"/>
      <c r="E961" s="223"/>
      <c r="F961" s="223"/>
      <c r="G961" s="223"/>
      <c r="H961" s="223"/>
      <c r="I961" s="223"/>
      <c r="J961" s="223"/>
      <c r="K961" s="723">
        <v>43600</v>
      </c>
      <c r="L961" s="15" t="s">
        <v>181</v>
      </c>
      <c r="M961" s="14" t="s">
        <v>187</v>
      </c>
      <c r="N961" s="14" t="s">
        <v>183</v>
      </c>
      <c r="O961" s="8" t="s">
        <v>159</v>
      </c>
      <c r="P961" s="15" t="s">
        <v>159</v>
      </c>
      <c r="Q961" s="14" t="s">
        <v>109</v>
      </c>
      <c r="R961" s="85" t="s">
        <v>1782</v>
      </c>
      <c r="S961" s="5" t="s">
        <v>1782</v>
      </c>
      <c r="T961" s="14" t="s">
        <v>99</v>
      </c>
      <c r="U961" s="14"/>
      <c r="V961" s="14" t="s">
        <v>152</v>
      </c>
      <c r="W961" s="85" t="s">
        <v>914</v>
      </c>
      <c r="X961" s="85" t="s">
        <v>918</v>
      </c>
      <c r="Y961" s="15">
        <v>3004327725</v>
      </c>
      <c r="Z961" s="14"/>
      <c r="AA961" s="14" t="s">
        <v>33</v>
      </c>
      <c r="AB961" s="85" t="s">
        <v>34</v>
      </c>
      <c r="AC961" s="14" t="s">
        <v>230</v>
      </c>
      <c r="AD961" s="16"/>
      <c r="AE961" s="16"/>
      <c r="AF961" s="12">
        <v>0.6</v>
      </c>
      <c r="AG961" s="16" t="s">
        <v>243</v>
      </c>
      <c r="AH961" s="16" t="s">
        <v>220</v>
      </c>
      <c r="AI961" s="16" t="s">
        <v>33</v>
      </c>
      <c r="AJ961" s="85">
        <v>3004333865</v>
      </c>
      <c r="AK961" s="16" t="s">
        <v>33</v>
      </c>
      <c r="AL961" s="85">
        <v>1065020</v>
      </c>
      <c r="AM961" s="16"/>
      <c r="AN961" s="16"/>
      <c r="AO961" s="16"/>
      <c r="AP961" s="14" t="s">
        <v>240</v>
      </c>
      <c r="AQ961" s="6" t="str">
        <f>CONCATENATE("REG-",BDEGENER[[#This Row],[FECHA DE SERVICIO]],"-",BDEGENER[[#This Row],[SERIE]],"-",BDEGENER[[#This Row],[HORAS]])</f>
        <v>REG-43600-3004327725-0,6</v>
      </c>
      <c r="AR961" s="5" t="str">
        <f>CONCATENATE("MARCA: ",BDEGENER[[#This Row],[MARCA]],"
 MODELO: ",BDEGENER[[#This Row],[MODELO]])</f>
        <v>MARCA: GENERAC
 MODELO: PG090</v>
      </c>
      <c r="AS961" s="5" t="str">
        <f>CONCATENATE("MARCA: ",BDEGENER[[#This Row],[MARCA DE MOTOR]],"
SERIE: ",BDEGENER[[#This Row],[SERIE DE MOTOR]])</f>
        <v>MARCA: GENERAC
SERIE: 3004333865</v>
      </c>
      <c r="AT961" s="5" t="str">
        <f>CONCATENATE("MARCA: ",BDEGENER[[#This Row],[MARCA ALTERNADOR ]],"
SERIE: ",BDEGENER[[#This Row],[SERIE DE ALTERNADOR]])</f>
        <v>MARCA: GENERAC
SERIE: 1065020</v>
      </c>
      <c r="AU961" s="5"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961" s="761">
        <f>COUNTIFS(Q961:Q2961,"MANTENIMIENTO CORRECTIVO",Y961:Y2961,BDEGENER[[#This Row],[SERIE]])</f>
        <v>0</v>
      </c>
      <c r="AW961" s="761">
        <f>COUNTIFS(Q961:Q2961,"MANTENIMIENTO PREVENTIVO",Y961:Y2961,BDEGENER[[#This Row],[SERIE]])</f>
        <v>0</v>
      </c>
      <c r="AX96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61" s="29">
        <f>COUNTIFS(BDEGENER[SERIE],BDEGENER[[#This Row],[SERIE]],BDEGENER[TIPO DE SERVICIO],"MANTENIMIENTO PREVENTIVO")</f>
        <v>6</v>
      </c>
      <c r="AZ961" s="29" t="str">
        <f>CONCATENATE("MANTENIMIENTO PREVENTIVO N°",BDEGENER[[#This Row],[GA1]])</f>
        <v>MANTENIMIENTO PREVENTIVO N°6</v>
      </c>
      <c r="BA961" s="325" t="str">
        <f>IF(BDEGENER[[#This Row],[SERVICIO]]=BDEGENER[[#This Row],[GA2]],BDEGENER[[#This Row],[HORAS]],"0")</f>
        <v>0</v>
      </c>
      <c r="BB961" s="325">
        <f>SUMIF(BDEGENER[SERIE],BDEGENER[[#This Row],[SERIE]],BDEGENER[GA3])</f>
        <v>1599.8</v>
      </c>
      <c r="BC961" s="761" t="str">
        <f>CONCATENATE("MANT",COUNTIF($Y$7:Y961,Y961))</f>
        <v>MANT13</v>
      </c>
      <c r="BD961" s="29" t="str">
        <f>CONCATENATE(BDEGENER[[#This Row],[SERIE]],BDEGENER[[#This Row],[GA5]])</f>
        <v>3004327725MANT13</v>
      </c>
      <c r="BE961" s="29" t="str">
        <f>CONCATENATE(BDEGENER[[#This Row],[CODIGO PATRIMONIAL]],BDEGENER[[#This Row],[GA5]])</f>
        <v>MANT13</v>
      </c>
      <c r="BF961" s="16">
        <f>COUNTIF(BDEGENER[SERIE],BDEGENER[[#This Row],[SERIE]])</f>
        <v>13</v>
      </c>
      <c r="BG961" s="761" t="str">
        <f>CONCATENATE("F",COUNTIF($K$7:K961,K961))</f>
        <v>F2</v>
      </c>
      <c r="BH961" s="325" t="str">
        <f>CONCATENATE(BDEGENER[[#This Row],[FECHA DE SERVICIO]],BDEGENER[[#This Row],[N° DE REGISTROS DEL DIA]])</f>
        <v>43600F2</v>
      </c>
      <c r="BI961" s="324"/>
      <c r="BJ961" s="85" t="s">
        <v>1544</v>
      </c>
      <c r="BK961" s="326"/>
    </row>
    <row r="962" spans="2:63" ht="69" hidden="1" x14ac:dyDescent="0.3">
      <c r="B962" s="223"/>
      <c r="C962" s="223"/>
      <c r="D962" s="223"/>
      <c r="E962" s="223"/>
      <c r="F962" s="223"/>
      <c r="G962" s="223"/>
      <c r="H962" s="223"/>
      <c r="I962" s="223"/>
      <c r="J962" s="223"/>
      <c r="K962" s="723">
        <v>43600</v>
      </c>
      <c r="L962" s="15" t="s">
        <v>181</v>
      </c>
      <c r="M962" s="14" t="s">
        <v>187</v>
      </c>
      <c r="N962" s="14" t="s">
        <v>183</v>
      </c>
      <c r="O962" s="8" t="s">
        <v>159</v>
      </c>
      <c r="P962" s="15" t="s">
        <v>159</v>
      </c>
      <c r="Q962" s="14" t="s">
        <v>109</v>
      </c>
      <c r="R962" s="85" t="s">
        <v>1782</v>
      </c>
      <c r="S962" s="5" t="s">
        <v>1782</v>
      </c>
      <c r="T962" s="14" t="s">
        <v>99</v>
      </c>
      <c r="U962" s="14"/>
      <c r="V962" s="14" t="s">
        <v>152</v>
      </c>
      <c r="W962" s="85" t="s">
        <v>914</v>
      </c>
      <c r="X962" s="85" t="s">
        <v>918</v>
      </c>
      <c r="Y962" s="15">
        <v>3004337430</v>
      </c>
      <c r="Z962" s="14"/>
      <c r="AA962" s="14" t="s">
        <v>33</v>
      </c>
      <c r="AB962" s="85" t="s">
        <v>34</v>
      </c>
      <c r="AC962" s="14" t="s">
        <v>230</v>
      </c>
      <c r="AD962" s="16"/>
      <c r="AE962" s="16"/>
      <c r="AF962" s="12">
        <v>0.5</v>
      </c>
      <c r="AG962" s="85" t="s">
        <v>243</v>
      </c>
      <c r="AH962" s="85" t="s">
        <v>220</v>
      </c>
      <c r="AI962" s="85" t="s">
        <v>33</v>
      </c>
      <c r="AJ962" s="16"/>
      <c r="AK962" s="85" t="s">
        <v>33</v>
      </c>
      <c r="AL962" s="16"/>
      <c r="AM962" s="16"/>
      <c r="AN962" s="16"/>
      <c r="AO962" s="16"/>
      <c r="AP962" s="14" t="s">
        <v>240</v>
      </c>
      <c r="AQ962" s="6" t="str">
        <f>CONCATENATE("REG-",BDEGENER[[#This Row],[FECHA DE SERVICIO]],"-",BDEGENER[[#This Row],[SERIE]],"-",BDEGENER[[#This Row],[HORAS]])</f>
        <v>REG-43600-3004337430-0,5</v>
      </c>
      <c r="AR962" s="5" t="str">
        <f>CONCATENATE("MARCA: ",BDEGENER[[#This Row],[MARCA]],"
 MODELO: ",BDEGENER[[#This Row],[MODELO]])</f>
        <v>MARCA: GENERAC
 MODELO: PG090</v>
      </c>
      <c r="AS962" s="5" t="str">
        <f>CONCATENATE("MARCA: ",BDEGENER[[#This Row],[MARCA DE MOTOR]],"
SERIE: ",BDEGENER[[#This Row],[SERIE DE MOTOR]])</f>
        <v xml:space="preserve">MARCA: GENERAC
SERIE: </v>
      </c>
      <c r="AT962" s="5" t="str">
        <f>CONCATENATE("MARCA: ",BDEGENER[[#This Row],[MARCA ALTERNADOR ]],"
SERIE: ",BDEGENER[[#This Row],[SERIE DE ALTERNADOR]])</f>
        <v xml:space="preserve">MARCA: GENERAC
SERIE: </v>
      </c>
      <c r="AU962" s="5" t="str">
        <f>CONCATENATE("HORAS: ",BDEGENER[[#This Row],[HORAS]],"
KW-HR: ",BDEGENER[[#This Row],[KW-HORA]],"
VOLT.BATERIA: ",BDEGENER[[#This Row],[VOLTAJE DE BATERIA]],"
TEMPERATURA: ",BDEGENER[[#This Row],[TEMPERATURA DE AGUA]],"
PRES. ACEITE: ",BDEGENER[[#This Row],[PRESION DE ACEITE]])</f>
        <v xml:space="preserve">HORAS: 0,5
KW-HR: 
VOLT.BATERIA: 
TEMPERATURA: 
PRES. ACEITE: </v>
      </c>
      <c r="AV962" s="683">
        <f>COUNTIFS(Q962:Q2962,"MANTENIMIENTO CORRECTIVO",Y962:Y2962,BDEGENER[[#This Row],[SERIE]])</f>
        <v>0</v>
      </c>
      <c r="AW962" s="683">
        <f>COUNTIFS(Q962:Q2962,"MANTENIMIENTO PREVENTIVO",Y962:Y2962,BDEGENER[[#This Row],[SERIE]])</f>
        <v>0</v>
      </c>
      <c r="AX96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62" s="29">
        <f>COUNTIFS(BDEGENER[SERIE],BDEGENER[[#This Row],[SERIE]],BDEGENER[TIPO DE SERVICIO],"MANTENIMIENTO PREVENTIVO")</f>
        <v>3</v>
      </c>
      <c r="AZ962" s="29" t="str">
        <f>CONCATENATE("MANTENIMIENTO PREVENTIVO N°",BDEGENER[[#This Row],[GA1]])</f>
        <v>MANTENIMIENTO PREVENTIVO N°3</v>
      </c>
      <c r="BA962" s="325" t="str">
        <f>IF(BDEGENER[[#This Row],[SERVICIO]]=BDEGENER[[#This Row],[GA2]],BDEGENER[[#This Row],[HORAS]],"0")</f>
        <v>0</v>
      </c>
      <c r="BB962" s="325">
        <f>SUMIF(BDEGENER[SERIE],BDEGENER[[#This Row],[SERIE]],BDEGENER[GA3])</f>
        <v>596.6</v>
      </c>
      <c r="BC962" s="683" t="str">
        <f>CONCATENATE("MANT",COUNTIF($Y$7:Y962,Y962))</f>
        <v>MANT11</v>
      </c>
      <c r="BD962" s="29" t="str">
        <f>CONCATENATE(BDEGENER[[#This Row],[SERIE]],BDEGENER[[#This Row],[GA5]])</f>
        <v>3004337430MANT11</v>
      </c>
      <c r="BE962" s="29" t="str">
        <f>CONCATENATE(BDEGENER[[#This Row],[CODIGO PATRIMONIAL]],BDEGENER[[#This Row],[GA5]])</f>
        <v>MANT11</v>
      </c>
      <c r="BF962" s="16">
        <f>COUNTIF(BDEGENER[SERIE],BDEGENER[[#This Row],[SERIE]])</f>
        <v>11</v>
      </c>
      <c r="BG962" s="683" t="str">
        <f>CONCATENATE("F",COUNTIF($K$7:K962,K962))</f>
        <v>F3</v>
      </c>
      <c r="BH962" s="325" t="str">
        <f>CONCATENATE(BDEGENER[[#This Row],[FECHA DE SERVICIO]],BDEGENER[[#This Row],[N° DE REGISTROS DEL DIA]])</f>
        <v>43600F3</v>
      </c>
      <c r="BI962" s="324"/>
      <c r="BJ962" s="85" t="s">
        <v>1544</v>
      </c>
      <c r="BK962" s="326"/>
    </row>
    <row r="963" spans="2:63" ht="69" hidden="1" x14ac:dyDescent="0.3">
      <c r="B963" s="223"/>
      <c r="C963" s="223"/>
      <c r="D963" s="223"/>
      <c r="E963" s="223"/>
      <c r="F963" s="223"/>
      <c r="G963" s="223"/>
      <c r="H963" s="223"/>
      <c r="I963" s="223"/>
      <c r="J963" s="223"/>
      <c r="K963" s="723">
        <v>43600</v>
      </c>
      <c r="L963" s="15" t="s">
        <v>181</v>
      </c>
      <c r="M963" s="683" t="s">
        <v>190</v>
      </c>
      <c r="N963" s="683" t="s">
        <v>183</v>
      </c>
      <c r="O963" s="8" t="s">
        <v>159</v>
      </c>
      <c r="P963" s="15" t="s">
        <v>159</v>
      </c>
      <c r="Q963" s="14" t="s">
        <v>109</v>
      </c>
      <c r="R963" s="85" t="s">
        <v>1782</v>
      </c>
      <c r="S963" s="5" t="s">
        <v>1782</v>
      </c>
      <c r="T963" s="14" t="s">
        <v>99</v>
      </c>
      <c r="U963" s="14"/>
      <c r="V963" s="14" t="s">
        <v>152</v>
      </c>
      <c r="W963" s="85" t="s">
        <v>914</v>
      </c>
      <c r="X963" s="85" t="s">
        <v>918</v>
      </c>
      <c r="Y963" s="15">
        <v>3004336196</v>
      </c>
      <c r="Z963" s="14"/>
      <c r="AA963" s="14" t="s">
        <v>33</v>
      </c>
      <c r="AB963" s="85" t="s">
        <v>34</v>
      </c>
      <c r="AC963" s="14" t="s">
        <v>230</v>
      </c>
      <c r="AD963" s="16"/>
      <c r="AE963" s="16"/>
      <c r="AF963" s="12">
        <v>0.5</v>
      </c>
      <c r="AG963" s="85" t="s">
        <v>243</v>
      </c>
      <c r="AH963" s="85" t="s">
        <v>220</v>
      </c>
      <c r="AI963" s="16" t="s">
        <v>33</v>
      </c>
      <c r="AJ963" s="16"/>
      <c r="AK963" s="16" t="s">
        <v>33</v>
      </c>
      <c r="AL963" s="16"/>
      <c r="AM963" s="16"/>
      <c r="AN963" s="16"/>
      <c r="AO963" s="16"/>
      <c r="AP963" s="14" t="s">
        <v>240</v>
      </c>
      <c r="AQ963" s="6" t="str">
        <f>CONCATENATE("REG-",BDEGENER[[#This Row],[FECHA DE SERVICIO]],"-",BDEGENER[[#This Row],[SERIE]],"-",BDEGENER[[#This Row],[HORAS]])</f>
        <v>REG-43600-3004336196-0,5</v>
      </c>
      <c r="AR963" s="5" t="str">
        <f>CONCATENATE("MARCA: ",BDEGENER[[#This Row],[MARCA]],"
 MODELO: ",BDEGENER[[#This Row],[MODELO]])</f>
        <v>MARCA: GENERAC
 MODELO: PG090</v>
      </c>
      <c r="AS963" s="5" t="str">
        <f>CONCATENATE("MARCA: ",BDEGENER[[#This Row],[MARCA DE MOTOR]],"
SERIE: ",BDEGENER[[#This Row],[SERIE DE MOTOR]])</f>
        <v xml:space="preserve">MARCA: GENERAC
SERIE: </v>
      </c>
      <c r="AT963" s="5" t="str">
        <f>CONCATENATE("MARCA: ",BDEGENER[[#This Row],[MARCA ALTERNADOR ]],"
SERIE: ",BDEGENER[[#This Row],[SERIE DE ALTERNADOR]])</f>
        <v xml:space="preserve">MARCA: GENERAC
SERIE: </v>
      </c>
      <c r="AU963" s="5" t="str">
        <f>CONCATENATE("HORAS: ",BDEGENER[[#This Row],[HORAS]],"
KW-HR: ",BDEGENER[[#This Row],[KW-HORA]],"
VOLT.BATERIA: ",BDEGENER[[#This Row],[VOLTAJE DE BATERIA]],"
TEMPERATURA: ",BDEGENER[[#This Row],[TEMPERATURA DE AGUA]],"
PRES. ACEITE: ",BDEGENER[[#This Row],[PRESION DE ACEITE]])</f>
        <v xml:space="preserve">HORAS: 0,5
KW-HR: 
VOLT.BATERIA: 
TEMPERATURA: 
PRES. ACEITE: </v>
      </c>
      <c r="AV963" s="683">
        <f>COUNTIFS(Q963:Q2963,"MANTENIMIENTO CORRECTIVO",Y963:Y2963,BDEGENER[[#This Row],[SERIE]])</f>
        <v>0</v>
      </c>
      <c r="AW963" s="683">
        <f>COUNTIFS(Q963:Q2963,"MANTENIMIENTO PREVENTIVO",Y963:Y2963,BDEGENER[[#This Row],[SERIE]])</f>
        <v>0</v>
      </c>
      <c r="AX96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63" s="29">
        <f>COUNTIFS(BDEGENER[SERIE],BDEGENER[[#This Row],[SERIE]],BDEGENER[TIPO DE SERVICIO],"MANTENIMIENTO PREVENTIVO")</f>
        <v>9</v>
      </c>
      <c r="AZ963" s="29" t="str">
        <f>CONCATENATE("MANTENIMIENTO PREVENTIVO N°",BDEGENER[[#This Row],[GA1]])</f>
        <v>MANTENIMIENTO PREVENTIVO N°9</v>
      </c>
      <c r="BA963" s="325" t="str">
        <f>IF(BDEGENER[[#This Row],[SERVICIO]]=BDEGENER[[#This Row],[GA2]],BDEGENER[[#This Row],[HORAS]],"0")</f>
        <v>0</v>
      </c>
      <c r="BB963" s="325">
        <f>SUMIF(BDEGENER[SERIE],BDEGENER[[#This Row],[SERIE]],BDEGENER[GA3])</f>
        <v>3148.2</v>
      </c>
      <c r="BC963" s="683" t="str">
        <f>CONCATENATE("MANT",COUNTIF($Y$7:Y963,Y963))</f>
        <v>MANT13</v>
      </c>
      <c r="BD963" s="29" t="str">
        <f>CONCATENATE(BDEGENER[[#This Row],[SERIE]],BDEGENER[[#This Row],[GA5]])</f>
        <v>3004336196MANT13</v>
      </c>
      <c r="BE963" s="29" t="str">
        <f>CONCATENATE(BDEGENER[[#This Row],[CODIGO PATRIMONIAL]],BDEGENER[[#This Row],[GA5]])</f>
        <v>MANT13</v>
      </c>
      <c r="BF963" s="16">
        <f>COUNTIF(BDEGENER[SERIE],BDEGENER[[#This Row],[SERIE]])</f>
        <v>13</v>
      </c>
      <c r="BG963" s="683" t="str">
        <f>CONCATENATE("F",COUNTIF($K$7:K963,K963))</f>
        <v>F4</v>
      </c>
      <c r="BH963" s="325" t="str">
        <f>CONCATENATE(BDEGENER[[#This Row],[FECHA DE SERVICIO]],BDEGENER[[#This Row],[N° DE REGISTROS DEL DIA]])</f>
        <v>43600F4</v>
      </c>
      <c r="BI963" s="324"/>
      <c r="BJ963" s="325"/>
      <c r="BK963" s="326"/>
    </row>
    <row r="964" spans="2:63" ht="69" hidden="1" x14ac:dyDescent="0.3">
      <c r="B964" s="223"/>
      <c r="C964" s="223"/>
      <c r="D964" s="223"/>
      <c r="E964" s="223"/>
      <c r="F964" s="223"/>
      <c r="G964" s="223"/>
      <c r="H964" s="223"/>
      <c r="I964" s="223"/>
      <c r="J964" s="223"/>
      <c r="K964" s="723">
        <v>43600</v>
      </c>
      <c r="L964" s="15" t="s">
        <v>181</v>
      </c>
      <c r="M964" s="14" t="s">
        <v>185</v>
      </c>
      <c r="N964" s="14" t="s">
        <v>183</v>
      </c>
      <c r="O964" s="8" t="s">
        <v>159</v>
      </c>
      <c r="P964" s="15" t="s">
        <v>159</v>
      </c>
      <c r="Q964" s="14" t="s">
        <v>109</v>
      </c>
      <c r="R964" s="85" t="s">
        <v>1782</v>
      </c>
      <c r="S964" s="5" t="s">
        <v>1782</v>
      </c>
      <c r="T964" s="14" t="s">
        <v>99</v>
      </c>
      <c r="U964" s="14"/>
      <c r="V964" s="14" t="s">
        <v>152</v>
      </c>
      <c r="W964" s="85" t="s">
        <v>914</v>
      </c>
      <c r="X964" s="85" t="s">
        <v>918</v>
      </c>
      <c r="Y964" s="15">
        <v>3004290366</v>
      </c>
      <c r="Z964" s="14"/>
      <c r="AA964" s="14" t="s">
        <v>33</v>
      </c>
      <c r="AB964" s="85" t="s">
        <v>34</v>
      </c>
      <c r="AC964" s="14" t="s">
        <v>230</v>
      </c>
      <c r="AD964" s="16"/>
      <c r="AE964" s="16"/>
      <c r="AF964" s="12">
        <v>0.6</v>
      </c>
      <c r="AG964" s="16" t="s">
        <v>243</v>
      </c>
      <c r="AH964" s="16" t="s">
        <v>220</v>
      </c>
      <c r="AI964" s="16" t="s">
        <v>33</v>
      </c>
      <c r="AJ964" s="85">
        <v>3004295604</v>
      </c>
      <c r="AK964" s="16" t="s">
        <v>33</v>
      </c>
      <c r="AL964" s="85">
        <v>1063129</v>
      </c>
      <c r="AM964" s="16"/>
      <c r="AN964" s="16"/>
      <c r="AO964" s="16"/>
      <c r="AP964" s="14" t="s">
        <v>240</v>
      </c>
      <c r="AQ964" s="6" t="str">
        <f>CONCATENATE("REG-",BDEGENER[[#This Row],[FECHA DE SERVICIO]],"-",BDEGENER[[#This Row],[SERIE]],"-",BDEGENER[[#This Row],[HORAS]])</f>
        <v>REG-43600-3004290366-0,6</v>
      </c>
      <c r="AR964" s="5" t="str">
        <f>CONCATENATE("MARCA: ",BDEGENER[[#This Row],[MARCA]],"
 MODELO: ",BDEGENER[[#This Row],[MODELO]])</f>
        <v>MARCA: GENERAC
 MODELO: PG090</v>
      </c>
      <c r="AS964" s="5" t="str">
        <f>CONCATENATE("MARCA: ",BDEGENER[[#This Row],[MARCA DE MOTOR]],"
SERIE: ",BDEGENER[[#This Row],[SERIE DE MOTOR]])</f>
        <v>MARCA: GENERAC
SERIE: 3004295604</v>
      </c>
      <c r="AT964" s="5" t="str">
        <f>CONCATENATE("MARCA: ",BDEGENER[[#This Row],[MARCA ALTERNADOR ]],"
SERIE: ",BDEGENER[[#This Row],[SERIE DE ALTERNADOR]])</f>
        <v>MARCA: GENERAC
SERIE: 1063129</v>
      </c>
      <c r="AU964" s="5"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964" s="761">
        <f>COUNTIFS(Q964:Q2964,"MANTENIMIENTO CORRECTIVO",Y964:Y2964,BDEGENER[[#This Row],[SERIE]])</f>
        <v>0</v>
      </c>
      <c r="AW964" s="761">
        <f>COUNTIFS(Q964:Q2964,"MANTENIMIENTO PREVENTIVO",Y964:Y2964,BDEGENER[[#This Row],[SERIE]])</f>
        <v>0</v>
      </c>
      <c r="AX96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64" s="29">
        <f>COUNTIFS(BDEGENER[SERIE],BDEGENER[[#This Row],[SERIE]],BDEGENER[TIPO DE SERVICIO],"MANTENIMIENTO PREVENTIVO")</f>
        <v>7</v>
      </c>
      <c r="AZ964" s="29" t="str">
        <f>CONCATENATE("MANTENIMIENTO PREVENTIVO N°",BDEGENER[[#This Row],[GA1]])</f>
        <v>MANTENIMIENTO PREVENTIVO N°7</v>
      </c>
      <c r="BA964" s="325" t="str">
        <f>IF(BDEGENER[[#This Row],[SERVICIO]]=BDEGENER[[#This Row],[GA2]],BDEGENER[[#This Row],[HORAS]],"0")</f>
        <v>0</v>
      </c>
      <c r="BB964" s="325">
        <f>SUMIF(BDEGENER[SERIE],BDEGENER[[#This Row],[SERIE]],BDEGENER[GA3])</f>
        <v>2629.6</v>
      </c>
      <c r="BC964" s="761" t="str">
        <f>CONCATENATE("MANT",COUNTIF($Y$7:Y964,Y964))</f>
        <v>MANT14</v>
      </c>
      <c r="BD964" s="29" t="str">
        <f>CONCATENATE(BDEGENER[[#This Row],[SERIE]],BDEGENER[[#This Row],[GA5]])</f>
        <v>3004290366MANT14</v>
      </c>
      <c r="BE964" s="29" t="str">
        <f>CONCATENATE(BDEGENER[[#This Row],[CODIGO PATRIMONIAL]],BDEGENER[[#This Row],[GA5]])</f>
        <v>MANT14</v>
      </c>
      <c r="BF964" s="16">
        <f>COUNTIF(BDEGENER[SERIE],BDEGENER[[#This Row],[SERIE]])</f>
        <v>14</v>
      </c>
      <c r="BG964" s="761" t="str">
        <f>CONCATENATE("F",COUNTIF($K$7:K964,K964))</f>
        <v>F5</v>
      </c>
      <c r="BH964" s="325" t="str">
        <f>CONCATENATE(BDEGENER[[#This Row],[FECHA DE SERVICIO]],BDEGENER[[#This Row],[N° DE REGISTROS DEL DIA]])</f>
        <v>43600F5</v>
      </c>
      <c r="BI964" s="324"/>
      <c r="BJ964" s="85" t="s">
        <v>1544</v>
      </c>
      <c r="BK964" s="326"/>
    </row>
    <row r="965" spans="2:63" ht="69" hidden="1" x14ac:dyDescent="0.3">
      <c r="B965" s="223"/>
      <c r="C965" s="223"/>
      <c r="D965" s="223"/>
      <c r="E965" s="223"/>
      <c r="F965" s="223"/>
      <c r="G965" s="223"/>
      <c r="H965" s="223"/>
      <c r="I965" s="223"/>
      <c r="J965" s="223"/>
      <c r="K965" s="723">
        <v>43600</v>
      </c>
      <c r="L965" s="15" t="s">
        <v>181</v>
      </c>
      <c r="M965" s="14" t="s">
        <v>184</v>
      </c>
      <c r="N965" s="14" t="s">
        <v>183</v>
      </c>
      <c r="O965" s="8" t="s">
        <v>159</v>
      </c>
      <c r="P965" s="15" t="s">
        <v>159</v>
      </c>
      <c r="Q965" s="14" t="s">
        <v>109</v>
      </c>
      <c r="R965" s="85" t="s">
        <v>1782</v>
      </c>
      <c r="S965" s="5" t="s">
        <v>1782</v>
      </c>
      <c r="T965" s="14" t="s">
        <v>99</v>
      </c>
      <c r="U965" s="14"/>
      <c r="V965" s="14" t="s">
        <v>152</v>
      </c>
      <c r="W965" s="85" t="s">
        <v>914</v>
      </c>
      <c r="X965" s="85" t="s">
        <v>918</v>
      </c>
      <c r="Y965" s="15">
        <v>3004336197</v>
      </c>
      <c r="Z965" s="14"/>
      <c r="AA965" s="14" t="s">
        <v>33</v>
      </c>
      <c r="AB965" s="85" t="s">
        <v>34</v>
      </c>
      <c r="AC965" s="14" t="s">
        <v>230</v>
      </c>
      <c r="AD965" s="16"/>
      <c r="AE965" s="16"/>
      <c r="AF965" s="12">
        <v>0.6</v>
      </c>
      <c r="AG965" s="16" t="s">
        <v>243</v>
      </c>
      <c r="AH965" s="16" t="s">
        <v>220</v>
      </c>
      <c r="AI965" s="16" t="s">
        <v>33</v>
      </c>
      <c r="AJ965" s="85">
        <v>3004309062</v>
      </c>
      <c r="AK965" s="16" t="s">
        <v>33</v>
      </c>
      <c r="AL965" s="85">
        <v>1065072</v>
      </c>
      <c r="AM965" s="16"/>
      <c r="AN965" s="16"/>
      <c r="AO965" s="16"/>
      <c r="AP965" s="14" t="s">
        <v>240</v>
      </c>
      <c r="AQ965" s="6" t="str">
        <f>CONCATENATE("REG-",BDEGENER[[#This Row],[FECHA DE SERVICIO]],"-",BDEGENER[[#This Row],[SERIE]],"-",BDEGENER[[#This Row],[HORAS]])</f>
        <v>REG-43600-3004336197-0,6</v>
      </c>
      <c r="AR965" s="5" t="str">
        <f>CONCATENATE("MARCA: ",BDEGENER[[#This Row],[MARCA]],"
 MODELO: ",BDEGENER[[#This Row],[MODELO]])</f>
        <v>MARCA: GENERAC
 MODELO: PG090</v>
      </c>
      <c r="AS965" s="5" t="str">
        <f>CONCATENATE("MARCA: ",BDEGENER[[#This Row],[MARCA DE MOTOR]],"
SERIE: ",BDEGENER[[#This Row],[SERIE DE MOTOR]])</f>
        <v>MARCA: GENERAC
SERIE: 3004309062</v>
      </c>
      <c r="AT965" s="5" t="str">
        <f>CONCATENATE("MARCA: ",BDEGENER[[#This Row],[MARCA ALTERNADOR ]],"
SERIE: ",BDEGENER[[#This Row],[SERIE DE ALTERNADOR]])</f>
        <v>MARCA: GENERAC
SERIE: 1065072</v>
      </c>
      <c r="AU965" s="5"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965" s="683">
        <f>COUNTIFS(Q965:Q2965,"MANTENIMIENTO CORRECTIVO",Y965:Y2965,BDEGENER[[#This Row],[SERIE]])</f>
        <v>0</v>
      </c>
      <c r="AW965" s="683">
        <f>COUNTIFS(Q965:Q2965,"MANTENIMIENTO PREVENTIVO",Y965:Y2965,BDEGENER[[#This Row],[SERIE]])</f>
        <v>0</v>
      </c>
      <c r="AX96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65" s="29">
        <f>COUNTIFS(BDEGENER[SERIE],BDEGENER[[#This Row],[SERIE]],BDEGENER[TIPO DE SERVICIO],"MANTENIMIENTO PREVENTIVO")</f>
        <v>9</v>
      </c>
      <c r="AZ965" s="29" t="str">
        <f>CONCATENATE("MANTENIMIENTO PREVENTIVO N°",BDEGENER[[#This Row],[GA1]])</f>
        <v>MANTENIMIENTO PREVENTIVO N°9</v>
      </c>
      <c r="BA965" s="325" t="str">
        <f>IF(BDEGENER[[#This Row],[SERVICIO]]=BDEGENER[[#This Row],[GA2]],BDEGENER[[#This Row],[HORAS]],"0")</f>
        <v>0</v>
      </c>
      <c r="BB965" s="325">
        <f>SUMIF(BDEGENER[SERIE],BDEGENER[[#This Row],[SERIE]],BDEGENER[GA3])</f>
        <v>2922.3</v>
      </c>
      <c r="BC965" s="683" t="str">
        <f>CONCATENATE("MANT",COUNTIF($Y$7:Y965,Y965))</f>
        <v>MANT17</v>
      </c>
      <c r="BD965" s="29" t="str">
        <f>CONCATENATE(BDEGENER[[#This Row],[SERIE]],BDEGENER[[#This Row],[GA5]])</f>
        <v>3004336197MANT17</v>
      </c>
      <c r="BE965" s="29" t="str">
        <f>CONCATENATE(BDEGENER[[#This Row],[CODIGO PATRIMONIAL]],BDEGENER[[#This Row],[GA5]])</f>
        <v>MANT17</v>
      </c>
      <c r="BF965" s="16">
        <f>COUNTIF(BDEGENER[SERIE],BDEGENER[[#This Row],[SERIE]])</f>
        <v>17</v>
      </c>
      <c r="BG965" s="683" t="str">
        <f>CONCATENATE("F",COUNTIF($K$7:K965,K965))</f>
        <v>F6</v>
      </c>
      <c r="BH965" s="325" t="str">
        <f>CONCATENATE(BDEGENER[[#This Row],[FECHA DE SERVICIO]],BDEGENER[[#This Row],[N° DE REGISTROS DEL DIA]])</f>
        <v>43600F6</v>
      </c>
      <c r="BI965" s="324"/>
      <c r="BJ965" s="85" t="s">
        <v>1544</v>
      </c>
      <c r="BK965" s="326"/>
    </row>
    <row r="966" spans="2:63" ht="69" hidden="1" x14ac:dyDescent="0.3">
      <c r="B966" s="223"/>
      <c r="C966" s="223"/>
      <c r="D966" s="223"/>
      <c r="E966" s="223"/>
      <c r="F966" s="223"/>
      <c r="G966" s="223"/>
      <c r="H966" s="223"/>
      <c r="I966" s="223"/>
      <c r="J966" s="223"/>
      <c r="K966" s="723">
        <v>43600</v>
      </c>
      <c r="L966" s="15" t="s">
        <v>181</v>
      </c>
      <c r="M966" s="14" t="s">
        <v>1962</v>
      </c>
      <c r="N966" s="14" t="s">
        <v>183</v>
      </c>
      <c r="O966" s="8" t="s">
        <v>159</v>
      </c>
      <c r="P966" s="15" t="s">
        <v>159</v>
      </c>
      <c r="Q966" s="14" t="s">
        <v>109</v>
      </c>
      <c r="R966" s="85" t="s">
        <v>1782</v>
      </c>
      <c r="S966" s="5" t="s">
        <v>1782</v>
      </c>
      <c r="T966" s="14" t="s">
        <v>99</v>
      </c>
      <c r="U966" s="14"/>
      <c r="V966" s="14" t="s">
        <v>152</v>
      </c>
      <c r="W966" s="85" t="s">
        <v>914</v>
      </c>
      <c r="X966" s="85" t="s">
        <v>918</v>
      </c>
      <c r="Y966" s="15">
        <v>3004381435</v>
      </c>
      <c r="Z966" s="14"/>
      <c r="AA966" s="14" t="s">
        <v>33</v>
      </c>
      <c r="AB966" s="85" t="s">
        <v>34</v>
      </c>
      <c r="AC966" s="14" t="s">
        <v>230</v>
      </c>
      <c r="AD966" s="16"/>
      <c r="AE966" s="16"/>
      <c r="AF966" s="12">
        <v>0.6</v>
      </c>
      <c r="AG966" s="16" t="s">
        <v>243</v>
      </c>
      <c r="AH966" s="16" t="s">
        <v>220</v>
      </c>
      <c r="AI966" s="16" t="s">
        <v>33</v>
      </c>
      <c r="AJ966" s="16"/>
      <c r="AK966" s="16" t="s">
        <v>33</v>
      </c>
      <c r="AL966" s="16"/>
      <c r="AM966" s="16"/>
      <c r="AN966" s="16"/>
      <c r="AO966" s="16"/>
      <c r="AP966" s="14" t="s">
        <v>240</v>
      </c>
      <c r="AQ966" s="6" t="str">
        <f>CONCATENATE("REG-",BDEGENER[[#This Row],[FECHA DE SERVICIO]],"-",BDEGENER[[#This Row],[SERIE]],"-",BDEGENER[[#This Row],[HORAS]])</f>
        <v>REG-43600-3004381435-0,6</v>
      </c>
      <c r="AR966" s="5" t="str">
        <f>CONCATENATE("MARCA: ",BDEGENER[[#This Row],[MARCA]],"
 MODELO: ",BDEGENER[[#This Row],[MODELO]])</f>
        <v>MARCA: GENERAC
 MODELO: PG090</v>
      </c>
      <c r="AS966" s="5" t="str">
        <f>CONCATENATE("MARCA: ",BDEGENER[[#This Row],[MARCA DE MOTOR]],"
SERIE: ",BDEGENER[[#This Row],[SERIE DE MOTOR]])</f>
        <v xml:space="preserve">MARCA: GENERAC
SERIE: </v>
      </c>
      <c r="AT966" s="5" t="str">
        <f>CONCATENATE("MARCA: ",BDEGENER[[#This Row],[MARCA ALTERNADOR ]],"
SERIE: ",BDEGENER[[#This Row],[SERIE DE ALTERNADOR]])</f>
        <v xml:space="preserve">MARCA: GENERAC
SERIE: </v>
      </c>
      <c r="AU966" s="5"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966" s="683">
        <f>COUNTIFS(Q966:Q2966,"MANTENIMIENTO CORRECTIVO",Y966:Y2966,BDEGENER[[#This Row],[SERIE]])</f>
        <v>0</v>
      </c>
      <c r="AW966" s="683">
        <f>COUNTIFS(Q966:Q2966,"MANTENIMIENTO PREVENTIVO",Y966:Y2966,BDEGENER[[#This Row],[SERIE]])</f>
        <v>0</v>
      </c>
      <c r="AX96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66" s="29">
        <f>COUNTIFS(BDEGENER[SERIE],BDEGENER[[#This Row],[SERIE]],BDEGENER[TIPO DE SERVICIO],"MANTENIMIENTO PREVENTIVO")</f>
        <v>8</v>
      </c>
      <c r="AZ966" s="29" t="str">
        <f>CONCATENATE("MANTENIMIENTO PREVENTIVO N°",BDEGENER[[#This Row],[GA1]])</f>
        <v>MANTENIMIENTO PREVENTIVO N°8</v>
      </c>
      <c r="BA966" s="325" t="str">
        <f>IF(BDEGENER[[#This Row],[SERVICIO]]=BDEGENER[[#This Row],[GA2]],BDEGENER[[#This Row],[HORAS]],"0")</f>
        <v>0</v>
      </c>
      <c r="BB966" s="325">
        <f>SUMIF(BDEGENER[SERIE],BDEGENER[[#This Row],[SERIE]],BDEGENER[GA3])</f>
        <v>2141.3000000000002</v>
      </c>
      <c r="BC966" s="683" t="str">
        <f>CONCATENATE("MANT",COUNTIF($Y$7:Y966,Y966))</f>
        <v>MANT13</v>
      </c>
      <c r="BD966" s="29" t="str">
        <f>CONCATENATE(BDEGENER[[#This Row],[SERIE]],BDEGENER[[#This Row],[GA5]])</f>
        <v>3004381435MANT13</v>
      </c>
      <c r="BE966" s="29" t="str">
        <f>CONCATENATE(BDEGENER[[#This Row],[CODIGO PATRIMONIAL]],BDEGENER[[#This Row],[GA5]])</f>
        <v>MANT13</v>
      </c>
      <c r="BF966" s="16">
        <f>COUNTIF(BDEGENER[SERIE],BDEGENER[[#This Row],[SERIE]])</f>
        <v>13</v>
      </c>
      <c r="BG966" s="683" t="str">
        <f>CONCATENATE("F",COUNTIF($K$7:K966,K966))</f>
        <v>F7</v>
      </c>
      <c r="BH966" s="325" t="str">
        <f>CONCATENATE(BDEGENER[[#This Row],[FECHA DE SERVICIO]],BDEGENER[[#This Row],[N° DE REGISTROS DEL DIA]])</f>
        <v>43600F7</v>
      </c>
      <c r="BI966" s="324"/>
      <c r="BJ966" s="325"/>
      <c r="BK966" s="326"/>
    </row>
    <row r="967" spans="2:63" ht="69" hidden="1" x14ac:dyDescent="0.3">
      <c r="B967" s="34"/>
      <c r="C967" s="34"/>
      <c r="D967" s="34"/>
      <c r="E967" s="34"/>
      <c r="F967" s="34"/>
      <c r="G967" s="34"/>
      <c r="H967" s="34"/>
      <c r="I967" s="34"/>
      <c r="J967" s="34"/>
      <c r="K967" s="37">
        <v>43597</v>
      </c>
      <c r="L967" s="30" t="s">
        <v>561</v>
      </c>
      <c r="M967" s="19" t="s">
        <v>585</v>
      </c>
      <c r="N967" s="19" t="s">
        <v>586</v>
      </c>
      <c r="O967" s="19"/>
      <c r="P967" s="19"/>
      <c r="Q967" s="19" t="s">
        <v>37</v>
      </c>
      <c r="R967" s="85" t="s">
        <v>1782</v>
      </c>
      <c r="S967" s="19" t="s">
        <v>42</v>
      </c>
      <c r="T967" s="85" t="s">
        <v>1782</v>
      </c>
      <c r="U967" s="19" t="s">
        <v>704</v>
      </c>
      <c r="V967" s="19" t="s">
        <v>705</v>
      </c>
      <c r="W967" s="85" t="s">
        <v>914</v>
      </c>
      <c r="X967" s="85" t="s">
        <v>918</v>
      </c>
      <c r="Y967" s="31">
        <v>3003963150</v>
      </c>
      <c r="Z967" s="690" t="s">
        <v>2618</v>
      </c>
      <c r="AA967" s="683" t="s">
        <v>33</v>
      </c>
      <c r="AB967" s="85" t="s">
        <v>34</v>
      </c>
      <c r="AC967" s="85" t="s">
        <v>230</v>
      </c>
      <c r="AD967" s="16"/>
      <c r="AE967" s="16"/>
      <c r="AF967" s="146">
        <v>421.6</v>
      </c>
      <c r="AG967" s="16"/>
      <c r="AH967" s="16"/>
      <c r="AI967" s="16"/>
      <c r="AJ967" s="16"/>
      <c r="AK967" s="16"/>
      <c r="AL967" s="16"/>
      <c r="AM967" s="16"/>
      <c r="AN967" s="16"/>
      <c r="AO967" s="16"/>
      <c r="AP967" s="19" t="s">
        <v>240</v>
      </c>
      <c r="AQ967" s="6" t="str">
        <f>CONCATENATE("REG-",BDEGENER[[#This Row],[FECHA DE SERVICIO]],"-",BDEGENER[[#This Row],[SERIE]],"-",BDEGENER[[#This Row],[HORAS]])</f>
        <v>REG-43597-3003963150-421,6</v>
      </c>
      <c r="AR967" s="5" t="str">
        <f>CONCATENATE("MARCA: ",BDEGENER[[#This Row],[MARCA]],"
 MODELO: ",BDEGENER[[#This Row],[MODELO]])</f>
        <v>MARCA: GENERAC
 MODELO: PG090</v>
      </c>
      <c r="AS967" s="5" t="str">
        <f>CONCATENATE("MARCA: ",BDEGENER[[#This Row],[MARCA DE MOTOR]],"
SERIE: ",BDEGENER[[#This Row],[SERIE DE MOTOR]])</f>
        <v xml:space="preserve">MARCA: 
SERIE: </v>
      </c>
      <c r="AT967" s="5" t="str">
        <f>CONCATENATE("MARCA: ",BDEGENER[[#This Row],[MARCA ALTERNADOR ]],"
SERIE: ",BDEGENER[[#This Row],[SERIE DE ALTERNADOR]])</f>
        <v xml:space="preserve">MARCA: 
SERIE: </v>
      </c>
      <c r="AU967" s="29" t="str">
        <f>CONCATENATE("HORAS: ",BDEGENER[[#This Row],[HORAS]],"
KW-HR: ",BDEGENER[[#This Row],[KW-HORA]],"
VOLT.BATERIA: ",BDEGENER[[#This Row],[VOLTAJE DE BATERIA]],"
TEMPERATURA: ",BDEGENER[[#This Row],[TEMPERATURA DE AGUA]],"
PRES. ACEITE: ",BDEGENER[[#This Row],[PRESION DE ACEITE]])</f>
        <v xml:space="preserve">HORAS: 421,6
KW-HR: 
VOLT.BATERIA: 
TEMPERATURA: 
PRES. ACEITE: </v>
      </c>
      <c r="AV967" s="761">
        <f>COUNTIFS(Q967:Q2967,"MANTENIMIENTO CORRECTIVO",Y967:Y2967,BDEGENER[[#This Row],[SERIE]])</f>
        <v>1</v>
      </c>
      <c r="AW967" s="761">
        <f>COUNTIFS(Q967:Q2967,"MANTENIMIENTO PREVENTIVO",Y967:Y2967,BDEGENER[[#This Row],[SERIE]])</f>
        <v>3</v>
      </c>
      <c r="AX96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967" s="29">
        <f>COUNTIFS(BDEGENER[SERIE],BDEGENER[[#This Row],[SERIE]],BDEGENER[TIPO DE SERVICIO],"MANTENIMIENTO PREVENTIVO")</f>
        <v>7</v>
      </c>
      <c r="AZ967" s="29" t="str">
        <f>CONCATENATE("MANTENIMIENTO PREVENTIVO N°",BDEGENER[[#This Row],[GA1]])</f>
        <v>MANTENIMIENTO PREVENTIVO N°7</v>
      </c>
      <c r="BA967" s="325" t="str">
        <f>IF(BDEGENER[[#This Row],[SERVICIO]]=BDEGENER[[#This Row],[GA2]],BDEGENER[[#This Row],[HORAS]],"0")</f>
        <v>0</v>
      </c>
      <c r="BB967" s="325">
        <f>SUMIF(BDEGENER[SERIE],BDEGENER[[#This Row],[SERIE]],BDEGENER[GA3])</f>
        <v>4620.5</v>
      </c>
      <c r="BC967" s="761" t="str">
        <f>CONCATENATE("MANT",COUNTIF($Y$7:Y967,Y967))</f>
        <v>MANT9</v>
      </c>
      <c r="BD967" s="29" t="str">
        <f>CONCATENATE(BDEGENER[[#This Row],[SERIE]],BDEGENER[[#This Row],[GA5]])</f>
        <v>3003963150MANT9</v>
      </c>
      <c r="BE967" s="29" t="str">
        <f>CONCATENATE(BDEGENER[[#This Row],[CODIGO PATRIMONIAL]],BDEGENER[[#This Row],[GA5]])</f>
        <v>NOR-GEG-0020MANT9</v>
      </c>
      <c r="BF967" s="16">
        <f>COUNTIF(BDEGENER[SERIE],BDEGENER[[#This Row],[SERIE]])</f>
        <v>13</v>
      </c>
      <c r="BG967" s="761" t="str">
        <f>CONCATENATE("F",COUNTIF($K$7:K967,K967))</f>
        <v>F1</v>
      </c>
      <c r="BH967" s="325" t="str">
        <f>CONCATENATE(BDEGENER[[#This Row],[FECHA DE SERVICIO]],BDEGENER[[#This Row],[N° DE REGISTROS DEL DIA]])</f>
        <v>43597F1</v>
      </c>
      <c r="BI967" s="324"/>
      <c r="BJ967" s="325"/>
      <c r="BK967" s="326"/>
    </row>
    <row r="968" spans="2:63" ht="69" hidden="1" x14ac:dyDescent="0.3">
      <c r="B968" s="34"/>
      <c r="C968" s="34"/>
      <c r="D968" s="34"/>
      <c r="E968" s="34"/>
      <c r="F968" s="34"/>
      <c r="G968" s="34"/>
      <c r="H968" s="34"/>
      <c r="I968" s="34"/>
      <c r="J968" s="34"/>
      <c r="K968" s="37">
        <v>43597</v>
      </c>
      <c r="L968" s="30" t="s">
        <v>561</v>
      </c>
      <c r="M968" s="19" t="s">
        <v>585</v>
      </c>
      <c r="N968" s="19" t="s">
        <v>586</v>
      </c>
      <c r="O968" s="19"/>
      <c r="P968" s="19"/>
      <c r="Q968" s="19" t="s">
        <v>107</v>
      </c>
      <c r="R968" s="85" t="s">
        <v>1782</v>
      </c>
      <c r="S968" s="19" t="s">
        <v>630</v>
      </c>
      <c r="T968" s="85" t="s">
        <v>1782</v>
      </c>
      <c r="U968" s="19" t="s">
        <v>706</v>
      </c>
      <c r="V968" s="19" t="s">
        <v>149</v>
      </c>
      <c r="W968" s="85" t="s">
        <v>914</v>
      </c>
      <c r="X968" s="85" t="s">
        <v>918</v>
      </c>
      <c r="Y968" s="31">
        <v>3003963150</v>
      </c>
      <c r="Z968" s="690" t="s">
        <v>2618</v>
      </c>
      <c r="AA968" s="683" t="s">
        <v>33</v>
      </c>
      <c r="AB968" s="85" t="s">
        <v>34</v>
      </c>
      <c r="AC968" s="85" t="s">
        <v>230</v>
      </c>
      <c r="AD968" s="16"/>
      <c r="AE968" s="16"/>
      <c r="AF968" s="146">
        <v>421.6</v>
      </c>
      <c r="AG968" s="16"/>
      <c r="AH968" s="16"/>
      <c r="AI968" s="16"/>
      <c r="AJ968" s="16"/>
      <c r="AK968" s="16"/>
      <c r="AL968" s="16"/>
      <c r="AM968" s="16"/>
      <c r="AN968" s="16"/>
      <c r="AO968" s="16"/>
      <c r="AP968" s="19" t="s">
        <v>240</v>
      </c>
      <c r="AQ968" s="6" t="str">
        <f>CONCATENATE("REG-",BDEGENER[[#This Row],[FECHA DE SERVICIO]],"-",BDEGENER[[#This Row],[SERIE]],"-",BDEGENER[[#This Row],[HORAS]])</f>
        <v>REG-43597-3003963150-421,6</v>
      </c>
      <c r="AR968" s="5" t="str">
        <f>CONCATENATE("MARCA: ",BDEGENER[[#This Row],[MARCA]],"
 MODELO: ",BDEGENER[[#This Row],[MODELO]])</f>
        <v>MARCA: GENERAC
 MODELO: PG090</v>
      </c>
      <c r="AS968" s="5" t="str">
        <f>CONCATENATE("MARCA: ",BDEGENER[[#This Row],[MARCA DE MOTOR]],"
SERIE: ",BDEGENER[[#This Row],[SERIE DE MOTOR]])</f>
        <v xml:space="preserve">MARCA: 
SERIE: </v>
      </c>
      <c r="AT968" s="5" t="str">
        <f>CONCATENATE("MARCA: ",BDEGENER[[#This Row],[MARCA ALTERNADOR ]],"
SERIE: ",BDEGENER[[#This Row],[SERIE DE ALTERNADOR]])</f>
        <v xml:space="preserve">MARCA: 
SERIE: </v>
      </c>
      <c r="AU968" s="29" t="str">
        <f>CONCATENATE("HORAS: ",BDEGENER[[#This Row],[HORAS]],"
KW-HR: ",BDEGENER[[#This Row],[KW-HORA]],"
VOLT.BATERIA: ",BDEGENER[[#This Row],[VOLTAJE DE BATERIA]],"
TEMPERATURA: ",BDEGENER[[#This Row],[TEMPERATURA DE AGUA]],"
PRES. ACEITE: ",BDEGENER[[#This Row],[PRESION DE ACEITE]])</f>
        <v xml:space="preserve">HORAS: 421,6
KW-HR: 
VOLT.BATERIA: 
TEMPERATURA: 
PRES. ACEITE: </v>
      </c>
      <c r="AV968" s="683">
        <f>COUNTIFS(Q968:Q2968,"MANTENIMIENTO CORRECTIVO",Y968:Y2968,BDEGENER[[#This Row],[SERIE]])</f>
        <v>1</v>
      </c>
      <c r="AW968" s="683">
        <f>COUNTIFS(Q968:Q2968,"MANTENIMIENTO PREVENTIVO",Y968:Y2968,BDEGENER[[#This Row],[SERIE]])</f>
        <v>2</v>
      </c>
      <c r="AX96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968" s="29">
        <f>COUNTIFS(BDEGENER[SERIE],BDEGENER[[#This Row],[SERIE]],BDEGENER[TIPO DE SERVICIO],"MANTENIMIENTO PREVENTIVO")</f>
        <v>7</v>
      </c>
      <c r="AZ968" s="29" t="str">
        <f>CONCATENATE("MANTENIMIENTO PREVENTIVO N°",BDEGENER[[#This Row],[GA1]])</f>
        <v>MANTENIMIENTO PREVENTIVO N°7</v>
      </c>
      <c r="BA968" s="325" t="str">
        <f>IF(BDEGENER[[#This Row],[SERVICIO]]=BDEGENER[[#This Row],[GA2]],BDEGENER[[#This Row],[HORAS]],"0")</f>
        <v>0</v>
      </c>
      <c r="BB968" s="325">
        <f>SUMIF(BDEGENER[SERIE],BDEGENER[[#This Row],[SERIE]],BDEGENER[GA3])</f>
        <v>4620.5</v>
      </c>
      <c r="BC968" s="683" t="str">
        <f>CONCATENATE("MANT",COUNTIF($Y$7:Y968,Y968))</f>
        <v>MANT10</v>
      </c>
      <c r="BD968" s="29" t="str">
        <f>CONCATENATE(BDEGENER[[#This Row],[SERIE]],BDEGENER[[#This Row],[GA5]])</f>
        <v>3003963150MANT10</v>
      </c>
      <c r="BE968" s="29" t="str">
        <f>CONCATENATE(BDEGENER[[#This Row],[CODIGO PATRIMONIAL]],BDEGENER[[#This Row],[GA5]])</f>
        <v>NOR-GEG-0020MANT10</v>
      </c>
      <c r="BF968" s="16">
        <f>COUNTIF(BDEGENER[SERIE],BDEGENER[[#This Row],[SERIE]])</f>
        <v>13</v>
      </c>
      <c r="BG968" s="683" t="str">
        <f>CONCATENATE("F",COUNTIF($K$7:K968,K968))</f>
        <v>F2</v>
      </c>
      <c r="BH968" s="325" t="str">
        <f>CONCATENATE(BDEGENER[[#This Row],[FECHA DE SERVICIO]],BDEGENER[[#This Row],[N° DE REGISTROS DEL DIA]])</f>
        <v>43597F2</v>
      </c>
      <c r="BI968" s="324"/>
      <c r="BJ968" s="325"/>
      <c r="BK968" s="326"/>
    </row>
    <row r="969" spans="2:63" ht="69" hidden="1" x14ac:dyDescent="0.3">
      <c r="B969" s="34"/>
      <c r="C969" s="34"/>
      <c r="D969" s="34"/>
      <c r="E969" s="34"/>
      <c r="F969" s="34"/>
      <c r="G969" s="34"/>
      <c r="H969" s="34"/>
      <c r="I969" s="34"/>
      <c r="J969" s="34"/>
      <c r="K969" s="37">
        <v>43595</v>
      </c>
      <c r="L969" s="30" t="s">
        <v>561</v>
      </c>
      <c r="M969" s="19" t="s">
        <v>588</v>
      </c>
      <c r="N969" s="19" t="s">
        <v>589</v>
      </c>
      <c r="O969" s="19"/>
      <c r="P969" s="19"/>
      <c r="Q969" s="19" t="s">
        <v>37</v>
      </c>
      <c r="R969" s="85" t="s">
        <v>1782</v>
      </c>
      <c r="S969" s="19" t="s">
        <v>617</v>
      </c>
      <c r="T969" s="85" t="s">
        <v>1782</v>
      </c>
      <c r="U969" s="19" t="s">
        <v>707</v>
      </c>
      <c r="V969" s="19" t="s">
        <v>146</v>
      </c>
      <c r="W969" s="85" t="s">
        <v>914</v>
      </c>
      <c r="X969" s="85" t="s">
        <v>918</v>
      </c>
      <c r="Y969" s="31">
        <v>3003566699</v>
      </c>
      <c r="Z969" s="692" t="s">
        <v>2619</v>
      </c>
      <c r="AA969" s="19" t="s">
        <v>33</v>
      </c>
      <c r="AB969" s="85" t="s">
        <v>34</v>
      </c>
      <c r="AC969" s="19" t="s">
        <v>230</v>
      </c>
      <c r="AD969" s="16"/>
      <c r="AE969" s="16"/>
      <c r="AF969" s="146">
        <v>1561.9</v>
      </c>
      <c r="AG969" s="16" t="s">
        <v>243</v>
      </c>
      <c r="AH969" s="16" t="s">
        <v>244</v>
      </c>
      <c r="AI969" s="16"/>
      <c r="AJ969" s="16"/>
      <c r="AK969" s="16"/>
      <c r="AL969" s="16"/>
      <c r="AM969" s="16"/>
      <c r="AN969" s="16"/>
      <c r="AO969" s="16"/>
      <c r="AP969" s="19" t="s">
        <v>240</v>
      </c>
      <c r="AQ969" s="6" t="str">
        <f>CONCATENATE("REG-",BDEGENER[[#This Row],[FECHA DE SERVICIO]],"-",BDEGENER[[#This Row],[SERIE]],"-",BDEGENER[[#This Row],[HORAS]])</f>
        <v>REG-43595-3003566699-1561,9</v>
      </c>
      <c r="AR969" s="5" t="str">
        <f>CONCATENATE("MARCA: ",BDEGENER[[#This Row],[MARCA]],"
 MODELO: ",BDEGENER[[#This Row],[MODELO]])</f>
        <v>MARCA: GENERAC
 MODELO: PG090</v>
      </c>
      <c r="AS969" s="5" t="str">
        <f>CONCATENATE("MARCA: ",BDEGENER[[#This Row],[MARCA DE MOTOR]],"
SERIE: ",BDEGENER[[#This Row],[SERIE DE MOTOR]])</f>
        <v xml:space="preserve">MARCA: 
SERIE: </v>
      </c>
      <c r="AT969" s="5" t="str">
        <f>CONCATENATE("MARCA: ",BDEGENER[[#This Row],[MARCA ALTERNADOR ]],"
SERIE: ",BDEGENER[[#This Row],[SERIE DE ALTERNADOR]])</f>
        <v xml:space="preserve">MARCA: 
SERIE: </v>
      </c>
      <c r="AU969" s="29" t="str">
        <f>CONCATENATE("HORAS: ",BDEGENER[[#This Row],[HORAS]],"
KW-HR: ",BDEGENER[[#This Row],[KW-HORA]],"
VOLT.BATERIA: ",BDEGENER[[#This Row],[VOLTAJE DE BATERIA]],"
TEMPERATURA: ",BDEGENER[[#This Row],[TEMPERATURA DE AGUA]],"
PRES. ACEITE: ",BDEGENER[[#This Row],[PRESION DE ACEITE]])</f>
        <v xml:space="preserve">HORAS: 1561,9
KW-HR: 
VOLT.BATERIA: 
TEMPERATURA: 
PRES. ACEITE: </v>
      </c>
      <c r="AV969" s="683">
        <f>COUNTIFS(Q969:Q2969,"MANTENIMIENTO CORRECTIVO",Y969:Y2969,BDEGENER[[#This Row],[SERIE]])</f>
        <v>3</v>
      </c>
      <c r="AW969" s="683">
        <f>COUNTIFS(Q969:Q2969,"MANTENIMIENTO PREVENTIVO",Y969:Y2969,BDEGENER[[#This Row],[SERIE]])</f>
        <v>4</v>
      </c>
      <c r="AX96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969" s="29">
        <f>COUNTIFS(BDEGENER[SERIE],BDEGENER[[#This Row],[SERIE]],BDEGENER[TIPO DE SERVICIO],"MANTENIMIENTO PREVENTIVO")</f>
        <v>12</v>
      </c>
      <c r="AZ969" s="29" t="str">
        <f>CONCATENATE("MANTENIMIENTO PREVENTIVO N°",BDEGENER[[#This Row],[GA1]])</f>
        <v>MANTENIMIENTO PREVENTIVO N°12</v>
      </c>
      <c r="BA969" s="325" t="str">
        <f>IF(BDEGENER[[#This Row],[SERVICIO]]=BDEGENER[[#This Row],[GA2]],BDEGENER[[#This Row],[HORAS]],"0")</f>
        <v>0</v>
      </c>
      <c r="BB969" s="325">
        <f>SUMIF(BDEGENER[SERIE],BDEGENER[[#This Row],[SERIE]],BDEGENER[GA3])</f>
        <v>8154.7</v>
      </c>
      <c r="BC969" s="683" t="str">
        <f>CONCATENATE("MANT",COUNTIF($Y$7:Y969,Y969))</f>
        <v>MANT11</v>
      </c>
      <c r="BD969" s="29" t="str">
        <f>CONCATENATE(BDEGENER[[#This Row],[SERIE]],BDEGENER[[#This Row],[GA5]])</f>
        <v>3003566699MANT11</v>
      </c>
      <c r="BE969" s="29" t="str">
        <f>CONCATENATE(BDEGENER[[#This Row],[CODIGO PATRIMONIAL]],BDEGENER[[#This Row],[GA5]])</f>
        <v>NOR-GEG-0021MANT11</v>
      </c>
      <c r="BF969" s="16">
        <f>COUNTIF(BDEGENER[SERIE],BDEGENER[[#This Row],[SERIE]])</f>
        <v>17</v>
      </c>
      <c r="BG969" s="683" t="str">
        <f>CONCATENATE("F",COUNTIF($K$7:K969,K969))</f>
        <v>F1</v>
      </c>
      <c r="BH969" s="325" t="str">
        <f>CONCATENATE(BDEGENER[[#This Row],[FECHA DE SERVICIO]],BDEGENER[[#This Row],[N° DE REGISTROS DEL DIA]])</f>
        <v>43595F1</v>
      </c>
      <c r="BI969" s="324"/>
      <c r="BJ969" s="325"/>
      <c r="BK969" s="326"/>
    </row>
    <row r="970" spans="2:63" ht="69" hidden="1" x14ac:dyDescent="0.3">
      <c r="B970" s="34"/>
      <c r="C970" s="34"/>
      <c r="D970" s="34"/>
      <c r="E970" s="34"/>
      <c r="F970" s="34"/>
      <c r="G970" s="34"/>
      <c r="H970" s="34"/>
      <c r="I970" s="34"/>
      <c r="J970" s="34"/>
      <c r="K970" s="37">
        <v>43593</v>
      </c>
      <c r="L970" s="30" t="s">
        <v>561</v>
      </c>
      <c r="M970" s="19" t="s">
        <v>567</v>
      </c>
      <c r="N970" s="19" t="s">
        <v>568</v>
      </c>
      <c r="O970" s="19"/>
      <c r="P970" s="19"/>
      <c r="Q970" s="19" t="s">
        <v>37</v>
      </c>
      <c r="R970" s="85" t="s">
        <v>1782</v>
      </c>
      <c r="S970" s="19" t="s">
        <v>42</v>
      </c>
      <c r="T970" s="85" t="s">
        <v>1782</v>
      </c>
      <c r="U970" s="19" t="s">
        <v>708</v>
      </c>
      <c r="V970" s="19" t="s">
        <v>332</v>
      </c>
      <c r="W970" s="19"/>
      <c r="X970" s="19"/>
      <c r="Y970" s="31">
        <v>3003415544</v>
      </c>
      <c r="Z970" s="692" t="s">
        <v>2601</v>
      </c>
      <c r="AA970" s="19" t="s">
        <v>33</v>
      </c>
      <c r="AB970" s="19" t="s">
        <v>217</v>
      </c>
      <c r="AC970" s="19" t="s">
        <v>749</v>
      </c>
      <c r="AD970" s="16"/>
      <c r="AE970" s="16"/>
      <c r="AF970" s="146">
        <v>1718.7</v>
      </c>
      <c r="AG970" s="16"/>
      <c r="AH970" s="16"/>
      <c r="AI970" s="16"/>
      <c r="AJ970" s="16"/>
      <c r="AK970" s="16"/>
      <c r="AL970" s="16"/>
      <c r="AM970" s="16"/>
      <c r="AN970" s="16"/>
      <c r="AO970" s="16"/>
      <c r="AP970" s="19" t="s">
        <v>240</v>
      </c>
      <c r="AQ970" s="6" t="str">
        <f>CONCATENATE("REG-",BDEGENER[[#This Row],[FECHA DE SERVICIO]],"-",BDEGENER[[#This Row],[SERIE]],"-",BDEGENER[[#This Row],[HORAS]])</f>
        <v>REG-43593-3003415544-1718,7</v>
      </c>
      <c r="AR970" s="5" t="str">
        <f>CONCATENATE("MARCA: ",BDEGENER[[#This Row],[MARCA]],"
 MODELO: ",BDEGENER[[#This Row],[MODELO]])</f>
        <v>MARCA: GENERAC
 MODELO: RG022</v>
      </c>
      <c r="AS970" s="5" t="str">
        <f>CONCATENATE("MARCA: ",BDEGENER[[#This Row],[MARCA DE MOTOR]],"
SERIE: ",BDEGENER[[#This Row],[SERIE DE MOTOR]])</f>
        <v xml:space="preserve">MARCA: 
SERIE: </v>
      </c>
      <c r="AT970" s="5" t="str">
        <f>CONCATENATE("MARCA: ",BDEGENER[[#This Row],[MARCA ALTERNADOR ]],"
SERIE: ",BDEGENER[[#This Row],[SERIE DE ALTERNADOR]])</f>
        <v xml:space="preserve">MARCA: 
SERIE: </v>
      </c>
      <c r="AU970" s="29" t="str">
        <f>CONCATENATE("HORAS: ",BDEGENER[[#This Row],[HORAS]],"
KW-HR: ",BDEGENER[[#This Row],[KW-HORA]],"
VOLT.BATERIA: ",BDEGENER[[#This Row],[VOLTAJE DE BATERIA]],"
TEMPERATURA: ",BDEGENER[[#This Row],[TEMPERATURA DE AGUA]],"
PRES. ACEITE: ",BDEGENER[[#This Row],[PRESION DE ACEITE]])</f>
        <v xml:space="preserve">HORAS: 1718,7
KW-HR: 
VOLT.BATERIA: 
TEMPERATURA: 
PRES. ACEITE: </v>
      </c>
      <c r="AV970" s="761">
        <f>COUNTIFS(Q970:Q2970,"MANTENIMIENTO CORRECTIVO",Y970:Y2970,BDEGENER[[#This Row],[SERIE]])</f>
        <v>0</v>
      </c>
      <c r="AW970" s="761">
        <f>COUNTIFS(Q970:Q2970,"MANTENIMIENTO PREVENTIVO",Y970:Y2970,BDEGENER[[#This Row],[SERIE]])</f>
        <v>5</v>
      </c>
      <c r="AX97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N°5</v>
      </c>
      <c r="AY970" s="29">
        <f>COUNTIFS(BDEGENER[SERIE],BDEGENER[[#This Row],[SERIE]],BDEGENER[TIPO DE SERVICIO],"MANTENIMIENTO PREVENTIVO")</f>
        <v>9</v>
      </c>
      <c r="AZ970" s="29" t="str">
        <f>CONCATENATE("MANTENIMIENTO PREVENTIVO N°",BDEGENER[[#This Row],[GA1]])</f>
        <v>MANTENIMIENTO PREVENTIVO N°9</v>
      </c>
      <c r="BA970" s="325" t="str">
        <f>IF(BDEGENER[[#This Row],[SERVICIO]]=BDEGENER[[#This Row],[GA2]],BDEGENER[[#This Row],[HORAS]],"0")</f>
        <v>0</v>
      </c>
      <c r="BB970" s="325">
        <f>SUMIF(BDEGENER[SERIE],BDEGENER[[#This Row],[SERIE]],BDEGENER[GA3])</f>
        <v>5449.4</v>
      </c>
      <c r="BC970" s="761" t="str">
        <f>CONCATENATE("MANT",COUNTIF($Y$7:Y970,Y970))</f>
        <v>MANT9</v>
      </c>
      <c r="BD970" s="29" t="str">
        <f>CONCATENATE(BDEGENER[[#This Row],[SERIE]],BDEGENER[[#This Row],[GA5]])</f>
        <v>3003415544MANT9</v>
      </c>
      <c r="BE970" s="29" t="str">
        <f>CONCATENATE(BDEGENER[[#This Row],[CODIGO PATRIMONIAL]],BDEGENER[[#This Row],[GA5]])</f>
        <v>SUR-GEG-0005MANT9</v>
      </c>
      <c r="BF970" s="16">
        <f>COUNTIF(BDEGENER[SERIE],BDEGENER[[#This Row],[SERIE]])</f>
        <v>13</v>
      </c>
      <c r="BG970" s="761" t="str">
        <f>CONCATENATE("F",COUNTIF($K$7:K970,K970))</f>
        <v>F1</v>
      </c>
      <c r="BH970" s="325" t="str">
        <f>CONCATENATE(BDEGENER[[#This Row],[FECHA DE SERVICIO]],BDEGENER[[#This Row],[N° DE REGISTROS DEL DIA]])</f>
        <v>43593F1</v>
      </c>
      <c r="BI970" s="324"/>
      <c r="BJ970" s="325"/>
      <c r="BK970" s="326"/>
    </row>
    <row r="971" spans="2:63" ht="69" hidden="1" x14ac:dyDescent="0.3">
      <c r="B971" s="223"/>
      <c r="C971" s="223"/>
      <c r="D971" s="223"/>
      <c r="E971" s="223"/>
      <c r="F971" s="223"/>
      <c r="G971" s="223"/>
      <c r="H971" s="223"/>
      <c r="I971" s="223"/>
      <c r="J971" s="223"/>
      <c r="K971" s="723">
        <v>43592</v>
      </c>
      <c r="L971" s="15" t="s">
        <v>181</v>
      </c>
      <c r="M971" s="14" t="s">
        <v>200</v>
      </c>
      <c r="N971" s="14" t="s">
        <v>199</v>
      </c>
      <c r="O971" s="8" t="s">
        <v>159</v>
      </c>
      <c r="P971" s="15" t="s">
        <v>159</v>
      </c>
      <c r="Q971" s="14" t="s">
        <v>108</v>
      </c>
      <c r="R971" s="85" t="s">
        <v>1782</v>
      </c>
      <c r="S971" s="5" t="s">
        <v>61</v>
      </c>
      <c r="T971" s="14" t="s">
        <v>101</v>
      </c>
      <c r="U971" s="14" t="s">
        <v>131</v>
      </c>
      <c r="V971" s="14" t="s">
        <v>148</v>
      </c>
      <c r="W971" s="14"/>
      <c r="X971" s="14"/>
      <c r="Y971" s="15" t="s">
        <v>177</v>
      </c>
      <c r="Z971" s="14" t="s">
        <v>224</v>
      </c>
      <c r="AA971" s="14" t="s">
        <v>33</v>
      </c>
      <c r="AB971" s="14" t="s">
        <v>220</v>
      </c>
      <c r="AC971" s="14" t="s">
        <v>235</v>
      </c>
      <c r="AD971" s="16"/>
      <c r="AE971" s="16"/>
      <c r="AF971" s="12">
        <v>9383.6</v>
      </c>
      <c r="AG971" s="16"/>
      <c r="AH971" s="16"/>
      <c r="AI971" s="16"/>
      <c r="AJ971" s="16"/>
      <c r="AK971" s="16"/>
      <c r="AL971" s="16"/>
      <c r="AM971" s="16"/>
      <c r="AN971" s="16"/>
      <c r="AO971" s="16"/>
      <c r="AP971" s="14"/>
      <c r="AQ971" s="127" t="str">
        <f>CONCATENATE("REG-",BDEGENER[[#This Row],[FECHA DE SERVICIO]],"-",BDEGENER[[#This Row],[SERIE]],"-",BDEGENER[[#This Row],[HORAS]])</f>
        <v>REG-43592-NR-9383,6</v>
      </c>
      <c r="AR971" s="5" t="str">
        <f>CONCATENATE("MARCA: ",BDEGENER[[#This Row],[MARCA]],"
 MODELO: ",BDEGENER[[#This Row],[MODELO]])</f>
        <v>MARCA: GENERAC
 MODELO: H100</v>
      </c>
      <c r="AS971" s="5" t="str">
        <f>CONCATENATE("MARCA: ",BDEGENER[[#This Row],[MARCA DE MOTOR]],"
SERIE: ",BDEGENER[[#This Row],[SERIE DE MOTOR]])</f>
        <v xml:space="preserve">MARCA: 
SERIE: </v>
      </c>
      <c r="AT971" s="5" t="str">
        <f>CONCATENATE("MARCA: ",BDEGENER[[#This Row],[MARCA ALTERNADOR ]],"
SERIE: ",BDEGENER[[#This Row],[SERIE DE ALTERNADOR]])</f>
        <v xml:space="preserve">MARCA: 
SERIE: </v>
      </c>
      <c r="AU971" s="5" t="str">
        <f>CONCATENATE("HORAS: ",BDEGENER[[#This Row],[HORAS]],"
KW-HR: ",BDEGENER[[#This Row],[KW-HORA]],"
VOLT.BATERIA: ",BDEGENER[[#This Row],[VOLTAJE DE BATERIA]],"
TEMPERATURA: ",BDEGENER[[#This Row],[TEMPERATURA DE AGUA]],"
PRES. ACEITE: ",BDEGENER[[#This Row],[PRESION DE ACEITE]])</f>
        <v xml:space="preserve">HORAS: 9383,6
KW-HR: 
VOLT.BATERIA: 
TEMPERATURA: 
PRES. ACEITE: </v>
      </c>
      <c r="AV971" s="683">
        <f>COUNTIFS(Q971:Q2971,"MANTENIMIENTO CORRECTIVO",Y971:Y2971,BDEGENER[[#This Row],[SERIE]])</f>
        <v>0</v>
      </c>
      <c r="AW971" s="683">
        <f>COUNTIFS(Q971:Q2971,"MANTENIMIENTO PREVENTIVO",Y971:Y2971,BDEGENER[[#This Row],[SERIE]])</f>
        <v>0</v>
      </c>
      <c r="AX97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971" s="29">
        <f>COUNTIFS(BDEGENER[SERIE],BDEGENER[[#This Row],[SERIE]],BDEGENER[TIPO DE SERVICIO],"MANTENIMIENTO PREVENTIVO")</f>
        <v>0</v>
      </c>
      <c r="AZ971" s="29" t="str">
        <f>CONCATENATE("MANTENIMIENTO PREVENTIVO N°",BDEGENER[[#This Row],[GA1]])</f>
        <v>MANTENIMIENTO PREVENTIVO N°0</v>
      </c>
      <c r="BA971" s="325" t="str">
        <f>IF(BDEGENER[[#This Row],[SERVICIO]]=BDEGENER[[#This Row],[GA2]],BDEGENER[[#This Row],[HORAS]],"0")</f>
        <v>0</v>
      </c>
      <c r="BB971" s="325">
        <f>SUMIF(BDEGENER[SERIE],BDEGENER[[#This Row],[SERIE]],BDEGENER[GA3])</f>
        <v>0</v>
      </c>
      <c r="BC971" s="683" t="str">
        <f>CONCATENATE("MANT",COUNTIF($Y$7:Y971,Y971))</f>
        <v>MANT5</v>
      </c>
      <c r="BD971" s="29" t="str">
        <f>CONCATENATE(BDEGENER[[#This Row],[SERIE]],BDEGENER[[#This Row],[GA5]])</f>
        <v>NRMANT5</v>
      </c>
      <c r="BE971" s="29" t="str">
        <f>CONCATENATE(BDEGENER[[#This Row],[CODIGO PATRIMONIAL]],BDEGENER[[#This Row],[GA5]])</f>
        <v>GEGA01MANT5</v>
      </c>
      <c r="BF971" s="16">
        <f>COUNTIF(BDEGENER[SERIE],BDEGENER[[#This Row],[SERIE]])</f>
        <v>5</v>
      </c>
      <c r="BG971" s="683" t="str">
        <f>CONCATENATE("F",COUNTIF($K$7:K971,K971))</f>
        <v>F1</v>
      </c>
      <c r="BH971" s="325" t="str">
        <f>CONCATENATE(BDEGENER[[#This Row],[FECHA DE SERVICIO]],BDEGENER[[#This Row],[N° DE REGISTROS DEL DIA]])</f>
        <v>43592F1</v>
      </c>
      <c r="BI971" s="324"/>
      <c r="BJ971" s="325"/>
      <c r="BK971" s="326"/>
    </row>
    <row r="972" spans="2:63" ht="69" hidden="1" x14ac:dyDescent="0.3">
      <c r="B972" s="34"/>
      <c r="C972" s="34"/>
      <c r="D972" s="34"/>
      <c r="E972" s="34"/>
      <c r="F972" s="34"/>
      <c r="G972" s="34"/>
      <c r="H972" s="34"/>
      <c r="I972" s="34"/>
      <c r="J972" s="34"/>
      <c r="K972" s="37">
        <v>43592</v>
      </c>
      <c r="L972" s="30" t="s">
        <v>561</v>
      </c>
      <c r="M972" s="19" t="s">
        <v>588</v>
      </c>
      <c r="N972" s="19" t="s">
        <v>589</v>
      </c>
      <c r="O972" s="19"/>
      <c r="P972" s="19"/>
      <c r="Q972" s="19" t="s">
        <v>107</v>
      </c>
      <c r="R972" s="85" t="s">
        <v>1782</v>
      </c>
      <c r="S972" s="19" t="s">
        <v>631</v>
      </c>
      <c r="T972" s="85" t="s">
        <v>1782</v>
      </c>
      <c r="U972" s="19"/>
      <c r="V972" s="19" t="s">
        <v>149</v>
      </c>
      <c r="W972" s="85" t="s">
        <v>914</v>
      </c>
      <c r="X972" s="85" t="s">
        <v>918</v>
      </c>
      <c r="Y972" s="31">
        <v>3003566699</v>
      </c>
      <c r="Z972" s="692" t="s">
        <v>2619</v>
      </c>
      <c r="AA972" s="19" t="s">
        <v>33</v>
      </c>
      <c r="AB972" s="85" t="s">
        <v>34</v>
      </c>
      <c r="AC972" s="19" t="s">
        <v>230</v>
      </c>
      <c r="AD972" s="16"/>
      <c r="AE972" s="16"/>
      <c r="AF972" s="146">
        <v>1517.3</v>
      </c>
      <c r="AG972" s="16" t="s">
        <v>243</v>
      </c>
      <c r="AH972" s="16" t="s">
        <v>244</v>
      </c>
      <c r="AI972" s="16"/>
      <c r="AJ972" s="16"/>
      <c r="AK972" s="16"/>
      <c r="AL972" s="16"/>
      <c r="AM972" s="16"/>
      <c r="AN972" s="16"/>
      <c r="AO972" s="16"/>
      <c r="AP972" s="19" t="s">
        <v>240</v>
      </c>
      <c r="AQ972" s="6" t="str">
        <f>CONCATENATE("REG-",BDEGENER[[#This Row],[FECHA DE SERVICIO]],"-",BDEGENER[[#This Row],[SERIE]],"-",BDEGENER[[#This Row],[HORAS]])</f>
        <v>REG-43592-3003566699-1517,3</v>
      </c>
      <c r="AR972" s="5" t="str">
        <f>CONCATENATE("MARCA: ",BDEGENER[[#This Row],[MARCA]],"
 MODELO: ",BDEGENER[[#This Row],[MODELO]])</f>
        <v>MARCA: GENERAC
 MODELO: PG090</v>
      </c>
      <c r="AS972" s="5" t="str">
        <f>CONCATENATE("MARCA: ",BDEGENER[[#This Row],[MARCA DE MOTOR]],"
SERIE: ",BDEGENER[[#This Row],[SERIE DE MOTOR]])</f>
        <v xml:space="preserve">MARCA: 
SERIE: </v>
      </c>
      <c r="AT972" s="5" t="str">
        <f>CONCATENATE("MARCA: ",BDEGENER[[#This Row],[MARCA ALTERNADOR ]],"
SERIE: ",BDEGENER[[#This Row],[SERIE DE ALTERNADOR]])</f>
        <v xml:space="preserve">MARCA: 
SERIE: </v>
      </c>
      <c r="AU972" s="29" t="str">
        <f>CONCATENATE("HORAS: ",BDEGENER[[#This Row],[HORAS]],"
KW-HR: ",BDEGENER[[#This Row],[KW-HORA]],"
VOLT.BATERIA: ",BDEGENER[[#This Row],[VOLTAJE DE BATERIA]],"
TEMPERATURA: ",BDEGENER[[#This Row],[TEMPERATURA DE AGUA]],"
PRES. ACEITE: ",BDEGENER[[#This Row],[PRESION DE ACEITE]])</f>
        <v xml:space="preserve">HORAS: 1517,3
KW-HR: 
VOLT.BATERIA: 
TEMPERATURA: 
PRES. ACEITE: </v>
      </c>
      <c r="AV972" s="683">
        <f>COUNTIFS(Q972:Q2972,"MANTENIMIENTO CORRECTIVO",Y972:Y2972,BDEGENER[[#This Row],[SERIE]])</f>
        <v>3</v>
      </c>
      <c r="AW972" s="683">
        <f>COUNTIFS(Q972:Q2972,"MANTENIMIENTO PREVENTIVO",Y972:Y2972,BDEGENER[[#This Row],[SERIE]])</f>
        <v>3</v>
      </c>
      <c r="AX97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972" s="29">
        <f>COUNTIFS(BDEGENER[SERIE],BDEGENER[[#This Row],[SERIE]],BDEGENER[TIPO DE SERVICIO],"MANTENIMIENTO PREVENTIVO")</f>
        <v>12</v>
      </c>
      <c r="AZ972" s="29" t="str">
        <f>CONCATENATE("MANTENIMIENTO PREVENTIVO N°",BDEGENER[[#This Row],[GA1]])</f>
        <v>MANTENIMIENTO PREVENTIVO N°12</v>
      </c>
      <c r="BA972" s="325" t="str">
        <f>IF(BDEGENER[[#This Row],[SERVICIO]]=BDEGENER[[#This Row],[GA2]],BDEGENER[[#This Row],[HORAS]],"0")</f>
        <v>0</v>
      </c>
      <c r="BB972" s="325">
        <f>SUMIF(BDEGENER[SERIE],BDEGENER[[#This Row],[SERIE]],BDEGENER[GA3])</f>
        <v>8154.7</v>
      </c>
      <c r="BC972" s="683" t="str">
        <f>CONCATENATE("MANT",COUNTIF($Y$7:Y972,Y972))</f>
        <v>MANT12</v>
      </c>
      <c r="BD972" s="29" t="str">
        <f>CONCATENATE(BDEGENER[[#This Row],[SERIE]],BDEGENER[[#This Row],[GA5]])</f>
        <v>3003566699MANT12</v>
      </c>
      <c r="BE972" s="29" t="str">
        <f>CONCATENATE(BDEGENER[[#This Row],[CODIGO PATRIMONIAL]],BDEGENER[[#This Row],[GA5]])</f>
        <v>NOR-GEG-0021MANT12</v>
      </c>
      <c r="BF972" s="16">
        <f>COUNTIF(BDEGENER[SERIE],BDEGENER[[#This Row],[SERIE]])</f>
        <v>17</v>
      </c>
      <c r="BG972" s="683" t="str">
        <f>CONCATENATE("F",COUNTIF($K$7:K972,K972))</f>
        <v>F2</v>
      </c>
      <c r="BH972" s="325" t="str">
        <f>CONCATENATE(BDEGENER[[#This Row],[FECHA DE SERVICIO]],BDEGENER[[#This Row],[N° DE REGISTROS DEL DIA]])</f>
        <v>43592F2</v>
      </c>
      <c r="BI972" s="324"/>
      <c r="BJ972" s="325"/>
      <c r="BK972" s="326"/>
    </row>
    <row r="973" spans="2:63" ht="69" hidden="1" x14ac:dyDescent="0.3">
      <c r="B973" s="34"/>
      <c r="C973" s="34"/>
      <c r="D973" s="34"/>
      <c r="E973" s="34"/>
      <c r="F973" s="34"/>
      <c r="G973" s="34"/>
      <c r="H973" s="34"/>
      <c r="I973" s="34"/>
      <c r="J973" s="34"/>
      <c r="K973" s="37">
        <v>43587</v>
      </c>
      <c r="L973" s="30" t="s">
        <v>561</v>
      </c>
      <c r="M973" s="19" t="s">
        <v>2450</v>
      </c>
      <c r="N973" s="19" t="s">
        <v>584</v>
      </c>
      <c r="O973" s="19"/>
      <c r="P973" s="19"/>
      <c r="Q973" s="19" t="s">
        <v>37</v>
      </c>
      <c r="R973" s="85" t="s">
        <v>1782</v>
      </c>
      <c r="S973" s="19" t="s">
        <v>42</v>
      </c>
      <c r="T973" s="85" t="s">
        <v>1782</v>
      </c>
      <c r="U973" s="19" t="s">
        <v>709</v>
      </c>
      <c r="V973" s="19" t="s">
        <v>149</v>
      </c>
      <c r="W973" s="683" t="s">
        <v>913</v>
      </c>
      <c r="X973" s="691" t="s">
        <v>918</v>
      </c>
      <c r="Y973" s="31">
        <v>3003987064</v>
      </c>
      <c r="Z973" s="692" t="s">
        <v>2614</v>
      </c>
      <c r="AA973" s="19" t="s">
        <v>33</v>
      </c>
      <c r="AB973" s="19" t="s">
        <v>217</v>
      </c>
      <c r="AC973" s="19" t="s">
        <v>749</v>
      </c>
      <c r="AD973" s="16"/>
      <c r="AE973" s="16"/>
      <c r="AF973" s="146">
        <v>457</v>
      </c>
      <c r="AG973" s="16"/>
      <c r="AH973" s="16"/>
      <c r="AI973" s="16"/>
      <c r="AJ973" s="16"/>
      <c r="AK973" s="16"/>
      <c r="AL973" s="16"/>
      <c r="AM973" s="16"/>
      <c r="AN973" s="16"/>
      <c r="AO973" s="16"/>
      <c r="AP973" s="19" t="s">
        <v>240</v>
      </c>
      <c r="AQ973" s="6" t="str">
        <f>CONCATENATE("REG-",BDEGENER[[#This Row],[FECHA DE SERVICIO]],"-",BDEGENER[[#This Row],[SERIE]],"-",BDEGENER[[#This Row],[HORAS]])</f>
        <v>REG-43587-3003987064-457</v>
      </c>
      <c r="AR973" s="5" t="str">
        <f>CONCATENATE("MARCA: ",BDEGENER[[#This Row],[MARCA]],"
 MODELO: ",BDEGENER[[#This Row],[MODELO]])</f>
        <v>MARCA: GENERAC
 MODELO: RG022</v>
      </c>
      <c r="AS973" s="5" t="str">
        <f>CONCATENATE("MARCA: ",BDEGENER[[#This Row],[MARCA DE MOTOR]],"
SERIE: ",BDEGENER[[#This Row],[SERIE DE MOTOR]])</f>
        <v xml:space="preserve">MARCA: 
SERIE: </v>
      </c>
      <c r="AT973" s="5" t="str">
        <f>CONCATENATE("MARCA: ",BDEGENER[[#This Row],[MARCA ALTERNADOR ]],"
SERIE: ",BDEGENER[[#This Row],[SERIE DE ALTERNADOR]])</f>
        <v xml:space="preserve">MARCA: 
SERIE: </v>
      </c>
      <c r="AU973" s="29" t="str">
        <f>CONCATENATE("HORAS: ",BDEGENER[[#This Row],[HORAS]],"
KW-HR: ",BDEGENER[[#This Row],[KW-HORA]],"
VOLT.BATERIA: ",BDEGENER[[#This Row],[VOLTAJE DE BATERIA]],"
TEMPERATURA: ",BDEGENER[[#This Row],[TEMPERATURA DE AGUA]],"
PRES. ACEITE: ",BDEGENER[[#This Row],[PRESION DE ACEITE]])</f>
        <v xml:space="preserve">HORAS: 457
KW-HR: 
VOLT.BATERIA: 
TEMPERATURA: 
PRES. ACEITE: </v>
      </c>
      <c r="AV973" s="761">
        <f>COUNTIFS(Q973:Q2973,"MANTENIMIENTO CORRECTIVO",Y973:Y2973,BDEGENER[[#This Row],[SERIE]])</f>
        <v>0</v>
      </c>
      <c r="AW973" s="761">
        <f>COUNTIFS(Q973:Q2973,"MANTENIMIENTO PREVENTIVO",Y973:Y2973,BDEGENER[[#This Row],[SERIE]])</f>
        <v>3</v>
      </c>
      <c r="AX97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973" s="29">
        <f>COUNTIFS(BDEGENER[SERIE],BDEGENER[[#This Row],[SERIE]],BDEGENER[TIPO DE SERVICIO],"MANTENIMIENTO PREVENTIVO")</f>
        <v>11</v>
      </c>
      <c r="AZ973" s="29" t="str">
        <f>CONCATENATE("MANTENIMIENTO PREVENTIVO N°",BDEGENER[[#This Row],[GA1]])</f>
        <v>MANTENIMIENTO PREVENTIVO N°11</v>
      </c>
      <c r="BA973" s="325" t="str">
        <f>IF(BDEGENER[[#This Row],[SERVICIO]]=BDEGENER[[#This Row],[GA2]],BDEGENER[[#This Row],[HORAS]],"0")</f>
        <v>0</v>
      </c>
      <c r="BB973" s="325">
        <f>SUMIF(BDEGENER[SERIE],BDEGENER[[#This Row],[SERIE]],BDEGENER[GA3])</f>
        <v>6420.8</v>
      </c>
      <c r="BC973" s="761" t="str">
        <f>CONCATENATE("MANT",COUNTIF($Y$7:Y973,Y973))</f>
        <v>MANT10</v>
      </c>
      <c r="BD973" s="29" t="str">
        <f>CONCATENATE(BDEGENER[[#This Row],[SERIE]],BDEGENER[[#This Row],[GA5]])</f>
        <v>3003987064MANT10</v>
      </c>
      <c r="BE973" s="29" t="str">
        <f>CONCATENATE(BDEGENER[[#This Row],[CODIGO PATRIMONIAL]],BDEGENER[[#This Row],[GA5]])</f>
        <v>NOR-GEG-0016MANT10</v>
      </c>
      <c r="BF973" s="16">
        <f>COUNTIF(BDEGENER[SERIE],BDEGENER[[#This Row],[SERIE]])</f>
        <v>12</v>
      </c>
      <c r="BG973" s="761" t="str">
        <f>CONCATENATE("F",COUNTIF($K$7:K973,K973))</f>
        <v>F1</v>
      </c>
      <c r="BH973" s="325" t="str">
        <f>CONCATENATE(BDEGENER[[#This Row],[FECHA DE SERVICIO]],BDEGENER[[#This Row],[N° DE REGISTROS DEL DIA]])</f>
        <v>43587F1</v>
      </c>
      <c r="BI973" s="324"/>
      <c r="BJ973" s="325"/>
      <c r="BK973" s="326"/>
    </row>
    <row r="974" spans="2:63" ht="69" hidden="1" x14ac:dyDescent="0.3">
      <c r="B974" s="34"/>
      <c r="C974" s="34"/>
      <c r="D974" s="34"/>
      <c r="E974" s="34"/>
      <c r="F974" s="34"/>
      <c r="G974" s="34"/>
      <c r="H974" s="34"/>
      <c r="I974" s="34"/>
      <c r="J974" s="34"/>
      <c r="K974" s="37">
        <v>43587</v>
      </c>
      <c r="L974" s="30" t="s">
        <v>561</v>
      </c>
      <c r="M974" s="19" t="s">
        <v>2452</v>
      </c>
      <c r="N974" s="19" t="s">
        <v>584</v>
      </c>
      <c r="O974" s="19"/>
      <c r="P974" s="19"/>
      <c r="Q974" s="19" t="s">
        <v>37</v>
      </c>
      <c r="R974" s="85" t="s">
        <v>1782</v>
      </c>
      <c r="S974" s="19" t="s">
        <v>42</v>
      </c>
      <c r="T974" s="85" t="s">
        <v>1782</v>
      </c>
      <c r="U974" s="19" t="s">
        <v>710</v>
      </c>
      <c r="V974" s="19" t="s">
        <v>149</v>
      </c>
      <c r="W974" s="85" t="s">
        <v>914</v>
      </c>
      <c r="X974" s="85" t="s">
        <v>918</v>
      </c>
      <c r="Y974" s="31">
        <v>3003566705</v>
      </c>
      <c r="Z974" s="692" t="s">
        <v>2613</v>
      </c>
      <c r="AA974" s="683" t="s">
        <v>33</v>
      </c>
      <c r="AB974" s="85" t="s">
        <v>34</v>
      </c>
      <c r="AC974" s="683" t="s">
        <v>230</v>
      </c>
      <c r="AD974" s="16"/>
      <c r="AE974" s="16"/>
      <c r="AF974" s="146">
        <v>1577.3</v>
      </c>
      <c r="AG974" s="16"/>
      <c r="AH974" s="16"/>
      <c r="AI974" s="16"/>
      <c r="AJ974" s="16"/>
      <c r="AK974" s="16"/>
      <c r="AL974" s="16"/>
      <c r="AM974" s="16"/>
      <c r="AN974" s="16"/>
      <c r="AO974" s="16"/>
      <c r="AP974" s="19" t="s">
        <v>240</v>
      </c>
      <c r="AQ974" s="6" t="str">
        <f>CONCATENATE("REG-",BDEGENER[[#This Row],[FECHA DE SERVICIO]],"-",BDEGENER[[#This Row],[SERIE]],"-",BDEGENER[[#This Row],[HORAS]])</f>
        <v>REG-43587-3003566705-1577,3</v>
      </c>
      <c r="AR974" s="5" t="str">
        <f>CONCATENATE("MARCA: ",BDEGENER[[#This Row],[MARCA]],"
 MODELO: ",BDEGENER[[#This Row],[MODELO]])</f>
        <v>MARCA: GENERAC
 MODELO: PG090</v>
      </c>
      <c r="AS974" s="5" t="str">
        <f>CONCATENATE("MARCA: ",BDEGENER[[#This Row],[MARCA DE MOTOR]],"
SERIE: ",BDEGENER[[#This Row],[SERIE DE MOTOR]])</f>
        <v xml:space="preserve">MARCA: 
SERIE: </v>
      </c>
      <c r="AT974" s="5" t="str">
        <f>CONCATENATE("MARCA: ",BDEGENER[[#This Row],[MARCA ALTERNADOR ]],"
SERIE: ",BDEGENER[[#This Row],[SERIE DE ALTERNADOR]])</f>
        <v xml:space="preserve">MARCA: 
SERIE: </v>
      </c>
      <c r="AU974" s="29" t="str">
        <f>CONCATENATE("HORAS: ",BDEGENER[[#This Row],[HORAS]],"
KW-HR: ",BDEGENER[[#This Row],[KW-HORA]],"
VOLT.BATERIA: ",BDEGENER[[#This Row],[VOLTAJE DE BATERIA]],"
TEMPERATURA: ",BDEGENER[[#This Row],[TEMPERATURA DE AGUA]],"
PRES. ACEITE: ",BDEGENER[[#This Row],[PRESION DE ACEITE]])</f>
        <v xml:space="preserve">HORAS: 1577,3
KW-HR: 
VOLT.BATERIA: 
TEMPERATURA: 
PRES. ACEITE: </v>
      </c>
      <c r="AV974" s="683">
        <f>COUNTIFS(Q974:Q2974,"MANTENIMIENTO CORRECTIVO",Y974:Y2974,BDEGENER[[#This Row],[SERIE]])</f>
        <v>0</v>
      </c>
      <c r="AW974" s="683">
        <f>COUNTIFS(Q974:Q2974,"MANTENIMIENTO PREVENTIVO",Y974:Y2974,BDEGENER[[#This Row],[SERIE]])</f>
        <v>3</v>
      </c>
      <c r="AX97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974" s="29">
        <f>COUNTIFS(BDEGENER[SERIE],BDEGENER[[#This Row],[SERIE]],BDEGENER[TIPO DE SERVICIO],"MANTENIMIENTO PREVENTIVO")</f>
        <v>6</v>
      </c>
      <c r="AZ974" s="29" t="str">
        <f>CONCATENATE("MANTENIMIENTO PREVENTIVO N°",BDEGENER[[#This Row],[GA1]])</f>
        <v>MANTENIMIENTO PREVENTIVO N°6</v>
      </c>
      <c r="BA974" s="325" t="str">
        <f>IF(BDEGENER[[#This Row],[SERVICIO]]=BDEGENER[[#This Row],[GA2]],BDEGENER[[#This Row],[HORAS]],"0")</f>
        <v>0</v>
      </c>
      <c r="BB974" s="325">
        <f>SUMIF(BDEGENER[SERIE],BDEGENER[[#This Row],[SERIE]],BDEGENER[GA3])</f>
        <v>6247.9</v>
      </c>
      <c r="BC974" s="683" t="str">
        <f>CONCATENATE("MANT",COUNTIF($Y$7:Y974,Y974))</f>
        <v>MANT6</v>
      </c>
      <c r="BD974" s="29" t="str">
        <f>CONCATENATE(BDEGENER[[#This Row],[SERIE]],BDEGENER[[#This Row],[GA5]])</f>
        <v>3003566705MANT6</v>
      </c>
      <c r="BE974" s="29" t="str">
        <f>CONCATENATE(BDEGENER[[#This Row],[CODIGO PATRIMONIAL]],BDEGENER[[#This Row],[GA5]])</f>
        <v>NOR-GEG-0015MANT6</v>
      </c>
      <c r="BF974" s="16">
        <f>COUNTIF(BDEGENER[SERIE],BDEGENER[[#This Row],[SERIE]])</f>
        <v>8</v>
      </c>
      <c r="BG974" s="683" t="str">
        <f>CONCATENATE("F",COUNTIF($K$7:K974,K974))</f>
        <v>F2</v>
      </c>
      <c r="BH974" s="325" t="str">
        <f>CONCATENATE(BDEGENER[[#This Row],[FECHA DE SERVICIO]],BDEGENER[[#This Row],[N° DE REGISTROS DEL DIA]])</f>
        <v>43587F2</v>
      </c>
      <c r="BI974" s="324"/>
      <c r="BJ974" s="325"/>
      <c r="BK974" s="326"/>
    </row>
    <row r="975" spans="2:63" ht="69" hidden="1" x14ac:dyDescent="0.3">
      <c r="B975" s="223"/>
      <c r="C975" s="223"/>
      <c r="D975" s="223"/>
      <c r="E975" s="223"/>
      <c r="F975" s="223"/>
      <c r="G975" s="223"/>
      <c r="H975" s="223"/>
      <c r="I975" s="223"/>
      <c r="J975" s="223"/>
      <c r="K975" s="723">
        <v>43584</v>
      </c>
      <c r="L975" s="15" t="s">
        <v>181</v>
      </c>
      <c r="M975" s="14" t="s">
        <v>186</v>
      </c>
      <c r="N975" s="14" t="s">
        <v>946</v>
      </c>
      <c r="O975" s="8" t="s">
        <v>159</v>
      </c>
      <c r="P975" s="15" t="s">
        <v>159</v>
      </c>
      <c r="Q975" s="14" t="s">
        <v>109</v>
      </c>
      <c r="R975" s="85" t="s">
        <v>1782</v>
      </c>
      <c r="S975" s="5" t="s">
        <v>1782</v>
      </c>
      <c r="T975" s="14" t="s">
        <v>102</v>
      </c>
      <c r="U975" s="14"/>
      <c r="V975" s="14" t="s">
        <v>152</v>
      </c>
      <c r="W975" s="85" t="s">
        <v>914</v>
      </c>
      <c r="X975" s="85" t="s">
        <v>918</v>
      </c>
      <c r="Y975" s="15">
        <v>3004327724</v>
      </c>
      <c r="Z975" s="14"/>
      <c r="AA975" s="14" t="s">
        <v>33</v>
      </c>
      <c r="AB975" s="85" t="s">
        <v>34</v>
      </c>
      <c r="AC975" s="14" t="s">
        <v>230</v>
      </c>
      <c r="AD975" s="16"/>
      <c r="AE975" s="16"/>
      <c r="AF975" s="12">
        <v>0.6</v>
      </c>
      <c r="AG975" s="16" t="s">
        <v>243</v>
      </c>
      <c r="AH975" s="16" t="s">
        <v>220</v>
      </c>
      <c r="AI975" s="16" t="s">
        <v>33</v>
      </c>
      <c r="AJ975" s="16">
        <v>3004333872</v>
      </c>
      <c r="AK975" s="16" t="s">
        <v>33</v>
      </c>
      <c r="AL975" s="16"/>
      <c r="AM975" s="16"/>
      <c r="AN975" s="16"/>
      <c r="AO975" s="16"/>
      <c r="AP975" s="14" t="s">
        <v>240</v>
      </c>
      <c r="AQ975" s="6" t="str">
        <f>CONCATENATE("REG-",BDEGENER[[#This Row],[FECHA DE SERVICIO]],"-",BDEGENER[[#This Row],[SERIE]],"-",BDEGENER[[#This Row],[HORAS]])</f>
        <v>REG-43584-3004327724-0,6</v>
      </c>
      <c r="AR975" s="5" t="str">
        <f>CONCATENATE("MARCA: ",BDEGENER[[#This Row],[MARCA]],"
 MODELO: ",BDEGENER[[#This Row],[MODELO]])</f>
        <v>MARCA: GENERAC
 MODELO: PG090</v>
      </c>
      <c r="AS975" s="5" t="str">
        <f>CONCATENATE("MARCA: ",BDEGENER[[#This Row],[MARCA DE MOTOR]],"
SERIE: ",BDEGENER[[#This Row],[SERIE DE MOTOR]])</f>
        <v>MARCA: GENERAC
SERIE: 3004333872</v>
      </c>
      <c r="AT975" s="5" t="str">
        <f>CONCATENATE("MARCA: ",BDEGENER[[#This Row],[MARCA ALTERNADOR ]],"
SERIE: ",BDEGENER[[#This Row],[SERIE DE ALTERNADOR]])</f>
        <v xml:space="preserve">MARCA: GENERAC
SERIE: </v>
      </c>
      <c r="AU975" s="5"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975" s="683">
        <f>COUNTIFS(Q975:Q2975,"MANTENIMIENTO CORRECTIVO",Y975:Y2975,BDEGENER[[#This Row],[SERIE]])</f>
        <v>0</v>
      </c>
      <c r="AW975" s="683">
        <f>COUNTIFS(Q975:Q2975,"MANTENIMIENTO PREVENTIVO",Y975:Y2975,BDEGENER[[#This Row],[SERIE]])</f>
        <v>0</v>
      </c>
      <c r="AX97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75" s="29">
        <f>COUNTIFS(BDEGENER[SERIE],BDEGENER[[#This Row],[SERIE]],BDEGENER[TIPO DE SERVICIO],"MANTENIMIENTO PREVENTIVO")</f>
        <v>8</v>
      </c>
      <c r="AZ975" s="29" t="str">
        <f>CONCATENATE("MANTENIMIENTO PREVENTIVO N°",BDEGENER[[#This Row],[GA1]])</f>
        <v>MANTENIMIENTO PREVENTIVO N°8</v>
      </c>
      <c r="BA975" s="325" t="str">
        <f>IF(BDEGENER[[#This Row],[SERVICIO]]=BDEGENER[[#This Row],[GA2]],BDEGENER[[#This Row],[HORAS]],"0")</f>
        <v>0</v>
      </c>
      <c r="BB975" s="325">
        <f>SUMIF(BDEGENER[SERIE],BDEGENER[[#This Row],[SERIE]],BDEGENER[GA3])</f>
        <v>2271.8000000000002</v>
      </c>
      <c r="BC975" s="683" t="str">
        <f>CONCATENATE("MANT",COUNTIF($Y$7:Y975,Y975))</f>
        <v>MANT17</v>
      </c>
      <c r="BD975" s="29" t="str">
        <f>CONCATENATE(BDEGENER[[#This Row],[SERIE]],BDEGENER[[#This Row],[GA5]])</f>
        <v>3004327724MANT17</v>
      </c>
      <c r="BE975" s="29" t="str">
        <f>CONCATENATE(BDEGENER[[#This Row],[CODIGO PATRIMONIAL]],BDEGENER[[#This Row],[GA5]])</f>
        <v>MANT17</v>
      </c>
      <c r="BF975" s="16">
        <f>COUNTIF(BDEGENER[SERIE],BDEGENER[[#This Row],[SERIE]])</f>
        <v>17</v>
      </c>
      <c r="BG975" s="683" t="str">
        <f>CONCATENATE("F",COUNTIF($K$7:K975,K975))</f>
        <v>F1</v>
      </c>
      <c r="BH975" s="325" t="str">
        <f>CONCATENATE(BDEGENER[[#This Row],[FECHA DE SERVICIO]],BDEGENER[[#This Row],[N° DE REGISTROS DEL DIA]])</f>
        <v>43584F1</v>
      </c>
      <c r="BI975" s="324"/>
      <c r="BJ975" s="85" t="s">
        <v>1544</v>
      </c>
      <c r="BK975" s="326"/>
    </row>
    <row r="976" spans="2:63" ht="69" hidden="1" x14ac:dyDescent="0.3">
      <c r="B976" s="223"/>
      <c r="C976" s="223"/>
      <c r="D976" s="223"/>
      <c r="E976" s="223"/>
      <c r="F976" s="223"/>
      <c r="G976" s="223"/>
      <c r="H976" s="223"/>
      <c r="I976" s="223"/>
      <c r="J976" s="223"/>
      <c r="K976" s="723">
        <v>43584</v>
      </c>
      <c r="L976" s="15" t="s">
        <v>181</v>
      </c>
      <c r="M976" s="14" t="s">
        <v>186</v>
      </c>
      <c r="N976" s="14" t="s">
        <v>946</v>
      </c>
      <c r="O976" s="8" t="s">
        <v>159</v>
      </c>
      <c r="P976" s="15" t="s">
        <v>159</v>
      </c>
      <c r="Q976" s="14" t="s">
        <v>109</v>
      </c>
      <c r="R976" s="85" t="s">
        <v>1782</v>
      </c>
      <c r="S976" s="5" t="s">
        <v>1782</v>
      </c>
      <c r="T976" s="14" t="s">
        <v>102</v>
      </c>
      <c r="U976" s="14"/>
      <c r="V976" s="14" t="s">
        <v>152</v>
      </c>
      <c r="W976" s="85" t="s">
        <v>914</v>
      </c>
      <c r="X976" s="85" t="s">
        <v>918</v>
      </c>
      <c r="Y976" s="15">
        <v>3004327722</v>
      </c>
      <c r="Z976" s="14"/>
      <c r="AA976" s="14" t="s">
        <v>33</v>
      </c>
      <c r="AB976" s="85" t="s">
        <v>34</v>
      </c>
      <c r="AC976" s="14" t="s">
        <v>230</v>
      </c>
      <c r="AD976" s="16"/>
      <c r="AE976" s="16"/>
      <c r="AF976" s="12">
        <v>0.5</v>
      </c>
      <c r="AG976" s="16" t="s">
        <v>243</v>
      </c>
      <c r="AH976" s="16" t="s">
        <v>220</v>
      </c>
      <c r="AI976" s="16" t="s">
        <v>33</v>
      </c>
      <c r="AJ976" s="16">
        <v>3004346816</v>
      </c>
      <c r="AK976" s="16" t="s">
        <v>33</v>
      </c>
      <c r="AL976" s="16"/>
      <c r="AM976" s="16"/>
      <c r="AN976" s="16"/>
      <c r="AO976" s="16"/>
      <c r="AP976" s="14" t="s">
        <v>240</v>
      </c>
      <c r="AQ976" s="6" t="str">
        <f>CONCATENATE("REG-",BDEGENER[[#This Row],[FECHA DE SERVICIO]],"-",BDEGENER[[#This Row],[SERIE]],"-",BDEGENER[[#This Row],[HORAS]])</f>
        <v>REG-43584-3004327722-0,5</v>
      </c>
      <c r="AR976" s="6" t="str">
        <f>CONCATENATE("MARCA: ",BDEGENER[[#This Row],[MARCA]],"
 MODELO: ",BDEGENER[[#This Row],[MODELO]])</f>
        <v>MARCA: GENERAC
 MODELO: PG090</v>
      </c>
      <c r="AS976" s="6" t="str">
        <f>CONCATENATE("MARCA: ",BDEGENER[[#This Row],[MARCA DE MOTOR]],"
SERIE: ",BDEGENER[[#This Row],[SERIE DE MOTOR]])</f>
        <v>MARCA: GENERAC
SERIE: 3004346816</v>
      </c>
      <c r="AT976" s="6" t="str">
        <f>CONCATENATE("MARCA: ",BDEGENER[[#This Row],[MARCA ALTERNADOR ]],"
SERIE: ",BDEGENER[[#This Row],[SERIE DE ALTERNADOR]])</f>
        <v xml:space="preserve">MARCA: GENERAC
SERIE: </v>
      </c>
      <c r="AU976" s="6" t="str">
        <f>CONCATENATE("HORAS: ",BDEGENER[[#This Row],[HORAS]],"
KW-HR: ",BDEGENER[[#This Row],[KW-HORA]],"
VOLT.BATERIA: ",BDEGENER[[#This Row],[VOLTAJE DE BATERIA]],"
TEMPERATURA: ",BDEGENER[[#This Row],[TEMPERATURA DE AGUA]],"
PRES. ACEITE: ",BDEGENER[[#This Row],[PRESION DE ACEITE]])</f>
        <v xml:space="preserve">HORAS: 0,5
KW-HR: 
VOLT.BATERIA: 
TEMPERATURA: 
PRES. ACEITE: </v>
      </c>
      <c r="AV976" s="761">
        <f>COUNTIFS(Q976:Q2976,"MANTENIMIENTO CORRECTIVO",Y976:Y2976,BDEGENER[[#This Row],[SERIE]])</f>
        <v>0</v>
      </c>
      <c r="AW976" s="761">
        <f>COUNTIFS(Q976:Q2976,"MANTENIMIENTO PREVENTIVO",Y976:Y2976,BDEGENER[[#This Row],[SERIE]])</f>
        <v>0</v>
      </c>
      <c r="AX976"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76" s="325">
        <f>COUNTIFS(BDEGENER[SERIE],BDEGENER[[#This Row],[SERIE]],BDEGENER[TIPO DE SERVICIO],"MANTENIMIENTO PREVENTIVO")</f>
        <v>8</v>
      </c>
      <c r="AZ976" s="325" t="str">
        <f>CONCATENATE("MANTENIMIENTO PREVENTIVO N°",BDEGENER[[#This Row],[GA1]])</f>
        <v>MANTENIMIENTO PREVENTIVO N°8</v>
      </c>
      <c r="BA976" s="325" t="str">
        <f>IF(BDEGENER[[#This Row],[SERVICIO]]=BDEGENER[[#This Row],[GA2]],BDEGENER[[#This Row],[HORAS]],"0")</f>
        <v>0</v>
      </c>
      <c r="BB976" s="325">
        <f>SUMIF(BDEGENER[SERIE],BDEGENER[[#This Row],[SERIE]],BDEGENER[GA3])</f>
        <v>2102.5</v>
      </c>
      <c r="BC976" s="761" t="str">
        <f>CONCATENATE("MANT",COUNTIF($Y$7:Y976,Y976))</f>
        <v>MANT10</v>
      </c>
      <c r="BD976" s="325" t="str">
        <f>CONCATENATE(BDEGENER[[#This Row],[SERIE]],BDEGENER[[#This Row],[GA5]])</f>
        <v>3004327722MANT10</v>
      </c>
      <c r="BE976" s="325" t="str">
        <f>CONCATENATE(BDEGENER[[#This Row],[CODIGO PATRIMONIAL]],BDEGENER[[#This Row],[GA5]])</f>
        <v>MANT10</v>
      </c>
      <c r="BF976" s="16">
        <f>COUNTIF(BDEGENER[SERIE],BDEGENER[[#This Row],[SERIE]])</f>
        <v>10</v>
      </c>
      <c r="BG976" s="761" t="str">
        <f>CONCATENATE("F",COUNTIF($K$7:K976,K976))</f>
        <v>F2</v>
      </c>
      <c r="BH976" s="325" t="str">
        <f>CONCATENATE(BDEGENER[[#This Row],[FECHA DE SERVICIO]],BDEGENER[[#This Row],[N° DE REGISTROS DEL DIA]])</f>
        <v>43584F2</v>
      </c>
      <c r="BI976" s="326"/>
      <c r="BJ976" s="85" t="s">
        <v>1544</v>
      </c>
      <c r="BK976" s="326"/>
    </row>
    <row r="977" spans="2:63" ht="69" hidden="1" x14ac:dyDescent="0.3">
      <c r="B977" s="223"/>
      <c r="C977" s="223"/>
      <c r="D977" s="223"/>
      <c r="E977" s="223"/>
      <c r="F977" s="223"/>
      <c r="G977" s="223"/>
      <c r="H977" s="223"/>
      <c r="I977" s="223"/>
      <c r="J977" s="223"/>
      <c r="K977" s="723">
        <v>43584</v>
      </c>
      <c r="L977" s="15" t="s">
        <v>181</v>
      </c>
      <c r="M977" s="14" t="s">
        <v>189</v>
      </c>
      <c r="N977" s="14" t="s">
        <v>946</v>
      </c>
      <c r="O977" s="8" t="s">
        <v>159</v>
      </c>
      <c r="P977" s="15" t="s">
        <v>159</v>
      </c>
      <c r="Q977" s="14" t="s">
        <v>109</v>
      </c>
      <c r="R977" s="85" t="s">
        <v>1782</v>
      </c>
      <c r="S977" s="5" t="s">
        <v>1782</v>
      </c>
      <c r="T977" s="14" t="s">
        <v>102</v>
      </c>
      <c r="U977" s="14"/>
      <c r="V977" s="14" t="s">
        <v>152</v>
      </c>
      <c r="W977" s="85" t="s">
        <v>914</v>
      </c>
      <c r="X977" s="85" t="s">
        <v>918</v>
      </c>
      <c r="Y977" s="15">
        <v>3004331709</v>
      </c>
      <c r="Z977" s="14"/>
      <c r="AA977" s="14" t="s">
        <v>33</v>
      </c>
      <c r="AB977" s="85" t="s">
        <v>34</v>
      </c>
      <c r="AC977" s="14" t="s">
        <v>230</v>
      </c>
      <c r="AD977" s="16"/>
      <c r="AE977" s="16"/>
      <c r="AF977" s="12">
        <v>0.7</v>
      </c>
      <c r="AG977" s="16" t="s">
        <v>243</v>
      </c>
      <c r="AH977" s="16" t="s">
        <v>220</v>
      </c>
      <c r="AI977" s="16" t="s">
        <v>33</v>
      </c>
      <c r="AJ977" s="16"/>
      <c r="AK977" s="16" t="s">
        <v>33</v>
      </c>
      <c r="AL977" s="85">
        <v>106302870</v>
      </c>
      <c r="AM977" s="16"/>
      <c r="AN977" s="16"/>
      <c r="AO977" s="16"/>
      <c r="AP977" s="14" t="s">
        <v>240</v>
      </c>
      <c r="AQ977" s="6" t="str">
        <f>CONCATENATE("REG-",BDEGENER[[#This Row],[FECHA DE SERVICIO]],"-",BDEGENER[[#This Row],[SERIE]],"-",BDEGENER[[#This Row],[HORAS]])</f>
        <v>REG-43584-3004331709-0,7</v>
      </c>
      <c r="AR977" s="5" t="str">
        <f>CONCATENATE("MARCA: ",BDEGENER[[#This Row],[MARCA]],"
 MODELO: ",BDEGENER[[#This Row],[MODELO]])</f>
        <v>MARCA: GENERAC
 MODELO: PG090</v>
      </c>
      <c r="AS977" s="5" t="str">
        <f>CONCATENATE("MARCA: ",BDEGENER[[#This Row],[MARCA DE MOTOR]],"
SERIE: ",BDEGENER[[#This Row],[SERIE DE MOTOR]])</f>
        <v xml:space="preserve">MARCA: GENERAC
SERIE: </v>
      </c>
      <c r="AT977" s="5" t="str">
        <f>CONCATENATE("MARCA: ",BDEGENER[[#This Row],[MARCA ALTERNADOR ]],"
SERIE: ",BDEGENER[[#This Row],[SERIE DE ALTERNADOR]])</f>
        <v>MARCA: GENERAC
SERIE: 106302870</v>
      </c>
      <c r="AU977" s="5" t="str">
        <f>CONCATENATE("HORAS: ",BDEGENER[[#This Row],[HORAS]],"
KW-HR: ",BDEGENER[[#This Row],[KW-HORA]],"
VOLT.BATERIA: ",BDEGENER[[#This Row],[VOLTAJE DE BATERIA]],"
TEMPERATURA: ",BDEGENER[[#This Row],[TEMPERATURA DE AGUA]],"
PRES. ACEITE: ",BDEGENER[[#This Row],[PRESION DE ACEITE]])</f>
        <v xml:space="preserve">HORAS: 0,7
KW-HR: 
VOLT.BATERIA: 
TEMPERATURA: 
PRES. ACEITE: </v>
      </c>
      <c r="AV977" s="683">
        <f>COUNTIFS(Q977:Q2977,"MANTENIMIENTO CORRECTIVO",Y977:Y2977,BDEGENER[[#This Row],[SERIE]])</f>
        <v>0</v>
      </c>
      <c r="AW977" s="683">
        <f>COUNTIFS(Q977:Q2977,"MANTENIMIENTO PREVENTIVO",Y977:Y2977,BDEGENER[[#This Row],[SERIE]])</f>
        <v>0</v>
      </c>
      <c r="AX97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77" s="29">
        <f>COUNTIFS(BDEGENER[SERIE],BDEGENER[[#This Row],[SERIE]],BDEGENER[TIPO DE SERVICIO],"MANTENIMIENTO PREVENTIVO")</f>
        <v>7</v>
      </c>
      <c r="AZ977" s="29" t="str">
        <f>CONCATENATE("MANTENIMIENTO PREVENTIVO N°",BDEGENER[[#This Row],[GA1]])</f>
        <v>MANTENIMIENTO PREVENTIVO N°7</v>
      </c>
      <c r="BA977" s="325" t="str">
        <f>IF(BDEGENER[[#This Row],[SERVICIO]]=BDEGENER[[#This Row],[GA2]],BDEGENER[[#This Row],[HORAS]],"0")</f>
        <v>0</v>
      </c>
      <c r="BB977" s="325">
        <f>SUMIF(BDEGENER[SERIE],BDEGENER[[#This Row],[SERIE]],BDEGENER[GA3])</f>
        <v>2248.5</v>
      </c>
      <c r="BC977" s="683" t="str">
        <f>CONCATENATE("MANT",COUNTIF($Y$7:Y977,Y977))</f>
        <v>MANT11</v>
      </c>
      <c r="BD977" s="29" t="str">
        <f>CONCATENATE(BDEGENER[[#This Row],[SERIE]],BDEGENER[[#This Row],[GA5]])</f>
        <v>3004331709MANT11</v>
      </c>
      <c r="BE977" s="29" t="str">
        <f>CONCATENATE(BDEGENER[[#This Row],[CODIGO PATRIMONIAL]],BDEGENER[[#This Row],[GA5]])</f>
        <v>MANT11</v>
      </c>
      <c r="BF977" s="16">
        <f>COUNTIF(BDEGENER[SERIE],BDEGENER[[#This Row],[SERIE]])</f>
        <v>11</v>
      </c>
      <c r="BG977" s="683" t="str">
        <f>CONCATENATE("F",COUNTIF($K$7:K977,K977))</f>
        <v>F3</v>
      </c>
      <c r="BH977" s="325" t="str">
        <f>CONCATENATE(BDEGENER[[#This Row],[FECHA DE SERVICIO]],BDEGENER[[#This Row],[N° DE REGISTROS DEL DIA]])</f>
        <v>43584F3</v>
      </c>
      <c r="BI977" s="324"/>
      <c r="BJ977" s="85" t="s">
        <v>1544</v>
      </c>
      <c r="BK977" s="326"/>
    </row>
    <row r="978" spans="2:63" ht="69" hidden="1" x14ac:dyDescent="0.3">
      <c r="B978" s="223"/>
      <c r="C978" s="223"/>
      <c r="D978" s="223"/>
      <c r="E978" s="223"/>
      <c r="F978" s="223"/>
      <c r="G978" s="223"/>
      <c r="H978" s="223"/>
      <c r="I978" s="223"/>
      <c r="J978" s="223"/>
      <c r="K978" s="723">
        <v>43584</v>
      </c>
      <c r="L978" s="15" t="s">
        <v>181</v>
      </c>
      <c r="M978" s="14" t="s">
        <v>189</v>
      </c>
      <c r="N978" s="14" t="s">
        <v>946</v>
      </c>
      <c r="O978" s="8" t="s">
        <v>159</v>
      </c>
      <c r="P978" s="15" t="s">
        <v>159</v>
      </c>
      <c r="Q978" s="14" t="s">
        <v>109</v>
      </c>
      <c r="R978" s="85" t="s">
        <v>1782</v>
      </c>
      <c r="S978" s="5" t="s">
        <v>1782</v>
      </c>
      <c r="T978" s="14" t="s">
        <v>102</v>
      </c>
      <c r="U978" s="14"/>
      <c r="V978" s="14" t="s">
        <v>152</v>
      </c>
      <c r="W978" s="85" t="s">
        <v>914</v>
      </c>
      <c r="X978" s="85" t="s">
        <v>918</v>
      </c>
      <c r="Y978" s="15">
        <v>3004331705</v>
      </c>
      <c r="Z978" s="14"/>
      <c r="AA978" s="14" t="s">
        <v>33</v>
      </c>
      <c r="AB978" s="85" t="s">
        <v>34</v>
      </c>
      <c r="AC978" s="14" t="s">
        <v>230</v>
      </c>
      <c r="AD978" s="16"/>
      <c r="AE978" s="16"/>
      <c r="AF978" s="12">
        <v>0.7</v>
      </c>
      <c r="AG978" s="16" t="s">
        <v>243</v>
      </c>
      <c r="AH978" s="16" t="s">
        <v>220</v>
      </c>
      <c r="AI978" s="16" t="s">
        <v>33</v>
      </c>
      <c r="AJ978" s="85">
        <v>3004333867</v>
      </c>
      <c r="AK978" s="16" t="s">
        <v>33</v>
      </c>
      <c r="AL978" s="722"/>
      <c r="AM978" s="16"/>
      <c r="AN978" s="16"/>
      <c r="AO978" s="16"/>
      <c r="AP978" s="14" t="s">
        <v>240</v>
      </c>
      <c r="AQ978" s="6" t="str">
        <f>CONCATENATE("REG-",BDEGENER[[#This Row],[FECHA DE SERVICIO]],"-",BDEGENER[[#This Row],[SERIE]],"-",BDEGENER[[#This Row],[HORAS]])</f>
        <v>REG-43584-3004331705-0,7</v>
      </c>
      <c r="AR978" s="5" t="str">
        <f>CONCATENATE("MARCA: ",BDEGENER[[#This Row],[MARCA]],"
 MODELO: ",BDEGENER[[#This Row],[MODELO]])</f>
        <v>MARCA: GENERAC
 MODELO: PG090</v>
      </c>
      <c r="AS978" s="5" t="str">
        <f>CONCATENATE("MARCA: ",BDEGENER[[#This Row],[MARCA DE MOTOR]],"
SERIE: ",BDEGENER[[#This Row],[SERIE DE MOTOR]])</f>
        <v>MARCA: GENERAC
SERIE: 3004333867</v>
      </c>
      <c r="AT978" s="5" t="str">
        <f>CONCATENATE("MARCA: ",BDEGENER[[#This Row],[MARCA ALTERNADOR ]],"
SERIE: ",BDEGENER[[#This Row],[SERIE DE ALTERNADOR]])</f>
        <v xml:space="preserve">MARCA: GENERAC
SERIE: </v>
      </c>
      <c r="AU978" s="5" t="str">
        <f>CONCATENATE("HORAS: ",BDEGENER[[#This Row],[HORAS]],"
KW-HR: ",BDEGENER[[#This Row],[KW-HORA]],"
VOLT.BATERIA: ",BDEGENER[[#This Row],[VOLTAJE DE BATERIA]],"
TEMPERATURA: ",BDEGENER[[#This Row],[TEMPERATURA DE AGUA]],"
PRES. ACEITE: ",BDEGENER[[#This Row],[PRESION DE ACEITE]])</f>
        <v xml:space="preserve">HORAS: 0,7
KW-HR: 
VOLT.BATERIA: 
TEMPERATURA: 
PRES. ACEITE: </v>
      </c>
      <c r="AV978" s="683">
        <f>COUNTIFS(Q978:Q2978,"MANTENIMIENTO CORRECTIVO",Y978:Y2978,BDEGENER[[#This Row],[SERIE]])</f>
        <v>0</v>
      </c>
      <c r="AW978" s="683">
        <f>COUNTIFS(Q978:Q2978,"MANTENIMIENTO PREVENTIVO",Y978:Y2978,BDEGENER[[#This Row],[SERIE]])</f>
        <v>0</v>
      </c>
      <c r="AX97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78" s="29">
        <f>COUNTIFS(BDEGENER[SERIE],BDEGENER[[#This Row],[SERIE]],BDEGENER[TIPO DE SERVICIO],"MANTENIMIENTO PREVENTIVO")</f>
        <v>8</v>
      </c>
      <c r="AZ978" s="29" t="str">
        <f>CONCATENATE("MANTENIMIENTO PREVENTIVO N°",BDEGENER[[#This Row],[GA1]])</f>
        <v>MANTENIMIENTO PREVENTIVO N°8</v>
      </c>
      <c r="BA978" s="325" t="str">
        <f>IF(BDEGENER[[#This Row],[SERVICIO]]=BDEGENER[[#This Row],[GA2]],BDEGENER[[#This Row],[HORAS]],"0")</f>
        <v>0</v>
      </c>
      <c r="BB978" s="325">
        <f>SUMIF(BDEGENER[SERIE],BDEGENER[[#This Row],[SERIE]],BDEGENER[GA3])</f>
        <v>2381.3000000000002</v>
      </c>
      <c r="BC978" s="683" t="str">
        <f>CONCATENATE("MANT",COUNTIF($Y$7:Y978,Y978))</f>
        <v>MANT10</v>
      </c>
      <c r="BD978" s="29" t="str">
        <f>CONCATENATE(BDEGENER[[#This Row],[SERIE]],BDEGENER[[#This Row],[GA5]])</f>
        <v>3004331705MANT10</v>
      </c>
      <c r="BE978" s="29" t="str">
        <f>CONCATENATE(BDEGENER[[#This Row],[CODIGO PATRIMONIAL]],BDEGENER[[#This Row],[GA5]])</f>
        <v>MANT10</v>
      </c>
      <c r="BF978" s="16">
        <f>COUNTIF(BDEGENER[SERIE],BDEGENER[[#This Row],[SERIE]])</f>
        <v>10</v>
      </c>
      <c r="BG978" s="683" t="str">
        <f>CONCATENATE("F",COUNTIF($K$7:K978,K978))</f>
        <v>F4</v>
      </c>
      <c r="BH978" s="325" t="str">
        <f>CONCATENATE(BDEGENER[[#This Row],[FECHA DE SERVICIO]],BDEGENER[[#This Row],[N° DE REGISTROS DEL DIA]])</f>
        <v>43584F4</v>
      </c>
      <c r="BI978" s="324"/>
      <c r="BJ978" s="85" t="s">
        <v>1544</v>
      </c>
      <c r="BK978" s="326"/>
    </row>
    <row r="979" spans="2:63" ht="69" x14ac:dyDescent="0.3">
      <c r="B979" s="223"/>
      <c r="C979" s="223"/>
      <c r="D979" s="223"/>
      <c r="E979" s="223"/>
      <c r="F979" s="223"/>
      <c r="G979" s="223"/>
      <c r="H979" s="223"/>
      <c r="I979" s="223"/>
      <c r="J979" s="223"/>
      <c r="K979" s="723">
        <v>43584</v>
      </c>
      <c r="L979" s="15" t="s">
        <v>181</v>
      </c>
      <c r="M979" s="14" t="s">
        <v>186</v>
      </c>
      <c r="N979" s="14" t="s">
        <v>946</v>
      </c>
      <c r="O979" s="8" t="s">
        <v>159</v>
      </c>
      <c r="P979" s="15" t="s">
        <v>159</v>
      </c>
      <c r="Q979" s="14" t="s">
        <v>109</v>
      </c>
      <c r="R979" s="85" t="s">
        <v>1782</v>
      </c>
      <c r="S979" s="5" t="s">
        <v>1782</v>
      </c>
      <c r="T979" s="14" t="s">
        <v>102</v>
      </c>
      <c r="U979" s="14"/>
      <c r="V979" s="14" t="s">
        <v>152</v>
      </c>
      <c r="W979" s="85" t="s">
        <v>914</v>
      </c>
      <c r="X979" s="85" t="s">
        <v>918</v>
      </c>
      <c r="Y979" s="15">
        <v>3004336198</v>
      </c>
      <c r="Z979" s="14"/>
      <c r="AA979" s="14" t="s">
        <v>33</v>
      </c>
      <c r="AB979" s="85" t="s">
        <v>34</v>
      </c>
      <c r="AC979" s="14" t="s">
        <v>230</v>
      </c>
      <c r="AD979" s="16"/>
      <c r="AE979" s="16"/>
      <c r="AF979" s="12">
        <v>1.1000000000000001</v>
      </c>
      <c r="AG979" s="16" t="s">
        <v>243</v>
      </c>
      <c r="AH979" s="16" t="s">
        <v>220</v>
      </c>
      <c r="AI979" s="16" t="s">
        <v>33</v>
      </c>
      <c r="AJ979" s="722">
        <v>3004345803</v>
      </c>
      <c r="AK979" s="16" t="s">
        <v>33</v>
      </c>
      <c r="AL979" s="16"/>
      <c r="AM979" s="16"/>
      <c r="AN979" s="16"/>
      <c r="AO979" s="16"/>
      <c r="AP979" s="14" t="s">
        <v>240</v>
      </c>
      <c r="AQ979" s="6" t="str">
        <f>CONCATENATE("REG-",BDEGENER[[#This Row],[FECHA DE SERVICIO]],"-",BDEGENER[[#This Row],[SERIE]],"-",BDEGENER[[#This Row],[HORAS]])</f>
        <v>REG-43584-3004336198-1,1</v>
      </c>
      <c r="AR979" s="5" t="str">
        <f>CONCATENATE("MARCA: ",BDEGENER[[#This Row],[MARCA]],"
 MODELO: ",BDEGENER[[#This Row],[MODELO]])</f>
        <v>MARCA: GENERAC
 MODELO: PG090</v>
      </c>
      <c r="AS979" s="5" t="str">
        <f>CONCATENATE("MARCA: ",BDEGENER[[#This Row],[MARCA DE MOTOR]],"
SERIE: ",BDEGENER[[#This Row],[SERIE DE MOTOR]])</f>
        <v>MARCA: GENERAC
SERIE: 3004345803</v>
      </c>
      <c r="AT979" s="5" t="str">
        <f>CONCATENATE("MARCA: ",BDEGENER[[#This Row],[MARCA ALTERNADOR ]],"
SERIE: ",BDEGENER[[#This Row],[SERIE DE ALTERNADOR]])</f>
        <v xml:space="preserve">MARCA: GENERAC
SERIE: </v>
      </c>
      <c r="AU979" s="5" t="str">
        <f>CONCATENATE("HORAS: ",BDEGENER[[#This Row],[HORAS]],"
KW-HR: ",BDEGENER[[#This Row],[KW-HORA]],"
VOLT.BATERIA: ",BDEGENER[[#This Row],[VOLTAJE DE BATERIA]],"
TEMPERATURA: ",BDEGENER[[#This Row],[TEMPERATURA DE AGUA]],"
PRES. ACEITE: ",BDEGENER[[#This Row],[PRESION DE ACEITE]])</f>
        <v xml:space="preserve">HORAS: 1,1
KW-HR: 
VOLT.BATERIA: 
TEMPERATURA: 
PRES. ACEITE: </v>
      </c>
      <c r="AV979" s="761">
        <f>COUNTIFS(Q979:Q2979,"MANTENIMIENTO CORRECTIVO",Y979:Y2979,BDEGENER[[#This Row],[SERIE]])</f>
        <v>0</v>
      </c>
      <c r="AW979" s="761">
        <f>COUNTIFS(Q979:Q2979,"MANTENIMIENTO PREVENTIVO",Y979:Y2979,BDEGENER[[#This Row],[SERIE]])</f>
        <v>0</v>
      </c>
      <c r="AX97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79" s="29">
        <f>COUNTIFS(BDEGENER[SERIE],BDEGENER[[#This Row],[SERIE]],BDEGENER[TIPO DE SERVICIO],"MANTENIMIENTO PREVENTIVO")</f>
        <v>7</v>
      </c>
      <c r="AZ979" s="29" t="str">
        <f>CONCATENATE("MANTENIMIENTO PREVENTIVO N°",BDEGENER[[#This Row],[GA1]])</f>
        <v>MANTENIMIENTO PREVENTIVO N°7</v>
      </c>
      <c r="BA979" s="325" t="str">
        <f>IF(BDEGENER[[#This Row],[SERVICIO]]=BDEGENER[[#This Row],[GA2]],BDEGENER[[#This Row],[HORAS]],"0")</f>
        <v>0</v>
      </c>
      <c r="BB979" s="325">
        <f>SUMIF(BDEGENER[SERIE],BDEGENER[[#This Row],[SERIE]],BDEGENER[GA3])</f>
        <v>2049.3000000000002</v>
      </c>
      <c r="BC979" s="761" t="str">
        <f>CONCATENATE("MANT",COUNTIF($Y$7:Y979,Y979))</f>
        <v>MANT12</v>
      </c>
      <c r="BD979" s="29" t="str">
        <f>CONCATENATE(BDEGENER[[#This Row],[SERIE]],BDEGENER[[#This Row],[GA5]])</f>
        <v>3004336198MANT12</v>
      </c>
      <c r="BE979" s="29" t="str">
        <f>CONCATENATE(BDEGENER[[#This Row],[CODIGO PATRIMONIAL]],BDEGENER[[#This Row],[GA5]])</f>
        <v>MANT12</v>
      </c>
      <c r="BF979" s="16">
        <f>COUNTIF(BDEGENER[SERIE],BDEGENER[[#This Row],[SERIE]])</f>
        <v>12</v>
      </c>
      <c r="BG979" s="761" t="str">
        <f>CONCATENATE("F",COUNTIF($K$7:K979,K979))</f>
        <v>F5</v>
      </c>
      <c r="BH979" s="325" t="str">
        <f>CONCATENATE(BDEGENER[[#This Row],[FECHA DE SERVICIO]],BDEGENER[[#This Row],[N° DE REGISTROS DEL DIA]])</f>
        <v>43584F5</v>
      </c>
      <c r="BI979" s="324"/>
      <c r="BJ979" s="85" t="s">
        <v>1544</v>
      </c>
      <c r="BK979" s="326"/>
    </row>
    <row r="980" spans="2:63" ht="69" hidden="1" x14ac:dyDescent="0.3">
      <c r="B980" s="223"/>
      <c r="C980" s="223"/>
      <c r="D980" s="223"/>
      <c r="E980" s="223"/>
      <c r="F980" s="223"/>
      <c r="G980" s="223"/>
      <c r="H980" s="223"/>
      <c r="I980" s="223"/>
      <c r="J980" s="223"/>
      <c r="K980" s="723">
        <v>43584</v>
      </c>
      <c r="L980" s="15" t="s">
        <v>181</v>
      </c>
      <c r="M980" s="14" t="s">
        <v>186</v>
      </c>
      <c r="N980" s="14" t="s">
        <v>946</v>
      </c>
      <c r="O980" s="8" t="s">
        <v>159</v>
      </c>
      <c r="P980" s="15" t="s">
        <v>159</v>
      </c>
      <c r="Q980" s="14" t="s">
        <v>109</v>
      </c>
      <c r="R980" s="85" t="s">
        <v>1782</v>
      </c>
      <c r="S980" s="5" t="s">
        <v>1782</v>
      </c>
      <c r="T980" s="14" t="s">
        <v>102</v>
      </c>
      <c r="U980" s="14"/>
      <c r="V980" s="14" t="s">
        <v>152</v>
      </c>
      <c r="W980" s="85" t="s">
        <v>914</v>
      </c>
      <c r="X980" s="85" t="s">
        <v>918</v>
      </c>
      <c r="Y980" s="15">
        <v>3004327721</v>
      </c>
      <c r="Z980" s="14"/>
      <c r="AA980" s="14" t="s">
        <v>33</v>
      </c>
      <c r="AB980" s="85" t="s">
        <v>34</v>
      </c>
      <c r="AC980" s="14" t="s">
        <v>230</v>
      </c>
      <c r="AD980" s="16"/>
      <c r="AE980" s="16"/>
      <c r="AF980" s="12">
        <v>1.2</v>
      </c>
      <c r="AG980" s="16" t="s">
        <v>243</v>
      </c>
      <c r="AH980" s="16" t="s">
        <v>244</v>
      </c>
      <c r="AI980" s="16" t="s">
        <v>33</v>
      </c>
      <c r="AJ980" s="16">
        <v>3004346806</v>
      </c>
      <c r="AK980" s="16" t="s">
        <v>33</v>
      </c>
      <c r="AL980" s="16"/>
      <c r="AM980" s="16"/>
      <c r="AN980" s="16"/>
      <c r="AO980" s="16"/>
      <c r="AP980" s="14" t="s">
        <v>240</v>
      </c>
      <c r="AQ980" s="6" t="str">
        <f>CONCATENATE("REG-",BDEGENER[[#This Row],[FECHA DE SERVICIO]],"-",BDEGENER[[#This Row],[SERIE]],"-",BDEGENER[[#This Row],[HORAS]])</f>
        <v>REG-43584-3004327721-1,2</v>
      </c>
      <c r="AR980" s="5" t="str">
        <f>CONCATENATE("MARCA: ",BDEGENER[[#This Row],[MARCA]],"
 MODELO: ",BDEGENER[[#This Row],[MODELO]])</f>
        <v>MARCA: GENERAC
 MODELO: PG090</v>
      </c>
      <c r="AS980" s="5" t="str">
        <f>CONCATENATE("MARCA: ",BDEGENER[[#This Row],[MARCA DE MOTOR]],"
SERIE: ",BDEGENER[[#This Row],[SERIE DE MOTOR]])</f>
        <v>MARCA: GENERAC
SERIE: 3004346806</v>
      </c>
      <c r="AT980" s="5" t="str">
        <f>CONCATENATE("MARCA: ",BDEGENER[[#This Row],[MARCA ALTERNADOR ]],"
SERIE: ",BDEGENER[[#This Row],[SERIE DE ALTERNADOR]])</f>
        <v xml:space="preserve">MARCA: GENERAC
SERIE: </v>
      </c>
      <c r="AU980" s="5" t="str">
        <f>CONCATENATE("HORAS: ",BDEGENER[[#This Row],[HORAS]],"
KW-HR: ",BDEGENER[[#This Row],[KW-HORA]],"
VOLT.BATERIA: ",BDEGENER[[#This Row],[VOLTAJE DE BATERIA]],"
TEMPERATURA: ",BDEGENER[[#This Row],[TEMPERATURA DE AGUA]],"
PRES. ACEITE: ",BDEGENER[[#This Row],[PRESION DE ACEITE]])</f>
        <v xml:space="preserve">HORAS: 1,2
KW-HR: 
VOLT.BATERIA: 
TEMPERATURA: 
PRES. ACEITE: </v>
      </c>
      <c r="AV980" s="683">
        <f>COUNTIFS(Q980:Q2980,"MANTENIMIENTO CORRECTIVO",Y980:Y2980,BDEGENER[[#This Row],[SERIE]])</f>
        <v>0</v>
      </c>
      <c r="AW980" s="683">
        <f>COUNTIFS(Q980:Q2980,"MANTENIMIENTO PREVENTIVO",Y980:Y2980,BDEGENER[[#This Row],[SERIE]])</f>
        <v>0</v>
      </c>
      <c r="AX98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80" s="29">
        <f>COUNTIFS(BDEGENER[SERIE],BDEGENER[[#This Row],[SERIE]],BDEGENER[TIPO DE SERVICIO],"MANTENIMIENTO PREVENTIVO")</f>
        <v>7</v>
      </c>
      <c r="AZ980" s="29" t="str">
        <f>CONCATENATE("MANTENIMIENTO PREVENTIVO N°",BDEGENER[[#This Row],[GA1]])</f>
        <v>MANTENIMIENTO PREVENTIVO N°7</v>
      </c>
      <c r="BA980" s="325" t="str">
        <f>IF(BDEGENER[[#This Row],[SERVICIO]]=BDEGENER[[#This Row],[GA2]],BDEGENER[[#This Row],[HORAS]],"0")</f>
        <v>0</v>
      </c>
      <c r="BB980" s="325">
        <f>SUMIF(BDEGENER[SERIE],BDEGENER[[#This Row],[SERIE]],BDEGENER[GA3])</f>
        <v>2098.4</v>
      </c>
      <c r="BC980" s="683" t="str">
        <f>CONCATENATE("MANT",COUNTIF($Y$7:Y980,Y980))</f>
        <v>MANT11</v>
      </c>
      <c r="BD980" s="29" t="str">
        <f>CONCATENATE(BDEGENER[[#This Row],[SERIE]],BDEGENER[[#This Row],[GA5]])</f>
        <v>3004327721MANT11</v>
      </c>
      <c r="BE980" s="29" t="str">
        <f>CONCATENATE(BDEGENER[[#This Row],[CODIGO PATRIMONIAL]],BDEGENER[[#This Row],[GA5]])</f>
        <v>MANT11</v>
      </c>
      <c r="BF980" s="16">
        <f>COUNTIF(BDEGENER[SERIE],BDEGENER[[#This Row],[SERIE]])</f>
        <v>11</v>
      </c>
      <c r="BG980" s="683" t="str">
        <f>CONCATENATE("F",COUNTIF($K$7:K980,K980))</f>
        <v>F6</v>
      </c>
      <c r="BH980" s="325" t="str">
        <f>CONCATENATE(BDEGENER[[#This Row],[FECHA DE SERVICIO]],BDEGENER[[#This Row],[N° DE REGISTROS DEL DIA]])</f>
        <v>43584F6</v>
      </c>
      <c r="BI980" s="324"/>
      <c r="BJ980" s="85" t="s">
        <v>1544</v>
      </c>
      <c r="BK980" s="326"/>
    </row>
    <row r="981" spans="2:63" ht="69" hidden="1" x14ac:dyDescent="0.3">
      <c r="B981" s="223"/>
      <c r="C981" s="223"/>
      <c r="D981" s="223"/>
      <c r="E981" s="223"/>
      <c r="F981" s="223"/>
      <c r="G981" s="223"/>
      <c r="H981" s="223"/>
      <c r="I981" s="223"/>
      <c r="J981" s="223"/>
      <c r="K981" s="723">
        <v>43584</v>
      </c>
      <c r="L981" s="15" t="s">
        <v>181</v>
      </c>
      <c r="M981" s="14" t="s">
        <v>189</v>
      </c>
      <c r="N981" s="14" t="s">
        <v>946</v>
      </c>
      <c r="O981" s="8" t="s">
        <v>159</v>
      </c>
      <c r="P981" s="15" t="s">
        <v>159</v>
      </c>
      <c r="Q981" s="14" t="s">
        <v>109</v>
      </c>
      <c r="R981" s="85" t="s">
        <v>1782</v>
      </c>
      <c r="S981" s="5" t="s">
        <v>1782</v>
      </c>
      <c r="T981" s="14" t="s">
        <v>102</v>
      </c>
      <c r="U981" s="14"/>
      <c r="V981" s="14" t="s">
        <v>152</v>
      </c>
      <c r="W981" s="85" t="s">
        <v>914</v>
      </c>
      <c r="X981" s="85" t="s">
        <v>918</v>
      </c>
      <c r="Y981" s="15">
        <v>3004331708</v>
      </c>
      <c r="Z981" s="14"/>
      <c r="AA981" s="14" t="s">
        <v>33</v>
      </c>
      <c r="AB981" s="85" t="s">
        <v>34</v>
      </c>
      <c r="AC981" s="14" t="s">
        <v>230</v>
      </c>
      <c r="AD981" s="16"/>
      <c r="AE981" s="16"/>
      <c r="AF981" s="12">
        <v>0.6</v>
      </c>
      <c r="AG981" s="85" t="s">
        <v>243</v>
      </c>
      <c r="AH981" s="85" t="s">
        <v>220</v>
      </c>
      <c r="AI981" s="85" t="s">
        <v>33</v>
      </c>
      <c r="AJ981" s="85">
        <v>3004309058</v>
      </c>
      <c r="AK981" s="85" t="s">
        <v>33</v>
      </c>
      <c r="AL981" s="16"/>
      <c r="AM981" s="16"/>
      <c r="AN981" s="16"/>
      <c r="AO981" s="16"/>
      <c r="AP981" s="14" t="s">
        <v>240</v>
      </c>
      <c r="AQ981" s="6" t="str">
        <f>CONCATENATE("REG-",BDEGENER[[#This Row],[FECHA DE SERVICIO]],"-",BDEGENER[[#This Row],[SERIE]],"-",BDEGENER[[#This Row],[HORAS]])</f>
        <v>REG-43584-3004331708-0,6</v>
      </c>
      <c r="AR981" s="5" t="str">
        <f>CONCATENATE("MARCA: ",BDEGENER[[#This Row],[MARCA]],"
 MODELO: ",BDEGENER[[#This Row],[MODELO]])</f>
        <v>MARCA: GENERAC
 MODELO: PG090</v>
      </c>
      <c r="AS981" s="5" t="str">
        <f>CONCATENATE("MARCA: ",BDEGENER[[#This Row],[MARCA DE MOTOR]],"
SERIE: ",BDEGENER[[#This Row],[SERIE DE MOTOR]])</f>
        <v>MARCA: GENERAC
SERIE: 3004309058</v>
      </c>
      <c r="AT981" s="5" t="str">
        <f>CONCATENATE("MARCA: ",BDEGENER[[#This Row],[MARCA ALTERNADOR ]],"
SERIE: ",BDEGENER[[#This Row],[SERIE DE ALTERNADOR]])</f>
        <v xml:space="preserve">MARCA: GENERAC
SERIE: </v>
      </c>
      <c r="AU981" s="5"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981" s="683">
        <f>COUNTIFS(Q981:Q2981,"MANTENIMIENTO CORRECTIVO",Y981:Y2981,BDEGENER[[#This Row],[SERIE]])</f>
        <v>0</v>
      </c>
      <c r="AW981" s="683">
        <f>COUNTIFS(Q981:Q2981,"MANTENIMIENTO PREVENTIVO",Y981:Y2981,BDEGENER[[#This Row],[SERIE]])</f>
        <v>0</v>
      </c>
      <c r="AX98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81" s="29">
        <f>COUNTIFS(BDEGENER[SERIE],BDEGENER[[#This Row],[SERIE]],BDEGENER[TIPO DE SERVICIO],"MANTENIMIENTO PREVENTIVO")</f>
        <v>6</v>
      </c>
      <c r="AZ981" s="29" t="str">
        <f>CONCATENATE("MANTENIMIENTO PREVENTIVO N°",BDEGENER[[#This Row],[GA1]])</f>
        <v>MANTENIMIENTO PREVENTIVO N°6</v>
      </c>
      <c r="BA981" s="325" t="str">
        <f>IF(BDEGENER[[#This Row],[SERVICIO]]=BDEGENER[[#This Row],[GA2]],BDEGENER[[#This Row],[HORAS]],"0")</f>
        <v>0</v>
      </c>
      <c r="BB981" s="325">
        <f>SUMIF(BDEGENER[SERIE],BDEGENER[[#This Row],[SERIE]],BDEGENER[GA3])</f>
        <v>1635.5</v>
      </c>
      <c r="BC981" s="683" t="str">
        <f>CONCATENATE("MANT",COUNTIF($Y$7:Y981,Y981))</f>
        <v>MANT13</v>
      </c>
      <c r="BD981" s="29" t="str">
        <f>CONCATENATE(BDEGENER[[#This Row],[SERIE]],BDEGENER[[#This Row],[GA5]])</f>
        <v>3004331708MANT13</v>
      </c>
      <c r="BE981" s="29" t="str">
        <f>CONCATENATE(BDEGENER[[#This Row],[CODIGO PATRIMONIAL]],BDEGENER[[#This Row],[GA5]])</f>
        <v>MANT13</v>
      </c>
      <c r="BF981" s="16">
        <f>COUNTIF(BDEGENER[SERIE],BDEGENER[[#This Row],[SERIE]])</f>
        <v>13</v>
      </c>
      <c r="BG981" s="683" t="str">
        <f>CONCATENATE("F",COUNTIF($K$7:K981,K981))</f>
        <v>F7</v>
      </c>
      <c r="BH981" s="325" t="str">
        <f>CONCATENATE(BDEGENER[[#This Row],[FECHA DE SERVICIO]],BDEGENER[[#This Row],[N° DE REGISTROS DEL DIA]])</f>
        <v>43584F7</v>
      </c>
      <c r="BI981" s="324"/>
      <c r="BJ981" s="85" t="s">
        <v>1544</v>
      </c>
      <c r="BK981" s="326"/>
    </row>
    <row r="982" spans="2:63" ht="69" hidden="1" x14ac:dyDescent="0.3">
      <c r="B982" s="223"/>
      <c r="C982" s="223"/>
      <c r="D982" s="223"/>
      <c r="E982" s="223"/>
      <c r="F982" s="223"/>
      <c r="G982" s="223"/>
      <c r="H982" s="223"/>
      <c r="I982" s="223"/>
      <c r="J982" s="223"/>
      <c r="K982" s="723">
        <v>43584</v>
      </c>
      <c r="L982" s="15" t="s">
        <v>181</v>
      </c>
      <c r="M982" s="14" t="s">
        <v>189</v>
      </c>
      <c r="N982" s="14" t="s">
        <v>946</v>
      </c>
      <c r="O982" s="8" t="s">
        <v>159</v>
      </c>
      <c r="P982" s="15" t="s">
        <v>159</v>
      </c>
      <c r="Q982" s="14" t="s">
        <v>109</v>
      </c>
      <c r="R982" s="85" t="s">
        <v>1782</v>
      </c>
      <c r="S982" s="5" t="s">
        <v>1782</v>
      </c>
      <c r="T982" s="14" t="s">
        <v>102</v>
      </c>
      <c r="U982" s="14"/>
      <c r="V982" s="14" t="s">
        <v>152</v>
      </c>
      <c r="W982" s="85" t="s">
        <v>914</v>
      </c>
      <c r="X982" s="85" t="s">
        <v>918</v>
      </c>
      <c r="Y982" s="15">
        <v>3004327723</v>
      </c>
      <c r="Z982" s="14"/>
      <c r="AA982" s="14" t="s">
        <v>33</v>
      </c>
      <c r="AB982" s="85" t="s">
        <v>34</v>
      </c>
      <c r="AC982" s="14" t="s">
        <v>230</v>
      </c>
      <c r="AD982" s="16"/>
      <c r="AE982" s="16"/>
      <c r="AF982" s="12">
        <v>1.1000000000000001</v>
      </c>
      <c r="AG982" s="85" t="s">
        <v>243</v>
      </c>
      <c r="AH982" s="85" t="s">
        <v>220</v>
      </c>
      <c r="AI982" s="85" t="s">
        <v>33</v>
      </c>
      <c r="AJ982" s="85">
        <v>3004346813</v>
      </c>
      <c r="AK982" s="85" t="s">
        <v>33</v>
      </c>
      <c r="AL982" s="85">
        <v>106302070</v>
      </c>
      <c r="AM982" s="16"/>
      <c r="AN982" s="16"/>
      <c r="AO982" s="16"/>
      <c r="AP982" s="14" t="s">
        <v>240</v>
      </c>
      <c r="AQ982" s="6" t="str">
        <f>CONCATENATE("REG-",BDEGENER[[#This Row],[FECHA DE SERVICIO]],"-",BDEGENER[[#This Row],[SERIE]],"-",BDEGENER[[#This Row],[HORAS]])</f>
        <v>REG-43584-3004327723-1,1</v>
      </c>
      <c r="AR982" s="5" t="str">
        <f>CONCATENATE("MARCA: ",BDEGENER[[#This Row],[MARCA]],"
 MODELO: ",BDEGENER[[#This Row],[MODELO]])</f>
        <v>MARCA: GENERAC
 MODELO: PG090</v>
      </c>
      <c r="AS982" s="5" t="str">
        <f>CONCATENATE("MARCA: ",BDEGENER[[#This Row],[MARCA DE MOTOR]],"
SERIE: ",BDEGENER[[#This Row],[SERIE DE MOTOR]])</f>
        <v>MARCA: GENERAC
SERIE: 3004346813</v>
      </c>
      <c r="AT982" s="5" t="str">
        <f>CONCATENATE("MARCA: ",BDEGENER[[#This Row],[MARCA ALTERNADOR ]],"
SERIE: ",BDEGENER[[#This Row],[SERIE DE ALTERNADOR]])</f>
        <v>MARCA: GENERAC
SERIE: 106302070</v>
      </c>
      <c r="AU982" s="5" t="str">
        <f>CONCATENATE("HORAS: ",BDEGENER[[#This Row],[HORAS]],"
KW-HR: ",BDEGENER[[#This Row],[KW-HORA]],"
VOLT.BATERIA: ",BDEGENER[[#This Row],[VOLTAJE DE BATERIA]],"
TEMPERATURA: ",BDEGENER[[#This Row],[TEMPERATURA DE AGUA]],"
PRES. ACEITE: ",BDEGENER[[#This Row],[PRESION DE ACEITE]])</f>
        <v xml:space="preserve">HORAS: 1,1
KW-HR: 
VOLT.BATERIA: 
TEMPERATURA: 
PRES. ACEITE: </v>
      </c>
      <c r="AV982" s="761">
        <f>COUNTIFS(Q982:Q2982,"MANTENIMIENTO CORRECTIVO",Y982:Y2982,BDEGENER[[#This Row],[SERIE]])</f>
        <v>0</v>
      </c>
      <c r="AW982" s="761">
        <f>COUNTIFS(Q982:Q2982,"MANTENIMIENTO PREVENTIVO",Y982:Y2982,BDEGENER[[#This Row],[SERIE]])</f>
        <v>0</v>
      </c>
      <c r="AX98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982" s="29">
        <f>COUNTIFS(BDEGENER[SERIE],BDEGENER[[#This Row],[SERIE]],BDEGENER[TIPO DE SERVICIO],"MANTENIMIENTO PREVENTIVO")</f>
        <v>8</v>
      </c>
      <c r="AZ982" s="29" t="str">
        <f>CONCATENATE("MANTENIMIENTO PREVENTIVO N°",BDEGENER[[#This Row],[GA1]])</f>
        <v>MANTENIMIENTO PREVENTIVO N°8</v>
      </c>
      <c r="BA982" s="325" t="str">
        <f>IF(BDEGENER[[#This Row],[SERVICIO]]=BDEGENER[[#This Row],[GA2]],BDEGENER[[#This Row],[HORAS]],"0")</f>
        <v>0</v>
      </c>
      <c r="BB982" s="325">
        <f>SUMIF(BDEGENER[SERIE],BDEGENER[[#This Row],[SERIE]],BDEGENER[GA3])</f>
        <v>6883.3</v>
      </c>
      <c r="BC982" s="761" t="str">
        <f>CONCATENATE("MANT",COUNTIF($Y$7:Y982,Y982))</f>
        <v>MANT11</v>
      </c>
      <c r="BD982" s="29" t="str">
        <f>CONCATENATE(BDEGENER[[#This Row],[SERIE]],BDEGENER[[#This Row],[GA5]])</f>
        <v>3004327723MANT11</v>
      </c>
      <c r="BE982" s="29" t="str">
        <f>CONCATENATE(BDEGENER[[#This Row],[CODIGO PATRIMONIAL]],BDEGENER[[#This Row],[GA5]])</f>
        <v>MANT11</v>
      </c>
      <c r="BF982" s="16">
        <f>COUNTIF(BDEGENER[SERIE],BDEGENER[[#This Row],[SERIE]])</f>
        <v>11</v>
      </c>
      <c r="BG982" s="761" t="str">
        <f>CONCATENATE("F",COUNTIF($K$7:K982,K982))</f>
        <v>F8</v>
      </c>
      <c r="BH982" s="325" t="str">
        <f>CONCATENATE(BDEGENER[[#This Row],[FECHA DE SERVICIO]],BDEGENER[[#This Row],[N° DE REGISTROS DEL DIA]])</f>
        <v>43584F8</v>
      </c>
      <c r="BI982" s="324"/>
      <c r="BJ982" s="85" t="s">
        <v>1544</v>
      </c>
      <c r="BK982" s="326"/>
    </row>
    <row r="983" spans="2:63" ht="69" hidden="1" x14ac:dyDescent="0.3">
      <c r="B983" s="34"/>
      <c r="C983" s="34"/>
      <c r="D983" s="34"/>
      <c r="E983" s="34"/>
      <c r="F983" s="34"/>
      <c r="G983" s="34"/>
      <c r="H983" s="34"/>
      <c r="I983" s="34"/>
      <c r="J983" s="34"/>
      <c r="K983" s="37">
        <v>43584</v>
      </c>
      <c r="L983" s="30" t="s">
        <v>561</v>
      </c>
      <c r="M983" s="19" t="s">
        <v>585</v>
      </c>
      <c r="N983" s="19" t="s">
        <v>586</v>
      </c>
      <c r="O983" s="19"/>
      <c r="P983" s="19"/>
      <c r="Q983" s="19" t="s">
        <v>37</v>
      </c>
      <c r="R983" s="85" t="s">
        <v>1782</v>
      </c>
      <c r="S983" s="19" t="s">
        <v>632</v>
      </c>
      <c r="T983" s="85" t="s">
        <v>1782</v>
      </c>
      <c r="U983" s="19"/>
      <c r="V983" s="19" t="s">
        <v>146</v>
      </c>
      <c r="W983" s="85" t="s">
        <v>914</v>
      </c>
      <c r="X983" s="85" t="s">
        <v>918</v>
      </c>
      <c r="Y983" s="31">
        <v>3003963150</v>
      </c>
      <c r="Z983" s="690" t="s">
        <v>2618</v>
      </c>
      <c r="AA983" s="683" t="s">
        <v>33</v>
      </c>
      <c r="AB983" s="85" t="s">
        <v>34</v>
      </c>
      <c r="AC983" s="85" t="s">
        <v>230</v>
      </c>
      <c r="AD983" s="16"/>
      <c r="AE983" s="16"/>
      <c r="AF983" s="146">
        <v>421.5</v>
      </c>
      <c r="AG983" s="16"/>
      <c r="AH983" s="16"/>
      <c r="AI983" s="16"/>
      <c r="AJ983" s="16"/>
      <c r="AK983" s="16"/>
      <c r="AL983" s="16"/>
      <c r="AM983" s="16"/>
      <c r="AN983" s="16"/>
      <c r="AO983" s="16"/>
      <c r="AP983" s="19" t="s">
        <v>240</v>
      </c>
      <c r="AQ983" s="6" t="str">
        <f>CONCATENATE("REG-",BDEGENER[[#This Row],[FECHA DE SERVICIO]],"-",BDEGENER[[#This Row],[SERIE]],"-",BDEGENER[[#This Row],[HORAS]])</f>
        <v>REG-43584-3003963150-421,5</v>
      </c>
      <c r="AR983" s="5" t="str">
        <f>CONCATENATE("MARCA: ",BDEGENER[[#This Row],[MARCA]],"
 MODELO: ",BDEGENER[[#This Row],[MODELO]])</f>
        <v>MARCA: GENERAC
 MODELO: PG090</v>
      </c>
      <c r="AS983" s="5" t="str">
        <f>CONCATENATE("MARCA: ",BDEGENER[[#This Row],[MARCA DE MOTOR]],"
SERIE: ",BDEGENER[[#This Row],[SERIE DE MOTOR]])</f>
        <v xml:space="preserve">MARCA: 
SERIE: </v>
      </c>
      <c r="AT983" s="5" t="str">
        <f>CONCATENATE("MARCA: ",BDEGENER[[#This Row],[MARCA ALTERNADOR ]],"
SERIE: ",BDEGENER[[#This Row],[SERIE DE ALTERNADOR]])</f>
        <v xml:space="preserve">MARCA: 
SERIE: </v>
      </c>
      <c r="AU983" s="29" t="str">
        <f>CONCATENATE("HORAS: ",BDEGENER[[#This Row],[HORAS]],"
KW-HR: ",BDEGENER[[#This Row],[KW-HORA]],"
VOLT.BATERIA: ",BDEGENER[[#This Row],[VOLTAJE DE BATERIA]],"
TEMPERATURA: ",BDEGENER[[#This Row],[TEMPERATURA DE AGUA]],"
PRES. ACEITE: ",BDEGENER[[#This Row],[PRESION DE ACEITE]])</f>
        <v xml:space="preserve">HORAS: 421,5
KW-HR: 
VOLT.BATERIA: 
TEMPERATURA: 
PRES. ACEITE: </v>
      </c>
      <c r="AV983" s="683">
        <f>COUNTIFS(Q983:Q2983,"MANTENIMIENTO CORRECTIVO",Y983:Y2983,BDEGENER[[#This Row],[SERIE]])</f>
        <v>0</v>
      </c>
      <c r="AW983" s="683">
        <f>COUNTIFS(Q983:Q2983,"MANTENIMIENTO PREVENTIVO",Y983:Y2983,BDEGENER[[#This Row],[SERIE]])</f>
        <v>2</v>
      </c>
      <c r="AX98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83" s="29">
        <f>COUNTIFS(BDEGENER[SERIE],BDEGENER[[#This Row],[SERIE]],BDEGENER[TIPO DE SERVICIO],"MANTENIMIENTO PREVENTIVO")</f>
        <v>7</v>
      </c>
      <c r="AZ983" s="29" t="str">
        <f>CONCATENATE("MANTENIMIENTO PREVENTIVO N°",BDEGENER[[#This Row],[GA1]])</f>
        <v>MANTENIMIENTO PREVENTIVO N°7</v>
      </c>
      <c r="BA983" s="325" t="str">
        <f>IF(BDEGENER[[#This Row],[SERVICIO]]=BDEGENER[[#This Row],[GA2]],BDEGENER[[#This Row],[HORAS]],"0")</f>
        <v>0</v>
      </c>
      <c r="BB983" s="325">
        <f>SUMIF(BDEGENER[SERIE],BDEGENER[[#This Row],[SERIE]],BDEGENER[GA3])</f>
        <v>4620.5</v>
      </c>
      <c r="BC983" s="683" t="str">
        <f>CONCATENATE("MANT",COUNTIF($Y$7:Y983,Y983))</f>
        <v>MANT11</v>
      </c>
      <c r="BD983" s="29" t="str">
        <f>CONCATENATE(BDEGENER[[#This Row],[SERIE]],BDEGENER[[#This Row],[GA5]])</f>
        <v>3003963150MANT11</v>
      </c>
      <c r="BE983" s="29" t="str">
        <f>CONCATENATE(BDEGENER[[#This Row],[CODIGO PATRIMONIAL]],BDEGENER[[#This Row],[GA5]])</f>
        <v>NOR-GEG-0020MANT11</v>
      </c>
      <c r="BF983" s="16">
        <f>COUNTIF(BDEGENER[SERIE],BDEGENER[[#This Row],[SERIE]])</f>
        <v>13</v>
      </c>
      <c r="BG983" s="683" t="str">
        <f>CONCATENATE("F",COUNTIF($K$7:K983,K983))</f>
        <v>F9</v>
      </c>
      <c r="BH983" s="325" t="str">
        <f>CONCATENATE(BDEGENER[[#This Row],[FECHA DE SERVICIO]],BDEGENER[[#This Row],[N° DE REGISTROS DEL DIA]])</f>
        <v>43584F9</v>
      </c>
      <c r="BI983" s="324"/>
      <c r="BJ983" s="325"/>
      <c r="BK983" s="326"/>
    </row>
    <row r="984" spans="2:63" ht="69" hidden="1" x14ac:dyDescent="0.3">
      <c r="B984" s="34"/>
      <c r="C984" s="34"/>
      <c r="D984" s="34"/>
      <c r="E984" s="34"/>
      <c r="F984" s="34"/>
      <c r="G984" s="34"/>
      <c r="H984" s="34"/>
      <c r="I984" s="34"/>
      <c r="J984" s="34"/>
      <c r="K984" s="786">
        <v>43584</v>
      </c>
      <c r="L984" s="787" t="s">
        <v>561</v>
      </c>
      <c r="M984" s="771" t="s">
        <v>585</v>
      </c>
      <c r="N984" s="771" t="s">
        <v>586</v>
      </c>
      <c r="O984" s="771"/>
      <c r="P984" s="771"/>
      <c r="Q984" s="771" t="s">
        <v>37</v>
      </c>
      <c r="R984" s="761" t="s">
        <v>1782</v>
      </c>
      <c r="S984" s="771" t="s">
        <v>42</v>
      </c>
      <c r="T984" s="761" t="s">
        <v>1782</v>
      </c>
      <c r="U984" s="771" t="s">
        <v>711</v>
      </c>
      <c r="V984" s="771" t="s">
        <v>146</v>
      </c>
      <c r="W984" s="761" t="s">
        <v>914</v>
      </c>
      <c r="X984" s="761" t="s">
        <v>918</v>
      </c>
      <c r="Y984" s="784">
        <v>3003566701</v>
      </c>
      <c r="Z984" s="761" t="s">
        <v>2616</v>
      </c>
      <c r="AA984" s="761" t="s">
        <v>33</v>
      </c>
      <c r="AB984" s="761" t="s">
        <v>34</v>
      </c>
      <c r="AC984" s="771" t="s">
        <v>230</v>
      </c>
      <c r="AD984" s="785"/>
      <c r="AE984" s="785"/>
      <c r="AF984" s="788">
        <v>1509.7</v>
      </c>
      <c r="AG984" s="761" t="s">
        <v>1413</v>
      </c>
      <c r="AH984" s="761" t="s">
        <v>220</v>
      </c>
      <c r="AI984" s="761" t="s">
        <v>33</v>
      </c>
      <c r="AJ984" s="761">
        <v>3003430313</v>
      </c>
      <c r="AK984" s="761" t="s">
        <v>33</v>
      </c>
      <c r="AL984" s="785"/>
      <c r="AM984" s="785"/>
      <c r="AN984" s="785"/>
      <c r="AO984" s="785"/>
      <c r="AP984" s="771" t="s">
        <v>240</v>
      </c>
      <c r="AQ984" s="765" t="str">
        <f>CONCATENATE("REG-",BDEGENER[[#This Row],[FECHA DE SERVICIO]],"-",BDEGENER[[#This Row],[SERIE]],"-",BDEGENER[[#This Row],[HORAS]])</f>
        <v>REG-43584-3003566701-1509,7</v>
      </c>
      <c r="AR984" s="789" t="str">
        <f>CONCATENATE("MARCA: ",BDEGENER[[#This Row],[MARCA]],"
 MODELO: ",BDEGENER[[#This Row],[MODELO]])</f>
        <v>MARCA: GENERAC
 MODELO: PG090</v>
      </c>
      <c r="AS984" s="789" t="str">
        <f>CONCATENATE("MARCA: ",BDEGENER[[#This Row],[MARCA DE MOTOR]],"
SERIE: ",BDEGENER[[#This Row],[SERIE DE MOTOR]])</f>
        <v>MARCA: GENERAC
SERIE: 3003430313</v>
      </c>
      <c r="AT984" s="789" t="str">
        <f>CONCATENATE("MARCA: ",BDEGENER[[#This Row],[MARCA ALTERNADOR ]],"
SERIE: ",BDEGENER[[#This Row],[SERIE DE ALTERNADOR]])</f>
        <v xml:space="preserve">MARCA: GENERAC
SERIE: </v>
      </c>
      <c r="AU984" s="773" t="str">
        <f>CONCATENATE("HORAS: ",BDEGENER[[#This Row],[HORAS]],"
KW-HR: ",BDEGENER[[#This Row],[KW-HORA]],"
VOLT.BATERIA: ",BDEGENER[[#This Row],[VOLTAJE DE BATERIA]],"
TEMPERATURA: ",BDEGENER[[#This Row],[TEMPERATURA DE AGUA]],"
PRES. ACEITE: ",BDEGENER[[#This Row],[PRESION DE ACEITE]])</f>
        <v xml:space="preserve">HORAS: 1509,7
KW-HR: 
VOLT.BATERIA: 
TEMPERATURA: 
PRES. ACEITE: </v>
      </c>
      <c r="AV984" s="683">
        <f>COUNTIFS(Q984:Q2984,"MANTENIMIENTO CORRECTIVO",Y984:Y2984,BDEGENER[[#This Row],[SERIE]])</f>
        <v>0</v>
      </c>
      <c r="AW984" s="683">
        <f>COUNTIFS(Q984:Q2984,"MANTENIMIENTO PREVENTIVO",Y984:Y2984,BDEGENER[[#This Row],[SERIE]])</f>
        <v>4</v>
      </c>
      <c r="AX984" s="77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984" s="773">
        <f>COUNTIFS(BDEGENER[SERIE],BDEGENER[[#This Row],[SERIE]],BDEGENER[TIPO DE SERVICIO],"MANTENIMIENTO PREVENTIVO")</f>
        <v>9</v>
      </c>
      <c r="AZ984" s="773" t="str">
        <f>CONCATENATE("MANTENIMIENTO PREVENTIVO N°",BDEGENER[[#This Row],[GA1]])</f>
        <v>MANTENIMIENTO PREVENTIVO N°9</v>
      </c>
      <c r="BA984" s="790" t="str">
        <f>IF(BDEGENER[[#This Row],[SERVICIO]]=BDEGENER[[#This Row],[GA2]],BDEGENER[[#This Row],[HORAS]],"0")</f>
        <v>0</v>
      </c>
      <c r="BB984" s="790">
        <f>SUMIF(BDEGENER[SERIE],BDEGENER[[#This Row],[SERIE]],BDEGENER[GA3])</f>
        <v>5274.9</v>
      </c>
      <c r="BC984" s="683" t="str">
        <f>CONCATENATE("MANT",COUNTIF($Y$7:Y984,Y984))</f>
        <v>MANT7</v>
      </c>
      <c r="BD984" s="773" t="str">
        <f>CONCATENATE(BDEGENER[[#This Row],[SERIE]],BDEGENER[[#This Row],[GA5]])</f>
        <v>3003566701MANT7</v>
      </c>
      <c r="BE984" s="773" t="str">
        <f>CONCATENATE(BDEGENER[[#This Row],[CODIGO PATRIMONIAL]],BDEGENER[[#This Row],[GA5]])</f>
        <v>NOR-GEG-0018MANT7</v>
      </c>
      <c r="BF984" s="16">
        <f>COUNTIF(BDEGENER[SERIE],BDEGENER[[#This Row],[SERIE]])</f>
        <v>10</v>
      </c>
      <c r="BG984" s="683" t="str">
        <f>CONCATENATE("F",COUNTIF($K$7:K984,K984))</f>
        <v>F10</v>
      </c>
      <c r="BH984" s="325" t="str">
        <f>CONCATENATE(BDEGENER[[#This Row],[FECHA DE SERVICIO]],BDEGENER[[#This Row],[N° DE REGISTROS DEL DIA]])</f>
        <v>43584F10</v>
      </c>
      <c r="BI984" s="324"/>
      <c r="BJ984" s="325"/>
      <c r="BK984" s="326"/>
    </row>
    <row r="985" spans="2:63" ht="69" hidden="1" x14ac:dyDescent="0.3">
      <c r="B985" s="34"/>
      <c r="C985" s="34"/>
      <c r="D985" s="34"/>
      <c r="E985" s="34"/>
      <c r="F985" s="34"/>
      <c r="G985" s="34"/>
      <c r="H985" s="34"/>
      <c r="I985" s="34"/>
      <c r="J985" s="34"/>
      <c r="K985" s="37">
        <v>43582</v>
      </c>
      <c r="L985" s="30" t="s">
        <v>561</v>
      </c>
      <c r="M985" s="19" t="s">
        <v>562</v>
      </c>
      <c r="N985" s="19" t="s">
        <v>563</v>
      </c>
      <c r="O985" s="19"/>
      <c r="P985" s="19"/>
      <c r="Q985" s="19" t="s">
        <v>37</v>
      </c>
      <c r="R985" s="85" t="s">
        <v>1782</v>
      </c>
      <c r="S985" s="19" t="s">
        <v>633</v>
      </c>
      <c r="T985" s="85" t="s">
        <v>1782</v>
      </c>
      <c r="U985" s="19" t="s">
        <v>712</v>
      </c>
      <c r="V985" s="19" t="s">
        <v>146</v>
      </c>
      <c r="W985" s="19" t="s">
        <v>913</v>
      </c>
      <c r="X985" s="19" t="s">
        <v>918</v>
      </c>
      <c r="Y985" s="31">
        <v>3003415532</v>
      </c>
      <c r="Z985" s="19" t="s">
        <v>2606</v>
      </c>
      <c r="AA985" s="19" t="s">
        <v>33</v>
      </c>
      <c r="AB985" s="19" t="s">
        <v>217</v>
      </c>
      <c r="AC985" s="19" t="s">
        <v>749</v>
      </c>
      <c r="AD985" s="16"/>
      <c r="AE985" s="16"/>
      <c r="AF985" s="146">
        <v>1189.4000000000001</v>
      </c>
      <c r="AG985" s="16"/>
      <c r="AH985" s="16"/>
      <c r="AI985" s="16"/>
      <c r="AJ985" s="16"/>
      <c r="AK985" s="16"/>
      <c r="AL985" s="16"/>
      <c r="AM985" s="16"/>
      <c r="AN985" s="16"/>
      <c r="AO985" s="16"/>
      <c r="AP985" s="19" t="s">
        <v>240</v>
      </c>
      <c r="AQ985" s="6" t="str">
        <f>CONCATENATE("REG-",BDEGENER[[#This Row],[FECHA DE SERVICIO]],"-",BDEGENER[[#This Row],[SERIE]],"-",BDEGENER[[#This Row],[HORAS]])</f>
        <v>REG-43582-3003415532-1189,4</v>
      </c>
      <c r="AR985" s="5" t="str">
        <f>CONCATENATE("MARCA: ",BDEGENER[[#This Row],[MARCA]],"
 MODELO: ",BDEGENER[[#This Row],[MODELO]])</f>
        <v>MARCA: GENERAC
 MODELO: RG022</v>
      </c>
      <c r="AS985" s="5" t="str">
        <f>CONCATENATE("MARCA: ",BDEGENER[[#This Row],[MARCA DE MOTOR]],"
SERIE: ",BDEGENER[[#This Row],[SERIE DE MOTOR]])</f>
        <v xml:space="preserve">MARCA: 
SERIE: </v>
      </c>
      <c r="AT985" s="5" t="str">
        <f>CONCATENATE("MARCA: ",BDEGENER[[#This Row],[MARCA ALTERNADOR ]],"
SERIE: ",BDEGENER[[#This Row],[SERIE DE ALTERNADOR]])</f>
        <v xml:space="preserve">MARCA: 
SERIE: </v>
      </c>
      <c r="AU985" s="29" t="str">
        <f>CONCATENATE("HORAS: ",BDEGENER[[#This Row],[HORAS]],"
KW-HR: ",BDEGENER[[#This Row],[KW-HORA]],"
VOLT.BATERIA: ",BDEGENER[[#This Row],[VOLTAJE DE BATERIA]],"
TEMPERATURA: ",BDEGENER[[#This Row],[TEMPERATURA DE AGUA]],"
PRES. ACEITE: ",BDEGENER[[#This Row],[PRESION DE ACEITE]])</f>
        <v xml:space="preserve">HORAS: 1189,4
KW-HR: 
VOLT.BATERIA: 
TEMPERATURA: 
PRES. ACEITE: </v>
      </c>
      <c r="AV985" s="761">
        <f>COUNTIFS(Q985:Q2985,"MANTENIMIENTO CORRECTIVO",Y985:Y2985,BDEGENER[[#This Row],[SERIE]])</f>
        <v>0</v>
      </c>
      <c r="AW985" s="761">
        <f>COUNTIFS(Q985:Q2985,"MANTENIMIENTO PREVENTIVO",Y985:Y2985,BDEGENER[[#This Row],[SERIE]])</f>
        <v>4</v>
      </c>
      <c r="AX98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985" s="29">
        <f>COUNTIFS(BDEGENER[SERIE],BDEGENER[[#This Row],[SERIE]],BDEGENER[TIPO DE SERVICIO],"MANTENIMIENTO PREVENTIVO")</f>
        <v>14</v>
      </c>
      <c r="AZ985" s="29" t="str">
        <f>CONCATENATE("MANTENIMIENTO PREVENTIVO N°",BDEGENER[[#This Row],[GA1]])</f>
        <v>MANTENIMIENTO PREVENTIVO N°14</v>
      </c>
      <c r="BA985" s="325" t="str">
        <f>IF(BDEGENER[[#This Row],[SERVICIO]]=BDEGENER[[#This Row],[GA2]],BDEGENER[[#This Row],[HORAS]],"0")</f>
        <v>0</v>
      </c>
      <c r="BB985" s="325">
        <f>SUMIF(BDEGENER[SERIE],BDEGENER[[#This Row],[SERIE]],BDEGENER[GA3])</f>
        <v>5730.6</v>
      </c>
      <c r="BC985" s="761" t="str">
        <f>CONCATENATE("MANT",COUNTIF($Y$7:Y985,Y985))</f>
        <v>MANT11</v>
      </c>
      <c r="BD985" s="29" t="str">
        <f>CONCATENATE(BDEGENER[[#This Row],[SERIE]],BDEGENER[[#This Row],[GA5]])</f>
        <v>3003415532MANT11</v>
      </c>
      <c r="BE985" s="29" t="str">
        <f>CONCATENATE(BDEGENER[[#This Row],[CODIGO PATRIMONIAL]],BDEGENER[[#This Row],[GA5]])</f>
        <v>SUR-GEG-0010MANT11</v>
      </c>
      <c r="BF985" s="16">
        <f>COUNTIF(BDEGENER[SERIE],BDEGENER[[#This Row],[SERIE]])</f>
        <v>14</v>
      </c>
      <c r="BG985" s="761" t="str">
        <f>CONCATENATE("F",COUNTIF($K$7:K985,K985))</f>
        <v>F1</v>
      </c>
      <c r="BH985" s="325" t="str">
        <f>CONCATENATE(BDEGENER[[#This Row],[FECHA DE SERVICIO]],BDEGENER[[#This Row],[N° DE REGISTROS DEL DIA]])</f>
        <v>43582F1</v>
      </c>
      <c r="BI985" s="324"/>
      <c r="BJ985" s="325"/>
      <c r="BK985" s="326"/>
    </row>
    <row r="986" spans="2:63" ht="69" hidden="1" x14ac:dyDescent="0.3">
      <c r="B986" s="5"/>
      <c r="C986" s="34"/>
      <c r="D986" s="34"/>
      <c r="E986" s="34"/>
      <c r="F986" s="34"/>
      <c r="G986" s="34"/>
      <c r="H986" s="34"/>
      <c r="I986" s="34"/>
      <c r="J986" s="34"/>
      <c r="K986" s="37">
        <v>43582</v>
      </c>
      <c r="L986" s="130" t="s">
        <v>796</v>
      </c>
      <c r="M986" s="85" t="s">
        <v>796</v>
      </c>
      <c r="N986" s="85" t="s">
        <v>1083</v>
      </c>
      <c r="O986" s="35"/>
      <c r="P986" s="3"/>
      <c r="Q986" s="19" t="s">
        <v>37</v>
      </c>
      <c r="R986" s="85" t="s">
        <v>1782</v>
      </c>
      <c r="S986" s="19" t="s">
        <v>815</v>
      </c>
      <c r="T986" s="85" t="s">
        <v>1782</v>
      </c>
      <c r="U986" s="19" t="s">
        <v>816</v>
      </c>
      <c r="V986" s="19" t="s">
        <v>149</v>
      </c>
      <c r="W986" s="85" t="s">
        <v>915</v>
      </c>
      <c r="X986" s="85" t="s">
        <v>917</v>
      </c>
      <c r="Y986" s="31">
        <v>1603587</v>
      </c>
      <c r="Z986" s="16"/>
      <c r="AA986" s="19" t="s">
        <v>33</v>
      </c>
      <c r="AB986" s="85" t="s">
        <v>1120</v>
      </c>
      <c r="AC986" s="85" t="s">
        <v>231</v>
      </c>
      <c r="AD986" s="16"/>
      <c r="AE986" s="16"/>
      <c r="AF986" s="146">
        <v>552</v>
      </c>
      <c r="AG986" s="85" t="s">
        <v>243</v>
      </c>
      <c r="AH986" s="85" t="s">
        <v>1088</v>
      </c>
      <c r="AI986" s="85" t="s">
        <v>868</v>
      </c>
      <c r="AJ986" s="85" t="s">
        <v>1591</v>
      </c>
      <c r="AK986" s="85" t="s">
        <v>1572</v>
      </c>
      <c r="AL986" s="16"/>
      <c r="AM986" s="16"/>
      <c r="AN986" s="16"/>
      <c r="AO986" s="16"/>
      <c r="AP986" s="19" t="s">
        <v>240</v>
      </c>
      <c r="AQ986" s="6" t="str">
        <f>CONCATENATE("REG-",BDEGENER[[#This Row],[FECHA DE SERVICIO]],"-",BDEGENER[[#This Row],[SERIE]],"-",BDEGENER[[#This Row],[HORAS]])</f>
        <v>REG-43582-1603587-552</v>
      </c>
      <c r="AR986" s="29" t="str">
        <f>CONCATENATE("MARCA: ",BDEGENER[[#This Row],[MARCA]],"
 MODELO: ",BDEGENER[[#This Row],[MODELO]])</f>
        <v>MARCA: GENERAC
 MODELO: VT8 K3</v>
      </c>
      <c r="AS986" s="29" t="str">
        <f>CONCATENATE("MARCA: ",BDEGENER[[#This Row],[MARCA DE MOTOR]],"
SERIE: ",BDEGENER[[#This Row],[SERIE DE MOTOR]])</f>
        <v>MARCA: KUBOTA
SERIE: 1GL1188</v>
      </c>
      <c r="AT986" s="29" t="str">
        <f>CONCATENATE("MARCA: ",BDEGENER[[#This Row],[MARCA ALTERNADOR ]],"
SERIE: ",BDEGENER[[#This Row],[SERIE DE ALTERNADOR]])</f>
        <v xml:space="preserve">MARCA: LINZ
SERIE: </v>
      </c>
      <c r="AU986" s="29" t="str">
        <f>CONCATENATE("HORAS: ",BDEGENER[[#This Row],[HORAS]],"
KW-HR: ",BDEGENER[[#This Row],[KW-HORA]],"
VOLT.BATERIA: ",BDEGENER[[#This Row],[VOLTAJE DE BATERIA]],"
TEMPERATURA: ",BDEGENER[[#This Row],[TEMPERATURA DE AGUA]],"
PRES. ACEITE: ",BDEGENER[[#This Row],[PRESION DE ACEITE]])</f>
        <v xml:space="preserve">HORAS: 552
KW-HR: 
VOLT.BATERIA: 
TEMPERATURA: 
PRES. ACEITE: </v>
      </c>
      <c r="AV986" s="683">
        <f>COUNTIFS(Q986:Q2986,"MANTENIMIENTO CORRECTIVO",Y986:Y2986,BDEGENER[[#This Row],[SERIE]])</f>
        <v>0</v>
      </c>
      <c r="AW986" s="683">
        <f>COUNTIFS(Q986:Q2986,"MANTENIMIENTO PREVENTIVO",Y986:Y2986,BDEGENER[[#This Row],[SERIE]])</f>
        <v>2</v>
      </c>
      <c r="AX98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86" s="29">
        <f>COUNTIFS(BDEGENER[SERIE],BDEGENER[[#This Row],[SERIE]],BDEGENER[TIPO DE SERVICIO],"MANTENIMIENTO PREVENTIVO")</f>
        <v>5</v>
      </c>
      <c r="AZ986" s="29" t="str">
        <f>CONCATENATE("MANTENIMIENTO PREVENTIVO N°",BDEGENER[[#This Row],[GA1]])</f>
        <v>MANTENIMIENTO PREVENTIVO N°5</v>
      </c>
      <c r="BA986" s="325" t="str">
        <f>IF(BDEGENER[[#This Row],[SERVICIO]]=BDEGENER[[#This Row],[GA2]],BDEGENER[[#This Row],[HORAS]],"0")</f>
        <v>0</v>
      </c>
      <c r="BB986" s="325">
        <f>SUMIF(BDEGENER[SERIE],BDEGENER[[#This Row],[SERIE]],BDEGENER[GA3])</f>
        <v>1781.5</v>
      </c>
      <c r="BC986" s="683" t="str">
        <f>CONCATENATE("MANT",COUNTIF($Y$7:Y986,Y986))</f>
        <v>MANT5</v>
      </c>
      <c r="BD986" s="29" t="str">
        <f>CONCATENATE(BDEGENER[[#This Row],[SERIE]],BDEGENER[[#This Row],[GA5]])</f>
        <v>1603587MANT5</v>
      </c>
      <c r="BE986" s="29" t="str">
        <f>CONCATENATE(BDEGENER[[#This Row],[CODIGO PATRIMONIAL]],BDEGENER[[#This Row],[GA5]])</f>
        <v>MANT5</v>
      </c>
      <c r="BF986" s="16">
        <f>COUNTIF(BDEGENER[SERIE],BDEGENER[[#This Row],[SERIE]])</f>
        <v>6</v>
      </c>
      <c r="BG986" s="683" t="str">
        <f>CONCATENATE("F",COUNTIF($K$7:K986,K986))</f>
        <v>F2</v>
      </c>
      <c r="BH986" s="325" t="str">
        <f>CONCATENATE(BDEGENER[[#This Row],[FECHA DE SERVICIO]],BDEGENER[[#This Row],[N° DE REGISTROS DEL DIA]])</f>
        <v>43582F2</v>
      </c>
      <c r="BI986" s="324"/>
      <c r="BJ986" s="85" t="s">
        <v>1545</v>
      </c>
      <c r="BK986" s="326"/>
    </row>
    <row r="987" spans="2:63" ht="69" hidden="1" x14ac:dyDescent="0.3">
      <c r="B987" s="34"/>
      <c r="C987" s="34"/>
      <c r="D987" s="34"/>
      <c r="E987" s="34"/>
      <c r="F987" s="34"/>
      <c r="G987" s="34"/>
      <c r="H987" s="34"/>
      <c r="I987" s="34"/>
      <c r="J987" s="34"/>
      <c r="K987" s="37">
        <v>43578</v>
      </c>
      <c r="L987" s="30" t="s">
        <v>561</v>
      </c>
      <c r="M987" s="19" t="s">
        <v>562</v>
      </c>
      <c r="N987" s="19" t="s">
        <v>563</v>
      </c>
      <c r="O987" s="19"/>
      <c r="P987" s="19"/>
      <c r="Q987" s="19" t="s">
        <v>37</v>
      </c>
      <c r="R987" s="85" t="s">
        <v>1782</v>
      </c>
      <c r="S987" s="19" t="s">
        <v>634</v>
      </c>
      <c r="T987" s="85" t="s">
        <v>1782</v>
      </c>
      <c r="U987" s="19" t="s">
        <v>713</v>
      </c>
      <c r="V987" s="19" t="s">
        <v>146</v>
      </c>
      <c r="W987" s="19" t="s">
        <v>913</v>
      </c>
      <c r="X987" s="19" t="s">
        <v>918</v>
      </c>
      <c r="Y987" s="31">
        <v>3003415532</v>
      </c>
      <c r="Z987" s="19" t="s">
        <v>2606</v>
      </c>
      <c r="AA987" s="19" t="s">
        <v>33</v>
      </c>
      <c r="AB987" s="19" t="s">
        <v>217</v>
      </c>
      <c r="AC987" s="19" t="s">
        <v>749</v>
      </c>
      <c r="AD987" s="16"/>
      <c r="AE987" s="16"/>
      <c r="AF987" s="146">
        <v>1187.2</v>
      </c>
      <c r="AG987" s="16"/>
      <c r="AH987" s="16"/>
      <c r="AI987" s="16"/>
      <c r="AJ987" s="16"/>
      <c r="AK987" s="16"/>
      <c r="AL987" s="16"/>
      <c r="AM987" s="16"/>
      <c r="AN987" s="16"/>
      <c r="AO987" s="16"/>
      <c r="AP987" s="19" t="s">
        <v>240</v>
      </c>
      <c r="AQ987" s="6" t="str">
        <f>CONCATENATE("REG-",BDEGENER[[#This Row],[FECHA DE SERVICIO]],"-",BDEGENER[[#This Row],[SERIE]],"-",BDEGENER[[#This Row],[HORAS]])</f>
        <v>REG-43578-3003415532-1187,2</v>
      </c>
      <c r="AR987" s="5" t="str">
        <f>CONCATENATE("MARCA: ",BDEGENER[[#This Row],[MARCA]],"
 MODELO: ",BDEGENER[[#This Row],[MODELO]])</f>
        <v>MARCA: GENERAC
 MODELO: RG022</v>
      </c>
      <c r="AS987" s="5" t="str">
        <f>CONCATENATE("MARCA: ",BDEGENER[[#This Row],[MARCA DE MOTOR]],"
SERIE: ",BDEGENER[[#This Row],[SERIE DE MOTOR]])</f>
        <v xml:space="preserve">MARCA: 
SERIE: </v>
      </c>
      <c r="AT987" s="5" t="str">
        <f>CONCATENATE("MARCA: ",BDEGENER[[#This Row],[MARCA ALTERNADOR ]],"
SERIE: ",BDEGENER[[#This Row],[SERIE DE ALTERNADOR]])</f>
        <v xml:space="preserve">MARCA: 
SERIE: </v>
      </c>
      <c r="AU987" s="29" t="str">
        <f>CONCATENATE("HORAS: ",BDEGENER[[#This Row],[HORAS]],"
KW-HR: ",BDEGENER[[#This Row],[KW-HORA]],"
VOLT.BATERIA: ",BDEGENER[[#This Row],[VOLTAJE DE BATERIA]],"
TEMPERATURA: ",BDEGENER[[#This Row],[TEMPERATURA DE AGUA]],"
PRES. ACEITE: ",BDEGENER[[#This Row],[PRESION DE ACEITE]])</f>
        <v xml:space="preserve">HORAS: 1187,2
KW-HR: 
VOLT.BATERIA: 
TEMPERATURA: 
PRES. ACEITE: </v>
      </c>
      <c r="AV987" s="683">
        <f>COUNTIFS(Q987:Q2987,"MANTENIMIENTO CORRECTIVO",Y987:Y2987,BDEGENER[[#This Row],[SERIE]])</f>
        <v>0</v>
      </c>
      <c r="AW987" s="683">
        <f>COUNTIFS(Q987:Q2987,"MANTENIMIENTO PREVENTIVO",Y987:Y2987,BDEGENER[[#This Row],[SERIE]])</f>
        <v>3</v>
      </c>
      <c r="AX98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987" s="29">
        <f>COUNTIFS(BDEGENER[SERIE],BDEGENER[[#This Row],[SERIE]],BDEGENER[TIPO DE SERVICIO],"MANTENIMIENTO PREVENTIVO")</f>
        <v>14</v>
      </c>
      <c r="AZ987" s="29" t="str">
        <f>CONCATENATE("MANTENIMIENTO PREVENTIVO N°",BDEGENER[[#This Row],[GA1]])</f>
        <v>MANTENIMIENTO PREVENTIVO N°14</v>
      </c>
      <c r="BA987" s="325" t="str">
        <f>IF(BDEGENER[[#This Row],[SERVICIO]]=BDEGENER[[#This Row],[GA2]],BDEGENER[[#This Row],[HORAS]],"0")</f>
        <v>0</v>
      </c>
      <c r="BB987" s="325">
        <f>SUMIF(BDEGENER[SERIE],BDEGENER[[#This Row],[SERIE]],BDEGENER[GA3])</f>
        <v>5730.6</v>
      </c>
      <c r="BC987" s="683" t="str">
        <f>CONCATENATE("MANT",COUNTIF($Y$7:Y987,Y987))</f>
        <v>MANT12</v>
      </c>
      <c r="BD987" s="29" t="str">
        <f>CONCATENATE(BDEGENER[[#This Row],[SERIE]],BDEGENER[[#This Row],[GA5]])</f>
        <v>3003415532MANT12</v>
      </c>
      <c r="BE987" s="29" t="str">
        <f>CONCATENATE(BDEGENER[[#This Row],[CODIGO PATRIMONIAL]],BDEGENER[[#This Row],[GA5]])</f>
        <v>SUR-GEG-0010MANT12</v>
      </c>
      <c r="BF987" s="16">
        <f>COUNTIF(BDEGENER[SERIE],BDEGENER[[#This Row],[SERIE]])</f>
        <v>14</v>
      </c>
      <c r="BG987" s="683" t="str">
        <f>CONCATENATE("F",COUNTIF($K$7:K987,K987))</f>
        <v>F1</v>
      </c>
      <c r="BH987" s="325" t="str">
        <f>CONCATENATE(BDEGENER[[#This Row],[FECHA DE SERVICIO]],BDEGENER[[#This Row],[N° DE REGISTROS DEL DIA]])</f>
        <v>43578F1</v>
      </c>
      <c r="BI987" s="324"/>
      <c r="BJ987" s="325"/>
      <c r="BK987" s="326"/>
    </row>
    <row r="988" spans="2:63" ht="69" hidden="1" x14ac:dyDescent="0.3">
      <c r="B988" s="34"/>
      <c r="C988" s="34"/>
      <c r="D988" s="34"/>
      <c r="E988" s="34"/>
      <c r="F988" s="34"/>
      <c r="G988" s="34"/>
      <c r="H988" s="34"/>
      <c r="I988" s="34"/>
      <c r="J988" s="34"/>
      <c r="K988" s="37">
        <v>43578</v>
      </c>
      <c r="L988" s="30" t="s">
        <v>561</v>
      </c>
      <c r="M988" s="19" t="s">
        <v>575</v>
      </c>
      <c r="N988" s="19" t="s">
        <v>576</v>
      </c>
      <c r="O988" s="19"/>
      <c r="P988" s="19"/>
      <c r="Q988" s="19" t="s">
        <v>37</v>
      </c>
      <c r="R988" s="85" t="s">
        <v>1782</v>
      </c>
      <c r="S988" s="19" t="s">
        <v>635</v>
      </c>
      <c r="T988" s="85" t="s">
        <v>1782</v>
      </c>
      <c r="U988" s="19" t="s">
        <v>714</v>
      </c>
      <c r="V988" s="19" t="s">
        <v>146</v>
      </c>
      <c r="W988" s="683" t="s">
        <v>913</v>
      </c>
      <c r="X988" s="691" t="s">
        <v>918</v>
      </c>
      <c r="Y988" s="31">
        <v>3003415536</v>
      </c>
      <c r="Z988" s="692" t="s">
        <v>2604</v>
      </c>
      <c r="AA988" s="19" t="s">
        <v>33</v>
      </c>
      <c r="AB988" s="19" t="s">
        <v>217</v>
      </c>
      <c r="AC988" s="19" t="s">
        <v>749</v>
      </c>
      <c r="AD988" s="16"/>
      <c r="AE988" s="16"/>
      <c r="AF988" s="146">
        <v>1330</v>
      </c>
      <c r="AG988" s="16"/>
      <c r="AH988" s="16"/>
      <c r="AI988" s="16"/>
      <c r="AJ988" s="16"/>
      <c r="AK988" s="16"/>
      <c r="AL988" s="16"/>
      <c r="AM988" s="16"/>
      <c r="AN988" s="16"/>
      <c r="AO988" s="16"/>
      <c r="AP988" s="19" t="s">
        <v>240</v>
      </c>
      <c r="AQ988" s="6" t="str">
        <f>CONCATENATE("REG-",BDEGENER[[#This Row],[FECHA DE SERVICIO]],"-",BDEGENER[[#This Row],[SERIE]],"-",BDEGENER[[#This Row],[HORAS]])</f>
        <v>REG-43578-3003415536-1330</v>
      </c>
      <c r="AR988" s="5" t="str">
        <f>CONCATENATE("MARCA: ",BDEGENER[[#This Row],[MARCA]],"
 MODELO: ",BDEGENER[[#This Row],[MODELO]])</f>
        <v>MARCA: GENERAC
 MODELO: RG022</v>
      </c>
      <c r="AS988" s="5" t="str">
        <f>CONCATENATE("MARCA: ",BDEGENER[[#This Row],[MARCA DE MOTOR]],"
SERIE: ",BDEGENER[[#This Row],[SERIE DE MOTOR]])</f>
        <v xml:space="preserve">MARCA: 
SERIE: </v>
      </c>
      <c r="AT988" s="5" t="str">
        <f>CONCATENATE("MARCA: ",BDEGENER[[#This Row],[MARCA ALTERNADOR ]],"
SERIE: ",BDEGENER[[#This Row],[SERIE DE ALTERNADOR]])</f>
        <v xml:space="preserve">MARCA: 
SERIE: </v>
      </c>
      <c r="AU988" s="29" t="str">
        <f>CONCATENATE("HORAS: ",BDEGENER[[#This Row],[HORAS]],"
KW-HR: ",BDEGENER[[#This Row],[KW-HORA]],"
VOLT.BATERIA: ",BDEGENER[[#This Row],[VOLTAJE DE BATERIA]],"
TEMPERATURA: ",BDEGENER[[#This Row],[TEMPERATURA DE AGUA]],"
PRES. ACEITE: ",BDEGENER[[#This Row],[PRESION DE ACEITE]])</f>
        <v xml:space="preserve">HORAS: 1330
KW-HR: 
VOLT.BATERIA: 
TEMPERATURA: 
PRES. ACEITE: </v>
      </c>
      <c r="AV988" s="761">
        <f>COUNTIFS(Q988:Q2988,"MANTENIMIENTO CORRECTIVO",Y988:Y2988,BDEGENER[[#This Row],[SERIE]])</f>
        <v>0</v>
      </c>
      <c r="AW988" s="761">
        <f>COUNTIFS(Q988:Q2988,"MANTENIMIENTO PREVENTIVO",Y988:Y2988,BDEGENER[[#This Row],[SERIE]])</f>
        <v>2</v>
      </c>
      <c r="AX98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88" s="29">
        <f>COUNTIFS(BDEGENER[SERIE],BDEGENER[[#This Row],[SERIE]],BDEGENER[TIPO DE SERVICIO],"MANTENIMIENTO PREVENTIVO")</f>
        <v>10</v>
      </c>
      <c r="AZ988" s="29" t="str">
        <f>CONCATENATE("MANTENIMIENTO PREVENTIVO N°",BDEGENER[[#This Row],[GA1]])</f>
        <v>MANTENIMIENTO PREVENTIVO N°10</v>
      </c>
      <c r="BA988" s="325" t="str">
        <f>IF(BDEGENER[[#This Row],[SERVICIO]]=BDEGENER[[#This Row],[GA2]],BDEGENER[[#This Row],[HORAS]],"0")</f>
        <v>0</v>
      </c>
      <c r="BB988" s="325">
        <f>SUMIF(BDEGENER[SERIE],BDEGENER[[#This Row],[SERIE]],BDEGENER[GA3])</f>
        <v>5559.8</v>
      </c>
      <c r="BC988" s="761" t="str">
        <f>CONCATENATE("MANT",COUNTIF($Y$7:Y988,Y988))</f>
        <v>MANT11</v>
      </c>
      <c r="BD988" s="29" t="str">
        <f>CONCATENATE(BDEGENER[[#This Row],[SERIE]],BDEGENER[[#This Row],[GA5]])</f>
        <v>3003415536MANT11</v>
      </c>
      <c r="BE988" s="29" t="str">
        <f>CONCATENATE(BDEGENER[[#This Row],[CODIGO PATRIMONIAL]],BDEGENER[[#This Row],[GA5]])</f>
        <v>SUR-GEG-0008MANT11</v>
      </c>
      <c r="BF988" s="16">
        <f>COUNTIF(BDEGENER[SERIE],BDEGENER[[#This Row],[SERIE]])</f>
        <v>12</v>
      </c>
      <c r="BG988" s="761" t="str">
        <f>CONCATENATE("F",COUNTIF($K$7:K988,K988))</f>
        <v>F2</v>
      </c>
      <c r="BH988" s="325" t="str">
        <f>CONCATENATE(BDEGENER[[#This Row],[FECHA DE SERVICIO]],BDEGENER[[#This Row],[N° DE REGISTROS DEL DIA]])</f>
        <v>43578F2</v>
      </c>
      <c r="BI988" s="324"/>
      <c r="BJ988" s="325"/>
      <c r="BK988" s="326"/>
    </row>
    <row r="989" spans="2:63" ht="69" hidden="1" x14ac:dyDescent="0.3">
      <c r="B989" s="34"/>
      <c r="C989" s="34"/>
      <c r="D989" s="34"/>
      <c r="E989" s="34"/>
      <c r="F989" s="34"/>
      <c r="G989" s="34"/>
      <c r="H989" s="34"/>
      <c r="I989" s="34"/>
      <c r="J989" s="34"/>
      <c r="K989" s="37">
        <v>43578</v>
      </c>
      <c r="L989" s="30" t="s">
        <v>561</v>
      </c>
      <c r="M989" s="19" t="s">
        <v>573</v>
      </c>
      <c r="N989" s="19" t="s">
        <v>574</v>
      </c>
      <c r="O989" s="19"/>
      <c r="P989" s="19"/>
      <c r="Q989" s="19" t="s">
        <v>37</v>
      </c>
      <c r="R989" s="85" t="s">
        <v>1782</v>
      </c>
      <c r="S989" s="19" t="s">
        <v>331</v>
      </c>
      <c r="T989" s="85" t="s">
        <v>1782</v>
      </c>
      <c r="U989" s="19" t="s">
        <v>715</v>
      </c>
      <c r="V989" s="19" t="s">
        <v>146</v>
      </c>
      <c r="W989" s="19"/>
      <c r="X989" s="19"/>
      <c r="Y989" s="31">
        <v>3003415539</v>
      </c>
      <c r="Z989" s="692" t="s">
        <v>2600</v>
      </c>
      <c r="AA989" s="19" t="s">
        <v>33</v>
      </c>
      <c r="AB989" s="19" t="s">
        <v>217</v>
      </c>
      <c r="AC989" s="19" t="s">
        <v>749</v>
      </c>
      <c r="AD989" s="16"/>
      <c r="AE989" s="16"/>
      <c r="AF989" s="146">
        <v>1717.4</v>
      </c>
      <c r="AG989" s="16"/>
      <c r="AH989" s="16"/>
      <c r="AI989" s="16"/>
      <c r="AJ989" s="16"/>
      <c r="AK989" s="16"/>
      <c r="AL989" s="16"/>
      <c r="AM989" s="16"/>
      <c r="AN989" s="16"/>
      <c r="AO989" s="16"/>
      <c r="AP989" s="19" t="s">
        <v>240</v>
      </c>
      <c r="AQ989" s="6" t="str">
        <f>CONCATENATE("REG-",BDEGENER[[#This Row],[FECHA DE SERVICIO]],"-",BDEGENER[[#This Row],[SERIE]],"-",BDEGENER[[#This Row],[HORAS]])</f>
        <v>REG-43578-3003415539-1717,4</v>
      </c>
      <c r="AR989" s="5" t="str">
        <f>CONCATENATE("MARCA: ",BDEGENER[[#This Row],[MARCA]],"
 MODELO: ",BDEGENER[[#This Row],[MODELO]])</f>
        <v>MARCA: GENERAC
 MODELO: RG022</v>
      </c>
      <c r="AS989" s="5" t="str">
        <f>CONCATENATE("MARCA: ",BDEGENER[[#This Row],[MARCA DE MOTOR]],"
SERIE: ",BDEGENER[[#This Row],[SERIE DE MOTOR]])</f>
        <v xml:space="preserve">MARCA: 
SERIE: </v>
      </c>
      <c r="AT989" s="5" t="str">
        <f>CONCATENATE("MARCA: ",BDEGENER[[#This Row],[MARCA ALTERNADOR ]],"
SERIE: ",BDEGENER[[#This Row],[SERIE DE ALTERNADOR]])</f>
        <v xml:space="preserve">MARCA: 
SERIE: </v>
      </c>
      <c r="AU989" s="29" t="str">
        <f>CONCATENATE("HORAS: ",BDEGENER[[#This Row],[HORAS]],"
KW-HR: ",BDEGENER[[#This Row],[KW-HORA]],"
VOLT.BATERIA: ",BDEGENER[[#This Row],[VOLTAJE DE BATERIA]],"
TEMPERATURA: ",BDEGENER[[#This Row],[TEMPERATURA DE AGUA]],"
PRES. ACEITE: ",BDEGENER[[#This Row],[PRESION DE ACEITE]])</f>
        <v xml:space="preserve">HORAS: 1717,4
KW-HR: 
VOLT.BATERIA: 
TEMPERATURA: 
PRES. ACEITE: </v>
      </c>
      <c r="AV989" s="683">
        <f>COUNTIFS(Q989:Q2989,"MANTENIMIENTO CORRECTIVO",Y989:Y2989,BDEGENER[[#This Row],[SERIE]])</f>
        <v>0</v>
      </c>
      <c r="AW989" s="683">
        <f>COUNTIFS(Q989:Q2989,"MANTENIMIENTO PREVENTIVO",Y989:Y2989,BDEGENER[[#This Row],[SERIE]])</f>
        <v>3</v>
      </c>
      <c r="AX98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989" s="29">
        <f>COUNTIFS(BDEGENER[SERIE],BDEGENER[[#This Row],[SERIE]],BDEGENER[TIPO DE SERVICIO],"MANTENIMIENTO PREVENTIVO")</f>
        <v>11</v>
      </c>
      <c r="AZ989" s="29" t="str">
        <f>CONCATENATE("MANTENIMIENTO PREVENTIVO N°",BDEGENER[[#This Row],[GA1]])</f>
        <v>MANTENIMIENTO PREVENTIVO N°11</v>
      </c>
      <c r="BA989" s="325" t="str">
        <f>IF(BDEGENER[[#This Row],[SERVICIO]]=BDEGENER[[#This Row],[GA2]],BDEGENER[[#This Row],[HORAS]],"0")</f>
        <v>0</v>
      </c>
      <c r="BB989" s="325">
        <f>SUMIF(BDEGENER[SERIE],BDEGENER[[#This Row],[SERIE]],BDEGENER[GA3])</f>
        <v>5881.6</v>
      </c>
      <c r="BC989" s="683" t="str">
        <f>CONCATENATE("MANT",COUNTIF($Y$7:Y989,Y989))</f>
        <v>MANT14</v>
      </c>
      <c r="BD989" s="29" t="str">
        <f>CONCATENATE(BDEGENER[[#This Row],[SERIE]],BDEGENER[[#This Row],[GA5]])</f>
        <v>3003415539MANT14</v>
      </c>
      <c r="BE989" s="29" t="str">
        <f>CONCATENATE(BDEGENER[[#This Row],[CODIGO PATRIMONIAL]],BDEGENER[[#This Row],[GA5]])</f>
        <v>SUR-GEG-0004MANT14</v>
      </c>
      <c r="BF989" s="16">
        <f>COUNTIF(BDEGENER[SERIE],BDEGENER[[#This Row],[SERIE]])</f>
        <v>16</v>
      </c>
      <c r="BG989" s="683" t="str">
        <f>CONCATENATE("F",COUNTIF($K$7:K989,K989))</f>
        <v>F3</v>
      </c>
      <c r="BH989" s="325" t="str">
        <f>CONCATENATE(BDEGENER[[#This Row],[FECHA DE SERVICIO]],BDEGENER[[#This Row],[N° DE REGISTROS DEL DIA]])</f>
        <v>43578F3</v>
      </c>
      <c r="BI989" s="324"/>
      <c r="BJ989" s="325"/>
      <c r="BK989" s="326"/>
    </row>
    <row r="990" spans="2:63" ht="69" hidden="1" x14ac:dyDescent="0.3">
      <c r="B990" s="5"/>
      <c r="C990" s="34"/>
      <c r="D990" s="34"/>
      <c r="E990" s="34"/>
      <c r="F990" s="34"/>
      <c r="G990" s="34"/>
      <c r="H990" s="34"/>
      <c r="I990" s="34"/>
      <c r="J990" s="34"/>
      <c r="K990" s="37">
        <v>43578</v>
      </c>
      <c r="L990" s="31" t="s">
        <v>791</v>
      </c>
      <c r="M990" s="19" t="s">
        <v>1927</v>
      </c>
      <c r="N990" s="683" t="s">
        <v>794</v>
      </c>
      <c r="O990" s="35"/>
      <c r="P990" s="3"/>
      <c r="Q990" s="19" t="s">
        <v>37</v>
      </c>
      <c r="R990" s="85" t="s">
        <v>1782</v>
      </c>
      <c r="S990" s="19" t="s">
        <v>817</v>
      </c>
      <c r="T990" s="85" t="s">
        <v>1782</v>
      </c>
      <c r="U990" s="19" t="s">
        <v>818</v>
      </c>
      <c r="V990" s="19" t="s">
        <v>149</v>
      </c>
      <c r="W990" s="19"/>
      <c r="X990" s="19"/>
      <c r="Y990" s="31" t="s">
        <v>837</v>
      </c>
      <c r="Z990" s="16"/>
      <c r="AA990" s="19" t="s">
        <v>845</v>
      </c>
      <c r="AB990" s="19" t="s">
        <v>846</v>
      </c>
      <c r="AC990" s="19" t="s">
        <v>853</v>
      </c>
      <c r="AD990" s="16"/>
      <c r="AE990" s="16"/>
      <c r="AF990" s="31">
        <v>357.1</v>
      </c>
      <c r="AG990" s="683" t="s">
        <v>243</v>
      </c>
      <c r="AH990" s="683" t="s">
        <v>2293</v>
      </c>
      <c r="AI990" s="19" t="s">
        <v>867</v>
      </c>
      <c r="AJ990" s="19" t="s">
        <v>862</v>
      </c>
      <c r="AK990" s="16" t="s">
        <v>845</v>
      </c>
      <c r="AL990" s="16">
        <v>66612</v>
      </c>
      <c r="AM990" s="16" t="s">
        <v>1157</v>
      </c>
      <c r="AN990" s="16" t="s">
        <v>2309</v>
      </c>
      <c r="AO990" s="16" t="s">
        <v>1108</v>
      </c>
      <c r="AP990" s="19" t="s">
        <v>240</v>
      </c>
      <c r="AQ990" s="127" t="str">
        <f>CONCATENATE("REG-",BDEGENER[[#This Row],[FECHA DE SERVICIO]],"-",BDEGENER[[#This Row],[SERIE]],"-",BDEGENER[[#This Row],[HORAS]])</f>
        <v>REG-43578-123231-0306-357,1</v>
      </c>
      <c r="AR990" s="29" t="str">
        <f>CONCATENATE("MARCA: ",BDEGENER[[#This Row],[MARCA]],"
 MODELO: ",BDEGENER[[#This Row],[MODELO]])</f>
        <v>MARCA: KATOLIGHT
 MODELO: SEN25FGNH</v>
      </c>
      <c r="AS990" s="29" t="str">
        <f>CONCATENATE("MARCA: ",BDEGENER[[#This Row],[MARCA DE MOTOR]],"
SERIE: ",BDEGENER[[#This Row],[SERIE DE MOTOR]])</f>
        <v>MARCA: NISSAN
SERIE: 5Y21F</v>
      </c>
      <c r="AT990" s="29" t="str">
        <f>CONCATENATE("MARCA: ",BDEGENER[[#This Row],[MARCA ALTERNADOR ]],"
SERIE: ",BDEGENER[[#This Row],[SERIE DE ALTERNADOR]])</f>
        <v>MARCA: KATOLIGHT
SERIE: 66612</v>
      </c>
      <c r="AU990" s="29" t="str">
        <f>CONCATENATE("HORAS: ",BDEGENER[[#This Row],[HORAS]],"
KW-HR: ",BDEGENER[[#This Row],[KW-HORA]],"
VOLT.BATERIA: ",BDEGENER[[#This Row],[VOLTAJE DE BATERIA]],"
TEMPERATURA: ",BDEGENER[[#This Row],[TEMPERATURA DE AGUA]],"
PRES. ACEITE: ",BDEGENER[[#This Row],[PRESION DE ACEITE]])</f>
        <v>HORAS: 357,1
KW-HR: 
VOLT.BATERIA: 13.9 V
TEMPERATURA: 125 °F
PRES. ACEITE: 49 PSI</v>
      </c>
      <c r="AV990" s="683">
        <f>COUNTIFS(Q990:Q2990,"MANTENIMIENTO CORRECTIVO",Y990:Y2990,BDEGENER[[#This Row],[SERIE]])</f>
        <v>1</v>
      </c>
      <c r="AW990" s="683">
        <f>COUNTIFS(Q990:Q2990,"MANTENIMIENTO PREVENTIVO",Y990:Y2990,BDEGENER[[#This Row],[SERIE]])</f>
        <v>2</v>
      </c>
      <c r="AX99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90" s="29">
        <f>COUNTIFS(BDEGENER[SERIE],BDEGENER[[#This Row],[SERIE]],BDEGENER[TIPO DE SERVICIO],"MANTENIMIENTO PREVENTIVO")</f>
        <v>4</v>
      </c>
      <c r="AZ990" s="29" t="str">
        <f>CONCATENATE("MANTENIMIENTO PREVENTIVO N°",BDEGENER[[#This Row],[GA1]])</f>
        <v>MANTENIMIENTO PREVENTIVO N°4</v>
      </c>
      <c r="BA990" s="325" t="str">
        <f>IF(BDEGENER[[#This Row],[SERVICIO]]=BDEGENER[[#This Row],[GA2]],BDEGENER[[#This Row],[HORAS]],"0")</f>
        <v>0</v>
      </c>
      <c r="BB990" s="325">
        <f>SUMIF(BDEGENER[SERIE],BDEGENER[[#This Row],[SERIE]],BDEGENER[GA3])</f>
        <v>383</v>
      </c>
      <c r="BC990" s="683" t="str">
        <f>CONCATENATE("MANT",COUNTIF($Y$7:Y990,Y990))</f>
        <v>MANT3</v>
      </c>
      <c r="BD990" s="29" t="str">
        <f>CONCATENATE(BDEGENER[[#This Row],[SERIE]],BDEGENER[[#This Row],[GA5]])</f>
        <v>123231-0306MANT3</v>
      </c>
      <c r="BE990" s="29" t="str">
        <f>CONCATENATE(BDEGENER[[#This Row],[CODIGO PATRIMONIAL]],BDEGENER[[#This Row],[GA5]])</f>
        <v>MANT3</v>
      </c>
      <c r="BF990" s="16">
        <f>COUNTIF(BDEGENER[SERIE],BDEGENER[[#This Row],[SERIE]])</f>
        <v>5</v>
      </c>
      <c r="BG990" s="683" t="str">
        <f>CONCATENATE("F",COUNTIF($K$7:K990,K990))</f>
        <v>F4</v>
      </c>
      <c r="BH990" s="325" t="str">
        <f>CONCATENATE(BDEGENER[[#This Row],[FECHA DE SERVICIO]],BDEGENER[[#This Row],[N° DE REGISTROS DEL DIA]])</f>
        <v>43578F4</v>
      </c>
      <c r="BI990" s="324"/>
      <c r="BJ990" s="325"/>
      <c r="BK990" s="326"/>
    </row>
    <row r="991" spans="2:63" ht="69" hidden="1" x14ac:dyDescent="0.3">
      <c r="B991" s="5"/>
      <c r="C991" s="34"/>
      <c r="D991" s="34"/>
      <c r="E991" s="34"/>
      <c r="F991" s="34"/>
      <c r="G991" s="34"/>
      <c r="H991" s="34"/>
      <c r="I991" s="34"/>
      <c r="J991" s="34"/>
      <c r="K991" s="37">
        <v>43578</v>
      </c>
      <c r="L991" s="85" t="s">
        <v>791</v>
      </c>
      <c r="M991" s="19" t="s">
        <v>1926</v>
      </c>
      <c r="N991" s="19" t="s">
        <v>795</v>
      </c>
      <c r="O991" s="35"/>
      <c r="P991" s="3"/>
      <c r="Q991" s="19" t="s">
        <v>37</v>
      </c>
      <c r="R991" s="85" t="s">
        <v>1782</v>
      </c>
      <c r="S991" s="19" t="s">
        <v>819</v>
      </c>
      <c r="T991" s="19" t="s">
        <v>820</v>
      </c>
      <c r="U991" s="19" t="s">
        <v>821</v>
      </c>
      <c r="V991" s="19" t="s">
        <v>149</v>
      </c>
      <c r="W991" s="85" t="s">
        <v>913</v>
      </c>
      <c r="X991" s="85" t="s">
        <v>918</v>
      </c>
      <c r="Y991" s="15" t="s">
        <v>838</v>
      </c>
      <c r="Z991" s="16"/>
      <c r="AA991" s="19" t="s">
        <v>845</v>
      </c>
      <c r="AB991" s="19" t="s">
        <v>847</v>
      </c>
      <c r="AC991" s="19" t="s">
        <v>232</v>
      </c>
      <c r="AD991" s="85" t="s">
        <v>2290</v>
      </c>
      <c r="AE991" s="85">
        <v>60.1</v>
      </c>
      <c r="AF991" s="146">
        <v>90</v>
      </c>
      <c r="AG991" s="85" t="s">
        <v>243</v>
      </c>
      <c r="AH991" s="85" t="s">
        <v>2293</v>
      </c>
      <c r="AI991" s="85" t="s">
        <v>2147</v>
      </c>
      <c r="AJ991" s="19" t="s">
        <v>863</v>
      </c>
      <c r="AK991" s="85" t="s">
        <v>845</v>
      </c>
      <c r="AL991" s="16">
        <v>664946</v>
      </c>
      <c r="AM991" s="16" t="s">
        <v>245</v>
      </c>
      <c r="AN991" s="16" t="s">
        <v>2295</v>
      </c>
      <c r="AO991" s="16" t="s">
        <v>1153</v>
      </c>
      <c r="AP991" s="19" t="s">
        <v>240</v>
      </c>
      <c r="AQ991" s="127" t="str">
        <f>CONCATENATE("REG-",BDEGENER[[#This Row],[FECHA DE SERVICIO]],"-",BDEGENER[[#This Row],[SERIE]],"-",BDEGENER[[#This Row],[HORAS]])</f>
        <v>REG-43578-123234-0306-90</v>
      </c>
      <c r="AR991" s="29" t="str">
        <f>CONCATENATE("MARCA: ",BDEGENER[[#This Row],[MARCA]],"
 MODELO: ",BDEGENER[[#This Row],[MODELO]])</f>
        <v>MARCA: KATOLIGHT
 MODELO: SEN40FPG4</v>
      </c>
      <c r="AS991" s="29" t="str">
        <f>CONCATENATE("MARCA: ",BDEGENER[[#This Row],[MARCA DE MOTOR]],"
SERIE: ",BDEGENER[[#This Row],[SERIE DE MOTOR]])</f>
        <v>MARCA: VORTEC
SERIE: 4P3L32844</v>
      </c>
      <c r="AT991" s="29" t="str">
        <f>CONCATENATE("MARCA: ",BDEGENER[[#This Row],[MARCA ALTERNADOR ]],"
SERIE: ",BDEGENER[[#This Row],[SERIE DE ALTERNADOR]])</f>
        <v>MARCA: KATOLIGHT
SERIE: 664946</v>
      </c>
      <c r="AU991" s="29" t="str">
        <f>CONCATENATE("HORAS: ",BDEGENER[[#This Row],[HORAS]],"
KW-HR: ",BDEGENER[[#This Row],[KW-HORA]],"
VOLT.BATERIA: ",BDEGENER[[#This Row],[VOLTAJE DE BATERIA]],"
TEMPERATURA: ",BDEGENER[[#This Row],[TEMPERATURA DE AGUA]],"
PRES. ACEITE: ",BDEGENER[[#This Row],[PRESION DE ACEITE]])</f>
        <v>HORAS: 90
KW-HR: 
VOLT.BATERIA: 13.6 V
TEMPERATURA: 140 °C
PRES. ACEITE: 45 PSI</v>
      </c>
      <c r="AV991" s="761">
        <f>COUNTIFS(Q991:Q2991,"MANTENIMIENTO CORRECTIVO",Y991:Y2991,BDEGENER[[#This Row],[SERIE]])</f>
        <v>0</v>
      </c>
      <c r="AW991" s="761">
        <f>COUNTIFS(Q991:Q2991,"MANTENIMIENTO PREVENTIVO",Y991:Y2991,BDEGENER[[#This Row],[SERIE]])</f>
        <v>2</v>
      </c>
      <c r="AX99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91" s="29">
        <f>COUNTIFS(BDEGENER[SERIE],BDEGENER[[#This Row],[SERIE]],BDEGENER[TIPO DE SERVICIO],"MANTENIMIENTO PREVENTIVO")</f>
        <v>4</v>
      </c>
      <c r="AZ991" s="29" t="str">
        <f>CONCATENATE("MANTENIMIENTO PREVENTIVO N°",BDEGENER[[#This Row],[GA1]])</f>
        <v>MANTENIMIENTO PREVENTIVO N°4</v>
      </c>
      <c r="BA991" s="325" t="str">
        <f>IF(BDEGENER[[#This Row],[SERVICIO]]=BDEGENER[[#This Row],[GA2]],BDEGENER[[#This Row],[HORAS]],"0")</f>
        <v>0</v>
      </c>
      <c r="BB991" s="325">
        <f>SUMIF(BDEGENER[SERIE],BDEGENER[[#This Row],[SERIE]],BDEGENER[GA3])</f>
        <v>90</v>
      </c>
      <c r="BC991" s="761" t="str">
        <f>CONCATENATE("MANT",COUNTIF($Y$7:Y991,Y991))</f>
        <v>MANT3</v>
      </c>
      <c r="BD991" s="29" t="str">
        <f>CONCATENATE(BDEGENER[[#This Row],[SERIE]],BDEGENER[[#This Row],[GA5]])</f>
        <v>123234-0306MANT3</v>
      </c>
      <c r="BE991" s="29" t="str">
        <f>CONCATENATE(BDEGENER[[#This Row],[CODIGO PATRIMONIAL]],BDEGENER[[#This Row],[GA5]])</f>
        <v>MANT3</v>
      </c>
      <c r="BF991" s="16">
        <f>COUNTIF(BDEGENER[SERIE],BDEGENER[[#This Row],[SERIE]])</f>
        <v>5</v>
      </c>
      <c r="BG991" s="761" t="str">
        <f>CONCATENATE("F",COUNTIF($K$7:K991,K991))</f>
        <v>F5</v>
      </c>
      <c r="BH991" s="325" t="str">
        <f>CONCATENATE(BDEGENER[[#This Row],[FECHA DE SERVICIO]],BDEGENER[[#This Row],[N° DE REGISTROS DEL DIA]])</f>
        <v>43578F5</v>
      </c>
      <c r="BI991" s="324"/>
      <c r="BJ991" s="325"/>
      <c r="BK991" s="326"/>
    </row>
    <row r="992" spans="2:63" ht="69" hidden="1" x14ac:dyDescent="0.3">
      <c r="B992" s="34"/>
      <c r="C992" s="34"/>
      <c r="D992" s="34"/>
      <c r="E992" s="34"/>
      <c r="F992" s="34"/>
      <c r="G992" s="34"/>
      <c r="H992" s="34"/>
      <c r="I992" s="34"/>
      <c r="J992" s="34"/>
      <c r="K992" s="37">
        <v>43577</v>
      </c>
      <c r="L992" s="739" t="s">
        <v>561</v>
      </c>
      <c r="M992" s="19" t="s">
        <v>567</v>
      </c>
      <c r="N992" s="19" t="s">
        <v>568</v>
      </c>
      <c r="O992" s="19"/>
      <c r="P992" s="19"/>
      <c r="Q992" s="19" t="s">
        <v>37</v>
      </c>
      <c r="R992" s="85" t="s">
        <v>1782</v>
      </c>
      <c r="S992" s="19" t="s">
        <v>636</v>
      </c>
      <c r="T992" s="85" t="s">
        <v>1782</v>
      </c>
      <c r="U992" s="19" t="s">
        <v>716</v>
      </c>
      <c r="V992" s="19" t="s">
        <v>146</v>
      </c>
      <c r="W992" s="740"/>
      <c r="X992" s="741"/>
      <c r="Y992" s="156">
        <v>3003415544</v>
      </c>
      <c r="Z992" s="692" t="s">
        <v>2601</v>
      </c>
      <c r="AA992" s="19" t="s">
        <v>33</v>
      </c>
      <c r="AB992" s="19" t="s">
        <v>217</v>
      </c>
      <c r="AC992" s="19" t="s">
        <v>749</v>
      </c>
      <c r="AD992" s="722"/>
      <c r="AE992" s="722"/>
      <c r="AF992" s="146">
        <v>1557.7</v>
      </c>
      <c r="AG992" s="722"/>
      <c r="AH992" s="722"/>
      <c r="AI992" s="722"/>
      <c r="AJ992" s="16"/>
      <c r="AK992" s="722"/>
      <c r="AL992" s="16"/>
      <c r="AM992" s="16"/>
      <c r="AN992" s="16"/>
      <c r="AO992" s="16"/>
      <c r="AP992" s="19" t="s">
        <v>240</v>
      </c>
      <c r="AQ992" s="6" t="str">
        <f>CONCATENATE("REG-",BDEGENER[[#This Row],[FECHA DE SERVICIO]],"-",BDEGENER[[#This Row],[SERIE]],"-",BDEGENER[[#This Row],[HORAS]])</f>
        <v>REG-43577-3003415544-1557,7</v>
      </c>
      <c r="AR992" s="5" t="str">
        <f>CONCATENATE("MARCA: ",BDEGENER[[#This Row],[MARCA]],"
 MODELO: ",BDEGENER[[#This Row],[MODELO]])</f>
        <v>MARCA: GENERAC
 MODELO: RG022</v>
      </c>
      <c r="AS992" s="5" t="str">
        <f>CONCATENATE("MARCA: ",BDEGENER[[#This Row],[MARCA DE MOTOR]],"
SERIE: ",BDEGENER[[#This Row],[SERIE DE MOTOR]])</f>
        <v xml:space="preserve">MARCA: 
SERIE: </v>
      </c>
      <c r="AT992" s="5" t="str">
        <f>CONCATENATE("MARCA: ",BDEGENER[[#This Row],[MARCA ALTERNADOR ]],"
SERIE: ",BDEGENER[[#This Row],[SERIE DE ALTERNADOR]])</f>
        <v xml:space="preserve">MARCA: 
SERIE: </v>
      </c>
      <c r="AU992" s="29" t="str">
        <f>CONCATENATE("HORAS: ",BDEGENER[[#This Row],[HORAS]],"
KW-HR: ",BDEGENER[[#This Row],[KW-HORA]],"
VOLT.BATERIA: ",BDEGENER[[#This Row],[VOLTAJE DE BATERIA]],"
TEMPERATURA: ",BDEGENER[[#This Row],[TEMPERATURA DE AGUA]],"
PRES. ACEITE: ",BDEGENER[[#This Row],[PRESION DE ACEITE]])</f>
        <v xml:space="preserve">HORAS: 1557,7
KW-HR: 
VOLT.BATERIA: 
TEMPERATURA: 
PRES. ACEITE: </v>
      </c>
      <c r="AV992" s="683">
        <f>COUNTIFS(Q992:Q2992,"MANTENIMIENTO CORRECTIVO",Y992:Y2992,BDEGENER[[#This Row],[SERIE]])</f>
        <v>0</v>
      </c>
      <c r="AW992" s="683">
        <f>COUNTIFS(Q992:Q2992,"MANTENIMIENTO PREVENTIVO",Y992:Y2992,BDEGENER[[#This Row],[SERIE]])</f>
        <v>4</v>
      </c>
      <c r="AX99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992" s="29">
        <f>COUNTIFS(BDEGENER[SERIE],BDEGENER[[#This Row],[SERIE]],BDEGENER[TIPO DE SERVICIO],"MANTENIMIENTO PREVENTIVO")</f>
        <v>9</v>
      </c>
      <c r="AZ992" s="29" t="str">
        <f>CONCATENATE("MANTENIMIENTO PREVENTIVO N°",BDEGENER[[#This Row],[GA1]])</f>
        <v>MANTENIMIENTO PREVENTIVO N°9</v>
      </c>
      <c r="BA992" s="325" t="str">
        <f>IF(BDEGENER[[#This Row],[SERVICIO]]=BDEGENER[[#This Row],[GA2]],BDEGENER[[#This Row],[HORAS]],"0")</f>
        <v>0</v>
      </c>
      <c r="BB992" s="325">
        <f>SUMIF(BDEGENER[SERIE],BDEGENER[[#This Row],[SERIE]],BDEGENER[GA3])</f>
        <v>5449.4</v>
      </c>
      <c r="BC992" s="683" t="str">
        <f>CONCATENATE("MANT",COUNTIF($Y$7:Y992,Y992))</f>
        <v>MANT10</v>
      </c>
      <c r="BD992" s="29" t="str">
        <f>CONCATENATE(BDEGENER[[#This Row],[SERIE]],BDEGENER[[#This Row],[GA5]])</f>
        <v>3003415544MANT10</v>
      </c>
      <c r="BE992" s="29" t="str">
        <f>CONCATENATE(BDEGENER[[#This Row],[CODIGO PATRIMONIAL]],BDEGENER[[#This Row],[GA5]])</f>
        <v>SUR-GEG-0005MANT10</v>
      </c>
      <c r="BF992" s="16">
        <f>COUNTIF(BDEGENER[SERIE],BDEGENER[[#This Row],[SERIE]])</f>
        <v>13</v>
      </c>
      <c r="BG992" s="683" t="str">
        <f>CONCATENATE("F",COUNTIF($K$7:K992,K992))</f>
        <v>F1</v>
      </c>
      <c r="BH992" s="325" t="str">
        <f>CONCATENATE(BDEGENER[[#This Row],[FECHA DE SERVICIO]],BDEGENER[[#This Row],[N° DE REGISTROS DEL DIA]])</f>
        <v>43577F1</v>
      </c>
      <c r="BI992" s="324"/>
      <c r="BJ992" s="325"/>
      <c r="BK992" s="326"/>
    </row>
    <row r="993" spans="2:63" ht="69" hidden="1" x14ac:dyDescent="0.3">
      <c r="B993" s="34"/>
      <c r="C993" s="34"/>
      <c r="D993" s="34"/>
      <c r="E993" s="34"/>
      <c r="F993" s="34"/>
      <c r="G993" s="34"/>
      <c r="H993" s="34"/>
      <c r="I993" s="34"/>
      <c r="J993" s="34"/>
      <c r="K993" s="37">
        <v>43573</v>
      </c>
      <c r="L993" s="30" t="s">
        <v>561</v>
      </c>
      <c r="M993" s="19" t="s">
        <v>588</v>
      </c>
      <c r="N993" s="19" t="s">
        <v>589</v>
      </c>
      <c r="O993" s="19"/>
      <c r="P993" s="19"/>
      <c r="Q993" s="19" t="s">
        <v>107</v>
      </c>
      <c r="R993" s="85" t="s">
        <v>1782</v>
      </c>
      <c r="S993" s="19" t="s">
        <v>637</v>
      </c>
      <c r="T993" s="85" t="s">
        <v>1782</v>
      </c>
      <c r="U993" s="19" t="s">
        <v>717</v>
      </c>
      <c r="V993" s="19" t="s">
        <v>149</v>
      </c>
      <c r="W993" s="85" t="s">
        <v>914</v>
      </c>
      <c r="X993" s="85" t="s">
        <v>918</v>
      </c>
      <c r="Y993" s="31">
        <v>3003566699</v>
      </c>
      <c r="Z993" s="692" t="s">
        <v>2619</v>
      </c>
      <c r="AA993" s="19" t="s">
        <v>33</v>
      </c>
      <c r="AB993" s="85" t="s">
        <v>34</v>
      </c>
      <c r="AC993" s="19" t="s">
        <v>230</v>
      </c>
      <c r="AD993" s="16"/>
      <c r="AE993" s="16"/>
      <c r="AF993" s="146">
        <v>1327</v>
      </c>
      <c r="AG993" s="16" t="s">
        <v>243</v>
      </c>
      <c r="AH993" s="16" t="s">
        <v>244</v>
      </c>
      <c r="AI993" s="16"/>
      <c r="AJ993" s="16"/>
      <c r="AK993" s="16"/>
      <c r="AL993" s="16"/>
      <c r="AM993" s="16"/>
      <c r="AN993" s="16"/>
      <c r="AO993" s="16"/>
      <c r="AP993" s="19" t="s">
        <v>240</v>
      </c>
      <c r="AQ993" s="6" t="str">
        <f>CONCATENATE("REG-",BDEGENER[[#This Row],[FECHA DE SERVICIO]],"-",BDEGENER[[#This Row],[SERIE]],"-",BDEGENER[[#This Row],[HORAS]])</f>
        <v>REG-43573-3003566699-1327</v>
      </c>
      <c r="AR993" s="5" t="str">
        <f>CONCATENATE("MARCA: ",BDEGENER[[#This Row],[MARCA]],"
 MODELO: ",BDEGENER[[#This Row],[MODELO]])</f>
        <v>MARCA: GENERAC
 MODELO: PG090</v>
      </c>
      <c r="AS993" s="5" t="str">
        <f>CONCATENATE("MARCA: ",BDEGENER[[#This Row],[MARCA DE MOTOR]],"
SERIE: ",BDEGENER[[#This Row],[SERIE DE MOTOR]])</f>
        <v xml:space="preserve">MARCA: 
SERIE: </v>
      </c>
      <c r="AT993" s="5" t="str">
        <f>CONCATENATE("MARCA: ",BDEGENER[[#This Row],[MARCA ALTERNADOR ]],"
SERIE: ",BDEGENER[[#This Row],[SERIE DE ALTERNADOR]])</f>
        <v xml:space="preserve">MARCA: 
SERIE: </v>
      </c>
      <c r="AU993" s="29" t="str">
        <f>CONCATENATE("HORAS: ",BDEGENER[[#This Row],[HORAS]],"
KW-HR: ",BDEGENER[[#This Row],[KW-HORA]],"
VOLT.BATERIA: ",BDEGENER[[#This Row],[VOLTAJE DE BATERIA]],"
TEMPERATURA: ",BDEGENER[[#This Row],[TEMPERATURA DE AGUA]],"
PRES. ACEITE: ",BDEGENER[[#This Row],[PRESION DE ACEITE]])</f>
        <v xml:space="preserve">HORAS: 1327
KW-HR: 
VOLT.BATERIA: 
TEMPERATURA: 
PRES. ACEITE: </v>
      </c>
      <c r="AV993" s="683">
        <f>COUNTIFS(Q993:Q2993,"MANTENIMIENTO CORRECTIVO",Y993:Y2993,BDEGENER[[#This Row],[SERIE]])</f>
        <v>2</v>
      </c>
      <c r="AW993" s="683">
        <f>COUNTIFS(Q993:Q2993,"MANTENIMIENTO PREVENTIVO",Y993:Y2993,BDEGENER[[#This Row],[SERIE]])</f>
        <v>3</v>
      </c>
      <c r="AX99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993" s="29">
        <f>COUNTIFS(BDEGENER[SERIE],BDEGENER[[#This Row],[SERIE]],BDEGENER[TIPO DE SERVICIO],"MANTENIMIENTO PREVENTIVO")</f>
        <v>12</v>
      </c>
      <c r="AZ993" s="29" t="str">
        <f>CONCATENATE("MANTENIMIENTO PREVENTIVO N°",BDEGENER[[#This Row],[GA1]])</f>
        <v>MANTENIMIENTO PREVENTIVO N°12</v>
      </c>
      <c r="BA993" s="325" t="str">
        <f>IF(BDEGENER[[#This Row],[SERVICIO]]=BDEGENER[[#This Row],[GA2]],BDEGENER[[#This Row],[HORAS]],"0")</f>
        <v>0</v>
      </c>
      <c r="BB993" s="325">
        <f>SUMIF(BDEGENER[SERIE],BDEGENER[[#This Row],[SERIE]],BDEGENER[GA3])</f>
        <v>8154.7</v>
      </c>
      <c r="BC993" s="683" t="str">
        <f>CONCATENATE("MANT",COUNTIF($Y$7:Y993,Y993))</f>
        <v>MANT13</v>
      </c>
      <c r="BD993" s="29" t="str">
        <f>CONCATENATE(BDEGENER[[#This Row],[SERIE]],BDEGENER[[#This Row],[GA5]])</f>
        <v>3003566699MANT13</v>
      </c>
      <c r="BE993" s="29" t="str">
        <f>CONCATENATE(BDEGENER[[#This Row],[CODIGO PATRIMONIAL]],BDEGENER[[#This Row],[GA5]])</f>
        <v>NOR-GEG-0021MANT13</v>
      </c>
      <c r="BF993" s="16">
        <f>COUNTIF(BDEGENER[SERIE],BDEGENER[[#This Row],[SERIE]])</f>
        <v>17</v>
      </c>
      <c r="BG993" s="683" t="str">
        <f>CONCATENATE("F",COUNTIF($K$7:K993,K993))</f>
        <v>F1</v>
      </c>
      <c r="BH993" s="325" t="str">
        <f>CONCATENATE(BDEGENER[[#This Row],[FECHA DE SERVICIO]],BDEGENER[[#This Row],[N° DE REGISTROS DEL DIA]])</f>
        <v>43573F1</v>
      </c>
      <c r="BI993" s="324"/>
      <c r="BJ993" s="325"/>
      <c r="BK993" s="326"/>
    </row>
    <row r="994" spans="2:63" ht="69" hidden="1" x14ac:dyDescent="0.3">
      <c r="B994" s="34"/>
      <c r="C994" s="34"/>
      <c r="D994" s="34"/>
      <c r="E994" s="34"/>
      <c r="F994" s="34"/>
      <c r="G994" s="34"/>
      <c r="H994" s="34"/>
      <c r="I994" s="34"/>
      <c r="J994" s="34"/>
      <c r="K994" s="37">
        <v>43565</v>
      </c>
      <c r="L994" s="30" t="s">
        <v>561</v>
      </c>
      <c r="M994" s="19" t="s">
        <v>565</v>
      </c>
      <c r="N994" s="19" t="s">
        <v>566</v>
      </c>
      <c r="O994" s="19"/>
      <c r="P994" s="19"/>
      <c r="Q994" s="19" t="s">
        <v>37</v>
      </c>
      <c r="R994" s="85" t="s">
        <v>1782</v>
      </c>
      <c r="S994" s="19" t="s">
        <v>638</v>
      </c>
      <c r="T994" s="85" t="s">
        <v>1782</v>
      </c>
      <c r="U994" s="19" t="s">
        <v>718</v>
      </c>
      <c r="V994" s="19" t="s">
        <v>146</v>
      </c>
      <c r="W994" s="19"/>
      <c r="X994" s="19"/>
      <c r="Y994" s="31">
        <v>3003415540</v>
      </c>
      <c r="Z994" s="19" t="s">
        <v>2605</v>
      </c>
      <c r="AA994" s="19" t="s">
        <v>33</v>
      </c>
      <c r="AB994" s="19" t="s">
        <v>217</v>
      </c>
      <c r="AC994" s="19" t="s">
        <v>749</v>
      </c>
      <c r="AD994" s="16"/>
      <c r="AE994" s="16"/>
      <c r="AF994" s="146">
        <v>1539.8</v>
      </c>
      <c r="AG994" s="16"/>
      <c r="AH994" s="16"/>
      <c r="AI994" s="16"/>
      <c r="AJ994" s="16"/>
      <c r="AK994" s="16"/>
      <c r="AL994" s="16"/>
      <c r="AM994" s="16"/>
      <c r="AN994" s="16"/>
      <c r="AO994" s="16"/>
      <c r="AP994" s="19" t="s">
        <v>240</v>
      </c>
      <c r="AQ994" s="6" t="str">
        <f>CONCATENATE("REG-",BDEGENER[[#This Row],[FECHA DE SERVICIO]],"-",BDEGENER[[#This Row],[SERIE]],"-",BDEGENER[[#This Row],[HORAS]])</f>
        <v>REG-43565-3003415540-1539,8</v>
      </c>
      <c r="AR994" s="5" t="str">
        <f>CONCATENATE("MARCA: ",BDEGENER[[#This Row],[MARCA]],"
 MODELO: ",BDEGENER[[#This Row],[MODELO]])</f>
        <v>MARCA: GENERAC
 MODELO: RG022</v>
      </c>
      <c r="AS994" s="5" t="str">
        <f>CONCATENATE("MARCA: ",BDEGENER[[#This Row],[MARCA DE MOTOR]],"
SERIE: ",BDEGENER[[#This Row],[SERIE DE MOTOR]])</f>
        <v xml:space="preserve">MARCA: 
SERIE: </v>
      </c>
      <c r="AT994" s="5" t="str">
        <f>CONCATENATE("MARCA: ",BDEGENER[[#This Row],[MARCA ALTERNADOR ]],"
SERIE: ",BDEGENER[[#This Row],[SERIE DE ALTERNADOR]])</f>
        <v xml:space="preserve">MARCA: 
SERIE: </v>
      </c>
      <c r="AU994" s="29" t="str">
        <f>CONCATENATE("HORAS: ",BDEGENER[[#This Row],[HORAS]],"
KW-HR: ",BDEGENER[[#This Row],[KW-HORA]],"
VOLT.BATERIA: ",BDEGENER[[#This Row],[VOLTAJE DE BATERIA]],"
TEMPERATURA: ",BDEGENER[[#This Row],[TEMPERATURA DE AGUA]],"
PRES. ACEITE: ",BDEGENER[[#This Row],[PRESION DE ACEITE]])</f>
        <v xml:space="preserve">HORAS: 1539,8
KW-HR: 
VOLT.BATERIA: 
TEMPERATURA: 
PRES. ACEITE: </v>
      </c>
      <c r="AV994" s="761">
        <f>COUNTIFS(Q994:Q2994,"MANTENIMIENTO CORRECTIVO",Y994:Y2994,BDEGENER[[#This Row],[SERIE]])</f>
        <v>0</v>
      </c>
      <c r="AW994" s="761">
        <f>COUNTIFS(Q994:Q2994,"MANTENIMIENTO PREVENTIVO",Y994:Y2994,BDEGENER[[#This Row],[SERIE]])</f>
        <v>3</v>
      </c>
      <c r="AX99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994" s="29">
        <f>COUNTIFS(BDEGENER[SERIE],BDEGENER[[#This Row],[SERIE]],BDEGENER[TIPO DE SERVICIO],"MANTENIMIENTO PREVENTIVO")</f>
        <v>6</v>
      </c>
      <c r="AZ994" s="29" t="str">
        <f>CONCATENATE("MANTENIMIENTO PREVENTIVO N°",BDEGENER[[#This Row],[GA1]])</f>
        <v>MANTENIMIENTO PREVENTIVO N°6</v>
      </c>
      <c r="BA994" s="325" t="str">
        <f>IF(BDEGENER[[#This Row],[SERVICIO]]=BDEGENER[[#This Row],[GA2]],BDEGENER[[#This Row],[HORAS]],"0")</f>
        <v>0</v>
      </c>
      <c r="BB994" s="325">
        <f>SUMIF(BDEGENER[SERIE],BDEGENER[[#This Row],[SERIE]],BDEGENER[GA3])</f>
        <v>4522.8999999999996</v>
      </c>
      <c r="BC994" s="761" t="str">
        <f>CONCATENATE("MANT",COUNTIF($Y$7:Y994,Y994))</f>
        <v>MANT4</v>
      </c>
      <c r="BD994" s="29" t="str">
        <f>CONCATENATE(BDEGENER[[#This Row],[SERIE]],BDEGENER[[#This Row],[GA5]])</f>
        <v>3003415540MANT4</v>
      </c>
      <c r="BE994" s="29" t="str">
        <f>CONCATENATE(BDEGENER[[#This Row],[CODIGO PATRIMONIAL]],BDEGENER[[#This Row],[GA5]])</f>
        <v>SUR-GEG-0009MANT4</v>
      </c>
      <c r="BF994" s="16">
        <f>COUNTIF(BDEGENER[SERIE],BDEGENER[[#This Row],[SERIE]])</f>
        <v>6</v>
      </c>
      <c r="BG994" s="761" t="str">
        <f>CONCATENATE("F",COUNTIF($K$7:K994,K994))</f>
        <v>F1</v>
      </c>
      <c r="BH994" s="325" t="str">
        <f>CONCATENATE(BDEGENER[[#This Row],[FECHA DE SERVICIO]],BDEGENER[[#This Row],[N° DE REGISTROS DEL DIA]])</f>
        <v>43565F1</v>
      </c>
      <c r="BI994" s="324"/>
      <c r="BJ994" s="325"/>
      <c r="BK994" s="326"/>
    </row>
    <row r="995" spans="2:63" ht="69" hidden="1" x14ac:dyDescent="0.3">
      <c r="B995" s="223"/>
      <c r="C995" s="223"/>
      <c r="D995" s="223"/>
      <c r="E995" s="223"/>
      <c r="F995" s="223"/>
      <c r="G995" s="223"/>
      <c r="H995" s="223"/>
      <c r="I995" s="223"/>
      <c r="J995" s="223"/>
      <c r="K995" s="723">
        <v>43564</v>
      </c>
      <c r="L995" s="15" t="s">
        <v>181</v>
      </c>
      <c r="M995" s="14" t="s">
        <v>201</v>
      </c>
      <c r="N995" s="14" t="s">
        <v>199</v>
      </c>
      <c r="O995" s="8"/>
      <c r="P995" s="10"/>
      <c r="Q995" s="14" t="s">
        <v>108</v>
      </c>
      <c r="R995" s="85" t="s">
        <v>1782</v>
      </c>
      <c r="S995" s="5" t="s">
        <v>62</v>
      </c>
      <c r="T995" s="14" t="s">
        <v>103</v>
      </c>
      <c r="U995" s="14"/>
      <c r="V995" s="14" t="s">
        <v>149</v>
      </c>
      <c r="W995" s="14"/>
      <c r="X995" s="14"/>
      <c r="Y995" s="15">
        <v>7954602</v>
      </c>
      <c r="Z995" s="14" t="s">
        <v>223</v>
      </c>
      <c r="AA995" s="14" t="s">
        <v>33</v>
      </c>
      <c r="AB995" s="14" t="s">
        <v>220</v>
      </c>
      <c r="AC995" s="14" t="s">
        <v>235</v>
      </c>
      <c r="AD995" s="16"/>
      <c r="AE995" s="16"/>
      <c r="AF995" s="12">
        <v>3479.2</v>
      </c>
      <c r="AG995" s="16"/>
      <c r="AH995" s="16"/>
      <c r="AI995" s="16"/>
      <c r="AJ995" s="16"/>
      <c r="AK995" s="16"/>
      <c r="AL995" s="16"/>
      <c r="AM995" s="16"/>
      <c r="AN995" s="16"/>
      <c r="AO995" s="16"/>
      <c r="AP995" s="14" t="s">
        <v>240</v>
      </c>
      <c r="AQ995" s="127" t="str">
        <f>CONCATENATE("REG-",BDEGENER[[#This Row],[FECHA DE SERVICIO]],"-",BDEGENER[[#This Row],[SERIE]],"-",BDEGENER[[#This Row],[HORAS]])</f>
        <v>REG-43564-7954602-3479,2</v>
      </c>
      <c r="AR995" s="5" t="str">
        <f>CONCATENATE("MARCA: ",BDEGENER[[#This Row],[MARCA]],"
 MODELO: ",BDEGENER[[#This Row],[MODELO]])</f>
        <v>MARCA: GENERAC
 MODELO: H100</v>
      </c>
      <c r="AS995" s="5" t="str">
        <f>CONCATENATE("MARCA: ",BDEGENER[[#This Row],[MARCA DE MOTOR]],"
SERIE: ",BDEGENER[[#This Row],[SERIE DE MOTOR]])</f>
        <v xml:space="preserve">MARCA: 
SERIE: </v>
      </c>
      <c r="AT995" s="5" t="str">
        <f>CONCATENATE("MARCA: ",BDEGENER[[#This Row],[MARCA ALTERNADOR ]],"
SERIE: ",BDEGENER[[#This Row],[SERIE DE ALTERNADOR]])</f>
        <v xml:space="preserve">MARCA: 
SERIE: </v>
      </c>
      <c r="AU995" s="5" t="str">
        <f>CONCATENATE("HORAS: ",BDEGENER[[#This Row],[HORAS]],"
KW-HR: ",BDEGENER[[#This Row],[KW-HORA]],"
VOLT.BATERIA: ",BDEGENER[[#This Row],[VOLTAJE DE BATERIA]],"
TEMPERATURA: ",BDEGENER[[#This Row],[TEMPERATURA DE AGUA]],"
PRES. ACEITE: ",BDEGENER[[#This Row],[PRESION DE ACEITE]])</f>
        <v xml:space="preserve">HORAS: 3479,2
KW-HR: 
VOLT.BATERIA: 
TEMPERATURA: 
PRES. ACEITE: </v>
      </c>
      <c r="AV995" s="683">
        <f>COUNTIFS(Q995:Q2995,"MANTENIMIENTO CORRECTIVO",Y995:Y2995,BDEGENER[[#This Row],[SERIE]])</f>
        <v>0</v>
      </c>
      <c r="AW995" s="683">
        <f>COUNTIFS(Q995:Q2995,"MANTENIMIENTO PREVENTIVO",Y995:Y2995,BDEGENER[[#This Row],[SERIE]])</f>
        <v>0</v>
      </c>
      <c r="AX99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995" s="29">
        <f>COUNTIFS(BDEGENER[SERIE],BDEGENER[[#This Row],[SERIE]],BDEGENER[TIPO DE SERVICIO],"MANTENIMIENTO PREVENTIVO")</f>
        <v>0</v>
      </c>
      <c r="AZ995" s="29" t="str">
        <f>CONCATENATE("MANTENIMIENTO PREVENTIVO N°",BDEGENER[[#This Row],[GA1]])</f>
        <v>MANTENIMIENTO PREVENTIVO N°0</v>
      </c>
      <c r="BA995" s="325" t="str">
        <f>IF(BDEGENER[[#This Row],[SERVICIO]]=BDEGENER[[#This Row],[GA2]],BDEGENER[[#This Row],[HORAS]],"0")</f>
        <v>0</v>
      </c>
      <c r="BB995" s="325">
        <f>SUMIF(BDEGENER[SERIE],BDEGENER[[#This Row],[SERIE]],BDEGENER[GA3])</f>
        <v>0</v>
      </c>
      <c r="BC995" s="683" t="str">
        <f>CONCATENATE("MANT",COUNTIF($Y$7:Y995,Y995))</f>
        <v>MANT2</v>
      </c>
      <c r="BD995" s="29" t="str">
        <f>CONCATENATE(BDEGENER[[#This Row],[SERIE]],BDEGENER[[#This Row],[GA5]])</f>
        <v>7954602MANT2</v>
      </c>
      <c r="BE995" s="29" t="str">
        <f>CONCATENATE(BDEGENER[[#This Row],[CODIGO PATRIMONIAL]],BDEGENER[[#This Row],[GA5]])</f>
        <v>GEGA07MANT2</v>
      </c>
      <c r="BF995" s="16">
        <f>COUNTIF(BDEGENER[SERIE],BDEGENER[[#This Row],[SERIE]])</f>
        <v>2</v>
      </c>
      <c r="BG995" s="683" t="str">
        <f>CONCATENATE("F",COUNTIF($K$7:K995,K995))</f>
        <v>F1</v>
      </c>
      <c r="BH995" s="325" t="str">
        <f>CONCATENATE(BDEGENER[[#This Row],[FECHA DE SERVICIO]],BDEGENER[[#This Row],[N° DE REGISTROS DEL DIA]])</f>
        <v>43564F1</v>
      </c>
      <c r="BI995" s="324"/>
      <c r="BJ995" s="325"/>
      <c r="BK995" s="326"/>
    </row>
    <row r="996" spans="2:63" ht="69" hidden="1" x14ac:dyDescent="0.3">
      <c r="B996" s="33"/>
      <c r="C996" s="33"/>
      <c r="D996" s="33"/>
      <c r="E996" s="33"/>
      <c r="F996" s="33"/>
      <c r="G996" s="33"/>
      <c r="H996" s="33"/>
      <c r="I996" s="33"/>
      <c r="J996" s="33"/>
      <c r="K996" s="38">
        <v>43564</v>
      </c>
      <c r="L996" s="18" t="s">
        <v>248</v>
      </c>
      <c r="M996" s="23" t="s">
        <v>253</v>
      </c>
      <c r="N996" s="23" t="s">
        <v>254</v>
      </c>
      <c r="O996" s="23"/>
      <c r="P996" s="21"/>
      <c r="Q996" s="22" t="s">
        <v>37</v>
      </c>
      <c r="R996" s="85" t="s">
        <v>1782</v>
      </c>
      <c r="S996" s="25" t="s">
        <v>42</v>
      </c>
      <c r="T996" s="85" t="s">
        <v>1782</v>
      </c>
      <c r="U996" s="25" t="s">
        <v>333</v>
      </c>
      <c r="V996" s="25" t="s">
        <v>149</v>
      </c>
      <c r="W996" s="85" t="s">
        <v>911</v>
      </c>
      <c r="X996" s="85" t="s">
        <v>917</v>
      </c>
      <c r="Y996" s="31">
        <v>3003932013</v>
      </c>
      <c r="Z996" s="16">
        <v>22986</v>
      </c>
      <c r="AA996" s="16" t="s">
        <v>33</v>
      </c>
      <c r="AB996" s="85" t="s">
        <v>1205</v>
      </c>
      <c r="AC996" s="23" t="s">
        <v>529</v>
      </c>
      <c r="AD996" s="16"/>
      <c r="AE996" s="16"/>
      <c r="AF996" s="27">
        <v>89.6</v>
      </c>
      <c r="AG996" s="16"/>
      <c r="AH996" s="16"/>
      <c r="AI996" s="16" t="s">
        <v>523</v>
      </c>
      <c r="AJ996" s="16"/>
      <c r="AK996" s="16"/>
      <c r="AL996" s="16"/>
      <c r="AM996" s="16"/>
      <c r="AN996" s="16"/>
      <c r="AO996" s="16"/>
      <c r="AP996" s="22" t="s">
        <v>240</v>
      </c>
      <c r="AQ996" s="127" t="str">
        <f>CONCATENATE("REG-",BDEGENER[[#This Row],[FECHA DE SERVICIO]],"-",BDEGENER[[#This Row],[SERIE]],"-",BDEGENER[[#This Row],[HORAS]])</f>
        <v>REG-43564-3003932013-89,6</v>
      </c>
      <c r="AR996" s="5" t="str">
        <f>CONCATENATE("MARCA: ",BDEGENER[[#This Row],[MARCA]],"
 MODELO: ",BDEGENER[[#This Row],[MODELO]])</f>
        <v>MARCA: GENERAC
 MODELO: XD5000E</v>
      </c>
      <c r="AS996" s="5" t="str">
        <f>CONCATENATE("MARCA: ",BDEGENER[[#This Row],[MARCA DE MOTOR]],"
SERIE: ",BDEGENER[[#This Row],[SERIE DE MOTOR]])</f>
        <v xml:space="preserve">MARCA: YANMAR
SERIE: </v>
      </c>
      <c r="AT996" s="5" t="str">
        <f>CONCATENATE("MARCA: ",BDEGENER[[#This Row],[MARCA ALTERNADOR ]],"
SERIE: ",BDEGENER[[#This Row],[SERIE DE ALTERNADOR]])</f>
        <v xml:space="preserve">MARCA: 
SERIE: </v>
      </c>
      <c r="AU996" s="5" t="str">
        <f>CONCATENATE("HORAS: ",BDEGENER[[#This Row],[HORAS]],"
KW-HR: ",BDEGENER[[#This Row],[KW-HORA]],"
VOLT.BATERIA: ",BDEGENER[[#This Row],[VOLTAJE DE BATERIA]],"
TEMPERATURA: ",BDEGENER[[#This Row],[TEMPERATURA DE AGUA]],"
PRES. ACEITE: ",BDEGENER[[#This Row],[PRESION DE ACEITE]])</f>
        <v xml:space="preserve">HORAS: 89,6
KW-HR: 
VOLT.BATERIA: 
TEMPERATURA: 
PRES. ACEITE: </v>
      </c>
      <c r="AV996" s="683">
        <f>COUNTIFS(Q996:Q2996,"MANTENIMIENTO CORRECTIVO",Y996:Y2996,BDEGENER[[#This Row],[SERIE]])</f>
        <v>0</v>
      </c>
      <c r="AW996" s="683">
        <f>COUNTIFS(Q996:Q2996,"MANTENIMIENTO PREVENTIVO",Y996:Y2996,BDEGENER[[#This Row],[SERIE]])</f>
        <v>1</v>
      </c>
      <c r="AX99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96" s="29">
        <f>COUNTIFS(BDEGENER[SERIE],BDEGENER[[#This Row],[SERIE]],BDEGENER[TIPO DE SERVICIO],"MANTENIMIENTO PREVENTIVO")</f>
        <v>1</v>
      </c>
      <c r="AZ996" s="29" t="str">
        <f>CONCATENATE("MANTENIMIENTO PREVENTIVO N°",BDEGENER[[#This Row],[GA1]])</f>
        <v>MANTENIMIENTO PREVENTIVO N°1</v>
      </c>
      <c r="BA996" s="325">
        <f>IF(BDEGENER[[#This Row],[SERVICIO]]=BDEGENER[[#This Row],[GA2]],BDEGENER[[#This Row],[HORAS]],"0")</f>
        <v>89.6</v>
      </c>
      <c r="BB996" s="325">
        <f>SUMIF(BDEGENER[SERIE],BDEGENER[[#This Row],[SERIE]],BDEGENER[GA3])</f>
        <v>89.6</v>
      </c>
      <c r="BC996" s="683" t="str">
        <f>CONCATENATE("MANT",COUNTIF($Y$7:Y996,Y996))</f>
        <v>MANT4</v>
      </c>
      <c r="BD996" s="29" t="str">
        <f>CONCATENATE(BDEGENER[[#This Row],[SERIE]],BDEGENER[[#This Row],[GA5]])</f>
        <v>3003932013MANT4</v>
      </c>
      <c r="BE996" s="29" t="str">
        <f>CONCATENATE(BDEGENER[[#This Row],[CODIGO PATRIMONIAL]],BDEGENER[[#This Row],[GA5]])</f>
        <v>22986MANT4</v>
      </c>
      <c r="BF996" s="16">
        <f>COUNTIF(BDEGENER[SERIE],BDEGENER[[#This Row],[SERIE]])</f>
        <v>5</v>
      </c>
      <c r="BG996" s="683" t="str">
        <f>CONCATENATE("F",COUNTIF($K$7:K996,K996))</f>
        <v>F2</v>
      </c>
      <c r="BH996" s="325" t="str">
        <f>CONCATENATE(BDEGENER[[#This Row],[FECHA DE SERVICIO]],BDEGENER[[#This Row],[N° DE REGISTROS DEL DIA]])</f>
        <v>43564F2</v>
      </c>
      <c r="BI996" s="324"/>
      <c r="BJ996" s="325"/>
      <c r="BK996" s="326"/>
    </row>
    <row r="997" spans="2:63" ht="69" hidden="1" x14ac:dyDescent="0.3">
      <c r="B997" s="223"/>
      <c r="C997" s="223"/>
      <c r="D997" s="223"/>
      <c r="E997" s="223"/>
      <c r="F997" s="223"/>
      <c r="G997" s="223"/>
      <c r="H997" s="223"/>
      <c r="I997" s="223"/>
      <c r="J997" s="223"/>
      <c r="K997" s="723">
        <v>43560</v>
      </c>
      <c r="L997" s="15" t="s">
        <v>181</v>
      </c>
      <c r="M997" s="14" t="s">
        <v>3603</v>
      </c>
      <c r="N997" s="14" t="s">
        <v>196</v>
      </c>
      <c r="O997" s="8" t="s">
        <v>163</v>
      </c>
      <c r="P997" s="15" t="s">
        <v>159</v>
      </c>
      <c r="Q997" s="14" t="s">
        <v>37</v>
      </c>
      <c r="R997" s="85" t="s">
        <v>1782</v>
      </c>
      <c r="S997" s="5" t="s">
        <v>63</v>
      </c>
      <c r="T997" s="14" t="s">
        <v>104</v>
      </c>
      <c r="U997" s="14" t="s">
        <v>132</v>
      </c>
      <c r="V997" s="14" t="s">
        <v>148</v>
      </c>
      <c r="W997" s="14"/>
      <c r="X997" s="14"/>
      <c r="Y997" s="15">
        <v>8893263</v>
      </c>
      <c r="Z997" s="14" t="s">
        <v>192</v>
      </c>
      <c r="AA997" s="14" t="s">
        <v>33</v>
      </c>
      <c r="AB997" s="14" t="s">
        <v>210</v>
      </c>
      <c r="AC997" s="14" t="s">
        <v>231</v>
      </c>
      <c r="AD997" s="16"/>
      <c r="AE997" s="16"/>
      <c r="AF997" s="12">
        <v>58.9</v>
      </c>
      <c r="AG997" s="16"/>
      <c r="AH997" s="16"/>
      <c r="AI997" s="16"/>
      <c r="AJ997" s="16"/>
      <c r="AK997" s="16"/>
      <c r="AL997" s="16"/>
      <c r="AM997" s="16"/>
      <c r="AN997" s="16"/>
      <c r="AO997" s="16"/>
      <c r="AP997" s="14" t="s">
        <v>240</v>
      </c>
      <c r="AQ997" s="127" t="str">
        <f>CONCATENATE("REG-",BDEGENER[[#This Row],[FECHA DE SERVICIO]],"-",BDEGENER[[#This Row],[SERIE]],"-",BDEGENER[[#This Row],[HORAS]])</f>
        <v>REG-43560-8893263-58,9</v>
      </c>
      <c r="AR997" s="5" t="str">
        <f>CONCATENATE("MARCA: ",BDEGENER[[#This Row],[MARCA]],"
 MODELO: ",BDEGENER[[#This Row],[MODELO]])</f>
        <v>MARCA: GENERAC
 MODELO: 0062370</v>
      </c>
      <c r="AS997" s="5" t="str">
        <f>CONCATENATE("MARCA: ",BDEGENER[[#This Row],[MARCA DE MOTOR]],"
SERIE: ",BDEGENER[[#This Row],[SERIE DE MOTOR]])</f>
        <v xml:space="preserve">MARCA: 
SERIE: </v>
      </c>
      <c r="AT997" s="5" t="str">
        <f>CONCATENATE("MARCA: ",BDEGENER[[#This Row],[MARCA ALTERNADOR ]],"
SERIE: ",BDEGENER[[#This Row],[SERIE DE ALTERNADOR]])</f>
        <v xml:space="preserve">MARCA: 
SERIE: </v>
      </c>
      <c r="AU997" s="5" t="str">
        <f>CONCATENATE("HORAS: ",BDEGENER[[#This Row],[HORAS]],"
KW-HR: ",BDEGENER[[#This Row],[KW-HORA]],"
VOLT.BATERIA: ",BDEGENER[[#This Row],[VOLTAJE DE BATERIA]],"
TEMPERATURA: ",BDEGENER[[#This Row],[TEMPERATURA DE AGUA]],"
PRES. ACEITE: ",BDEGENER[[#This Row],[PRESION DE ACEITE]])</f>
        <v xml:space="preserve">HORAS: 58,9
KW-HR: 
VOLT.BATERIA: 
TEMPERATURA: 
PRES. ACEITE: </v>
      </c>
      <c r="AV997" s="761">
        <f>COUNTIFS(Q997:Q2997,"MANTENIMIENTO CORRECTIVO",Y997:Y2997,BDEGENER[[#This Row],[SERIE]])</f>
        <v>0</v>
      </c>
      <c r="AW997" s="761">
        <f>COUNTIFS(Q997:Q2997,"MANTENIMIENTO PREVENTIVO",Y997:Y2997,BDEGENER[[#This Row],[SERIE]])</f>
        <v>1</v>
      </c>
      <c r="AX99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997" s="29">
        <f>COUNTIFS(BDEGENER[SERIE],BDEGENER[[#This Row],[SERIE]],BDEGENER[TIPO DE SERVICIO],"MANTENIMIENTO PREVENTIVO")</f>
        <v>3</v>
      </c>
      <c r="AZ997" s="29" t="str">
        <f>CONCATENATE("MANTENIMIENTO PREVENTIVO N°",BDEGENER[[#This Row],[GA1]])</f>
        <v>MANTENIMIENTO PREVENTIVO N°3</v>
      </c>
      <c r="BA997" s="325" t="str">
        <f>IF(BDEGENER[[#This Row],[SERVICIO]]=BDEGENER[[#This Row],[GA2]],BDEGENER[[#This Row],[HORAS]],"0")</f>
        <v>0</v>
      </c>
      <c r="BB997" s="325">
        <f>SUMIF(BDEGENER[SERIE],BDEGENER[[#This Row],[SERIE]],BDEGENER[GA3])</f>
        <v>351.77</v>
      </c>
      <c r="BC997" s="761" t="str">
        <f>CONCATENATE("MANT",COUNTIF($Y$7:Y997,Y997))</f>
        <v>MANT5</v>
      </c>
      <c r="BD997" s="29" t="str">
        <f>CONCATENATE(BDEGENER[[#This Row],[SERIE]],BDEGENER[[#This Row],[GA5]])</f>
        <v>8893263MANT5</v>
      </c>
      <c r="BE997" s="29" t="str">
        <f>CONCATENATE(BDEGENER[[#This Row],[CODIGO PATRIMONIAL]],BDEGENER[[#This Row],[GA5]])</f>
        <v xml:space="preserve"> MANT5</v>
      </c>
      <c r="BF997" s="16">
        <f>COUNTIF(BDEGENER[SERIE],BDEGENER[[#This Row],[SERIE]])</f>
        <v>5</v>
      </c>
      <c r="BG997" s="761" t="str">
        <f>CONCATENATE("F",COUNTIF($K$7:K997,K997))</f>
        <v>F1</v>
      </c>
      <c r="BH997" s="325" t="str">
        <f>CONCATENATE(BDEGENER[[#This Row],[FECHA DE SERVICIO]],BDEGENER[[#This Row],[N° DE REGISTROS DEL DIA]])</f>
        <v>43560F1</v>
      </c>
      <c r="BI997" s="324"/>
      <c r="BJ997" s="325"/>
      <c r="BK997" s="326"/>
    </row>
    <row r="998" spans="2:63" ht="69" hidden="1" x14ac:dyDescent="0.3">
      <c r="B998" s="223"/>
      <c r="C998" s="223"/>
      <c r="D998" s="223"/>
      <c r="E998" s="223"/>
      <c r="F998" s="223"/>
      <c r="G998" s="223"/>
      <c r="H998" s="223"/>
      <c r="I998" s="223"/>
      <c r="J998" s="223"/>
      <c r="K998" s="723">
        <v>43559</v>
      </c>
      <c r="L998" s="15" t="s">
        <v>181</v>
      </c>
      <c r="M998" s="14" t="s">
        <v>2684</v>
      </c>
      <c r="N998" s="14"/>
      <c r="O998" s="8">
        <v>4500709743</v>
      </c>
      <c r="P998" s="10"/>
      <c r="Q998" s="14" t="s">
        <v>107</v>
      </c>
      <c r="R998" s="85" t="s">
        <v>1782</v>
      </c>
      <c r="S998" s="5" t="s">
        <v>64</v>
      </c>
      <c r="T998" s="14" t="s">
        <v>105</v>
      </c>
      <c r="U998" s="14" t="s">
        <v>133</v>
      </c>
      <c r="V998" s="14" t="s">
        <v>146</v>
      </c>
      <c r="W998" s="14"/>
      <c r="X998" s="14"/>
      <c r="Y998" s="15"/>
      <c r="Z998" s="14" t="s">
        <v>225</v>
      </c>
      <c r="AA998" s="14"/>
      <c r="AB998" s="14"/>
      <c r="AC998" s="14"/>
      <c r="AD998" s="16"/>
      <c r="AE998" s="16"/>
      <c r="AF998" s="12">
        <v>2053.8000000000002</v>
      </c>
      <c r="AG998" s="16"/>
      <c r="AH998" s="16"/>
      <c r="AI998" s="16"/>
      <c r="AJ998" s="16"/>
      <c r="AK998" s="16"/>
      <c r="AL998" s="16"/>
      <c r="AM998" s="16"/>
      <c r="AN998" s="16"/>
      <c r="AO998" s="16"/>
      <c r="AP998" s="14" t="s">
        <v>240</v>
      </c>
      <c r="AQ998" s="127" t="str">
        <f>CONCATENATE("REG-",BDEGENER[[#This Row],[FECHA DE SERVICIO]],"-",BDEGENER[[#This Row],[SERIE]],"-",BDEGENER[[#This Row],[HORAS]])</f>
        <v>REG-43559--2053,8</v>
      </c>
      <c r="AR998" s="5" t="str">
        <f>CONCATENATE("MARCA: ",BDEGENER[[#This Row],[MARCA]],"
 MODELO: ",BDEGENER[[#This Row],[MODELO]])</f>
        <v xml:space="preserve">MARCA: 
 MODELO: </v>
      </c>
      <c r="AS998" s="5" t="str">
        <f>CONCATENATE("MARCA: ",BDEGENER[[#This Row],[MARCA DE MOTOR]],"
SERIE: ",BDEGENER[[#This Row],[SERIE DE MOTOR]])</f>
        <v xml:space="preserve">MARCA: 
SERIE: </v>
      </c>
      <c r="AT998" s="5" t="str">
        <f>CONCATENATE("MARCA: ",BDEGENER[[#This Row],[MARCA ALTERNADOR ]],"
SERIE: ",BDEGENER[[#This Row],[SERIE DE ALTERNADOR]])</f>
        <v xml:space="preserve">MARCA: 
SERIE: </v>
      </c>
      <c r="AU998" s="5" t="str">
        <f>CONCATENATE("HORAS: ",BDEGENER[[#This Row],[HORAS]],"
KW-HR: ",BDEGENER[[#This Row],[KW-HORA]],"
VOLT.BATERIA: ",BDEGENER[[#This Row],[VOLTAJE DE BATERIA]],"
TEMPERATURA: ",BDEGENER[[#This Row],[TEMPERATURA DE AGUA]],"
PRES. ACEITE: ",BDEGENER[[#This Row],[PRESION DE ACEITE]])</f>
        <v xml:space="preserve">HORAS: 2053,8
KW-HR: 
VOLT.BATERIA: 
TEMPERATURA: 
PRES. ACEITE: </v>
      </c>
      <c r="AV998" s="683">
        <f>COUNTIFS(Q998:Q2998,"MANTENIMIENTO CORRECTIVO",Y998:Y2998,BDEGENER[[#This Row],[SERIE]])</f>
        <v>0</v>
      </c>
      <c r="AW998" s="683">
        <f>COUNTIFS(Q998:Q2998,"MANTENIMIENTO PREVENTIVO",Y998:Y2998,BDEGENER[[#This Row],[SERIE]])</f>
        <v>0</v>
      </c>
      <c r="AX99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N°0</v>
      </c>
      <c r="AY998" s="29">
        <f>COUNTIFS(BDEGENER[SERIE],BDEGENER[[#This Row],[SERIE]],BDEGENER[TIPO DE SERVICIO],"MANTENIMIENTO PREVENTIVO")</f>
        <v>0</v>
      </c>
      <c r="AZ998" s="29" t="str">
        <f>CONCATENATE("MANTENIMIENTO PREVENTIVO N°",BDEGENER[[#This Row],[GA1]])</f>
        <v>MANTENIMIENTO PREVENTIVO N°0</v>
      </c>
      <c r="BA998" s="325" t="str">
        <f>IF(BDEGENER[[#This Row],[SERVICIO]]=BDEGENER[[#This Row],[GA2]],BDEGENER[[#This Row],[HORAS]],"0")</f>
        <v>0</v>
      </c>
      <c r="BB998" s="325">
        <f>SUMIF(BDEGENER[SERIE],BDEGENER[[#This Row],[SERIE]],BDEGENER[GA3])</f>
        <v>0</v>
      </c>
      <c r="BC998" s="683" t="str">
        <f>CONCATENATE("MANT",COUNTIF($Y$7:Y998,Y998))</f>
        <v>MANT0</v>
      </c>
      <c r="BD998" s="29" t="str">
        <f>CONCATENATE(BDEGENER[[#This Row],[SERIE]],BDEGENER[[#This Row],[GA5]])</f>
        <v>MANT0</v>
      </c>
      <c r="BE998" s="29" t="str">
        <f>CONCATENATE(BDEGENER[[#This Row],[CODIGO PATRIMONIAL]],BDEGENER[[#This Row],[GA5]])</f>
        <v>GEGA115MANT0</v>
      </c>
      <c r="BF998" s="16">
        <f>COUNTIF(BDEGENER[SERIE],BDEGENER[[#This Row],[SERIE]])</f>
        <v>0</v>
      </c>
      <c r="BG998" s="683" t="str">
        <f>CONCATENATE("F",COUNTIF($K$7:K998,K998))</f>
        <v>F1</v>
      </c>
      <c r="BH998" s="325" t="str">
        <f>CONCATENATE(BDEGENER[[#This Row],[FECHA DE SERVICIO]],BDEGENER[[#This Row],[N° DE REGISTROS DEL DIA]])</f>
        <v>43559F1</v>
      </c>
      <c r="BI998" s="324"/>
      <c r="BJ998" s="325"/>
      <c r="BK998" s="326"/>
    </row>
    <row r="999" spans="2:63" ht="69" hidden="1" x14ac:dyDescent="0.3">
      <c r="B999" s="34"/>
      <c r="C999" s="34"/>
      <c r="D999" s="34"/>
      <c r="E999" s="34"/>
      <c r="F999" s="34"/>
      <c r="G999" s="34"/>
      <c r="H999" s="34"/>
      <c r="I999" s="34"/>
      <c r="J999" s="34"/>
      <c r="K999" s="37">
        <v>43559</v>
      </c>
      <c r="L999" s="30" t="s">
        <v>561</v>
      </c>
      <c r="M999" s="19" t="s">
        <v>2450</v>
      </c>
      <c r="N999" s="19" t="s">
        <v>584</v>
      </c>
      <c r="O999" s="19"/>
      <c r="P999" s="19"/>
      <c r="Q999" s="19" t="s">
        <v>37</v>
      </c>
      <c r="R999" s="85" t="s">
        <v>1782</v>
      </c>
      <c r="S999" s="19" t="s">
        <v>639</v>
      </c>
      <c r="T999" s="85" t="s">
        <v>1782</v>
      </c>
      <c r="U999" s="19" t="s">
        <v>719</v>
      </c>
      <c r="V999" s="19" t="s">
        <v>148</v>
      </c>
      <c r="W999" s="683" t="s">
        <v>913</v>
      </c>
      <c r="X999" s="691" t="s">
        <v>918</v>
      </c>
      <c r="Y999" s="31">
        <v>3003987064</v>
      </c>
      <c r="Z999" s="692" t="s">
        <v>2614</v>
      </c>
      <c r="AA999" s="19" t="s">
        <v>33</v>
      </c>
      <c r="AB999" s="19" t="s">
        <v>217</v>
      </c>
      <c r="AC999" s="19" t="s">
        <v>749</v>
      </c>
      <c r="AD999" s="16"/>
      <c r="AE999" s="16"/>
      <c r="AF999" s="146">
        <v>232.5</v>
      </c>
      <c r="AG999" s="16"/>
      <c r="AH999" s="16"/>
      <c r="AI999" s="16"/>
      <c r="AJ999" s="16"/>
      <c r="AK999" s="16"/>
      <c r="AL999" s="16"/>
      <c r="AM999" s="16"/>
      <c r="AN999" s="16"/>
      <c r="AO999" s="16"/>
      <c r="AP999" s="19" t="s">
        <v>240</v>
      </c>
      <c r="AQ999" s="6" t="str">
        <f>CONCATENATE("REG-",BDEGENER[[#This Row],[FECHA DE SERVICIO]],"-",BDEGENER[[#This Row],[SERIE]],"-",BDEGENER[[#This Row],[HORAS]])</f>
        <v>REG-43559-3003987064-232,5</v>
      </c>
      <c r="AR999" s="5" t="str">
        <f>CONCATENATE("MARCA: ",BDEGENER[[#This Row],[MARCA]],"
 MODELO: ",BDEGENER[[#This Row],[MODELO]])</f>
        <v>MARCA: GENERAC
 MODELO: RG022</v>
      </c>
      <c r="AS999" s="5" t="str">
        <f>CONCATENATE("MARCA: ",BDEGENER[[#This Row],[MARCA DE MOTOR]],"
SERIE: ",BDEGENER[[#This Row],[SERIE DE MOTOR]])</f>
        <v xml:space="preserve">MARCA: 
SERIE: </v>
      </c>
      <c r="AT999" s="5" t="str">
        <f>CONCATENATE("MARCA: ",BDEGENER[[#This Row],[MARCA ALTERNADOR ]],"
SERIE: ",BDEGENER[[#This Row],[SERIE DE ALTERNADOR]])</f>
        <v xml:space="preserve">MARCA: 
SERIE: </v>
      </c>
      <c r="AU999" s="29" t="str">
        <f>CONCATENATE("HORAS: ",BDEGENER[[#This Row],[HORAS]],"
KW-HR: ",BDEGENER[[#This Row],[KW-HORA]],"
VOLT.BATERIA: ",BDEGENER[[#This Row],[VOLTAJE DE BATERIA]],"
TEMPERATURA: ",BDEGENER[[#This Row],[TEMPERATURA DE AGUA]],"
PRES. ACEITE: ",BDEGENER[[#This Row],[PRESION DE ACEITE]])</f>
        <v xml:space="preserve">HORAS: 232,5
KW-HR: 
VOLT.BATERIA: 
TEMPERATURA: 
PRES. ACEITE: </v>
      </c>
      <c r="AV999" s="683">
        <f>COUNTIFS(Q999:Q2999,"MANTENIMIENTO CORRECTIVO",Y999:Y2999,BDEGENER[[#This Row],[SERIE]])</f>
        <v>0</v>
      </c>
      <c r="AW999" s="683">
        <f>COUNTIFS(Q999:Q2999,"MANTENIMIENTO PREVENTIVO",Y999:Y2999,BDEGENER[[#This Row],[SERIE]])</f>
        <v>2</v>
      </c>
      <c r="AX99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999" s="29">
        <f>COUNTIFS(BDEGENER[SERIE],BDEGENER[[#This Row],[SERIE]],BDEGENER[TIPO DE SERVICIO],"MANTENIMIENTO PREVENTIVO")</f>
        <v>11</v>
      </c>
      <c r="AZ999" s="29" t="str">
        <f>CONCATENATE("MANTENIMIENTO PREVENTIVO N°",BDEGENER[[#This Row],[GA1]])</f>
        <v>MANTENIMIENTO PREVENTIVO N°11</v>
      </c>
      <c r="BA999" s="325" t="str">
        <f>IF(BDEGENER[[#This Row],[SERVICIO]]=BDEGENER[[#This Row],[GA2]],BDEGENER[[#This Row],[HORAS]],"0")</f>
        <v>0</v>
      </c>
      <c r="BB999" s="325">
        <f>SUMIF(BDEGENER[SERIE],BDEGENER[[#This Row],[SERIE]],BDEGENER[GA3])</f>
        <v>6420.8</v>
      </c>
      <c r="BC999" s="683" t="str">
        <f>CONCATENATE("MANT",COUNTIF($Y$7:Y999,Y999))</f>
        <v>MANT11</v>
      </c>
      <c r="BD999" s="29" t="str">
        <f>CONCATENATE(BDEGENER[[#This Row],[SERIE]],BDEGENER[[#This Row],[GA5]])</f>
        <v>3003987064MANT11</v>
      </c>
      <c r="BE999" s="29" t="str">
        <f>CONCATENATE(BDEGENER[[#This Row],[CODIGO PATRIMONIAL]],BDEGENER[[#This Row],[GA5]])</f>
        <v>NOR-GEG-0016MANT11</v>
      </c>
      <c r="BF999" s="16">
        <f>COUNTIF(BDEGENER[SERIE],BDEGENER[[#This Row],[SERIE]])</f>
        <v>12</v>
      </c>
      <c r="BG999" s="683" t="str">
        <f>CONCATENATE("F",COUNTIF($K$7:K999,K999))</f>
        <v>F2</v>
      </c>
      <c r="BH999" s="325" t="str">
        <f>CONCATENATE(BDEGENER[[#This Row],[FECHA DE SERVICIO]],BDEGENER[[#This Row],[N° DE REGISTROS DEL DIA]])</f>
        <v>43559F2</v>
      </c>
      <c r="BI999" s="324"/>
      <c r="BJ999" s="325"/>
      <c r="BK999" s="326"/>
    </row>
    <row r="1000" spans="2:63" ht="69" hidden="1" x14ac:dyDescent="0.3">
      <c r="B1000" s="34"/>
      <c r="C1000" s="34"/>
      <c r="D1000" s="34"/>
      <c r="E1000" s="34"/>
      <c r="F1000" s="34"/>
      <c r="G1000" s="34"/>
      <c r="H1000" s="34"/>
      <c r="I1000" s="34"/>
      <c r="J1000" s="34"/>
      <c r="K1000" s="37">
        <v>43559</v>
      </c>
      <c r="L1000" s="30" t="s">
        <v>561</v>
      </c>
      <c r="M1000" s="19" t="s">
        <v>2451</v>
      </c>
      <c r="N1000" s="19" t="s">
        <v>584</v>
      </c>
      <c r="O1000" s="19"/>
      <c r="P1000" s="19"/>
      <c r="Q1000" s="19" t="s">
        <v>37</v>
      </c>
      <c r="R1000" s="85" t="s">
        <v>1782</v>
      </c>
      <c r="S1000" s="19" t="s">
        <v>42</v>
      </c>
      <c r="T1000" s="85" t="s">
        <v>1782</v>
      </c>
      <c r="U1000" s="19" t="s">
        <v>720</v>
      </c>
      <c r="V1000" s="19" t="s">
        <v>148</v>
      </c>
      <c r="W1000" s="683" t="s">
        <v>913</v>
      </c>
      <c r="X1000" s="691" t="s">
        <v>918</v>
      </c>
      <c r="Y1000" s="31">
        <v>3003940357</v>
      </c>
      <c r="Z1000" s="692" t="s">
        <v>2612</v>
      </c>
      <c r="AA1000" s="19" t="s">
        <v>33</v>
      </c>
      <c r="AB1000" s="19" t="s">
        <v>217</v>
      </c>
      <c r="AC1000" s="19" t="s">
        <v>749</v>
      </c>
      <c r="AD1000" s="16"/>
      <c r="AE1000" s="16"/>
      <c r="AF1000" s="146">
        <v>272.3</v>
      </c>
      <c r="AG1000" s="16"/>
      <c r="AH1000" s="16"/>
      <c r="AI1000" s="16"/>
      <c r="AJ1000" s="16"/>
      <c r="AK1000" s="16"/>
      <c r="AL1000" s="16"/>
      <c r="AM1000" s="16"/>
      <c r="AN1000" s="16"/>
      <c r="AO1000" s="16"/>
      <c r="AP1000" s="19" t="s">
        <v>240</v>
      </c>
      <c r="AQ1000" s="6" t="str">
        <f>CONCATENATE("REG-",BDEGENER[[#This Row],[FECHA DE SERVICIO]],"-",BDEGENER[[#This Row],[SERIE]],"-",BDEGENER[[#This Row],[HORAS]])</f>
        <v>REG-43559-3003940357-272,3</v>
      </c>
      <c r="AR1000" s="5" t="str">
        <f>CONCATENATE("MARCA: ",BDEGENER[[#This Row],[MARCA]],"
 MODELO: ",BDEGENER[[#This Row],[MODELO]])</f>
        <v>MARCA: GENERAC
 MODELO: RG022</v>
      </c>
      <c r="AS1000" s="5" t="str">
        <f>CONCATENATE("MARCA: ",BDEGENER[[#This Row],[MARCA DE MOTOR]],"
SERIE: ",BDEGENER[[#This Row],[SERIE DE MOTOR]])</f>
        <v xml:space="preserve">MARCA: 
SERIE: </v>
      </c>
      <c r="AT1000" s="5" t="str">
        <f>CONCATENATE("MARCA: ",BDEGENER[[#This Row],[MARCA ALTERNADOR ]],"
SERIE: ",BDEGENER[[#This Row],[SERIE DE ALTERNADOR]])</f>
        <v xml:space="preserve">MARCA: 
SERIE: </v>
      </c>
      <c r="AU1000" s="29" t="str">
        <f>CONCATENATE("HORAS: ",BDEGENER[[#This Row],[HORAS]],"
KW-HR: ",BDEGENER[[#This Row],[KW-HORA]],"
VOLT.BATERIA: ",BDEGENER[[#This Row],[VOLTAJE DE BATERIA]],"
TEMPERATURA: ",BDEGENER[[#This Row],[TEMPERATURA DE AGUA]],"
PRES. ACEITE: ",BDEGENER[[#This Row],[PRESION DE ACEITE]])</f>
        <v xml:space="preserve">HORAS: 272,3
KW-HR: 
VOLT.BATERIA: 
TEMPERATURA: 
PRES. ACEITE: </v>
      </c>
      <c r="AV1000" s="761">
        <f>COUNTIFS(Q1000:Q3000,"MANTENIMIENTO CORRECTIVO",Y1000:Y3000,BDEGENER[[#This Row],[SERIE]])</f>
        <v>0</v>
      </c>
      <c r="AW1000" s="761">
        <f>COUNTIFS(Q1000:Q3000,"MANTENIMIENTO PREVENTIVO",Y1000:Y3000,BDEGENER[[#This Row],[SERIE]])</f>
        <v>3</v>
      </c>
      <c r="AX100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000" s="29">
        <f>COUNTIFS(BDEGENER[SERIE],BDEGENER[[#This Row],[SERIE]],BDEGENER[TIPO DE SERVICIO],"MANTENIMIENTO PREVENTIVO")</f>
        <v>12</v>
      </c>
      <c r="AZ1000" s="29" t="str">
        <f>CONCATENATE("MANTENIMIENTO PREVENTIVO N°",BDEGENER[[#This Row],[GA1]])</f>
        <v>MANTENIMIENTO PREVENTIVO N°12</v>
      </c>
      <c r="BA1000" s="325" t="str">
        <f>IF(BDEGENER[[#This Row],[SERVICIO]]=BDEGENER[[#This Row],[GA2]],BDEGENER[[#This Row],[HORAS]],"0")</f>
        <v>0</v>
      </c>
      <c r="BB1000" s="325">
        <f>SUMIF(BDEGENER[SERIE],BDEGENER[[#This Row],[SERIE]],BDEGENER[GA3])</f>
        <v>6263.3</v>
      </c>
      <c r="BC1000" s="761" t="str">
        <f>CONCATENATE("MANT",COUNTIF($Y$7:Y1000,Y1000))</f>
        <v>MANT14</v>
      </c>
      <c r="BD1000" s="29" t="str">
        <f>CONCATENATE(BDEGENER[[#This Row],[SERIE]],BDEGENER[[#This Row],[GA5]])</f>
        <v>3003940357MANT14</v>
      </c>
      <c r="BE1000" s="29" t="str">
        <f>CONCATENATE(BDEGENER[[#This Row],[CODIGO PATRIMONIAL]],BDEGENER[[#This Row],[GA5]])</f>
        <v>NOR-GEG-0014MANT14</v>
      </c>
      <c r="BF1000" s="16">
        <f>COUNTIF(BDEGENER[SERIE],BDEGENER[[#This Row],[SERIE]])</f>
        <v>16</v>
      </c>
      <c r="BG1000" s="761" t="str">
        <f>CONCATENATE("F",COUNTIF($K$7:K1000,K1000))</f>
        <v>F3</v>
      </c>
      <c r="BH1000" s="325" t="str">
        <f>CONCATENATE(BDEGENER[[#This Row],[FECHA DE SERVICIO]],BDEGENER[[#This Row],[N° DE REGISTROS DEL DIA]])</f>
        <v>43559F3</v>
      </c>
      <c r="BI1000" s="324"/>
      <c r="BJ1000" s="325"/>
      <c r="BK1000" s="326"/>
    </row>
    <row r="1001" spans="2:63" ht="69" hidden="1" x14ac:dyDescent="0.3">
      <c r="B1001" s="34"/>
      <c r="C1001" s="34"/>
      <c r="D1001" s="34"/>
      <c r="E1001" s="34"/>
      <c r="F1001" s="34"/>
      <c r="G1001" s="34"/>
      <c r="H1001" s="34"/>
      <c r="I1001" s="34"/>
      <c r="J1001" s="34"/>
      <c r="K1001" s="37">
        <v>43559</v>
      </c>
      <c r="L1001" s="30" t="s">
        <v>561</v>
      </c>
      <c r="M1001" s="19" t="s">
        <v>2453</v>
      </c>
      <c r="N1001" s="19" t="s">
        <v>584</v>
      </c>
      <c r="O1001" s="19"/>
      <c r="P1001" s="19"/>
      <c r="Q1001" s="19" t="s">
        <v>37</v>
      </c>
      <c r="R1001" s="85" t="s">
        <v>1782</v>
      </c>
      <c r="S1001" s="19" t="s">
        <v>42</v>
      </c>
      <c r="T1001" s="85" t="s">
        <v>1782</v>
      </c>
      <c r="U1001" s="19" t="s">
        <v>721</v>
      </c>
      <c r="V1001" s="19" t="s">
        <v>148</v>
      </c>
      <c r="W1001" s="85" t="s">
        <v>914</v>
      </c>
      <c r="X1001" s="85" t="s">
        <v>918</v>
      </c>
      <c r="Y1001" s="31">
        <v>3003566703</v>
      </c>
      <c r="Z1001" s="692" t="s">
        <v>2615</v>
      </c>
      <c r="AA1001" s="683" t="s">
        <v>33</v>
      </c>
      <c r="AB1001" s="85" t="s">
        <v>34</v>
      </c>
      <c r="AC1001" s="19" t="s">
        <v>230</v>
      </c>
      <c r="AD1001" s="16"/>
      <c r="AE1001" s="16"/>
      <c r="AF1001" s="146">
        <v>1510</v>
      </c>
      <c r="AG1001" s="16"/>
      <c r="AH1001" s="16"/>
      <c r="AI1001" s="16"/>
      <c r="AJ1001" s="16"/>
      <c r="AK1001" s="16"/>
      <c r="AL1001" s="16"/>
      <c r="AM1001" s="16"/>
      <c r="AN1001" s="16"/>
      <c r="AO1001" s="16"/>
      <c r="AP1001" s="19" t="s">
        <v>240</v>
      </c>
      <c r="AQ1001" s="6" t="str">
        <f>CONCATENATE("REG-",BDEGENER[[#This Row],[FECHA DE SERVICIO]],"-",BDEGENER[[#This Row],[SERIE]],"-",BDEGENER[[#This Row],[HORAS]])</f>
        <v>REG-43559-3003566703-1510</v>
      </c>
      <c r="AR1001" s="5" t="str">
        <f>CONCATENATE("MARCA: ",BDEGENER[[#This Row],[MARCA]],"
 MODELO: ",BDEGENER[[#This Row],[MODELO]])</f>
        <v>MARCA: GENERAC
 MODELO: PG090</v>
      </c>
      <c r="AS1001" s="5" t="str">
        <f>CONCATENATE("MARCA: ",BDEGENER[[#This Row],[MARCA DE MOTOR]],"
SERIE: ",BDEGENER[[#This Row],[SERIE DE MOTOR]])</f>
        <v xml:space="preserve">MARCA: 
SERIE: </v>
      </c>
      <c r="AT1001" s="5" t="str">
        <f>CONCATENATE("MARCA: ",BDEGENER[[#This Row],[MARCA ALTERNADOR ]],"
SERIE: ",BDEGENER[[#This Row],[SERIE DE ALTERNADOR]])</f>
        <v xml:space="preserve">MARCA: 
SERIE: </v>
      </c>
      <c r="AU1001" s="29" t="str">
        <f>CONCATENATE("HORAS: ",BDEGENER[[#This Row],[HORAS]],"
KW-HR: ",BDEGENER[[#This Row],[KW-HORA]],"
VOLT.BATERIA: ",BDEGENER[[#This Row],[VOLTAJE DE BATERIA]],"
TEMPERATURA: ",BDEGENER[[#This Row],[TEMPERATURA DE AGUA]],"
PRES. ACEITE: ",BDEGENER[[#This Row],[PRESION DE ACEITE]])</f>
        <v xml:space="preserve">HORAS: 1510
KW-HR: 
VOLT.BATERIA: 
TEMPERATURA: 
PRES. ACEITE: </v>
      </c>
      <c r="AV1001" s="683">
        <f>COUNTIFS(Q1001:Q3001,"MANTENIMIENTO CORRECTIVO",Y1001:Y3001,BDEGENER[[#This Row],[SERIE]])</f>
        <v>0</v>
      </c>
      <c r="AW1001" s="683">
        <f>COUNTIFS(Q1001:Q3001,"MANTENIMIENTO PREVENTIVO",Y1001:Y3001,BDEGENER[[#This Row],[SERIE]])</f>
        <v>3</v>
      </c>
      <c r="AX100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001" s="29">
        <f>COUNTIFS(BDEGENER[SERIE],BDEGENER[[#This Row],[SERIE]],BDEGENER[TIPO DE SERVICIO],"MANTENIMIENTO PREVENTIVO")</f>
        <v>8</v>
      </c>
      <c r="AZ1001" s="29" t="str">
        <f>CONCATENATE("MANTENIMIENTO PREVENTIVO N°",BDEGENER[[#This Row],[GA1]])</f>
        <v>MANTENIMIENTO PREVENTIVO N°8</v>
      </c>
      <c r="BA1001" s="325" t="str">
        <f>IF(BDEGENER[[#This Row],[SERVICIO]]=BDEGENER[[#This Row],[GA2]],BDEGENER[[#This Row],[HORAS]],"0")</f>
        <v>0</v>
      </c>
      <c r="BB1001" s="325">
        <f>SUMIF(BDEGENER[SERIE],BDEGENER[[#This Row],[SERIE]],BDEGENER[GA3])</f>
        <v>6396.5</v>
      </c>
      <c r="BC1001" s="683" t="str">
        <f>CONCATENATE("MANT",COUNTIF($Y$7:Y1001,Y1001))</f>
        <v>MANT9</v>
      </c>
      <c r="BD1001" s="29" t="str">
        <f>CONCATENATE(BDEGENER[[#This Row],[SERIE]],BDEGENER[[#This Row],[GA5]])</f>
        <v>3003566703MANT9</v>
      </c>
      <c r="BE1001" s="29" t="str">
        <f>CONCATENATE(BDEGENER[[#This Row],[CODIGO PATRIMONIAL]],BDEGENER[[#This Row],[GA5]])</f>
        <v>NOR-GEG-0017MANT9</v>
      </c>
      <c r="BF1001" s="16">
        <f>COUNTIF(BDEGENER[SERIE],BDEGENER[[#This Row],[SERIE]])</f>
        <v>11</v>
      </c>
      <c r="BG1001" s="683" t="str">
        <f>CONCATENATE("F",COUNTIF($K$7:K1001,K1001))</f>
        <v>F4</v>
      </c>
      <c r="BH1001" s="325" t="str">
        <f>CONCATENATE(BDEGENER[[#This Row],[FECHA DE SERVICIO]],BDEGENER[[#This Row],[N° DE REGISTROS DEL DIA]])</f>
        <v>43559F4</v>
      </c>
      <c r="BI1001" s="324"/>
      <c r="BJ1001" s="325"/>
      <c r="BK1001" s="326"/>
    </row>
    <row r="1002" spans="2:63" ht="69" hidden="1" x14ac:dyDescent="0.3">
      <c r="B1002" s="223"/>
      <c r="C1002" s="223"/>
      <c r="D1002" s="223"/>
      <c r="E1002" s="223"/>
      <c r="F1002" s="223"/>
      <c r="G1002" s="223"/>
      <c r="H1002" s="223"/>
      <c r="I1002" s="223"/>
      <c r="J1002" s="223"/>
      <c r="K1002" s="723">
        <v>43558</v>
      </c>
      <c r="L1002" s="15" t="s">
        <v>181</v>
      </c>
      <c r="M1002" s="14" t="s">
        <v>187</v>
      </c>
      <c r="N1002" s="14" t="s">
        <v>183</v>
      </c>
      <c r="O1002" s="8" t="s">
        <v>159</v>
      </c>
      <c r="P1002" s="15" t="s">
        <v>159</v>
      </c>
      <c r="Q1002" s="14" t="s">
        <v>109</v>
      </c>
      <c r="R1002" s="85" t="s">
        <v>1782</v>
      </c>
      <c r="S1002" s="5" t="s">
        <v>1782</v>
      </c>
      <c r="T1002" s="14" t="s">
        <v>99</v>
      </c>
      <c r="U1002" s="14"/>
      <c r="V1002" s="14" t="s">
        <v>152</v>
      </c>
      <c r="W1002" s="85" t="s">
        <v>914</v>
      </c>
      <c r="X1002" s="85" t="s">
        <v>918</v>
      </c>
      <c r="Y1002" s="15">
        <v>3004218547</v>
      </c>
      <c r="Z1002" s="14"/>
      <c r="AA1002" s="14" t="s">
        <v>33</v>
      </c>
      <c r="AB1002" s="85" t="s">
        <v>34</v>
      </c>
      <c r="AC1002" s="14" t="s">
        <v>230</v>
      </c>
      <c r="AD1002" s="16"/>
      <c r="AE1002" s="16"/>
      <c r="AF1002" s="12">
        <v>0.6</v>
      </c>
      <c r="AG1002" s="16" t="s">
        <v>243</v>
      </c>
      <c r="AH1002" s="16" t="s">
        <v>220</v>
      </c>
      <c r="AI1002" s="16" t="s">
        <v>33</v>
      </c>
      <c r="AJ1002" s="85">
        <v>3003966252</v>
      </c>
      <c r="AK1002" s="16" t="s">
        <v>33</v>
      </c>
      <c r="AL1002" s="85">
        <v>1063014</v>
      </c>
      <c r="AM1002" s="16"/>
      <c r="AN1002" s="16"/>
      <c r="AO1002" s="16"/>
      <c r="AP1002" s="14" t="s">
        <v>240</v>
      </c>
      <c r="AQ1002" s="6" t="str">
        <f>CONCATENATE("REG-",BDEGENER[[#This Row],[FECHA DE SERVICIO]],"-",BDEGENER[[#This Row],[SERIE]],"-",BDEGENER[[#This Row],[HORAS]])</f>
        <v>REG-43558-3004218547-0,6</v>
      </c>
      <c r="AR1002" s="5" t="str">
        <f>CONCATENATE("MARCA: ",BDEGENER[[#This Row],[MARCA]],"
 MODELO: ",BDEGENER[[#This Row],[MODELO]])</f>
        <v>MARCA: GENERAC
 MODELO: PG090</v>
      </c>
      <c r="AS1002" s="5" t="str">
        <f>CONCATENATE("MARCA: ",BDEGENER[[#This Row],[MARCA DE MOTOR]],"
SERIE: ",BDEGENER[[#This Row],[SERIE DE MOTOR]])</f>
        <v>MARCA: GENERAC
SERIE: 3003966252</v>
      </c>
      <c r="AT1002" s="5" t="str">
        <f>CONCATENATE("MARCA: ",BDEGENER[[#This Row],[MARCA ALTERNADOR ]],"
SERIE: ",BDEGENER[[#This Row],[SERIE DE ALTERNADOR]])</f>
        <v>MARCA: GENERAC
SERIE: 1063014</v>
      </c>
      <c r="AU1002" s="5"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1002" s="683">
        <f>COUNTIFS(Q1002:Q3002,"MANTENIMIENTO CORRECTIVO",Y1002:Y3002,BDEGENER[[#This Row],[SERIE]])</f>
        <v>0</v>
      </c>
      <c r="AW1002" s="683">
        <f>COUNTIFS(Q1002:Q3002,"MANTENIMIENTO PREVENTIVO",Y1002:Y3002,BDEGENER[[#This Row],[SERIE]])</f>
        <v>0</v>
      </c>
      <c r="AX100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02" s="29">
        <f>COUNTIFS(BDEGENER[SERIE],BDEGENER[[#This Row],[SERIE]],BDEGENER[TIPO DE SERVICIO],"MANTENIMIENTO PREVENTIVO")</f>
        <v>7</v>
      </c>
      <c r="AZ1002" s="29" t="str">
        <f>CONCATENATE("MANTENIMIENTO PREVENTIVO N°",BDEGENER[[#This Row],[GA1]])</f>
        <v>MANTENIMIENTO PREVENTIVO N°7</v>
      </c>
      <c r="BA1002" s="325" t="str">
        <f>IF(BDEGENER[[#This Row],[SERVICIO]]=BDEGENER[[#This Row],[GA2]],BDEGENER[[#This Row],[HORAS]],"0")</f>
        <v>0</v>
      </c>
      <c r="BB1002" s="325">
        <f>SUMIF(BDEGENER[SERIE],BDEGENER[[#This Row],[SERIE]],BDEGENER[GA3])</f>
        <v>2015.6</v>
      </c>
      <c r="BC1002" s="683" t="str">
        <f>CONCATENATE("MANT",COUNTIF($Y$7:Y1002,Y1002))</f>
        <v>MANT12</v>
      </c>
      <c r="BD1002" s="29" t="str">
        <f>CONCATENATE(BDEGENER[[#This Row],[SERIE]],BDEGENER[[#This Row],[GA5]])</f>
        <v>3004218547MANT12</v>
      </c>
      <c r="BE1002" s="29" t="str">
        <f>CONCATENATE(BDEGENER[[#This Row],[CODIGO PATRIMONIAL]],BDEGENER[[#This Row],[GA5]])</f>
        <v>MANT12</v>
      </c>
      <c r="BF1002" s="16">
        <f>COUNTIF(BDEGENER[SERIE],BDEGENER[[#This Row],[SERIE]])</f>
        <v>12</v>
      </c>
      <c r="BG1002" s="683" t="str">
        <f>CONCATENATE("F",COUNTIF($K$7:K1002,K1002))</f>
        <v>F1</v>
      </c>
      <c r="BH1002" s="325" t="str">
        <f>CONCATENATE(BDEGENER[[#This Row],[FECHA DE SERVICIO]],BDEGENER[[#This Row],[N° DE REGISTROS DEL DIA]])</f>
        <v>43558F1</v>
      </c>
      <c r="BI1002" s="324"/>
      <c r="BJ1002" s="85" t="s">
        <v>1544</v>
      </c>
      <c r="BK1002" s="326"/>
    </row>
    <row r="1003" spans="2:63" ht="69" hidden="1" x14ac:dyDescent="0.3">
      <c r="B1003" s="223"/>
      <c r="C1003" s="223"/>
      <c r="D1003" s="223"/>
      <c r="E1003" s="223"/>
      <c r="F1003" s="223"/>
      <c r="G1003" s="223"/>
      <c r="H1003" s="223"/>
      <c r="I1003" s="223"/>
      <c r="J1003" s="223"/>
      <c r="K1003" s="723">
        <v>43558</v>
      </c>
      <c r="L1003" s="15" t="s">
        <v>181</v>
      </c>
      <c r="M1003" s="14" t="s">
        <v>187</v>
      </c>
      <c r="N1003" s="14" t="s">
        <v>183</v>
      </c>
      <c r="O1003" s="8" t="s">
        <v>159</v>
      </c>
      <c r="P1003" s="15" t="s">
        <v>159</v>
      </c>
      <c r="Q1003" s="14" t="s">
        <v>109</v>
      </c>
      <c r="R1003" s="85" t="s">
        <v>1782</v>
      </c>
      <c r="S1003" s="5" t="s">
        <v>1782</v>
      </c>
      <c r="T1003" s="14" t="s">
        <v>99</v>
      </c>
      <c r="U1003" s="14"/>
      <c r="V1003" s="14" t="s">
        <v>152</v>
      </c>
      <c r="W1003" s="85" t="s">
        <v>914</v>
      </c>
      <c r="X1003" s="85" t="s">
        <v>918</v>
      </c>
      <c r="Y1003" s="15">
        <v>3004214491</v>
      </c>
      <c r="Z1003" s="14"/>
      <c r="AA1003" s="14" t="s">
        <v>33</v>
      </c>
      <c r="AB1003" s="85" t="s">
        <v>34</v>
      </c>
      <c r="AC1003" s="14" t="s">
        <v>230</v>
      </c>
      <c r="AD1003" s="16"/>
      <c r="AE1003" s="16"/>
      <c r="AF1003" s="12">
        <v>0.5</v>
      </c>
      <c r="AG1003" s="16" t="s">
        <v>243</v>
      </c>
      <c r="AH1003" s="16" t="s">
        <v>244</v>
      </c>
      <c r="AI1003" s="16" t="s">
        <v>33</v>
      </c>
      <c r="AJ1003" s="85">
        <v>3004133600</v>
      </c>
      <c r="AK1003" s="85" t="s">
        <v>33</v>
      </c>
      <c r="AL1003" s="85">
        <v>1063014</v>
      </c>
      <c r="AM1003" s="16"/>
      <c r="AN1003" s="16"/>
      <c r="AO1003" s="16"/>
      <c r="AP1003" s="14" t="s">
        <v>240</v>
      </c>
      <c r="AQ1003" s="6" t="str">
        <f>CONCATENATE("REG-",BDEGENER[[#This Row],[FECHA DE SERVICIO]],"-",BDEGENER[[#This Row],[SERIE]],"-",BDEGENER[[#This Row],[HORAS]])</f>
        <v>REG-43558-3004214491-0,5</v>
      </c>
      <c r="AR1003" s="5" t="str">
        <f>CONCATENATE("MARCA: ",BDEGENER[[#This Row],[MARCA]],"
 MODELO: ",BDEGENER[[#This Row],[MODELO]])</f>
        <v>MARCA: GENERAC
 MODELO: PG090</v>
      </c>
      <c r="AS1003" s="5" t="str">
        <f>CONCATENATE("MARCA: ",BDEGENER[[#This Row],[MARCA DE MOTOR]],"
SERIE: ",BDEGENER[[#This Row],[SERIE DE MOTOR]])</f>
        <v>MARCA: GENERAC
SERIE: 3004133600</v>
      </c>
      <c r="AT1003" s="5" t="str">
        <f>CONCATENATE("MARCA: ",BDEGENER[[#This Row],[MARCA ALTERNADOR ]],"
SERIE: ",BDEGENER[[#This Row],[SERIE DE ALTERNADOR]])</f>
        <v>MARCA: GENERAC
SERIE: 1063014</v>
      </c>
      <c r="AU1003" s="5" t="str">
        <f>CONCATENATE("HORAS: ",BDEGENER[[#This Row],[HORAS]],"
KW-HR: ",BDEGENER[[#This Row],[KW-HORA]],"
VOLT.BATERIA: ",BDEGENER[[#This Row],[VOLTAJE DE BATERIA]],"
TEMPERATURA: ",BDEGENER[[#This Row],[TEMPERATURA DE AGUA]],"
PRES. ACEITE: ",BDEGENER[[#This Row],[PRESION DE ACEITE]])</f>
        <v xml:space="preserve">HORAS: 0,5
KW-HR: 
VOLT.BATERIA: 
TEMPERATURA: 
PRES. ACEITE: </v>
      </c>
      <c r="AV1003" s="761">
        <f>COUNTIFS(Q1003:Q3003,"MANTENIMIENTO CORRECTIVO",Y1003:Y3003,BDEGENER[[#This Row],[SERIE]])</f>
        <v>0</v>
      </c>
      <c r="AW1003" s="761">
        <f>COUNTIFS(Q1003:Q3003,"MANTENIMIENTO PREVENTIVO",Y1003:Y3003,BDEGENER[[#This Row],[SERIE]])</f>
        <v>0</v>
      </c>
      <c r="AX100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03" s="29">
        <f>COUNTIFS(BDEGENER[SERIE],BDEGENER[[#This Row],[SERIE]],BDEGENER[TIPO DE SERVICIO],"MANTENIMIENTO PREVENTIVO")</f>
        <v>9</v>
      </c>
      <c r="AZ1003" s="29" t="str">
        <f>CONCATENATE("MANTENIMIENTO PREVENTIVO N°",BDEGENER[[#This Row],[GA1]])</f>
        <v>MANTENIMIENTO PREVENTIVO N°9</v>
      </c>
      <c r="BA1003" s="325" t="str">
        <f>IF(BDEGENER[[#This Row],[SERVICIO]]=BDEGENER[[#This Row],[GA2]],BDEGENER[[#This Row],[HORAS]],"0")</f>
        <v>0</v>
      </c>
      <c r="BB1003" s="325">
        <f>SUMIF(BDEGENER[SERIE],BDEGENER[[#This Row],[SERIE]],BDEGENER[GA3])</f>
        <v>2751</v>
      </c>
      <c r="BC1003" s="761" t="str">
        <f>CONCATENATE("MANT",COUNTIF($Y$7:Y1003,Y1003))</f>
        <v>MANT18</v>
      </c>
      <c r="BD1003" s="29" t="str">
        <f>CONCATENATE(BDEGENER[[#This Row],[SERIE]],BDEGENER[[#This Row],[GA5]])</f>
        <v>3004214491MANT18</v>
      </c>
      <c r="BE1003" s="29" t="str">
        <f>CONCATENATE(BDEGENER[[#This Row],[CODIGO PATRIMONIAL]],BDEGENER[[#This Row],[GA5]])</f>
        <v>MANT18</v>
      </c>
      <c r="BF1003" s="16">
        <f>COUNTIF(BDEGENER[SERIE],BDEGENER[[#This Row],[SERIE]])</f>
        <v>18</v>
      </c>
      <c r="BG1003" s="761" t="str">
        <f>CONCATENATE("F",COUNTIF($K$7:K1003,K1003))</f>
        <v>F2</v>
      </c>
      <c r="BH1003" s="325" t="str">
        <f>CONCATENATE(BDEGENER[[#This Row],[FECHA DE SERVICIO]],BDEGENER[[#This Row],[N° DE REGISTROS DEL DIA]])</f>
        <v>43558F2</v>
      </c>
      <c r="BI1003" s="324"/>
      <c r="BJ1003" s="85" t="s">
        <v>1544</v>
      </c>
      <c r="BK1003" s="326"/>
    </row>
    <row r="1004" spans="2:63" ht="69" hidden="1" x14ac:dyDescent="0.3">
      <c r="B1004" s="223"/>
      <c r="C1004" s="223"/>
      <c r="D1004" s="223"/>
      <c r="E1004" s="223"/>
      <c r="F1004" s="223"/>
      <c r="G1004" s="223"/>
      <c r="H1004" s="223"/>
      <c r="I1004" s="223"/>
      <c r="J1004" s="223"/>
      <c r="K1004" s="723">
        <v>43558</v>
      </c>
      <c r="L1004" s="15" t="s">
        <v>181</v>
      </c>
      <c r="M1004" s="14"/>
      <c r="N1004" s="14" t="s">
        <v>192</v>
      </c>
      <c r="O1004" s="8" t="s">
        <v>159</v>
      </c>
      <c r="P1004" s="15" t="s">
        <v>159</v>
      </c>
      <c r="Q1004" s="14" t="s">
        <v>109</v>
      </c>
      <c r="R1004" s="85" t="s">
        <v>1782</v>
      </c>
      <c r="S1004" s="5" t="s">
        <v>2797</v>
      </c>
      <c r="T1004" s="14" t="s">
        <v>99</v>
      </c>
      <c r="U1004" s="14"/>
      <c r="V1004" s="14" t="s">
        <v>152</v>
      </c>
      <c r="W1004" s="85" t="s">
        <v>914</v>
      </c>
      <c r="X1004" s="85" t="s">
        <v>918</v>
      </c>
      <c r="Y1004" s="15">
        <v>3004290365</v>
      </c>
      <c r="Z1004" s="14"/>
      <c r="AA1004" s="14" t="s">
        <v>33</v>
      </c>
      <c r="AB1004" s="85" t="s">
        <v>34</v>
      </c>
      <c r="AC1004" s="14" t="s">
        <v>230</v>
      </c>
      <c r="AD1004" s="16"/>
      <c r="AE1004" s="16"/>
      <c r="AF1004" s="12">
        <v>1.1000000000000001</v>
      </c>
      <c r="AG1004" s="85" t="s">
        <v>243</v>
      </c>
      <c r="AH1004" s="85" t="s">
        <v>220</v>
      </c>
      <c r="AI1004" s="85" t="s">
        <v>33</v>
      </c>
      <c r="AJ1004" s="16"/>
      <c r="AK1004" s="85" t="s">
        <v>33</v>
      </c>
      <c r="AL1004" s="16"/>
      <c r="AM1004" s="16"/>
      <c r="AN1004" s="16"/>
      <c r="AO1004" s="16"/>
      <c r="AP1004" s="14" t="s">
        <v>240</v>
      </c>
      <c r="AQ1004" s="6" t="str">
        <f>CONCATENATE("REG-",BDEGENER[[#This Row],[FECHA DE SERVICIO]],"-",BDEGENER[[#This Row],[SERIE]],"-",BDEGENER[[#This Row],[HORAS]])</f>
        <v>REG-43558-3004290365-1,1</v>
      </c>
      <c r="AR1004" s="5" t="str">
        <f>CONCATENATE("MARCA: ",BDEGENER[[#This Row],[MARCA]],"
 MODELO: ",BDEGENER[[#This Row],[MODELO]])</f>
        <v>MARCA: GENERAC
 MODELO: PG090</v>
      </c>
      <c r="AS1004" s="5" t="str">
        <f>CONCATENATE("MARCA: ",BDEGENER[[#This Row],[MARCA DE MOTOR]],"
SERIE: ",BDEGENER[[#This Row],[SERIE DE MOTOR]])</f>
        <v xml:space="preserve">MARCA: GENERAC
SERIE: </v>
      </c>
      <c r="AT1004" s="5" t="str">
        <f>CONCATENATE("MARCA: ",BDEGENER[[#This Row],[MARCA ALTERNADOR ]],"
SERIE: ",BDEGENER[[#This Row],[SERIE DE ALTERNADOR]])</f>
        <v xml:space="preserve">MARCA: GENERAC
SERIE: </v>
      </c>
      <c r="AU1004" s="5" t="str">
        <f>CONCATENATE("HORAS: ",BDEGENER[[#This Row],[HORAS]],"
KW-HR: ",BDEGENER[[#This Row],[KW-HORA]],"
VOLT.BATERIA: ",BDEGENER[[#This Row],[VOLTAJE DE BATERIA]],"
TEMPERATURA: ",BDEGENER[[#This Row],[TEMPERATURA DE AGUA]],"
PRES. ACEITE: ",BDEGENER[[#This Row],[PRESION DE ACEITE]])</f>
        <v xml:space="preserve">HORAS: 1,1
KW-HR: 
VOLT.BATERIA: 
TEMPERATURA: 
PRES. ACEITE: </v>
      </c>
      <c r="AV1004" s="683">
        <f>COUNTIFS(Q1004:Q3004,"MANTENIMIENTO CORRECTIVO",Y1004:Y3004,BDEGENER[[#This Row],[SERIE]])</f>
        <v>0</v>
      </c>
      <c r="AW1004" s="683">
        <f>COUNTIFS(Q1004:Q3004,"MANTENIMIENTO PREVENTIVO",Y1004:Y3004,BDEGENER[[#This Row],[SERIE]])</f>
        <v>0</v>
      </c>
      <c r="AX100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04" s="29">
        <f>COUNTIFS(BDEGENER[SERIE],BDEGENER[[#This Row],[SERIE]],BDEGENER[TIPO DE SERVICIO],"MANTENIMIENTO PREVENTIVO")</f>
        <v>5</v>
      </c>
      <c r="AZ1004" s="29" t="str">
        <f>CONCATENATE("MANTENIMIENTO PREVENTIVO N°",BDEGENER[[#This Row],[GA1]])</f>
        <v>MANTENIMIENTO PREVENTIVO N°5</v>
      </c>
      <c r="BA1004" s="325" t="str">
        <f>IF(BDEGENER[[#This Row],[SERVICIO]]=BDEGENER[[#This Row],[GA2]],BDEGENER[[#This Row],[HORAS]],"0")</f>
        <v>0</v>
      </c>
      <c r="BB1004" s="325">
        <f>SUMIF(BDEGENER[SERIE],BDEGENER[[#This Row],[SERIE]],BDEGENER[GA3])</f>
        <v>1700.2</v>
      </c>
      <c r="BC1004" s="683" t="str">
        <f>CONCATENATE("MANT",COUNTIF($Y$7:Y1004,Y1004))</f>
        <v>MANT15</v>
      </c>
      <c r="BD1004" s="29" t="str">
        <f>CONCATENATE(BDEGENER[[#This Row],[SERIE]],BDEGENER[[#This Row],[GA5]])</f>
        <v>3004290365MANT15</v>
      </c>
      <c r="BE1004" s="29" t="str">
        <f>CONCATENATE(BDEGENER[[#This Row],[CODIGO PATRIMONIAL]],BDEGENER[[#This Row],[GA5]])</f>
        <v>MANT15</v>
      </c>
      <c r="BF1004" s="16">
        <f>COUNTIF(BDEGENER[SERIE],BDEGENER[[#This Row],[SERIE]])</f>
        <v>15</v>
      </c>
      <c r="BG1004" s="683" t="str">
        <f>CONCATENATE("F",COUNTIF($K$7:K1004,K1004))</f>
        <v>F3</v>
      </c>
      <c r="BH1004" s="325" t="str">
        <f>CONCATENATE(BDEGENER[[#This Row],[FECHA DE SERVICIO]],BDEGENER[[#This Row],[N° DE REGISTROS DEL DIA]])</f>
        <v>43558F3</v>
      </c>
      <c r="BI1004" s="324"/>
      <c r="BJ1004" s="325"/>
      <c r="BK1004" s="326"/>
    </row>
    <row r="1005" spans="2:63" ht="69" hidden="1" x14ac:dyDescent="0.3">
      <c r="B1005" s="223"/>
      <c r="C1005" s="223"/>
      <c r="D1005" s="223"/>
      <c r="E1005" s="223"/>
      <c r="F1005" s="223"/>
      <c r="G1005" s="223"/>
      <c r="H1005" s="223"/>
      <c r="I1005" s="223"/>
      <c r="J1005" s="223"/>
      <c r="K1005" s="723">
        <v>43558</v>
      </c>
      <c r="L1005" s="15" t="s">
        <v>181</v>
      </c>
      <c r="M1005" s="14" t="s">
        <v>188</v>
      </c>
      <c r="N1005" s="14" t="s">
        <v>183</v>
      </c>
      <c r="O1005" s="8" t="s">
        <v>159</v>
      </c>
      <c r="P1005" s="15" t="s">
        <v>159</v>
      </c>
      <c r="Q1005" s="14" t="s">
        <v>109</v>
      </c>
      <c r="R1005" s="85" t="s">
        <v>1782</v>
      </c>
      <c r="S1005" s="5" t="s">
        <v>1782</v>
      </c>
      <c r="T1005" s="14" t="s">
        <v>99</v>
      </c>
      <c r="U1005" s="14"/>
      <c r="V1005" s="14" t="s">
        <v>152</v>
      </c>
      <c r="W1005" s="85" t="s">
        <v>914</v>
      </c>
      <c r="X1005" s="85" t="s">
        <v>918</v>
      </c>
      <c r="Y1005" s="15">
        <v>3004235514</v>
      </c>
      <c r="Z1005" s="14"/>
      <c r="AA1005" s="14" t="s">
        <v>33</v>
      </c>
      <c r="AB1005" s="85" t="s">
        <v>34</v>
      </c>
      <c r="AC1005" s="14" t="s">
        <v>230</v>
      </c>
      <c r="AD1005" s="16"/>
      <c r="AE1005" s="16"/>
      <c r="AF1005" s="12">
        <v>0.5</v>
      </c>
      <c r="AG1005" s="16" t="s">
        <v>243</v>
      </c>
      <c r="AH1005" s="16" t="s">
        <v>220</v>
      </c>
      <c r="AI1005" s="16" t="s">
        <v>33</v>
      </c>
      <c r="AJ1005" s="16"/>
      <c r="AK1005" s="85" t="s">
        <v>33</v>
      </c>
      <c r="AL1005" s="16"/>
      <c r="AM1005" s="16"/>
      <c r="AN1005" s="16"/>
      <c r="AO1005" s="16"/>
      <c r="AP1005" s="14" t="s">
        <v>240</v>
      </c>
      <c r="AQ1005" s="6" t="str">
        <f>CONCATENATE("REG-",BDEGENER[[#This Row],[FECHA DE SERVICIO]],"-",BDEGENER[[#This Row],[SERIE]],"-",BDEGENER[[#This Row],[HORAS]])</f>
        <v>REG-43558-3004235514-0,5</v>
      </c>
      <c r="AR1005" s="5" t="str">
        <f>CONCATENATE("MARCA: ",BDEGENER[[#This Row],[MARCA]],"
 MODELO: ",BDEGENER[[#This Row],[MODELO]])</f>
        <v>MARCA: GENERAC
 MODELO: PG090</v>
      </c>
      <c r="AS1005" s="5" t="str">
        <f>CONCATENATE("MARCA: ",BDEGENER[[#This Row],[MARCA DE MOTOR]],"
SERIE: ",BDEGENER[[#This Row],[SERIE DE MOTOR]])</f>
        <v xml:space="preserve">MARCA: GENERAC
SERIE: </v>
      </c>
      <c r="AT1005" s="5" t="str">
        <f>CONCATENATE("MARCA: ",BDEGENER[[#This Row],[MARCA ALTERNADOR ]],"
SERIE: ",BDEGENER[[#This Row],[SERIE DE ALTERNADOR]])</f>
        <v xml:space="preserve">MARCA: GENERAC
SERIE: </v>
      </c>
      <c r="AU1005" s="5" t="str">
        <f>CONCATENATE("HORAS: ",BDEGENER[[#This Row],[HORAS]],"
KW-HR: ",BDEGENER[[#This Row],[KW-HORA]],"
VOLT.BATERIA: ",BDEGENER[[#This Row],[VOLTAJE DE BATERIA]],"
TEMPERATURA: ",BDEGENER[[#This Row],[TEMPERATURA DE AGUA]],"
PRES. ACEITE: ",BDEGENER[[#This Row],[PRESION DE ACEITE]])</f>
        <v xml:space="preserve">HORAS: 0,5
KW-HR: 
VOLT.BATERIA: 
TEMPERATURA: 
PRES. ACEITE: </v>
      </c>
      <c r="AV1005" s="683">
        <f>COUNTIFS(Q1005:Q3005,"MANTENIMIENTO CORRECTIVO",Y1005:Y3005,BDEGENER[[#This Row],[SERIE]])</f>
        <v>0</v>
      </c>
      <c r="AW1005" s="683">
        <f>COUNTIFS(Q1005:Q3005,"MANTENIMIENTO PREVENTIVO",Y1005:Y3005,BDEGENER[[#This Row],[SERIE]])</f>
        <v>0</v>
      </c>
      <c r="AX100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05" s="29">
        <f>COUNTIFS(BDEGENER[SERIE],BDEGENER[[#This Row],[SERIE]],BDEGENER[TIPO DE SERVICIO],"MANTENIMIENTO PREVENTIVO")</f>
        <v>7</v>
      </c>
      <c r="AZ1005" s="29" t="str">
        <f>CONCATENATE("MANTENIMIENTO PREVENTIVO N°",BDEGENER[[#This Row],[GA1]])</f>
        <v>MANTENIMIENTO PREVENTIVO N°7</v>
      </c>
      <c r="BA1005" s="325" t="str">
        <f>IF(BDEGENER[[#This Row],[SERVICIO]]=BDEGENER[[#This Row],[GA2]],BDEGENER[[#This Row],[HORAS]],"0")</f>
        <v>0</v>
      </c>
      <c r="BB1005" s="325">
        <f>SUMIF(BDEGENER[SERIE],BDEGENER[[#This Row],[SERIE]],BDEGENER[GA3])</f>
        <v>2044.9</v>
      </c>
      <c r="BC1005" s="683" t="str">
        <f>CONCATENATE("MANT",COUNTIF($Y$7:Y1005,Y1005))</f>
        <v>MANT10</v>
      </c>
      <c r="BD1005" s="29" t="str">
        <f>CONCATENATE(BDEGENER[[#This Row],[SERIE]],BDEGENER[[#This Row],[GA5]])</f>
        <v>3004235514MANT10</v>
      </c>
      <c r="BE1005" s="29" t="str">
        <f>CONCATENATE(BDEGENER[[#This Row],[CODIGO PATRIMONIAL]],BDEGENER[[#This Row],[GA5]])</f>
        <v>MANT10</v>
      </c>
      <c r="BF1005" s="16">
        <f>COUNTIF(BDEGENER[SERIE],BDEGENER[[#This Row],[SERIE]])</f>
        <v>10</v>
      </c>
      <c r="BG1005" s="683" t="str">
        <f>CONCATENATE("F",COUNTIF($K$7:K1005,K1005))</f>
        <v>F4</v>
      </c>
      <c r="BH1005" s="325" t="str">
        <f>CONCATENATE(BDEGENER[[#This Row],[FECHA DE SERVICIO]],BDEGENER[[#This Row],[N° DE REGISTROS DEL DIA]])</f>
        <v>43558F4</v>
      </c>
      <c r="BI1005" s="324"/>
      <c r="BJ1005" s="85" t="s">
        <v>1544</v>
      </c>
      <c r="BK1005" s="326"/>
    </row>
    <row r="1006" spans="2:63" ht="69" hidden="1" x14ac:dyDescent="0.3">
      <c r="B1006" s="223"/>
      <c r="C1006" s="223"/>
      <c r="D1006" s="223"/>
      <c r="E1006" s="223"/>
      <c r="F1006" s="223"/>
      <c r="G1006" s="223"/>
      <c r="H1006" s="223"/>
      <c r="I1006" s="223"/>
      <c r="J1006" s="223"/>
      <c r="K1006" s="723">
        <v>43558</v>
      </c>
      <c r="L1006" s="15" t="s">
        <v>181</v>
      </c>
      <c r="M1006" s="14" t="s">
        <v>188</v>
      </c>
      <c r="N1006" s="14" t="s">
        <v>183</v>
      </c>
      <c r="O1006" s="8" t="s">
        <v>159</v>
      </c>
      <c r="P1006" s="15" t="s">
        <v>159</v>
      </c>
      <c r="Q1006" s="14" t="s">
        <v>109</v>
      </c>
      <c r="R1006" s="85" t="s">
        <v>1782</v>
      </c>
      <c r="S1006" s="5" t="s">
        <v>1782</v>
      </c>
      <c r="T1006" s="14" t="s">
        <v>99</v>
      </c>
      <c r="U1006" s="14"/>
      <c r="V1006" s="14" t="s">
        <v>152</v>
      </c>
      <c r="W1006" s="85" t="s">
        <v>914</v>
      </c>
      <c r="X1006" s="85" t="s">
        <v>918</v>
      </c>
      <c r="Y1006" s="15">
        <v>3004290364</v>
      </c>
      <c r="Z1006" s="14"/>
      <c r="AA1006" s="14" t="s">
        <v>33</v>
      </c>
      <c r="AB1006" s="85" t="s">
        <v>34</v>
      </c>
      <c r="AC1006" s="14" t="s">
        <v>230</v>
      </c>
      <c r="AD1006" s="16"/>
      <c r="AE1006" s="16"/>
      <c r="AF1006" s="12">
        <v>0.7</v>
      </c>
      <c r="AG1006" s="16" t="s">
        <v>243</v>
      </c>
      <c r="AH1006" s="16" t="s">
        <v>220</v>
      </c>
      <c r="AI1006" s="16" t="s">
        <v>33</v>
      </c>
      <c r="AJ1006" s="85">
        <v>3004301038</v>
      </c>
      <c r="AK1006" s="16" t="s">
        <v>33</v>
      </c>
      <c r="AL1006" s="85">
        <v>1063018</v>
      </c>
      <c r="AM1006" s="16"/>
      <c r="AN1006" s="16"/>
      <c r="AO1006" s="16"/>
      <c r="AP1006" s="14" t="s">
        <v>240</v>
      </c>
      <c r="AQ1006" s="6" t="str">
        <f>CONCATENATE("REG-",BDEGENER[[#This Row],[FECHA DE SERVICIO]],"-",BDEGENER[[#This Row],[SERIE]],"-",BDEGENER[[#This Row],[HORAS]])</f>
        <v>REG-43558-3004290364-0,7</v>
      </c>
      <c r="AR1006" s="5" t="str">
        <f>CONCATENATE("MARCA: ",BDEGENER[[#This Row],[MARCA]],"
 MODELO: ",BDEGENER[[#This Row],[MODELO]])</f>
        <v>MARCA: GENERAC
 MODELO: PG090</v>
      </c>
      <c r="AS1006" s="5" t="str">
        <f>CONCATENATE("MARCA: ",BDEGENER[[#This Row],[MARCA DE MOTOR]],"
SERIE: ",BDEGENER[[#This Row],[SERIE DE MOTOR]])</f>
        <v>MARCA: GENERAC
SERIE: 3004301038</v>
      </c>
      <c r="AT1006" s="5" t="str">
        <f>CONCATENATE("MARCA: ",BDEGENER[[#This Row],[MARCA ALTERNADOR ]],"
SERIE: ",BDEGENER[[#This Row],[SERIE DE ALTERNADOR]])</f>
        <v>MARCA: GENERAC
SERIE: 1063018</v>
      </c>
      <c r="AU1006" s="5" t="str">
        <f>CONCATENATE("HORAS: ",BDEGENER[[#This Row],[HORAS]],"
KW-HR: ",BDEGENER[[#This Row],[KW-HORA]],"
VOLT.BATERIA: ",BDEGENER[[#This Row],[VOLTAJE DE BATERIA]],"
TEMPERATURA: ",BDEGENER[[#This Row],[TEMPERATURA DE AGUA]],"
PRES. ACEITE: ",BDEGENER[[#This Row],[PRESION DE ACEITE]])</f>
        <v xml:space="preserve">HORAS: 0,7
KW-HR: 
VOLT.BATERIA: 
TEMPERATURA: 
PRES. ACEITE: </v>
      </c>
      <c r="AV1006" s="761">
        <f>COUNTIFS(Q1006:Q3006,"MANTENIMIENTO CORRECTIVO",Y1006:Y3006,BDEGENER[[#This Row],[SERIE]])</f>
        <v>0</v>
      </c>
      <c r="AW1006" s="761">
        <f>COUNTIFS(Q1006:Q3006,"MANTENIMIENTO PREVENTIVO",Y1006:Y3006,BDEGENER[[#This Row],[SERIE]])</f>
        <v>0</v>
      </c>
      <c r="AX100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06" s="29">
        <f>COUNTIFS(BDEGENER[SERIE],BDEGENER[[#This Row],[SERIE]],BDEGENER[TIPO DE SERVICIO],"MANTENIMIENTO PREVENTIVO")</f>
        <v>3</v>
      </c>
      <c r="AZ1006" s="29" t="str">
        <f>CONCATENATE("MANTENIMIENTO PREVENTIVO N°",BDEGENER[[#This Row],[GA1]])</f>
        <v>MANTENIMIENTO PREVENTIVO N°3</v>
      </c>
      <c r="BA1006" s="325" t="str">
        <f>IF(BDEGENER[[#This Row],[SERVICIO]]=BDEGENER[[#This Row],[GA2]],BDEGENER[[#This Row],[HORAS]],"0")</f>
        <v>0</v>
      </c>
      <c r="BB1006" s="325">
        <f>SUMIF(BDEGENER[SERIE],BDEGENER[[#This Row],[SERIE]],BDEGENER[GA3])</f>
        <v>941.5</v>
      </c>
      <c r="BC1006" s="761" t="str">
        <f>CONCATENATE("MANT",COUNTIF($Y$7:Y1006,Y1006))</f>
        <v>MANT9</v>
      </c>
      <c r="BD1006" s="29" t="str">
        <f>CONCATENATE(BDEGENER[[#This Row],[SERIE]],BDEGENER[[#This Row],[GA5]])</f>
        <v>3004290364MANT9</v>
      </c>
      <c r="BE1006" s="29" t="str">
        <f>CONCATENATE(BDEGENER[[#This Row],[CODIGO PATRIMONIAL]],BDEGENER[[#This Row],[GA5]])</f>
        <v>MANT9</v>
      </c>
      <c r="BF1006" s="16">
        <f>COUNTIF(BDEGENER[SERIE],BDEGENER[[#This Row],[SERIE]])</f>
        <v>9</v>
      </c>
      <c r="BG1006" s="761" t="str">
        <f>CONCATENATE("F",COUNTIF($K$7:K1006,K1006))</f>
        <v>F5</v>
      </c>
      <c r="BH1006" s="325" t="str">
        <f>CONCATENATE(BDEGENER[[#This Row],[FECHA DE SERVICIO]],BDEGENER[[#This Row],[N° DE REGISTROS DEL DIA]])</f>
        <v>43558F5</v>
      </c>
      <c r="BI1006" s="324"/>
      <c r="BJ1006" s="85" t="s">
        <v>1544</v>
      </c>
      <c r="BK1006" s="326"/>
    </row>
    <row r="1007" spans="2:63" ht="69" hidden="1" x14ac:dyDescent="0.3">
      <c r="B1007" s="223"/>
      <c r="C1007" s="223"/>
      <c r="D1007" s="223"/>
      <c r="E1007" s="223"/>
      <c r="F1007" s="223"/>
      <c r="G1007" s="223"/>
      <c r="H1007" s="223"/>
      <c r="I1007" s="223"/>
      <c r="J1007" s="223"/>
      <c r="K1007" s="723">
        <v>43558</v>
      </c>
      <c r="L1007" s="15" t="s">
        <v>181</v>
      </c>
      <c r="M1007" s="14" t="s">
        <v>182</v>
      </c>
      <c r="N1007" s="14" t="s">
        <v>183</v>
      </c>
      <c r="O1007" s="8" t="s">
        <v>159</v>
      </c>
      <c r="P1007" s="15" t="s">
        <v>159</v>
      </c>
      <c r="Q1007" s="14" t="s">
        <v>109</v>
      </c>
      <c r="R1007" s="85" t="s">
        <v>1782</v>
      </c>
      <c r="S1007" s="5" t="s">
        <v>644</v>
      </c>
      <c r="T1007" s="14" t="s">
        <v>99</v>
      </c>
      <c r="U1007" s="14"/>
      <c r="V1007" s="14" t="s">
        <v>152</v>
      </c>
      <c r="W1007" s="85" t="s">
        <v>914</v>
      </c>
      <c r="X1007" s="85" t="s">
        <v>918</v>
      </c>
      <c r="Y1007" s="15">
        <v>3004256777</v>
      </c>
      <c r="Z1007" s="14"/>
      <c r="AA1007" s="14" t="s">
        <v>33</v>
      </c>
      <c r="AB1007" s="85" t="s">
        <v>34</v>
      </c>
      <c r="AC1007" s="14" t="s">
        <v>230</v>
      </c>
      <c r="AD1007" s="16"/>
      <c r="AE1007" s="16"/>
      <c r="AF1007" s="12">
        <v>0.6</v>
      </c>
      <c r="AG1007" s="16" t="s">
        <v>243</v>
      </c>
      <c r="AH1007" s="16" t="s">
        <v>220</v>
      </c>
      <c r="AI1007" s="16" t="s">
        <v>33</v>
      </c>
      <c r="AJ1007" s="16"/>
      <c r="AK1007" s="16" t="s">
        <v>33</v>
      </c>
      <c r="AL1007" s="16"/>
      <c r="AM1007" s="16"/>
      <c r="AN1007" s="16"/>
      <c r="AO1007" s="16"/>
      <c r="AP1007" s="14" t="s">
        <v>240</v>
      </c>
      <c r="AQ1007" s="6" t="str">
        <f>CONCATENATE("REG-",BDEGENER[[#This Row],[FECHA DE SERVICIO]],"-",BDEGENER[[#This Row],[SERIE]],"-",BDEGENER[[#This Row],[HORAS]])</f>
        <v>REG-43558-3004256777-0,6</v>
      </c>
      <c r="AR1007" s="5" t="str">
        <f>CONCATENATE("MARCA: ",BDEGENER[[#This Row],[MARCA]],"
 MODELO: ",BDEGENER[[#This Row],[MODELO]])</f>
        <v>MARCA: GENERAC
 MODELO: PG090</v>
      </c>
      <c r="AS1007" s="5" t="str">
        <f>CONCATENATE("MARCA: ",BDEGENER[[#This Row],[MARCA DE MOTOR]],"
SERIE: ",BDEGENER[[#This Row],[SERIE DE MOTOR]])</f>
        <v xml:space="preserve">MARCA: GENERAC
SERIE: </v>
      </c>
      <c r="AT1007" s="5" t="str">
        <f>CONCATENATE("MARCA: ",BDEGENER[[#This Row],[MARCA ALTERNADOR ]],"
SERIE: ",BDEGENER[[#This Row],[SERIE DE ALTERNADOR]])</f>
        <v xml:space="preserve">MARCA: GENERAC
SERIE: </v>
      </c>
      <c r="AU1007" s="5"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1007" s="683">
        <f>COUNTIFS(Q1007:Q3007,"MANTENIMIENTO CORRECTIVO",Y1007:Y3007,BDEGENER[[#This Row],[SERIE]])</f>
        <v>0</v>
      </c>
      <c r="AW1007" s="683">
        <f>COUNTIFS(Q1007:Q3007,"MANTENIMIENTO PREVENTIVO",Y1007:Y3007,BDEGENER[[#This Row],[SERIE]])</f>
        <v>0</v>
      </c>
      <c r="AX100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07" s="29">
        <f>COUNTIFS(BDEGENER[SERIE],BDEGENER[[#This Row],[SERIE]],BDEGENER[TIPO DE SERVICIO],"MANTENIMIENTO PREVENTIVO")</f>
        <v>9</v>
      </c>
      <c r="AZ1007" s="29" t="str">
        <f>CONCATENATE("MANTENIMIENTO PREVENTIVO N°",BDEGENER[[#This Row],[GA1]])</f>
        <v>MANTENIMIENTO PREVENTIVO N°9</v>
      </c>
      <c r="BA1007" s="325" t="str">
        <f>IF(BDEGENER[[#This Row],[SERVICIO]]=BDEGENER[[#This Row],[GA2]],BDEGENER[[#This Row],[HORAS]],"0")</f>
        <v>0</v>
      </c>
      <c r="BB1007" s="325">
        <f>SUMIF(BDEGENER[SERIE],BDEGENER[[#This Row],[SERIE]],BDEGENER[GA3])</f>
        <v>2804.7</v>
      </c>
      <c r="BC1007" s="683" t="str">
        <f>CONCATENATE("MANT",COUNTIF($Y$7:Y1007,Y1007))</f>
        <v>MANT16</v>
      </c>
      <c r="BD1007" s="29" t="str">
        <f>CONCATENATE(BDEGENER[[#This Row],[SERIE]],BDEGENER[[#This Row],[GA5]])</f>
        <v>3004256777MANT16</v>
      </c>
      <c r="BE1007" s="29" t="str">
        <f>CONCATENATE(BDEGENER[[#This Row],[CODIGO PATRIMONIAL]],BDEGENER[[#This Row],[GA5]])</f>
        <v>MANT16</v>
      </c>
      <c r="BF1007" s="16">
        <f>COUNTIF(BDEGENER[SERIE],BDEGENER[[#This Row],[SERIE]])</f>
        <v>16</v>
      </c>
      <c r="BG1007" s="683" t="str">
        <f>CONCATENATE("F",COUNTIF($K$7:K1007,K1007))</f>
        <v>F6</v>
      </c>
      <c r="BH1007" s="325" t="str">
        <f>CONCATENATE(BDEGENER[[#This Row],[FECHA DE SERVICIO]],BDEGENER[[#This Row],[N° DE REGISTROS DEL DIA]])</f>
        <v>43558F6</v>
      </c>
      <c r="BI1007" s="324"/>
      <c r="BJ1007" s="85" t="s">
        <v>1544</v>
      </c>
      <c r="BK1007" s="326"/>
    </row>
    <row r="1008" spans="2:63" ht="69" hidden="1" x14ac:dyDescent="0.3">
      <c r="B1008" s="223"/>
      <c r="C1008" s="223"/>
      <c r="D1008" s="223"/>
      <c r="E1008" s="223"/>
      <c r="F1008" s="223"/>
      <c r="G1008" s="223"/>
      <c r="H1008" s="223"/>
      <c r="I1008" s="223"/>
      <c r="J1008" s="223"/>
      <c r="K1008" s="723">
        <v>43558</v>
      </c>
      <c r="L1008" s="15" t="s">
        <v>181</v>
      </c>
      <c r="M1008" s="14" t="s">
        <v>188</v>
      </c>
      <c r="N1008" s="14" t="s">
        <v>183</v>
      </c>
      <c r="O1008" s="8" t="s">
        <v>159</v>
      </c>
      <c r="P1008" s="15" t="s">
        <v>159</v>
      </c>
      <c r="Q1008" s="14" t="s">
        <v>109</v>
      </c>
      <c r="R1008" s="85" t="s">
        <v>1782</v>
      </c>
      <c r="S1008" s="5" t="s">
        <v>1782</v>
      </c>
      <c r="T1008" s="14" t="s">
        <v>99</v>
      </c>
      <c r="U1008" s="14"/>
      <c r="V1008" s="14" t="s">
        <v>152</v>
      </c>
      <c r="W1008" s="85" t="s">
        <v>914</v>
      </c>
      <c r="X1008" s="85" t="s">
        <v>918</v>
      </c>
      <c r="Y1008" s="15">
        <v>3004290369</v>
      </c>
      <c r="Z1008" s="14"/>
      <c r="AA1008" s="14" t="s">
        <v>33</v>
      </c>
      <c r="AB1008" s="85" t="s">
        <v>34</v>
      </c>
      <c r="AC1008" s="14" t="s">
        <v>230</v>
      </c>
      <c r="AD1008" s="16"/>
      <c r="AE1008" s="16"/>
      <c r="AF1008" s="12">
        <v>0.5</v>
      </c>
      <c r="AG1008" s="16" t="s">
        <v>243</v>
      </c>
      <c r="AH1008" s="16" t="s">
        <v>220</v>
      </c>
      <c r="AI1008" s="16" t="s">
        <v>33</v>
      </c>
      <c r="AJ1008" s="16"/>
      <c r="AK1008" s="16" t="s">
        <v>33</v>
      </c>
      <c r="AL1008" s="16"/>
      <c r="AM1008" s="16"/>
      <c r="AN1008" s="16"/>
      <c r="AO1008" s="16"/>
      <c r="AP1008" s="14" t="s">
        <v>240</v>
      </c>
      <c r="AQ1008" s="6" t="str">
        <f>CONCATENATE("REG-",BDEGENER[[#This Row],[FECHA DE SERVICIO]],"-",BDEGENER[[#This Row],[SERIE]],"-",BDEGENER[[#This Row],[HORAS]])</f>
        <v>REG-43558-3004290369-0,5</v>
      </c>
      <c r="AR1008" s="5" t="str">
        <f>CONCATENATE("MARCA: ",BDEGENER[[#This Row],[MARCA]],"
 MODELO: ",BDEGENER[[#This Row],[MODELO]])</f>
        <v>MARCA: GENERAC
 MODELO: PG090</v>
      </c>
      <c r="AS1008" s="5" t="str">
        <f>CONCATENATE("MARCA: ",BDEGENER[[#This Row],[MARCA DE MOTOR]],"
SERIE: ",BDEGENER[[#This Row],[SERIE DE MOTOR]])</f>
        <v xml:space="preserve">MARCA: GENERAC
SERIE: </v>
      </c>
      <c r="AT1008" s="5" t="str">
        <f>CONCATENATE("MARCA: ",BDEGENER[[#This Row],[MARCA ALTERNADOR ]],"
SERIE: ",BDEGENER[[#This Row],[SERIE DE ALTERNADOR]])</f>
        <v xml:space="preserve">MARCA: GENERAC
SERIE: </v>
      </c>
      <c r="AU1008" s="5" t="str">
        <f>CONCATENATE("HORAS: ",BDEGENER[[#This Row],[HORAS]],"
KW-HR: ",BDEGENER[[#This Row],[KW-HORA]],"
VOLT.BATERIA: ",BDEGENER[[#This Row],[VOLTAJE DE BATERIA]],"
TEMPERATURA: ",BDEGENER[[#This Row],[TEMPERATURA DE AGUA]],"
PRES. ACEITE: ",BDEGENER[[#This Row],[PRESION DE ACEITE]])</f>
        <v xml:space="preserve">HORAS: 0,5
KW-HR: 
VOLT.BATERIA: 
TEMPERATURA: 
PRES. ACEITE: </v>
      </c>
      <c r="AV1008" s="683">
        <f>COUNTIFS(Q1008:Q3008,"MANTENIMIENTO CORRECTIVO",Y1008:Y3008,BDEGENER[[#This Row],[SERIE]])</f>
        <v>0</v>
      </c>
      <c r="AW1008" s="683">
        <f>COUNTIFS(Q1008:Q3008,"MANTENIMIENTO PREVENTIVO",Y1008:Y3008,BDEGENER[[#This Row],[SERIE]])</f>
        <v>0</v>
      </c>
      <c r="AX100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08" s="29">
        <f>COUNTIFS(BDEGENER[SERIE],BDEGENER[[#This Row],[SERIE]],BDEGENER[TIPO DE SERVICIO],"MANTENIMIENTO PREVENTIVO")</f>
        <v>7</v>
      </c>
      <c r="AZ1008" s="29" t="str">
        <f>CONCATENATE("MANTENIMIENTO PREVENTIVO N°",BDEGENER[[#This Row],[GA1]])</f>
        <v>MANTENIMIENTO PREVENTIVO N°7</v>
      </c>
      <c r="BA1008" s="325" t="str">
        <f>IF(BDEGENER[[#This Row],[SERVICIO]]=BDEGENER[[#This Row],[GA2]],BDEGENER[[#This Row],[HORAS]],"0")</f>
        <v>0</v>
      </c>
      <c r="BB1008" s="325">
        <f>SUMIF(BDEGENER[SERIE],BDEGENER[[#This Row],[SERIE]],BDEGENER[GA3])</f>
        <v>2294</v>
      </c>
      <c r="BC1008" s="683" t="str">
        <f>CONCATENATE("MANT",COUNTIF($Y$7:Y1008,Y1008))</f>
        <v>MANT11</v>
      </c>
      <c r="BD1008" s="29" t="str">
        <f>CONCATENATE(BDEGENER[[#This Row],[SERIE]],BDEGENER[[#This Row],[GA5]])</f>
        <v>3004290369MANT11</v>
      </c>
      <c r="BE1008" s="29" t="str">
        <f>CONCATENATE(BDEGENER[[#This Row],[CODIGO PATRIMONIAL]],BDEGENER[[#This Row],[GA5]])</f>
        <v>MANT11</v>
      </c>
      <c r="BF1008" s="16">
        <f>COUNTIF(BDEGENER[SERIE],BDEGENER[[#This Row],[SERIE]])</f>
        <v>11</v>
      </c>
      <c r="BG1008" s="683" t="str">
        <f>CONCATENATE("F",COUNTIF($K$7:K1008,K1008))</f>
        <v>F7</v>
      </c>
      <c r="BH1008" s="325" t="str">
        <f>CONCATENATE(BDEGENER[[#This Row],[FECHA DE SERVICIO]],BDEGENER[[#This Row],[N° DE REGISTROS DEL DIA]])</f>
        <v>43558F7</v>
      </c>
      <c r="BI1008" s="324"/>
      <c r="BJ1008" s="85" t="s">
        <v>1544</v>
      </c>
      <c r="BK1008" s="326"/>
    </row>
    <row r="1009" spans="2:63" ht="69" hidden="1" x14ac:dyDescent="0.3">
      <c r="B1009" s="223"/>
      <c r="C1009" s="223"/>
      <c r="D1009" s="223"/>
      <c r="E1009" s="223"/>
      <c r="F1009" s="223"/>
      <c r="G1009" s="223"/>
      <c r="H1009" s="223"/>
      <c r="I1009" s="223"/>
      <c r="J1009" s="223"/>
      <c r="K1009" s="723">
        <v>43558</v>
      </c>
      <c r="L1009" s="15" t="s">
        <v>181</v>
      </c>
      <c r="M1009" s="14" t="s">
        <v>184</v>
      </c>
      <c r="N1009" s="14" t="s">
        <v>183</v>
      </c>
      <c r="O1009" s="8" t="s">
        <v>159</v>
      </c>
      <c r="P1009" s="15" t="s">
        <v>159</v>
      </c>
      <c r="Q1009" s="14" t="s">
        <v>109</v>
      </c>
      <c r="R1009" s="85" t="s">
        <v>1782</v>
      </c>
      <c r="S1009" s="5" t="s">
        <v>1782</v>
      </c>
      <c r="T1009" s="14" t="s">
        <v>99</v>
      </c>
      <c r="U1009" s="14"/>
      <c r="V1009" s="14" t="s">
        <v>152</v>
      </c>
      <c r="W1009" s="85" t="s">
        <v>914</v>
      </c>
      <c r="X1009" s="85" t="s">
        <v>918</v>
      </c>
      <c r="Y1009" s="15">
        <v>3004227749</v>
      </c>
      <c r="Z1009" s="14"/>
      <c r="AA1009" s="14" t="s">
        <v>33</v>
      </c>
      <c r="AB1009" s="85" t="s">
        <v>34</v>
      </c>
      <c r="AC1009" s="14" t="s">
        <v>230</v>
      </c>
      <c r="AD1009" s="16"/>
      <c r="AE1009" s="16"/>
      <c r="AF1009" s="12">
        <v>0.6</v>
      </c>
      <c r="AG1009" s="16" t="s">
        <v>243</v>
      </c>
      <c r="AH1009" s="16" t="s">
        <v>220</v>
      </c>
      <c r="AI1009" s="16" t="s">
        <v>33</v>
      </c>
      <c r="AJ1009" s="16"/>
      <c r="AK1009" s="16" t="s">
        <v>33</v>
      </c>
      <c r="AL1009" s="16"/>
      <c r="AM1009" s="16"/>
      <c r="AN1009" s="16"/>
      <c r="AO1009" s="16"/>
      <c r="AP1009" s="14" t="s">
        <v>240</v>
      </c>
      <c r="AQ1009" s="6" t="str">
        <f>CONCATENATE("REG-",BDEGENER[[#This Row],[FECHA DE SERVICIO]],"-",BDEGENER[[#This Row],[SERIE]],"-",BDEGENER[[#This Row],[HORAS]])</f>
        <v>REG-43558-3004227749-0,6</v>
      </c>
      <c r="AR1009" s="5" t="str">
        <f>CONCATENATE("MARCA: ",BDEGENER[[#This Row],[MARCA]],"
 MODELO: ",BDEGENER[[#This Row],[MODELO]])</f>
        <v>MARCA: GENERAC
 MODELO: PG090</v>
      </c>
      <c r="AS1009" s="5" t="str">
        <f>CONCATENATE("MARCA: ",BDEGENER[[#This Row],[MARCA DE MOTOR]],"
SERIE: ",BDEGENER[[#This Row],[SERIE DE MOTOR]])</f>
        <v xml:space="preserve">MARCA: GENERAC
SERIE: </v>
      </c>
      <c r="AT1009" s="5" t="str">
        <f>CONCATENATE("MARCA: ",BDEGENER[[#This Row],[MARCA ALTERNADOR ]],"
SERIE: ",BDEGENER[[#This Row],[SERIE DE ALTERNADOR]])</f>
        <v xml:space="preserve">MARCA: GENERAC
SERIE: </v>
      </c>
      <c r="AU1009" s="5" t="str">
        <f>CONCATENATE("HORAS: ",BDEGENER[[#This Row],[HORAS]],"
KW-HR: ",BDEGENER[[#This Row],[KW-HORA]],"
VOLT.BATERIA: ",BDEGENER[[#This Row],[VOLTAJE DE BATERIA]],"
TEMPERATURA: ",BDEGENER[[#This Row],[TEMPERATURA DE AGUA]],"
PRES. ACEITE: ",BDEGENER[[#This Row],[PRESION DE ACEITE]])</f>
        <v xml:space="preserve">HORAS: 0,6
KW-HR: 
VOLT.BATERIA: 
TEMPERATURA: 
PRES. ACEITE: </v>
      </c>
      <c r="AV1009" s="761">
        <f>COUNTIFS(Q1009:Q3009,"MANTENIMIENTO CORRECTIVO",Y1009:Y3009,BDEGENER[[#This Row],[SERIE]])</f>
        <v>0</v>
      </c>
      <c r="AW1009" s="761">
        <f>COUNTIFS(Q1009:Q3009,"MANTENIMIENTO PREVENTIVO",Y1009:Y3009,BDEGENER[[#This Row],[SERIE]])</f>
        <v>0</v>
      </c>
      <c r="AX100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09" s="29">
        <f>COUNTIFS(BDEGENER[SERIE],BDEGENER[[#This Row],[SERIE]],BDEGENER[TIPO DE SERVICIO],"MANTENIMIENTO PREVENTIVO")</f>
        <v>8</v>
      </c>
      <c r="AZ1009" s="29" t="str">
        <f>CONCATENATE("MANTENIMIENTO PREVENTIVO N°",BDEGENER[[#This Row],[GA1]])</f>
        <v>MANTENIMIENTO PREVENTIVO N°8</v>
      </c>
      <c r="BA1009" s="325" t="str">
        <f>IF(BDEGENER[[#This Row],[SERVICIO]]=BDEGENER[[#This Row],[GA2]],BDEGENER[[#This Row],[HORAS]],"0")</f>
        <v>0</v>
      </c>
      <c r="BB1009" s="325">
        <f>SUMIF(BDEGENER[SERIE],BDEGENER[[#This Row],[SERIE]],BDEGENER[GA3])</f>
        <v>2404.1999999999998</v>
      </c>
      <c r="BC1009" s="761" t="str">
        <f>CONCATENATE("MANT",COUNTIF($Y$7:Y1009,Y1009))</f>
        <v>MANT16</v>
      </c>
      <c r="BD1009" s="29" t="str">
        <f>CONCATENATE(BDEGENER[[#This Row],[SERIE]],BDEGENER[[#This Row],[GA5]])</f>
        <v>3004227749MANT16</v>
      </c>
      <c r="BE1009" s="29" t="str">
        <f>CONCATENATE(BDEGENER[[#This Row],[CODIGO PATRIMONIAL]],BDEGENER[[#This Row],[GA5]])</f>
        <v>MANT16</v>
      </c>
      <c r="BF1009" s="16">
        <f>COUNTIF(BDEGENER[SERIE],BDEGENER[[#This Row],[SERIE]])</f>
        <v>16</v>
      </c>
      <c r="BG1009" s="761" t="str">
        <f>CONCATENATE("F",COUNTIF($K$7:K1009,K1009))</f>
        <v>F8</v>
      </c>
      <c r="BH1009" s="325" t="str">
        <f>CONCATENATE(BDEGENER[[#This Row],[FECHA DE SERVICIO]],BDEGENER[[#This Row],[N° DE REGISTROS DEL DIA]])</f>
        <v>43558F8</v>
      </c>
      <c r="BI1009" s="324"/>
      <c r="BJ1009" s="85" t="s">
        <v>1544</v>
      </c>
      <c r="BK1009" s="326"/>
    </row>
    <row r="1010" spans="2:63" ht="110.4" hidden="1" x14ac:dyDescent="0.3">
      <c r="B1010" s="5"/>
      <c r="C1010" s="34"/>
      <c r="D1010" s="34"/>
      <c r="E1010" s="34"/>
      <c r="F1010" s="34"/>
      <c r="G1010" s="34"/>
      <c r="H1010" s="34"/>
      <c r="I1010" s="34"/>
      <c r="J1010" s="34"/>
      <c r="K1010" s="37">
        <v>43558</v>
      </c>
      <c r="L1010" s="31" t="s">
        <v>798</v>
      </c>
      <c r="M1010" s="19"/>
      <c r="N1010" s="19" t="s">
        <v>799</v>
      </c>
      <c r="O1010" s="35"/>
      <c r="P1010" s="3"/>
      <c r="Q1010" s="19" t="s">
        <v>107</v>
      </c>
      <c r="R1010" s="85" t="s">
        <v>1782</v>
      </c>
      <c r="S1010" s="19" t="s">
        <v>822</v>
      </c>
      <c r="T1010" s="19" t="s">
        <v>823</v>
      </c>
      <c r="U1010" s="19"/>
      <c r="V1010" s="19" t="s">
        <v>148</v>
      </c>
      <c r="W1010" s="19"/>
      <c r="X1010" s="19"/>
      <c r="Y1010" s="31"/>
      <c r="Z1010" s="16"/>
      <c r="AA1010" s="19"/>
      <c r="AB1010" s="19"/>
      <c r="AC1010" s="19" t="s">
        <v>788</v>
      </c>
      <c r="AD1010" s="16"/>
      <c r="AE1010" s="16"/>
      <c r="AF1010" s="31">
        <v>47</v>
      </c>
      <c r="AG1010" s="16"/>
      <c r="AH1010" s="16"/>
      <c r="AI1010" s="19" t="s">
        <v>869</v>
      </c>
      <c r="AJ1010" s="19" t="s">
        <v>866</v>
      </c>
      <c r="AK1010" s="16"/>
      <c r="AL1010" s="16"/>
      <c r="AM1010" s="16"/>
      <c r="AN1010" s="16"/>
      <c r="AO1010" s="16"/>
      <c r="AP1010" s="19" t="s">
        <v>240</v>
      </c>
      <c r="AQ1010" s="6" t="str">
        <f>CONCATENATE("REG-",BDEGENER[[#This Row],[FECHA DE SERVICIO]],"-",BDEGENER[[#This Row],[SERIE]],"-",BDEGENER[[#This Row],[HORAS]])</f>
        <v>REG-43558--47</v>
      </c>
      <c r="AR1010" s="29" t="str">
        <f>CONCATENATE("MARCA: ",BDEGENER[[#This Row],[MARCA]],"
 MODELO: ",BDEGENER[[#This Row],[MODELO]])</f>
        <v xml:space="preserve">MARCA: 
 MODELO: </v>
      </c>
      <c r="AS1010" s="29" t="str">
        <f>CONCATENATE("MARCA: ",BDEGENER[[#This Row],[MARCA DE MOTOR]],"
SERIE: ",BDEGENER[[#This Row],[SERIE DE MOTOR]])</f>
        <v>MARCA: SHANGHAI
SERIE: XK06 - 205 - 00153</v>
      </c>
      <c r="AT1010" s="29" t="str">
        <f>CONCATENATE("MARCA: ",BDEGENER[[#This Row],[MARCA ALTERNADOR ]],"
SERIE: ",BDEGENER[[#This Row],[SERIE DE ALTERNADOR]])</f>
        <v xml:space="preserve">MARCA: 
SERIE: </v>
      </c>
      <c r="AU1010" s="29" t="str">
        <f>CONCATENATE("HORAS: ",BDEGENER[[#This Row],[HORAS]],"
KW-HR: ",BDEGENER[[#This Row],[KW-HORA]],"
VOLT.BATERIA: ",BDEGENER[[#This Row],[VOLTAJE DE BATERIA]],"
TEMPERATURA: ",BDEGENER[[#This Row],[TEMPERATURA DE AGUA]],"
PRES. ACEITE: ",BDEGENER[[#This Row],[PRESION DE ACEITE]])</f>
        <v xml:space="preserve">HORAS: 47
KW-HR: 
VOLT.BATERIA: 
TEMPERATURA: 
PRES. ACEITE: </v>
      </c>
      <c r="AV1010" s="683">
        <f>COUNTIFS(Q1010:Q3010,"MANTENIMIENTO CORRECTIVO",Y1010:Y3010,BDEGENER[[#This Row],[SERIE]])</f>
        <v>0</v>
      </c>
      <c r="AW1010" s="683">
        <f>COUNTIFS(Q1010:Q3010,"MANTENIMIENTO PREVENTIVO",Y1010:Y3010,BDEGENER[[#This Row],[SERIE]])</f>
        <v>0</v>
      </c>
      <c r="AX101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N°0</v>
      </c>
      <c r="AY1010" s="29">
        <f>COUNTIFS(BDEGENER[SERIE],BDEGENER[[#This Row],[SERIE]],BDEGENER[TIPO DE SERVICIO],"MANTENIMIENTO PREVENTIVO")</f>
        <v>0</v>
      </c>
      <c r="AZ1010" s="29" t="str">
        <f>CONCATENATE("MANTENIMIENTO PREVENTIVO N°",BDEGENER[[#This Row],[GA1]])</f>
        <v>MANTENIMIENTO PREVENTIVO N°0</v>
      </c>
      <c r="BA1010" s="325" t="str">
        <f>IF(BDEGENER[[#This Row],[SERVICIO]]=BDEGENER[[#This Row],[GA2]],BDEGENER[[#This Row],[HORAS]],"0")</f>
        <v>0</v>
      </c>
      <c r="BB1010" s="325">
        <f>SUMIF(BDEGENER[SERIE],BDEGENER[[#This Row],[SERIE]],BDEGENER[GA3])</f>
        <v>0</v>
      </c>
      <c r="BC1010" s="683" t="str">
        <f>CONCATENATE("MANT",COUNTIF($Y$7:Y1010,Y1010))</f>
        <v>MANT0</v>
      </c>
      <c r="BD1010" s="29" t="str">
        <f>CONCATENATE(BDEGENER[[#This Row],[SERIE]],BDEGENER[[#This Row],[GA5]])</f>
        <v>MANT0</v>
      </c>
      <c r="BE1010" s="29" t="str">
        <f>CONCATENATE(BDEGENER[[#This Row],[CODIGO PATRIMONIAL]],BDEGENER[[#This Row],[GA5]])</f>
        <v>MANT0</v>
      </c>
      <c r="BF1010" s="16">
        <f>COUNTIF(BDEGENER[SERIE],BDEGENER[[#This Row],[SERIE]])</f>
        <v>0</v>
      </c>
      <c r="BG1010" s="683" t="str">
        <f>CONCATENATE("F",COUNTIF($K$7:K1010,K1010))</f>
        <v>F9</v>
      </c>
      <c r="BH1010" s="325" t="str">
        <f>CONCATENATE(BDEGENER[[#This Row],[FECHA DE SERVICIO]],BDEGENER[[#This Row],[N° DE REGISTROS DEL DIA]])</f>
        <v>43558F9</v>
      </c>
      <c r="BI1010" s="324"/>
      <c r="BJ1010" s="325"/>
      <c r="BK1010" s="326"/>
    </row>
    <row r="1011" spans="2:63" ht="69" hidden="1" x14ac:dyDescent="0.3">
      <c r="B1011" s="34"/>
      <c r="C1011" s="34"/>
      <c r="D1011" s="34"/>
      <c r="E1011" s="34"/>
      <c r="F1011" s="34"/>
      <c r="G1011" s="34"/>
      <c r="H1011" s="34"/>
      <c r="I1011" s="34"/>
      <c r="J1011" s="34"/>
      <c r="K1011" s="37">
        <v>43557</v>
      </c>
      <c r="L1011" s="30" t="s">
        <v>561</v>
      </c>
      <c r="M1011" s="19" t="s">
        <v>2451</v>
      </c>
      <c r="N1011" s="19" t="s">
        <v>584</v>
      </c>
      <c r="O1011" s="19"/>
      <c r="P1011" s="19"/>
      <c r="Q1011" s="19" t="s">
        <v>37</v>
      </c>
      <c r="R1011" s="85" t="s">
        <v>1782</v>
      </c>
      <c r="S1011" s="19" t="s">
        <v>42</v>
      </c>
      <c r="T1011" s="85" t="s">
        <v>1782</v>
      </c>
      <c r="U1011" s="19" t="s">
        <v>722</v>
      </c>
      <c r="V1011" s="19" t="s">
        <v>149</v>
      </c>
      <c r="W1011" s="683" t="s">
        <v>913</v>
      </c>
      <c r="X1011" s="691" t="s">
        <v>918</v>
      </c>
      <c r="Y1011" s="31">
        <v>3003940357</v>
      </c>
      <c r="Z1011" s="692" t="s">
        <v>2612</v>
      </c>
      <c r="AA1011" s="19" t="s">
        <v>33</v>
      </c>
      <c r="AB1011" s="19" t="s">
        <v>217</v>
      </c>
      <c r="AC1011" s="19" t="s">
        <v>749</v>
      </c>
      <c r="AD1011" s="16"/>
      <c r="AE1011" s="16"/>
      <c r="AF1011" s="146">
        <v>511</v>
      </c>
      <c r="AG1011" s="16"/>
      <c r="AH1011" s="16"/>
      <c r="AI1011" s="16"/>
      <c r="AJ1011" s="16"/>
      <c r="AK1011" s="16"/>
      <c r="AL1011" s="16"/>
      <c r="AM1011" s="16"/>
      <c r="AN1011" s="16"/>
      <c r="AO1011" s="16"/>
      <c r="AP1011" s="19" t="s">
        <v>240</v>
      </c>
      <c r="AQ1011" s="6" t="str">
        <f>CONCATENATE("REG-",BDEGENER[[#This Row],[FECHA DE SERVICIO]],"-",BDEGENER[[#This Row],[SERIE]],"-",BDEGENER[[#This Row],[HORAS]])</f>
        <v>REG-43557-3003940357-511</v>
      </c>
      <c r="AR1011" s="5" t="str">
        <f>CONCATENATE("MARCA: ",BDEGENER[[#This Row],[MARCA]],"
 MODELO: ",BDEGENER[[#This Row],[MODELO]])</f>
        <v>MARCA: GENERAC
 MODELO: RG022</v>
      </c>
      <c r="AS1011" s="5" t="str">
        <f>CONCATENATE("MARCA: ",BDEGENER[[#This Row],[MARCA DE MOTOR]],"
SERIE: ",BDEGENER[[#This Row],[SERIE DE MOTOR]])</f>
        <v xml:space="preserve">MARCA: 
SERIE: </v>
      </c>
      <c r="AT1011" s="5" t="str">
        <f>CONCATENATE("MARCA: ",BDEGENER[[#This Row],[MARCA ALTERNADOR ]],"
SERIE: ",BDEGENER[[#This Row],[SERIE DE ALTERNADOR]])</f>
        <v xml:space="preserve">MARCA: 
SERIE: </v>
      </c>
      <c r="AU1011" s="29" t="str">
        <f>CONCATENATE("HORAS: ",BDEGENER[[#This Row],[HORAS]],"
KW-HR: ",BDEGENER[[#This Row],[KW-HORA]],"
VOLT.BATERIA: ",BDEGENER[[#This Row],[VOLTAJE DE BATERIA]],"
TEMPERATURA: ",BDEGENER[[#This Row],[TEMPERATURA DE AGUA]],"
PRES. ACEITE: ",BDEGENER[[#This Row],[PRESION DE ACEITE]])</f>
        <v xml:space="preserve">HORAS: 511
KW-HR: 
VOLT.BATERIA: 
TEMPERATURA: 
PRES. ACEITE: </v>
      </c>
      <c r="AV1011" s="683">
        <f>COUNTIFS(Q1011:Q3011,"MANTENIMIENTO CORRECTIVO",Y1011:Y3011,BDEGENER[[#This Row],[SERIE]])</f>
        <v>0</v>
      </c>
      <c r="AW1011" s="683">
        <f>COUNTIFS(Q1011:Q3011,"MANTENIMIENTO PREVENTIVO",Y1011:Y3011,BDEGENER[[#This Row],[SERIE]])</f>
        <v>2</v>
      </c>
      <c r="AX101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11" s="29">
        <f>COUNTIFS(BDEGENER[SERIE],BDEGENER[[#This Row],[SERIE]],BDEGENER[TIPO DE SERVICIO],"MANTENIMIENTO PREVENTIVO")</f>
        <v>12</v>
      </c>
      <c r="AZ1011" s="29" t="str">
        <f>CONCATENATE("MANTENIMIENTO PREVENTIVO N°",BDEGENER[[#This Row],[GA1]])</f>
        <v>MANTENIMIENTO PREVENTIVO N°12</v>
      </c>
      <c r="BA1011" s="325" t="str">
        <f>IF(BDEGENER[[#This Row],[SERVICIO]]=BDEGENER[[#This Row],[GA2]],BDEGENER[[#This Row],[HORAS]],"0")</f>
        <v>0</v>
      </c>
      <c r="BB1011" s="325">
        <f>SUMIF(BDEGENER[SERIE],BDEGENER[[#This Row],[SERIE]],BDEGENER[GA3])</f>
        <v>6263.3</v>
      </c>
      <c r="BC1011" s="683" t="str">
        <f>CONCATENATE("MANT",COUNTIF($Y$7:Y1011,Y1011))</f>
        <v>MANT15</v>
      </c>
      <c r="BD1011" s="29" t="str">
        <f>CONCATENATE(BDEGENER[[#This Row],[SERIE]],BDEGENER[[#This Row],[GA5]])</f>
        <v>3003940357MANT15</v>
      </c>
      <c r="BE1011" s="29" t="str">
        <f>CONCATENATE(BDEGENER[[#This Row],[CODIGO PATRIMONIAL]],BDEGENER[[#This Row],[GA5]])</f>
        <v>NOR-GEG-0014MANT15</v>
      </c>
      <c r="BF1011" s="16">
        <f>COUNTIF(BDEGENER[SERIE],BDEGENER[[#This Row],[SERIE]])</f>
        <v>16</v>
      </c>
      <c r="BG1011" s="683" t="str">
        <f>CONCATENATE("F",COUNTIF($K$7:K1011,K1011))</f>
        <v>F1</v>
      </c>
      <c r="BH1011" s="325" t="str">
        <f>CONCATENATE(BDEGENER[[#This Row],[FECHA DE SERVICIO]],BDEGENER[[#This Row],[N° DE REGISTROS DEL DIA]])</f>
        <v>43557F1</v>
      </c>
      <c r="BI1011" s="324"/>
      <c r="BJ1011" s="325"/>
      <c r="BK1011" s="326"/>
    </row>
    <row r="1012" spans="2:63" ht="69" hidden="1" x14ac:dyDescent="0.3">
      <c r="B1012" s="129"/>
      <c r="C1012" s="129"/>
      <c r="D1012" s="129"/>
      <c r="E1012" s="129"/>
      <c r="F1012" s="129"/>
      <c r="G1012" s="129"/>
      <c r="H1012" s="129"/>
      <c r="I1012" s="129"/>
      <c r="J1012" s="129"/>
      <c r="K1012" s="131">
        <v>43551</v>
      </c>
      <c r="L1012" s="130" t="s">
        <v>248</v>
      </c>
      <c r="M1012" s="85" t="s">
        <v>299</v>
      </c>
      <c r="N1012" s="85" t="s">
        <v>258</v>
      </c>
      <c r="O1012" s="85"/>
      <c r="P1012" s="85" t="s">
        <v>1449</v>
      </c>
      <c r="Q1012" s="85" t="s">
        <v>109</v>
      </c>
      <c r="R1012" s="85" t="s">
        <v>1782</v>
      </c>
      <c r="S1012" s="6" t="s">
        <v>1450</v>
      </c>
      <c r="T1012" s="85" t="s">
        <v>1451</v>
      </c>
      <c r="U1012" s="85"/>
      <c r="V1012" s="85" t="s">
        <v>149</v>
      </c>
      <c r="W1012" s="85" t="s">
        <v>911</v>
      </c>
      <c r="X1012" s="85" t="s">
        <v>917</v>
      </c>
      <c r="Y1012" s="130">
        <v>3003932012</v>
      </c>
      <c r="Z1012" s="85">
        <v>22985</v>
      </c>
      <c r="AA1012" s="85" t="s">
        <v>33</v>
      </c>
      <c r="AB1012" s="85" t="s">
        <v>1205</v>
      </c>
      <c r="AC1012" s="85" t="s">
        <v>529</v>
      </c>
      <c r="AD1012" s="85"/>
      <c r="AE1012" s="85"/>
      <c r="AF1012" s="132">
        <v>0.5</v>
      </c>
      <c r="AG1012" s="85" t="s">
        <v>159</v>
      </c>
      <c r="AH1012" s="85" t="s">
        <v>159</v>
      </c>
      <c r="AI1012" s="85" t="s">
        <v>523</v>
      </c>
      <c r="AJ1012" s="85" t="s">
        <v>159</v>
      </c>
      <c r="AK1012" s="85" t="s">
        <v>159</v>
      </c>
      <c r="AL1012" s="85" t="s">
        <v>159</v>
      </c>
      <c r="AM1012" s="85"/>
      <c r="AN1012" s="85"/>
      <c r="AO1012" s="85"/>
      <c r="AP1012" s="85"/>
      <c r="AQ1012" s="9" t="str">
        <f>CONCATENATE("REG-",BDEGENER[[#This Row],[FECHA DE SERVICIO]],"-",BDEGENER[[#This Row],[SERIE]],"-",BDEGENER[[#This Row],[HORAS]])</f>
        <v>REG-43551-3003932012-0,5</v>
      </c>
      <c r="AR1012" s="85" t="str">
        <f>CONCATENATE("MARCA: ",BDEGENER[[#This Row],[MARCA]],"
 MODELO: ",BDEGENER[[#This Row],[MODELO]])</f>
        <v>MARCA: GENERAC
 MODELO: XD5000E</v>
      </c>
      <c r="AS1012" s="85" t="str">
        <f>CONCATENATE("MARCA: ",BDEGENER[[#This Row],[MARCA DE MOTOR]],"
SERIE: ",BDEGENER[[#This Row],[SERIE DE MOTOR]])</f>
        <v xml:space="preserve">MARCA: YANMAR
SERIE: </v>
      </c>
      <c r="AT1012" s="85" t="str">
        <f>CONCATENATE("MARCA: ",BDEGENER[[#This Row],[MARCA ALTERNADOR ]],"
SERIE: ",BDEGENER[[#This Row],[SERIE DE ALTERNADOR]])</f>
        <v xml:space="preserve">MARCA: 
SERIE: </v>
      </c>
      <c r="AU1012" s="85" t="str">
        <f>CONCATENATE("HORAS: ",BDEGENER[[#This Row],[HORAS]],"
KW-HR: ",BDEGENER[[#This Row],[KW-HORA]],"
VOLT.BATERIA: ",BDEGENER[[#This Row],[VOLTAJE DE BATERIA]],"
TEMPERATURA: ",BDEGENER[[#This Row],[TEMPERATURA DE AGUA]],"
PRES. ACEITE: ",BDEGENER[[#This Row],[PRESION DE ACEITE]])</f>
        <v xml:space="preserve">HORAS: 0,5
KW-HR: 
VOLT.BATERIA: 
TEMPERATURA: 
PRES. ACEITE: </v>
      </c>
      <c r="AV1012" s="761">
        <f>COUNTIFS(Q1012:Q3012,"MANTENIMIENTO CORRECTIVO",Y1012:Y3012,BDEGENER[[#This Row],[SERIE]])</f>
        <v>0</v>
      </c>
      <c r="AW1012" s="761">
        <f>COUNTIFS(Q1012:Q3012,"MANTENIMIENTO PREVENTIVO",Y1012:Y3012,BDEGENER[[#This Row],[SERIE]])</f>
        <v>0</v>
      </c>
      <c r="AX1012"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12" s="85">
        <f>COUNTIFS(BDEGENER[SERIE],BDEGENER[[#This Row],[SERIE]],BDEGENER[TIPO DE SERVICIO],"MANTENIMIENTO PREVENTIVO")</f>
        <v>1</v>
      </c>
      <c r="AZ1012" s="85" t="str">
        <f>CONCATENATE("MANTENIMIENTO PREVENTIVO N°",BDEGENER[[#This Row],[GA1]])</f>
        <v>MANTENIMIENTO PREVENTIVO N°1</v>
      </c>
      <c r="BA1012" s="85" t="str">
        <f>IF(BDEGENER[[#This Row],[SERVICIO]]=BDEGENER[[#This Row],[GA2]],BDEGENER[[#This Row],[HORAS]],"0")</f>
        <v>0</v>
      </c>
      <c r="BB1012" s="85">
        <f>SUMIF(BDEGENER[SERIE],BDEGENER[[#This Row],[SERIE]],BDEGENER[GA3])</f>
        <v>388</v>
      </c>
      <c r="BC1012" s="761" t="str">
        <f>CONCATENATE("MANT",COUNTIF($Y$7:Y1012,Y1012))</f>
        <v>MANT2</v>
      </c>
      <c r="BD1012" s="85" t="str">
        <f>CONCATENATE(BDEGENER[[#This Row],[SERIE]],BDEGENER[[#This Row],[GA5]])</f>
        <v>3003932012MANT2</v>
      </c>
      <c r="BE1012" s="85" t="str">
        <f>CONCATENATE(BDEGENER[[#This Row],[CODIGO PATRIMONIAL]],BDEGENER[[#This Row],[GA5]])</f>
        <v>22985MANT2</v>
      </c>
      <c r="BF1012" s="129">
        <f>COUNTIF(BDEGENER[SERIE],BDEGENER[[#This Row],[SERIE]])</f>
        <v>2</v>
      </c>
      <c r="BG1012" s="761" t="str">
        <f>CONCATENATE("F",COUNTIF($K$7:K1012,K1012))</f>
        <v>F1</v>
      </c>
      <c r="BH1012" s="129" t="str">
        <f>CONCATENATE(BDEGENER[[#This Row],[FECHA DE SERVICIO]],BDEGENER[[#This Row],[N° DE REGISTROS DEL DIA]])</f>
        <v>43551F1</v>
      </c>
      <c r="BI1012" s="324"/>
      <c r="BJ1012" s="325"/>
      <c r="BK1012" s="326"/>
    </row>
    <row r="1013" spans="2:63" ht="69" hidden="1" x14ac:dyDescent="0.3">
      <c r="B1013" s="33"/>
      <c r="C1013" s="33"/>
      <c r="D1013" s="33"/>
      <c r="E1013" s="33"/>
      <c r="F1013" s="33"/>
      <c r="G1013" s="33"/>
      <c r="H1013" s="33"/>
      <c r="I1013" s="33"/>
      <c r="J1013" s="33"/>
      <c r="K1013" s="38">
        <v>43551</v>
      </c>
      <c r="L1013" s="18" t="s">
        <v>248</v>
      </c>
      <c r="M1013" s="85" t="s">
        <v>1202</v>
      </c>
      <c r="N1013" s="23"/>
      <c r="O1013" s="23"/>
      <c r="P1013" s="21" t="s">
        <v>1449</v>
      </c>
      <c r="Q1013" s="85" t="s">
        <v>109</v>
      </c>
      <c r="R1013" s="85" t="s">
        <v>1782</v>
      </c>
      <c r="S1013" s="25" t="s">
        <v>53</v>
      </c>
      <c r="T1013" s="85" t="s">
        <v>1782</v>
      </c>
      <c r="U1013" s="25"/>
      <c r="V1013" s="25" t="s">
        <v>149</v>
      </c>
      <c r="W1013" s="85" t="s">
        <v>911</v>
      </c>
      <c r="X1013" s="85" t="s">
        <v>917</v>
      </c>
      <c r="Y1013" s="31">
        <v>3003932013</v>
      </c>
      <c r="Z1013" s="16">
        <v>22986</v>
      </c>
      <c r="AA1013" s="16" t="s">
        <v>33</v>
      </c>
      <c r="AB1013" s="85" t="s">
        <v>1205</v>
      </c>
      <c r="AC1013" s="23" t="s">
        <v>529</v>
      </c>
      <c r="AD1013" s="16"/>
      <c r="AE1013" s="16"/>
      <c r="AF1013" s="27">
        <v>0.4</v>
      </c>
      <c r="AG1013" s="16"/>
      <c r="AH1013" s="16"/>
      <c r="AI1013" s="16" t="s">
        <v>523</v>
      </c>
      <c r="AJ1013" s="16"/>
      <c r="AK1013" s="16"/>
      <c r="AL1013" s="16"/>
      <c r="AM1013" s="16"/>
      <c r="AN1013" s="16"/>
      <c r="AO1013" s="16"/>
      <c r="AP1013" s="22" t="s">
        <v>240</v>
      </c>
      <c r="AQ1013" s="6" t="str">
        <f>CONCATENATE("REG-",BDEGENER[[#This Row],[FECHA DE SERVICIO]],"-",BDEGENER[[#This Row],[SERIE]],"-",BDEGENER[[#This Row],[HORAS]])</f>
        <v>REG-43551-3003932013-0,4</v>
      </c>
      <c r="AR1013" s="5" t="str">
        <f>CONCATENATE("MARCA: ",BDEGENER[[#This Row],[MARCA]],"
 MODELO: ",BDEGENER[[#This Row],[MODELO]])</f>
        <v>MARCA: GENERAC
 MODELO: XD5000E</v>
      </c>
      <c r="AS1013" s="5" t="str">
        <f>CONCATENATE("MARCA: ",BDEGENER[[#This Row],[MARCA DE MOTOR]],"
SERIE: ",BDEGENER[[#This Row],[SERIE DE MOTOR]])</f>
        <v xml:space="preserve">MARCA: YANMAR
SERIE: </v>
      </c>
      <c r="AT1013" s="5" t="str">
        <f>CONCATENATE("MARCA: ",BDEGENER[[#This Row],[MARCA ALTERNADOR ]],"
SERIE: ",BDEGENER[[#This Row],[SERIE DE ALTERNADOR]])</f>
        <v xml:space="preserve">MARCA: 
SERIE: </v>
      </c>
      <c r="AU1013" s="5" t="str">
        <f>CONCATENATE("HORAS: ",BDEGENER[[#This Row],[HORAS]],"
KW-HR: ",BDEGENER[[#This Row],[KW-HORA]],"
VOLT.BATERIA: ",BDEGENER[[#This Row],[VOLTAJE DE BATERIA]],"
TEMPERATURA: ",BDEGENER[[#This Row],[TEMPERATURA DE AGUA]],"
PRES. ACEITE: ",BDEGENER[[#This Row],[PRESION DE ACEITE]])</f>
        <v xml:space="preserve">HORAS: 0,4
KW-HR: 
VOLT.BATERIA: 
TEMPERATURA: 
PRES. ACEITE: </v>
      </c>
      <c r="AV1013" s="683">
        <f>COUNTIFS(Q1013:Q3013,"MANTENIMIENTO CORRECTIVO",Y1013:Y3013,BDEGENER[[#This Row],[SERIE]])</f>
        <v>0</v>
      </c>
      <c r="AW1013" s="683">
        <f>COUNTIFS(Q1013:Q3013,"MANTENIMIENTO PREVENTIVO",Y1013:Y3013,BDEGENER[[#This Row],[SERIE]])</f>
        <v>0</v>
      </c>
      <c r="AX101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13" s="29">
        <f>COUNTIFS(BDEGENER[SERIE],BDEGENER[[#This Row],[SERIE]],BDEGENER[TIPO DE SERVICIO],"MANTENIMIENTO PREVENTIVO")</f>
        <v>1</v>
      </c>
      <c r="AZ1013" s="29" t="str">
        <f>CONCATENATE("MANTENIMIENTO PREVENTIVO N°",BDEGENER[[#This Row],[GA1]])</f>
        <v>MANTENIMIENTO PREVENTIVO N°1</v>
      </c>
      <c r="BA1013" s="325" t="str">
        <f>IF(BDEGENER[[#This Row],[SERVICIO]]=BDEGENER[[#This Row],[GA2]],BDEGENER[[#This Row],[HORAS]],"0")</f>
        <v>0</v>
      </c>
      <c r="BB1013" s="325">
        <f>SUMIF(BDEGENER[SERIE],BDEGENER[[#This Row],[SERIE]],BDEGENER[GA3])</f>
        <v>89.6</v>
      </c>
      <c r="BC1013" s="683" t="str">
        <f>CONCATENATE("MANT",COUNTIF($Y$7:Y1013,Y1013))</f>
        <v>MANT5</v>
      </c>
      <c r="BD1013" s="29" t="str">
        <f>CONCATENATE(BDEGENER[[#This Row],[SERIE]],BDEGENER[[#This Row],[GA5]])</f>
        <v>3003932013MANT5</v>
      </c>
      <c r="BE1013" s="29" t="str">
        <f>CONCATENATE(BDEGENER[[#This Row],[CODIGO PATRIMONIAL]],BDEGENER[[#This Row],[GA5]])</f>
        <v>22986MANT5</v>
      </c>
      <c r="BF1013" s="16">
        <f>COUNTIF(BDEGENER[SERIE],BDEGENER[[#This Row],[SERIE]])</f>
        <v>5</v>
      </c>
      <c r="BG1013" s="683" t="str">
        <f>CONCATENATE("F",COUNTIF($K$7:K1013,K1013))</f>
        <v>F2</v>
      </c>
      <c r="BH1013" s="325" t="str">
        <f>CONCATENATE(BDEGENER[[#This Row],[FECHA DE SERVICIO]],BDEGENER[[#This Row],[N° DE REGISTROS DEL DIA]])</f>
        <v>43551F2</v>
      </c>
      <c r="BI1013" s="324"/>
      <c r="BJ1013" s="325"/>
      <c r="BK1013" s="326"/>
    </row>
    <row r="1014" spans="2:63" ht="69" hidden="1" x14ac:dyDescent="0.3">
      <c r="B1014" s="34"/>
      <c r="C1014" s="34"/>
      <c r="D1014" s="34"/>
      <c r="E1014" s="34"/>
      <c r="F1014" s="34"/>
      <c r="G1014" s="34"/>
      <c r="H1014" s="34"/>
      <c r="I1014" s="34"/>
      <c r="J1014" s="34"/>
      <c r="K1014" s="786">
        <v>43551</v>
      </c>
      <c r="L1014" s="787" t="s">
        <v>561</v>
      </c>
      <c r="M1014" s="771" t="s">
        <v>590</v>
      </c>
      <c r="N1014" s="771" t="s">
        <v>586</v>
      </c>
      <c r="O1014" s="771"/>
      <c r="P1014" s="771"/>
      <c r="Q1014" s="771" t="s">
        <v>37</v>
      </c>
      <c r="R1014" s="761" t="s">
        <v>1782</v>
      </c>
      <c r="S1014" s="771" t="s">
        <v>327</v>
      </c>
      <c r="T1014" s="761" t="s">
        <v>1782</v>
      </c>
      <c r="U1014" s="771" t="s">
        <v>723</v>
      </c>
      <c r="V1014" s="771" t="s">
        <v>149</v>
      </c>
      <c r="W1014" s="761" t="s">
        <v>914</v>
      </c>
      <c r="X1014" s="761" t="s">
        <v>918</v>
      </c>
      <c r="Y1014" s="784">
        <v>3003566701</v>
      </c>
      <c r="Z1014" s="761" t="s">
        <v>2616</v>
      </c>
      <c r="AA1014" s="761" t="s">
        <v>33</v>
      </c>
      <c r="AB1014" s="761" t="s">
        <v>34</v>
      </c>
      <c r="AC1014" s="771" t="s">
        <v>230</v>
      </c>
      <c r="AD1014" s="785"/>
      <c r="AE1014" s="785"/>
      <c r="AF1014" s="788">
        <v>1222.7</v>
      </c>
      <c r="AG1014" s="785"/>
      <c r="AH1014" s="785"/>
      <c r="AI1014" s="785"/>
      <c r="AJ1014" s="785"/>
      <c r="AK1014" s="785"/>
      <c r="AL1014" s="785"/>
      <c r="AM1014" s="785"/>
      <c r="AN1014" s="785"/>
      <c r="AO1014" s="785"/>
      <c r="AP1014" s="771" t="s">
        <v>240</v>
      </c>
      <c r="AQ1014" s="765" t="str">
        <f>CONCATENATE("REG-",BDEGENER[[#This Row],[FECHA DE SERVICIO]],"-",BDEGENER[[#This Row],[SERIE]],"-",BDEGENER[[#This Row],[HORAS]])</f>
        <v>REG-43551-3003566701-1222,7</v>
      </c>
      <c r="AR1014" s="789" t="str">
        <f>CONCATENATE("MARCA: ",BDEGENER[[#This Row],[MARCA]],"
 MODELO: ",BDEGENER[[#This Row],[MODELO]])</f>
        <v>MARCA: GENERAC
 MODELO: PG090</v>
      </c>
      <c r="AS1014" s="789" t="str">
        <f>CONCATENATE("MARCA: ",BDEGENER[[#This Row],[MARCA DE MOTOR]],"
SERIE: ",BDEGENER[[#This Row],[SERIE DE MOTOR]])</f>
        <v xml:space="preserve">MARCA: 
SERIE: </v>
      </c>
      <c r="AT1014" s="789" t="str">
        <f>CONCATENATE("MARCA: ",BDEGENER[[#This Row],[MARCA ALTERNADOR ]],"
SERIE: ",BDEGENER[[#This Row],[SERIE DE ALTERNADOR]])</f>
        <v xml:space="preserve">MARCA: 
SERIE: </v>
      </c>
      <c r="AU1014" s="773" t="str">
        <f>CONCATENATE("HORAS: ",BDEGENER[[#This Row],[HORAS]],"
KW-HR: ",BDEGENER[[#This Row],[KW-HORA]],"
VOLT.BATERIA: ",BDEGENER[[#This Row],[VOLTAJE DE BATERIA]],"
TEMPERATURA: ",BDEGENER[[#This Row],[TEMPERATURA DE AGUA]],"
PRES. ACEITE: ",BDEGENER[[#This Row],[PRESION DE ACEITE]])</f>
        <v xml:space="preserve">HORAS: 1222,7
KW-HR: 
VOLT.BATERIA: 
TEMPERATURA: 
PRES. ACEITE: </v>
      </c>
      <c r="AV1014" s="683">
        <f>COUNTIFS(Q1014:Q3014,"MANTENIMIENTO CORRECTIVO",Y1014:Y3014,BDEGENER[[#This Row],[SERIE]])</f>
        <v>0</v>
      </c>
      <c r="AW1014" s="683">
        <f>COUNTIFS(Q1014:Q3014,"MANTENIMIENTO PREVENTIVO",Y1014:Y3014,BDEGENER[[#This Row],[SERIE]])</f>
        <v>3</v>
      </c>
      <c r="AX1014" s="77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014" s="773">
        <f>COUNTIFS(BDEGENER[SERIE],BDEGENER[[#This Row],[SERIE]],BDEGENER[TIPO DE SERVICIO],"MANTENIMIENTO PREVENTIVO")</f>
        <v>9</v>
      </c>
      <c r="AZ1014" s="773" t="str">
        <f>CONCATENATE("MANTENIMIENTO PREVENTIVO N°",BDEGENER[[#This Row],[GA1]])</f>
        <v>MANTENIMIENTO PREVENTIVO N°9</v>
      </c>
      <c r="BA1014" s="790" t="str">
        <f>IF(BDEGENER[[#This Row],[SERVICIO]]=BDEGENER[[#This Row],[GA2]],BDEGENER[[#This Row],[HORAS]],"0")</f>
        <v>0</v>
      </c>
      <c r="BB1014" s="790">
        <f>SUMIF(BDEGENER[SERIE],BDEGENER[[#This Row],[SERIE]],BDEGENER[GA3])</f>
        <v>5274.9</v>
      </c>
      <c r="BC1014" s="683" t="str">
        <f>CONCATENATE("MANT",COUNTIF($Y$7:Y1014,Y1014))</f>
        <v>MANT8</v>
      </c>
      <c r="BD1014" s="773" t="str">
        <f>CONCATENATE(BDEGENER[[#This Row],[SERIE]],BDEGENER[[#This Row],[GA5]])</f>
        <v>3003566701MANT8</v>
      </c>
      <c r="BE1014" s="773" t="str">
        <f>CONCATENATE(BDEGENER[[#This Row],[CODIGO PATRIMONIAL]],BDEGENER[[#This Row],[GA5]])</f>
        <v>NOR-GEG-0018MANT8</v>
      </c>
      <c r="BF1014" s="16">
        <f>COUNTIF(BDEGENER[SERIE],BDEGENER[[#This Row],[SERIE]])</f>
        <v>10</v>
      </c>
      <c r="BG1014" s="683" t="str">
        <f>CONCATENATE("F",COUNTIF($K$7:K1014,K1014))</f>
        <v>F3</v>
      </c>
      <c r="BH1014" s="325" t="str">
        <f>CONCATENATE(BDEGENER[[#This Row],[FECHA DE SERVICIO]],BDEGENER[[#This Row],[N° DE REGISTROS DEL DIA]])</f>
        <v>43551F3</v>
      </c>
      <c r="BI1014" s="324"/>
      <c r="BJ1014" s="325"/>
      <c r="BK1014" s="326"/>
    </row>
    <row r="1015" spans="2:63" ht="69" hidden="1" x14ac:dyDescent="0.3">
      <c r="B1015" s="5"/>
      <c r="C1015" s="34"/>
      <c r="D1015" s="34"/>
      <c r="E1015" s="34"/>
      <c r="F1015" s="34"/>
      <c r="G1015" s="34"/>
      <c r="H1015" s="34"/>
      <c r="I1015" s="34"/>
      <c r="J1015" s="34"/>
      <c r="K1015" s="37">
        <v>43547</v>
      </c>
      <c r="L1015" s="31" t="s">
        <v>791</v>
      </c>
      <c r="M1015" s="19" t="s">
        <v>3356</v>
      </c>
      <c r="N1015" s="19" t="s">
        <v>792</v>
      </c>
      <c r="O1015" s="35"/>
      <c r="P1015" s="3"/>
      <c r="Q1015" s="19" t="s">
        <v>37</v>
      </c>
      <c r="R1015" s="85" t="s">
        <v>3357</v>
      </c>
      <c r="S1015" s="19" t="s">
        <v>3358</v>
      </c>
      <c r="T1015" s="19" t="s">
        <v>3359</v>
      </c>
      <c r="U1015" s="19" t="s">
        <v>3360</v>
      </c>
      <c r="V1015" s="19" t="s">
        <v>150</v>
      </c>
      <c r="W1015" s="85" t="s">
        <v>914</v>
      </c>
      <c r="X1015" s="85" t="s">
        <v>917</v>
      </c>
      <c r="Y1015" s="31" t="s">
        <v>3367</v>
      </c>
      <c r="Z1015" s="16"/>
      <c r="AA1015" s="19" t="s">
        <v>848</v>
      </c>
      <c r="AB1015" s="85" t="s">
        <v>3361</v>
      </c>
      <c r="AC1015" s="19" t="s">
        <v>856</v>
      </c>
      <c r="AD1015" s="16" t="s">
        <v>2344</v>
      </c>
      <c r="AE1015" s="16">
        <v>63</v>
      </c>
      <c r="AF1015" s="31">
        <v>306</v>
      </c>
      <c r="AG1015" s="16"/>
      <c r="AH1015" s="85" t="s">
        <v>3368</v>
      </c>
      <c r="AI1015" s="19" t="s">
        <v>844</v>
      </c>
      <c r="AJ1015" s="19" t="s">
        <v>859</v>
      </c>
      <c r="AK1015" s="16" t="s">
        <v>1923</v>
      </c>
      <c r="AL1015" s="16" t="s">
        <v>3355</v>
      </c>
      <c r="AM1015" s="16" t="s">
        <v>1121</v>
      </c>
      <c r="AN1015" s="16"/>
      <c r="AO1015" s="16" t="s">
        <v>1443</v>
      </c>
      <c r="AP1015" s="19" t="s">
        <v>240</v>
      </c>
      <c r="AQ1015" s="774" t="str">
        <f>CONCATENATE("REG-",BDEGENER[[#This Row],[FECHA DE SERVICIO]],"-",BDEGENER[[#This Row],[SERIE]],"-",BDEGENER[[#This Row],[HORAS]])</f>
        <v>REG-43547-A5245J-001-306</v>
      </c>
      <c r="AR1015" s="325" t="str">
        <f>CONCATENATE("MARCA: ",BDEGENER[[#This Row],[MARCA]],"
 MODELO: ",BDEGENER[[#This Row],[MODELO]])</f>
        <v>MARCA: FG-WILSON
 MODELO: PG-90</v>
      </c>
      <c r="AS1015" s="325" t="str">
        <f>CONCATENATE("MARCA: ",BDEGENER[[#This Row],[MARCA DE MOTOR]],"
SERIE: ",BDEGENER[[#This Row],[SERIE DE MOTOR]])</f>
        <v>MARCA: PERKINS
SERIE: U613189</v>
      </c>
      <c r="AT1015" s="325" t="str">
        <f>CONCATENATE("MARCA: ",BDEGENER[[#This Row],[MARCA ALTERNADOR ]],"
SERIE: ",BDEGENER[[#This Row],[SERIE DE ALTERNADOR]])</f>
        <v>MARCA: FG WILSON
SERIE: A5245J/001</v>
      </c>
      <c r="AU1015" s="325" t="str">
        <f>CONCATENATE("HORAS: ",BDEGENER[[#This Row],[HORAS]],"
KW-HR: ",BDEGENER[[#This Row],[KW-HORA]],"
VOLT.BATERIA: ",BDEGENER[[#This Row],[VOLTAJE DE BATERIA]],"
TEMPERATURA: ",BDEGENER[[#This Row],[TEMPERATURA DE AGUA]],"
PRES. ACEITE: ",BDEGENER[[#This Row],[PRESION DE ACEITE]])</f>
        <v>HORAS: 306
KW-HR: 
VOLT.BATERIA: 13.7 V
TEMPERATURA: 
PRES. ACEITE: 80 PSI</v>
      </c>
      <c r="AV1015" s="761">
        <f>COUNTIFS(Q1015:Q3015,"MANTENIMIENTO CORRECTIVO",Y1015:Y3015,BDEGENER[[#This Row],[SERIE]])</f>
        <v>0</v>
      </c>
      <c r="AW1015" s="761">
        <f>COUNTIFS(Q1015:Q3015,"MANTENIMIENTO PREVENTIVO",Y1015:Y3015,BDEGENER[[#This Row],[SERIE]])</f>
        <v>1</v>
      </c>
      <c r="AX1015"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15" s="325">
        <f>COUNTIFS(BDEGENER[SERIE],BDEGENER[[#This Row],[SERIE]],BDEGENER[TIPO DE SERVICIO],"MANTENIMIENTO PREVENTIVO")</f>
        <v>6</v>
      </c>
      <c r="AZ1015" s="325" t="str">
        <f>CONCATENATE("MANTENIMIENTO PREVENTIVO N°",BDEGENER[[#This Row],[GA1]])</f>
        <v>MANTENIMIENTO PREVENTIVO N°6</v>
      </c>
      <c r="BA1015" s="325" t="str">
        <f>IF(BDEGENER[[#This Row],[SERVICIO]]=BDEGENER[[#This Row],[GA2]],BDEGENER[[#This Row],[HORAS]],"0")</f>
        <v>0</v>
      </c>
      <c r="BB1015" s="325">
        <f>SUMIF(BDEGENER[SERIE],BDEGENER[[#This Row],[SERIE]],BDEGENER[GA3])</f>
        <v>308.10000000000002</v>
      </c>
      <c r="BC1015" s="761" t="str">
        <f>CONCATENATE("MANT",COUNTIF($Y$7:Y1015,Y1015))</f>
        <v>MANT7</v>
      </c>
      <c r="BD1015" s="29" t="str">
        <f>CONCATENATE(BDEGENER[[#This Row],[SERIE]],BDEGENER[[#This Row],[GA5]])</f>
        <v>A5245J-001MANT7</v>
      </c>
      <c r="BE1015" s="29" t="str">
        <f>CONCATENATE(BDEGENER[[#This Row],[CODIGO PATRIMONIAL]],BDEGENER[[#This Row],[GA5]])</f>
        <v>MANT7</v>
      </c>
      <c r="BF1015" s="16">
        <f>COUNTIF(BDEGENER[SERIE],BDEGENER[[#This Row],[SERIE]])</f>
        <v>7</v>
      </c>
      <c r="BG1015" s="761" t="str">
        <f>CONCATENATE("F",COUNTIF($K$7:K1015,K1015))</f>
        <v>F1</v>
      </c>
      <c r="BH1015" s="325" t="str">
        <f>CONCATENATE(BDEGENER[[#This Row],[FECHA DE SERVICIO]],BDEGENER[[#This Row],[N° DE REGISTROS DEL DIA]])</f>
        <v>43547F1</v>
      </c>
      <c r="BI1015" s="324"/>
      <c r="BJ1015" s="325"/>
      <c r="BK1015" s="326"/>
    </row>
    <row r="1016" spans="2:63" ht="69" hidden="1" x14ac:dyDescent="0.3">
      <c r="B1016" s="34"/>
      <c r="C1016" s="34"/>
      <c r="D1016" s="34"/>
      <c r="E1016" s="34"/>
      <c r="F1016" s="34"/>
      <c r="G1016" s="34"/>
      <c r="H1016" s="34"/>
      <c r="I1016" s="34"/>
      <c r="J1016" s="34"/>
      <c r="K1016" s="37">
        <v>43544</v>
      </c>
      <c r="L1016" s="30" t="s">
        <v>561</v>
      </c>
      <c r="M1016" s="19" t="s">
        <v>585</v>
      </c>
      <c r="N1016" s="19" t="s">
        <v>586</v>
      </c>
      <c r="O1016" s="19"/>
      <c r="P1016" s="19"/>
      <c r="Q1016" s="19" t="s">
        <v>37</v>
      </c>
      <c r="R1016" s="85" t="s">
        <v>1782</v>
      </c>
      <c r="S1016" s="19" t="s">
        <v>42</v>
      </c>
      <c r="T1016" s="85" t="s">
        <v>1782</v>
      </c>
      <c r="U1016" s="19" t="s">
        <v>724</v>
      </c>
      <c r="V1016" s="19" t="s">
        <v>149</v>
      </c>
      <c r="W1016" s="683" t="s">
        <v>913</v>
      </c>
      <c r="X1016" s="691" t="s">
        <v>918</v>
      </c>
      <c r="Y1016" s="31">
        <v>3003987064</v>
      </c>
      <c r="Z1016" s="692" t="s">
        <v>2614</v>
      </c>
      <c r="AA1016" s="19" t="s">
        <v>33</v>
      </c>
      <c r="AB1016" s="19" t="s">
        <v>217</v>
      </c>
      <c r="AC1016" s="19" t="s">
        <v>749</v>
      </c>
      <c r="AD1016" s="16"/>
      <c r="AE1016" s="16"/>
      <c r="AF1016" s="146">
        <v>48</v>
      </c>
      <c r="AG1016" s="16"/>
      <c r="AH1016" s="16"/>
      <c r="AI1016" s="16"/>
      <c r="AJ1016" s="16"/>
      <c r="AK1016" s="16"/>
      <c r="AL1016" s="16"/>
      <c r="AM1016" s="16"/>
      <c r="AN1016" s="16"/>
      <c r="AO1016" s="16"/>
      <c r="AP1016" s="19" t="s">
        <v>240</v>
      </c>
      <c r="AQ1016" s="6" t="str">
        <f>CONCATENATE("REG-",BDEGENER[[#This Row],[FECHA DE SERVICIO]],"-",BDEGENER[[#This Row],[SERIE]],"-",BDEGENER[[#This Row],[HORAS]])</f>
        <v>REG-43544-3003987064-48</v>
      </c>
      <c r="AR1016" s="5" t="str">
        <f>CONCATENATE("MARCA: ",BDEGENER[[#This Row],[MARCA]],"
 MODELO: ",BDEGENER[[#This Row],[MODELO]])</f>
        <v>MARCA: GENERAC
 MODELO: RG022</v>
      </c>
      <c r="AS1016" s="5" t="str">
        <f>CONCATENATE("MARCA: ",BDEGENER[[#This Row],[MARCA DE MOTOR]],"
SERIE: ",BDEGENER[[#This Row],[SERIE DE MOTOR]])</f>
        <v xml:space="preserve">MARCA: 
SERIE: </v>
      </c>
      <c r="AT1016" s="5" t="str">
        <f>CONCATENATE("MARCA: ",BDEGENER[[#This Row],[MARCA ALTERNADOR ]],"
SERIE: ",BDEGENER[[#This Row],[SERIE DE ALTERNADOR]])</f>
        <v xml:space="preserve">MARCA: 
SERIE: </v>
      </c>
      <c r="AU1016" s="29" t="str">
        <f>CONCATENATE("HORAS: ",BDEGENER[[#This Row],[HORAS]],"
KW-HR: ",BDEGENER[[#This Row],[KW-HORA]],"
VOLT.BATERIA: ",BDEGENER[[#This Row],[VOLTAJE DE BATERIA]],"
TEMPERATURA: ",BDEGENER[[#This Row],[TEMPERATURA DE AGUA]],"
PRES. ACEITE: ",BDEGENER[[#This Row],[PRESION DE ACEITE]])</f>
        <v xml:space="preserve">HORAS: 48
KW-HR: 
VOLT.BATERIA: 
TEMPERATURA: 
PRES. ACEITE: </v>
      </c>
      <c r="AV1016" s="683">
        <f>COUNTIFS(Q1016:Q3016,"MANTENIMIENTO CORRECTIVO",Y1016:Y3016,BDEGENER[[#This Row],[SERIE]])</f>
        <v>0</v>
      </c>
      <c r="AW1016" s="683">
        <f>COUNTIFS(Q1016:Q3016,"MANTENIMIENTO PREVENTIVO",Y1016:Y3016,BDEGENER[[#This Row],[SERIE]])</f>
        <v>1</v>
      </c>
      <c r="AX101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16" s="29">
        <f>COUNTIFS(BDEGENER[SERIE],BDEGENER[[#This Row],[SERIE]],BDEGENER[TIPO DE SERVICIO],"MANTENIMIENTO PREVENTIVO")</f>
        <v>11</v>
      </c>
      <c r="AZ1016" s="29" t="str">
        <f>CONCATENATE("MANTENIMIENTO PREVENTIVO N°",BDEGENER[[#This Row],[GA1]])</f>
        <v>MANTENIMIENTO PREVENTIVO N°11</v>
      </c>
      <c r="BA1016" s="325" t="str">
        <f>IF(BDEGENER[[#This Row],[SERVICIO]]=BDEGENER[[#This Row],[GA2]],BDEGENER[[#This Row],[HORAS]],"0")</f>
        <v>0</v>
      </c>
      <c r="BB1016" s="325">
        <f>SUMIF(BDEGENER[SERIE],BDEGENER[[#This Row],[SERIE]],BDEGENER[GA3])</f>
        <v>6420.8</v>
      </c>
      <c r="BC1016" s="683" t="str">
        <f>CONCATENATE("MANT",COUNTIF($Y$7:Y1016,Y1016))</f>
        <v>MANT12</v>
      </c>
      <c r="BD1016" s="29" t="str">
        <f>CONCATENATE(BDEGENER[[#This Row],[SERIE]],BDEGENER[[#This Row],[GA5]])</f>
        <v>3003987064MANT12</v>
      </c>
      <c r="BE1016" s="29" t="str">
        <f>CONCATENATE(BDEGENER[[#This Row],[CODIGO PATRIMONIAL]],BDEGENER[[#This Row],[GA5]])</f>
        <v>NOR-GEG-0016MANT12</v>
      </c>
      <c r="BF1016" s="16">
        <f>COUNTIF(BDEGENER[SERIE],BDEGENER[[#This Row],[SERIE]])</f>
        <v>12</v>
      </c>
      <c r="BG1016" s="683" t="str">
        <f>CONCATENATE("F",COUNTIF($K$7:K1016,K1016))</f>
        <v>F1</v>
      </c>
      <c r="BH1016" s="325" t="str">
        <f>CONCATENATE(BDEGENER[[#This Row],[FECHA DE SERVICIO]],BDEGENER[[#This Row],[N° DE REGISTROS DEL DIA]])</f>
        <v>43544F1</v>
      </c>
      <c r="BI1016" s="324"/>
      <c r="BJ1016" s="325"/>
      <c r="BK1016" s="326"/>
    </row>
    <row r="1017" spans="2:63" ht="69" hidden="1" x14ac:dyDescent="0.3">
      <c r="B1017" s="34"/>
      <c r="C1017" s="34"/>
      <c r="D1017" s="34"/>
      <c r="E1017" s="34"/>
      <c r="F1017" s="34"/>
      <c r="G1017" s="34"/>
      <c r="H1017" s="34"/>
      <c r="I1017" s="34"/>
      <c r="J1017" s="34"/>
      <c r="K1017" s="37">
        <v>43544</v>
      </c>
      <c r="L1017" s="30" t="s">
        <v>561</v>
      </c>
      <c r="M1017" s="19" t="s">
        <v>2451</v>
      </c>
      <c r="N1017" s="19" t="s">
        <v>584</v>
      </c>
      <c r="O1017" s="19"/>
      <c r="P1017" s="19"/>
      <c r="Q1017" s="19" t="s">
        <v>37</v>
      </c>
      <c r="R1017" s="85" t="s">
        <v>1782</v>
      </c>
      <c r="S1017" s="19" t="s">
        <v>42</v>
      </c>
      <c r="T1017" s="85" t="s">
        <v>1782</v>
      </c>
      <c r="U1017" s="19" t="s">
        <v>725</v>
      </c>
      <c r="V1017" s="19" t="s">
        <v>149</v>
      </c>
      <c r="W1017" s="683" t="s">
        <v>913</v>
      </c>
      <c r="X1017" s="691" t="s">
        <v>918</v>
      </c>
      <c r="Y1017" s="31">
        <v>3003940357</v>
      </c>
      <c r="Z1017" s="692" t="s">
        <v>2612</v>
      </c>
      <c r="AA1017" s="19" t="s">
        <v>33</v>
      </c>
      <c r="AB1017" s="19" t="s">
        <v>217</v>
      </c>
      <c r="AC1017" s="19" t="s">
        <v>749</v>
      </c>
      <c r="AD1017" s="16"/>
      <c r="AE1017" s="16"/>
      <c r="AF1017" s="146">
        <v>34.6</v>
      </c>
      <c r="AG1017" s="16"/>
      <c r="AH1017" s="16"/>
      <c r="AI1017" s="16"/>
      <c r="AJ1017" s="16"/>
      <c r="AK1017" s="16"/>
      <c r="AL1017" s="16"/>
      <c r="AM1017" s="16"/>
      <c r="AN1017" s="16"/>
      <c r="AO1017" s="16"/>
      <c r="AP1017" s="19" t="s">
        <v>240</v>
      </c>
      <c r="AQ1017" s="6" t="str">
        <f>CONCATENATE("REG-",BDEGENER[[#This Row],[FECHA DE SERVICIO]],"-",BDEGENER[[#This Row],[SERIE]],"-",BDEGENER[[#This Row],[HORAS]])</f>
        <v>REG-43544-3003940357-34,6</v>
      </c>
      <c r="AR1017" s="5" t="str">
        <f>CONCATENATE("MARCA: ",BDEGENER[[#This Row],[MARCA]],"
 MODELO: ",BDEGENER[[#This Row],[MODELO]])</f>
        <v>MARCA: GENERAC
 MODELO: RG022</v>
      </c>
      <c r="AS1017" s="5" t="str">
        <f>CONCATENATE("MARCA: ",BDEGENER[[#This Row],[MARCA DE MOTOR]],"
SERIE: ",BDEGENER[[#This Row],[SERIE DE MOTOR]])</f>
        <v xml:space="preserve">MARCA: 
SERIE: </v>
      </c>
      <c r="AT1017" s="5" t="str">
        <f>CONCATENATE("MARCA: ",BDEGENER[[#This Row],[MARCA ALTERNADOR ]],"
SERIE: ",BDEGENER[[#This Row],[SERIE DE ALTERNADOR]])</f>
        <v xml:space="preserve">MARCA: 
SERIE: </v>
      </c>
      <c r="AU1017" s="29" t="str">
        <f>CONCATENATE("HORAS: ",BDEGENER[[#This Row],[HORAS]],"
KW-HR: ",BDEGENER[[#This Row],[KW-HORA]],"
VOLT.BATERIA: ",BDEGENER[[#This Row],[VOLTAJE DE BATERIA]],"
TEMPERATURA: ",BDEGENER[[#This Row],[TEMPERATURA DE AGUA]],"
PRES. ACEITE: ",BDEGENER[[#This Row],[PRESION DE ACEITE]])</f>
        <v xml:space="preserve">HORAS: 34,6
KW-HR: 
VOLT.BATERIA: 
TEMPERATURA: 
PRES. ACEITE: </v>
      </c>
      <c r="AV1017" s="683">
        <f>COUNTIFS(Q1017:Q3017,"MANTENIMIENTO CORRECTIVO",Y1017:Y3017,BDEGENER[[#This Row],[SERIE]])</f>
        <v>0</v>
      </c>
      <c r="AW1017" s="683">
        <f>COUNTIFS(Q1017:Q3017,"MANTENIMIENTO PREVENTIVO",Y1017:Y3017,BDEGENER[[#This Row],[SERIE]])</f>
        <v>1</v>
      </c>
      <c r="AX101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17" s="29">
        <f>COUNTIFS(BDEGENER[SERIE],BDEGENER[[#This Row],[SERIE]],BDEGENER[TIPO DE SERVICIO],"MANTENIMIENTO PREVENTIVO")</f>
        <v>12</v>
      </c>
      <c r="AZ1017" s="29" t="str">
        <f>CONCATENATE("MANTENIMIENTO PREVENTIVO N°",BDEGENER[[#This Row],[GA1]])</f>
        <v>MANTENIMIENTO PREVENTIVO N°12</v>
      </c>
      <c r="BA1017" s="325" t="str">
        <f>IF(BDEGENER[[#This Row],[SERVICIO]]=BDEGENER[[#This Row],[GA2]],BDEGENER[[#This Row],[HORAS]],"0")</f>
        <v>0</v>
      </c>
      <c r="BB1017" s="325">
        <f>SUMIF(BDEGENER[SERIE],BDEGENER[[#This Row],[SERIE]],BDEGENER[GA3])</f>
        <v>6263.3</v>
      </c>
      <c r="BC1017" s="683" t="str">
        <f>CONCATENATE("MANT",COUNTIF($Y$7:Y1017,Y1017))</f>
        <v>MANT16</v>
      </c>
      <c r="BD1017" s="29" t="str">
        <f>CONCATENATE(BDEGENER[[#This Row],[SERIE]],BDEGENER[[#This Row],[GA5]])</f>
        <v>3003940357MANT16</v>
      </c>
      <c r="BE1017" s="29" t="str">
        <f>CONCATENATE(BDEGENER[[#This Row],[CODIGO PATRIMONIAL]],BDEGENER[[#This Row],[GA5]])</f>
        <v>NOR-GEG-0014MANT16</v>
      </c>
      <c r="BF1017" s="16">
        <f>COUNTIF(BDEGENER[SERIE],BDEGENER[[#This Row],[SERIE]])</f>
        <v>16</v>
      </c>
      <c r="BG1017" s="683" t="str">
        <f>CONCATENATE("F",COUNTIF($K$7:K1017,K1017))</f>
        <v>F2</v>
      </c>
      <c r="BH1017" s="325" t="str">
        <f>CONCATENATE(BDEGENER[[#This Row],[FECHA DE SERVICIO]],BDEGENER[[#This Row],[N° DE REGISTROS DEL DIA]])</f>
        <v>43544F2</v>
      </c>
      <c r="BI1017" s="324"/>
      <c r="BJ1017" s="325"/>
      <c r="BK1017" s="326"/>
    </row>
    <row r="1018" spans="2:63" ht="69" hidden="1" x14ac:dyDescent="0.3">
      <c r="B1018" s="34"/>
      <c r="C1018" s="34"/>
      <c r="D1018" s="34"/>
      <c r="E1018" s="34"/>
      <c r="F1018" s="34"/>
      <c r="G1018" s="34"/>
      <c r="H1018" s="34"/>
      <c r="I1018" s="34"/>
      <c r="J1018" s="34"/>
      <c r="K1018" s="37">
        <v>43543</v>
      </c>
      <c r="L1018" s="30" t="s">
        <v>561</v>
      </c>
      <c r="M1018" s="683" t="s">
        <v>2439</v>
      </c>
      <c r="N1018" s="19" t="s">
        <v>564</v>
      </c>
      <c r="O1018" s="19"/>
      <c r="P1018" s="19"/>
      <c r="Q1018" s="19" t="s">
        <v>37</v>
      </c>
      <c r="R1018" s="85" t="s">
        <v>1782</v>
      </c>
      <c r="S1018" s="19" t="s">
        <v>640</v>
      </c>
      <c r="T1018" s="85" t="s">
        <v>1782</v>
      </c>
      <c r="U1018" s="19"/>
      <c r="V1018" s="19" t="s">
        <v>148</v>
      </c>
      <c r="W1018" s="85" t="s">
        <v>914</v>
      </c>
      <c r="X1018" s="85" t="s">
        <v>918</v>
      </c>
      <c r="Y1018" s="31">
        <v>3003963149</v>
      </c>
      <c r="Z1018" s="692" t="s">
        <v>2603</v>
      </c>
      <c r="AA1018" s="683" t="s">
        <v>33</v>
      </c>
      <c r="AB1018" s="85" t="s">
        <v>34</v>
      </c>
      <c r="AC1018" s="683" t="s">
        <v>230</v>
      </c>
      <c r="AD1018" s="16"/>
      <c r="AE1018" s="16"/>
      <c r="AF1018" s="146">
        <v>7.4</v>
      </c>
      <c r="AG1018" s="16"/>
      <c r="AH1018" s="16"/>
      <c r="AI1018" s="16"/>
      <c r="AJ1018" s="16"/>
      <c r="AK1018" s="16"/>
      <c r="AL1018" s="16"/>
      <c r="AM1018" s="16"/>
      <c r="AN1018" s="16"/>
      <c r="AO1018" s="16"/>
      <c r="AP1018" s="19" t="s">
        <v>240</v>
      </c>
      <c r="AQ1018" s="6" t="str">
        <f>CONCATENATE("REG-",BDEGENER[[#This Row],[FECHA DE SERVICIO]],"-",BDEGENER[[#This Row],[SERIE]],"-",BDEGENER[[#This Row],[HORAS]])</f>
        <v>REG-43543-3003963149-7,4</v>
      </c>
      <c r="AR1018" s="5" t="str">
        <f>CONCATENATE("MARCA: ",BDEGENER[[#This Row],[MARCA]],"
 MODELO: ",BDEGENER[[#This Row],[MODELO]])</f>
        <v>MARCA: GENERAC
 MODELO: PG090</v>
      </c>
      <c r="AS1018" s="5" t="str">
        <f>CONCATENATE("MARCA: ",BDEGENER[[#This Row],[MARCA DE MOTOR]],"
SERIE: ",BDEGENER[[#This Row],[SERIE DE MOTOR]])</f>
        <v xml:space="preserve">MARCA: 
SERIE: </v>
      </c>
      <c r="AT1018" s="5" t="str">
        <f>CONCATENATE("MARCA: ",BDEGENER[[#This Row],[MARCA ALTERNADOR ]],"
SERIE: ",BDEGENER[[#This Row],[SERIE DE ALTERNADOR]])</f>
        <v xml:space="preserve">MARCA: 
SERIE: </v>
      </c>
      <c r="AU1018" s="29" t="str">
        <f>CONCATENATE("HORAS: ",BDEGENER[[#This Row],[HORAS]],"
KW-HR: ",BDEGENER[[#This Row],[KW-HORA]],"
VOLT.BATERIA: ",BDEGENER[[#This Row],[VOLTAJE DE BATERIA]],"
TEMPERATURA: ",BDEGENER[[#This Row],[TEMPERATURA DE AGUA]],"
PRES. ACEITE: ",BDEGENER[[#This Row],[PRESION DE ACEITE]])</f>
        <v xml:space="preserve">HORAS: 7,4
KW-HR: 
VOLT.BATERIA: 
TEMPERATURA: 
PRES. ACEITE: </v>
      </c>
      <c r="AV1018" s="761">
        <f>COUNTIFS(Q1018:Q3018,"MANTENIMIENTO CORRECTIVO",Y1018:Y3018,BDEGENER[[#This Row],[SERIE]])</f>
        <v>0</v>
      </c>
      <c r="AW1018" s="761">
        <f>COUNTIFS(Q1018:Q3018,"MANTENIMIENTO PREVENTIVO",Y1018:Y3018,BDEGENER[[#This Row],[SERIE]])</f>
        <v>1</v>
      </c>
      <c r="AX101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18" s="29">
        <f>COUNTIFS(BDEGENER[SERIE],BDEGENER[[#This Row],[SERIE]],BDEGENER[TIPO DE SERVICIO],"MANTENIMIENTO PREVENTIVO")</f>
        <v>6</v>
      </c>
      <c r="AZ1018" s="29" t="str">
        <f>CONCATENATE("MANTENIMIENTO PREVENTIVO N°",BDEGENER[[#This Row],[GA1]])</f>
        <v>MANTENIMIENTO PREVENTIVO N°6</v>
      </c>
      <c r="BA1018" s="325" t="str">
        <f>IF(BDEGENER[[#This Row],[SERVICIO]]=BDEGENER[[#This Row],[GA2]],BDEGENER[[#This Row],[HORAS]],"0")</f>
        <v>0</v>
      </c>
      <c r="BB1018" s="325">
        <f>SUMIF(BDEGENER[SERIE],BDEGENER[[#This Row],[SERIE]],BDEGENER[GA3])</f>
        <v>3959.4</v>
      </c>
      <c r="BC1018" s="761" t="str">
        <f>CONCATENATE("MANT",COUNTIF($Y$7:Y1018,Y1018))</f>
        <v>MANT11</v>
      </c>
      <c r="BD1018" s="29" t="str">
        <f>CONCATENATE(BDEGENER[[#This Row],[SERIE]],BDEGENER[[#This Row],[GA5]])</f>
        <v>3003963149MANT11</v>
      </c>
      <c r="BE1018" s="29" t="str">
        <f>CONCATENATE(BDEGENER[[#This Row],[CODIGO PATRIMONIAL]],BDEGENER[[#This Row],[GA5]])</f>
        <v>SUR-GEG-0007MANT11</v>
      </c>
      <c r="BF1018" s="16">
        <f>COUNTIF(BDEGENER[SERIE],BDEGENER[[#This Row],[SERIE]])</f>
        <v>12</v>
      </c>
      <c r="BG1018" s="761" t="str">
        <f>CONCATENATE("F",COUNTIF($K$7:K1018,K1018))</f>
        <v>F1</v>
      </c>
      <c r="BH1018" s="325" t="str">
        <f>CONCATENATE(BDEGENER[[#This Row],[FECHA DE SERVICIO]],BDEGENER[[#This Row],[N° DE REGISTROS DEL DIA]])</f>
        <v>43543F1</v>
      </c>
      <c r="BI1018" s="324"/>
      <c r="BJ1018" s="325"/>
      <c r="BK1018" s="326"/>
    </row>
    <row r="1019" spans="2:63" ht="110.4" hidden="1" x14ac:dyDescent="0.3">
      <c r="B1019" s="223"/>
      <c r="C1019" s="223"/>
      <c r="D1019" s="223"/>
      <c r="E1019" s="223"/>
      <c r="F1019" s="223"/>
      <c r="G1019" s="223"/>
      <c r="H1019" s="223"/>
      <c r="I1019" s="223"/>
      <c r="J1019" s="223"/>
      <c r="K1019" s="723">
        <v>43542</v>
      </c>
      <c r="L1019" s="15" t="s">
        <v>181</v>
      </c>
      <c r="M1019" s="14" t="s">
        <v>202</v>
      </c>
      <c r="N1019" s="14"/>
      <c r="O1019" s="8"/>
      <c r="P1019" s="10"/>
      <c r="Q1019" s="14" t="s">
        <v>107</v>
      </c>
      <c r="R1019" s="85" t="s">
        <v>1782</v>
      </c>
      <c r="S1019" s="5" t="s">
        <v>65</v>
      </c>
      <c r="T1019" s="85" t="s">
        <v>1782</v>
      </c>
      <c r="U1019" s="14"/>
      <c r="V1019" s="14" t="s">
        <v>153</v>
      </c>
      <c r="W1019" s="14"/>
      <c r="X1019" s="14"/>
      <c r="Y1019" s="15" t="s">
        <v>178</v>
      </c>
      <c r="Z1019" s="14"/>
      <c r="AA1019" s="14"/>
      <c r="AB1019" s="14">
        <v>2812330100</v>
      </c>
      <c r="AC1019" s="14" t="s">
        <v>237</v>
      </c>
      <c r="AD1019" s="16"/>
      <c r="AE1019" s="16"/>
      <c r="AF1019" s="12">
        <v>0.18</v>
      </c>
      <c r="AG1019" s="16"/>
      <c r="AH1019" s="16"/>
      <c r="AI1019" s="16"/>
      <c r="AJ1019" s="16"/>
      <c r="AK1019" s="16"/>
      <c r="AL1019" s="16"/>
      <c r="AM1019" s="16"/>
      <c r="AN1019" s="16"/>
      <c r="AO1019" s="16"/>
      <c r="AP1019" s="14" t="s">
        <v>240</v>
      </c>
      <c r="AQ1019" s="6" t="str">
        <f>CONCATENATE("REG-",BDEGENER[[#This Row],[FECHA DE SERVICIO]],"-",BDEGENER[[#This Row],[SERIE]],"-",BDEGENER[[#This Row],[HORAS]])</f>
        <v>REG-43542-PD0080-1421-0,18</v>
      </c>
      <c r="AR1019" s="5" t="str">
        <f>CONCATENATE("MARCA: ",BDEGENER[[#This Row],[MARCA]],"
 MODELO: ",BDEGENER[[#This Row],[MODELO]])</f>
        <v>MARCA: 
 MODELO: 2812330100</v>
      </c>
      <c r="AS1019" s="5" t="str">
        <f>CONCATENATE("MARCA: ",BDEGENER[[#This Row],[MARCA DE MOTOR]],"
SERIE: ",BDEGENER[[#This Row],[SERIE DE MOTOR]])</f>
        <v xml:space="preserve">MARCA: 
SERIE: </v>
      </c>
      <c r="AT1019" s="5" t="str">
        <f>CONCATENATE("MARCA: ",BDEGENER[[#This Row],[MARCA ALTERNADOR ]],"
SERIE: ",BDEGENER[[#This Row],[SERIE DE ALTERNADOR]])</f>
        <v xml:space="preserve">MARCA: 
SERIE: </v>
      </c>
      <c r="AU1019" s="5" t="str">
        <f>CONCATENATE("HORAS: ",BDEGENER[[#This Row],[HORAS]],"
KW-HR: ",BDEGENER[[#This Row],[KW-HORA]],"
VOLT.BATERIA: ",BDEGENER[[#This Row],[VOLTAJE DE BATERIA]],"
TEMPERATURA: ",BDEGENER[[#This Row],[TEMPERATURA DE AGUA]],"
PRES. ACEITE: ",BDEGENER[[#This Row],[PRESION DE ACEITE]])</f>
        <v xml:space="preserve">HORAS: 0,18
KW-HR: 
VOLT.BATERIA: 
TEMPERATURA: 
PRES. ACEITE: </v>
      </c>
      <c r="AV1019" s="683">
        <f>COUNTIFS(Q1019:Q3019,"MANTENIMIENTO CORRECTIVO",Y1019:Y3019,BDEGENER[[#This Row],[SERIE]])</f>
        <v>2</v>
      </c>
      <c r="AW1019" s="683">
        <f>COUNTIFS(Q1019:Q3019,"MANTENIMIENTO PREVENTIVO",Y1019:Y3019,BDEGENER[[#This Row],[SERIE]])</f>
        <v>0</v>
      </c>
      <c r="AX101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019" s="29">
        <f>COUNTIFS(BDEGENER[SERIE],BDEGENER[[#This Row],[SERIE]],BDEGENER[TIPO DE SERVICIO],"MANTENIMIENTO PREVENTIVO")</f>
        <v>0</v>
      </c>
      <c r="AZ1019" s="29" t="str">
        <f>CONCATENATE("MANTENIMIENTO PREVENTIVO N°",BDEGENER[[#This Row],[GA1]])</f>
        <v>MANTENIMIENTO PREVENTIVO N°0</v>
      </c>
      <c r="BA1019" s="325" t="str">
        <f>IF(BDEGENER[[#This Row],[SERVICIO]]=BDEGENER[[#This Row],[GA2]],BDEGENER[[#This Row],[HORAS]],"0")</f>
        <v>0</v>
      </c>
      <c r="BB1019" s="325">
        <f>SUMIF(BDEGENER[SERIE],BDEGENER[[#This Row],[SERIE]],BDEGENER[GA3])</f>
        <v>0</v>
      </c>
      <c r="BC1019" s="683" t="str">
        <f>CONCATENATE("MANT",COUNTIF($Y$7:Y1019,Y1019))</f>
        <v>MANT1</v>
      </c>
      <c r="BD1019" s="29" t="str">
        <f>CONCATENATE(BDEGENER[[#This Row],[SERIE]],BDEGENER[[#This Row],[GA5]])</f>
        <v>PD0080-1421MANT1</v>
      </c>
      <c r="BE1019" s="29" t="str">
        <f>CONCATENATE(BDEGENER[[#This Row],[CODIGO PATRIMONIAL]],BDEGENER[[#This Row],[GA5]])</f>
        <v>MANT1</v>
      </c>
      <c r="BF1019" s="16">
        <f>COUNTIF(BDEGENER[SERIE],BDEGENER[[#This Row],[SERIE]])</f>
        <v>2</v>
      </c>
      <c r="BG1019" s="683" t="str">
        <f>CONCATENATE("F",COUNTIF($K$7:K1019,K1019))</f>
        <v>F1</v>
      </c>
      <c r="BH1019" s="325" t="str">
        <f>CONCATENATE(BDEGENER[[#This Row],[FECHA DE SERVICIO]],BDEGENER[[#This Row],[N° DE REGISTROS DEL DIA]])</f>
        <v>43542F1</v>
      </c>
      <c r="BI1019" s="324"/>
      <c r="BJ1019" s="325"/>
      <c r="BK1019" s="326"/>
    </row>
    <row r="1020" spans="2:63" ht="69" hidden="1" x14ac:dyDescent="0.3">
      <c r="B1020" s="223"/>
      <c r="C1020" s="223"/>
      <c r="D1020" s="223"/>
      <c r="E1020" s="223"/>
      <c r="F1020" s="223"/>
      <c r="G1020" s="223"/>
      <c r="H1020" s="223"/>
      <c r="I1020" s="223"/>
      <c r="J1020" s="223"/>
      <c r="K1020" s="723">
        <v>43542</v>
      </c>
      <c r="L1020" s="15" t="s">
        <v>181</v>
      </c>
      <c r="M1020" s="14" t="s">
        <v>203</v>
      </c>
      <c r="N1020" s="14" t="s">
        <v>183</v>
      </c>
      <c r="O1020" s="8"/>
      <c r="P1020" s="10"/>
      <c r="Q1020" s="14" t="s">
        <v>107</v>
      </c>
      <c r="R1020" s="85" t="s">
        <v>1782</v>
      </c>
      <c r="S1020" s="5" t="s">
        <v>66</v>
      </c>
      <c r="T1020" s="85" t="s">
        <v>1782</v>
      </c>
      <c r="U1020" s="14" t="s">
        <v>134</v>
      </c>
      <c r="V1020" s="14" t="s">
        <v>152</v>
      </c>
      <c r="W1020" s="14"/>
      <c r="X1020" s="14"/>
      <c r="Y1020" s="15" t="s">
        <v>178</v>
      </c>
      <c r="Z1020" s="14" t="s">
        <v>226</v>
      </c>
      <c r="AA1020" s="14"/>
      <c r="AB1020" s="14">
        <v>2812330100</v>
      </c>
      <c r="AC1020" s="14" t="s">
        <v>238</v>
      </c>
      <c r="AD1020" s="16"/>
      <c r="AE1020" s="16"/>
      <c r="AF1020" s="12">
        <v>0.18</v>
      </c>
      <c r="AG1020" s="16"/>
      <c r="AH1020" s="16"/>
      <c r="AI1020" s="16"/>
      <c r="AJ1020" s="16"/>
      <c r="AK1020" s="16"/>
      <c r="AL1020" s="16"/>
      <c r="AM1020" s="16"/>
      <c r="AN1020" s="16"/>
      <c r="AO1020" s="16"/>
      <c r="AP1020" s="14" t="s">
        <v>240</v>
      </c>
      <c r="AQ1020" s="6" t="str">
        <f>CONCATENATE("REG-",BDEGENER[[#This Row],[FECHA DE SERVICIO]],"-",BDEGENER[[#This Row],[SERIE]],"-",BDEGENER[[#This Row],[HORAS]])</f>
        <v>REG-43542-PD0080-1421-0,18</v>
      </c>
      <c r="AR1020" s="5" t="str">
        <f>CONCATENATE("MARCA: ",BDEGENER[[#This Row],[MARCA]],"
 MODELO: ",BDEGENER[[#This Row],[MODELO]])</f>
        <v>MARCA: 
 MODELO: 2812330100</v>
      </c>
      <c r="AS1020" s="5" t="str">
        <f>CONCATENATE("MARCA: ",BDEGENER[[#This Row],[MARCA DE MOTOR]],"
SERIE: ",BDEGENER[[#This Row],[SERIE DE MOTOR]])</f>
        <v xml:space="preserve">MARCA: 
SERIE: </v>
      </c>
      <c r="AT1020" s="5" t="str">
        <f>CONCATENATE("MARCA: ",BDEGENER[[#This Row],[MARCA ALTERNADOR ]],"
SERIE: ",BDEGENER[[#This Row],[SERIE DE ALTERNADOR]])</f>
        <v xml:space="preserve">MARCA: 
SERIE: </v>
      </c>
      <c r="AU1020" s="5" t="str">
        <f>CONCATENATE("HORAS: ",BDEGENER[[#This Row],[HORAS]],"
KW-HR: ",BDEGENER[[#This Row],[KW-HORA]],"
VOLT.BATERIA: ",BDEGENER[[#This Row],[VOLTAJE DE BATERIA]],"
TEMPERATURA: ",BDEGENER[[#This Row],[TEMPERATURA DE AGUA]],"
PRES. ACEITE: ",BDEGENER[[#This Row],[PRESION DE ACEITE]])</f>
        <v xml:space="preserve">HORAS: 0,18
KW-HR: 
VOLT.BATERIA: 
TEMPERATURA: 
PRES. ACEITE: </v>
      </c>
      <c r="AV1020" s="683">
        <f>COUNTIFS(Q1020:Q3020,"MANTENIMIENTO CORRECTIVO",Y1020:Y3020,BDEGENER[[#This Row],[SERIE]])</f>
        <v>1</v>
      </c>
      <c r="AW1020" s="683">
        <f>COUNTIFS(Q1020:Q3020,"MANTENIMIENTO PREVENTIVO",Y1020:Y3020,BDEGENER[[#This Row],[SERIE]])</f>
        <v>0</v>
      </c>
      <c r="AX102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020" s="29">
        <f>COUNTIFS(BDEGENER[SERIE],BDEGENER[[#This Row],[SERIE]],BDEGENER[TIPO DE SERVICIO],"MANTENIMIENTO PREVENTIVO")</f>
        <v>0</v>
      </c>
      <c r="AZ1020" s="29" t="str">
        <f>CONCATENATE("MANTENIMIENTO PREVENTIVO N°",BDEGENER[[#This Row],[GA1]])</f>
        <v>MANTENIMIENTO PREVENTIVO N°0</v>
      </c>
      <c r="BA1020" s="325" t="str">
        <f>IF(BDEGENER[[#This Row],[SERVICIO]]=BDEGENER[[#This Row],[GA2]],BDEGENER[[#This Row],[HORAS]],"0")</f>
        <v>0</v>
      </c>
      <c r="BB1020" s="325">
        <f>SUMIF(BDEGENER[SERIE],BDEGENER[[#This Row],[SERIE]],BDEGENER[GA3])</f>
        <v>0</v>
      </c>
      <c r="BC1020" s="683" t="str">
        <f>CONCATENATE("MANT",COUNTIF($Y$7:Y1020,Y1020))</f>
        <v>MANT2</v>
      </c>
      <c r="BD1020" s="29" t="str">
        <f>CONCATENATE(BDEGENER[[#This Row],[SERIE]],BDEGENER[[#This Row],[GA5]])</f>
        <v>PD0080-1421MANT2</v>
      </c>
      <c r="BE1020" s="29" t="str">
        <f>CONCATENATE(BDEGENER[[#This Row],[CODIGO PATRIMONIAL]],BDEGENER[[#This Row],[GA5]])</f>
        <v>G.E. 20MANT2</v>
      </c>
      <c r="BF1020" s="16">
        <f>COUNTIF(BDEGENER[SERIE],BDEGENER[[#This Row],[SERIE]])</f>
        <v>2</v>
      </c>
      <c r="BG1020" s="683" t="str">
        <f>CONCATENATE("F",COUNTIF($K$7:K1020,K1020))</f>
        <v>F2</v>
      </c>
      <c r="BH1020" s="325" t="str">
        <f>CONCATENATE(BDEGENER[[#This Row],[FECHA DE SERVICIO]],BDEGENER[[#This Row],[N° DE REGISTROS DEL DIA]])</f>
        <v>43542F2</v>
      </c>
      <c r="BI1020" s="324"/>
      <c r="BJ1020" s="325"/>
      <c r="BK1020" s="326"/>
    </row>
    <row r="1021" spans="2:63" ht="69" hidden="1" x14ac:dyDescent="0.3">
      <c r="B1021" s="223"/>
      <c r="C1021" s="223"/>
      <c r="D1021" s="223"/>
      <c r="E1021" s="223"/>
      <c r="F1021" s="223"/>
      <c r="G1021" s="223"/>
      <c r="H1021" s="223"/>
      <c r="I1021" s="223"/>
      <c r="J1021" s="223"/>
      <c r="K1021" s="723">
        <v>43542</v>
      </c>
      <c r="L1021" s="15" t="s">
        <v>181</v>
      </c>
      <c r="M1021" s="14" t="s">
        <v>203</v>
      </c>
      <c r="N1021" s="14" t="s">
        <v>183</v>
      </c>
      <c r="O1021" s="8"/>
      <c r="P1021" s="10"/>
      <c r="Q1021" s="14" t="s">
        <v>107</v>
      </c>
      <c r="R1021" s="85" t="s">
        <v>1782</v>
      </c>
      <c r="S1021" s="5" t="s">
        <v>67</v>
      </c>
      <c r="T1021" s="85" t="s">
        <v>1782</v>
      </c>
      <c r="U1021" s="14" t="s">
        <v>134</v>
      </c>
      <c r="V1021" s="14" t="s">
        <v>152</v>
      </c>
      <c r="W1021" s="14"/>
      <c r="X1021" s="14"/>
      <c r="Y1021" s="15">
        <v>2070022</v>
      </c>
      <c r="Z1021" s="14"/>
      <c r="AA1021" s="14"/>
      <c r="AB1021" s="14">
        <v>2812330100</v>
      </c>
      <c r="AC1021" s="14" t="s">
        <v>238</v>
      </c>
      <c r="AD1021" s="16"/>
      <c r="AE1021" s="16"/>
      <c r="AF1021" s="12">
        <v>0.17</v>
      </c>
      <c r="AG1021" s="16"/>
      <c r="AH1021" s="16"/>
      <c r="AI1021" s="16"/>
      <c r="AJ1021" s="16"/>
      <c r="AK1021" s="16"/>
      <c r="AL1021" s="16"/>
      <c r="AM1021" s="16"/>
      <c r="AN1021" s="16"/>
      <c r="AO1021" s="16"/>
      <c r="AP1021" s="14" t="s">
        <v>240</v>
      </c>
      <c r="AQ1021" s="6" t="str">
        <f>CONCATENATE("REG-",BDEGENER[[#This Row],[FECHA DE SERVICIO]],"-",BDEGENER[[#This Row],[SERIE]],"-",BDEGENER[[#This Row],[HORAS]])</f>
        <v>REG-43542-2070022-0,17</v>
      </c>
      <c r="AR1021" s="5" t="str">
        <f>CONCATENATE("MARCA: ",BDEGENER[[#This Row],[MARCA]],"
 MODELO: ",BDEGENER[[#This Row],[MODELO]])</f>
        <v>MARCA: 
 MODELO: 2812330100</v>
      </c>
      <c r="AS1021" s="5" t="str">
        <f>CONCATENATE("MARCA: ",BDEGENER[[#This Row],[MARCA DE MOTOR]],"
SERIE: ",BDEGENER[[#This Row],[SERIE DE MOTOR]])</f>
        <v xml:space="preserve">MARCA: 
SERIE: </v>
      </c>
      <c r="AT1021" s="5" t="str">
        <f>CONCATENATE("MARCA: ",BDEGENER[[#This Row],[MARCA ALTERNADOR ]],"
SERIE: ",BDEGENER[[#This Row],[SERIE DE ALTERNADOR]])</f>
        <v xml:space="preserve">MARCA: 
SERIE: </v>
      </c>
      <c r="AU1021" s="5" t="str">
        <f>CONCATENATE("HORAS: ",BDEGENER[[#This Row],[HORAS]],"
KW-HR: ",BDEGENER[[#This Row],[KW-HORA]],"
VOLT.BATERIA: ",BDEGENER[[#This Row],[VOLTAJE DE BATERIA]],"
TEMPERATURA: ",BDEGENER[[#This Row],[TEMPERATURA DE AGUA]],"
PRES. ACEITE: ",BDEGENER[[#This Row],[PRESION DE ACEITE]])</f>
        <v xml:space="preserve">HORAS: 0,17
KW-HR: 
VOLT.BATERIA: 
TEMPERATURA: 
PRES. ACEITE: </v>
      </c>
      <c r="AV1021" s="761">
        <f>COUNTIFS(Q1021:Q3021,"MANTENIMIENTO CORRECTIVO",Y1021:Y3021,BDEGENER[[#This Row],[SERIE]])</f>
        <v>2</v>
      </c>
      <c r="AW1021" s="761">
        <f>COUNTIFS(Q1021:Q3021,"MANTENIMIENTO PREVENTIVO",Y1021:Y3021,BDEGENER[[#This Row],[SERIE]])</f>
        <v>0</v>
      </c>
      <c r="AX102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021" s="29">
        <f>COUNTIFS(BDEGENER[SERIE],BDEGENER[[#This Row],[SERIE]],BDEGENER[TIPO DE SERVICIO],"MANTENIMIENTO PREVENTIVO")</f>
        <v>0</v>
      </c>
      <c r="AZ1021" s="29" t="str">
        <f>CONCATENATE("MANTENIMIENTO PREVENTIVO N°",BDEGENER[[#This Row],[GA1]])</f>
        <v>MANTENIMIENTO PREVENTIVO N°0</v>
      </c>
      <c r="BA1021" s="325" t="str">
        <f>IF(BDEGENER[[#This Row],[SERVICIO]]=BDEGENER[[#This Row],[GA2]],BDEGENER[[#This Row],[HORAS]],"0")</f>
        <v>0</v>
      </c>
      <c r="BB1021" s="325">
        <f>SUMIF(BDEGENER[SERIE],BDEGENER[[#This Row],[SERIE]],BDEGENER[GA3])</f>
        <v>0</v>
      </c>
      <c r="BC1021" s="761" t="str">
        <f>CONCATENATE("MANT",COUNTIF($Y$7:Y1021,Y1021))</f>
        <v>MANT1</v>
      </c>
      <c r="BD1021" s="29" t="str">
        <f>CONCATENATE(BDEGENER[[#This Row],[SERIE]],BDEGENER[[#This Row],[GA5]])</f>
        <v>2070022MANT1</v>
      </c>
      <c r="BE1021" s="29" t="str">
        <f>CONCATENATE(BDEGENER[[#This Row],[CODIGO PATRIMONIAL]],BDEGENER[[#This Row],[GA5]])</f>
        <v>MANT1</v>
      </c>
      <c r="BF1021" s="16">
        <f>COUNTIF(BDEGENER[SERIE],BDEGENER[[#This Row],[SERIE]])</f>
        <v>2</v>
      </c>
      <c r="BG1021" s="761" t="str">
        <f>CONCATENATE("F",COUNTIF($K$7:K1021,K1021))</f>
        <v>F3</v>
      </c>
      <c r="BH1021" s="325" t="str">
        <f>CONCATENATE(BDEGENER[[#This Row],[FECHA DE SERVICIO]],BDEGENER[[#This Row],[N° DE REGISTROS DEL DIA]])</f>
        <v>43542F3</v>
      </c>
      <c r="BI1021" s="324"/>
      <c r="BJ1021" s="325"/>
      <c r="BK1021" s="326"/>
    </row>
    <row r="1022" spans="2:63" ht="69" hidden="1" x14ac:dyDescent="0.3">
      <c r="B1022" s="5"/>
      <c r="C1022" s="34"/>
      <c r="D1022" s="34"/>
      <c r="E1022" s="34"/>
      <c r="F1022" s="34"/>
      <c r="G1022" s="34"/>
      <c r="H1022" s="34"/>
      <c r="I1022" s="34"/>
      <c r="J1022" s="34"/>
      <c r="K1022" s="37">
        <v>43540</v>
      </c>
      <c r="L1022" s="130" t="s">
        <v>796</v>
      </c>
      <c r="M1022" s="85" t="s">
        <v>796</v>
      </c>
      <c r="N1022" s="85" t="s">
        <v>1083</v>
      </c>
      <c r="O1022" s="35"/>
      <c r="P1022" s="3"/>
      <c r="Q1022" s="19" t="s">
        <v>37</v>
      </c>
      <c r="R1022" s="85" t="s">
        <v>1782</v>
      </c>
      <c r="S1022" s="19" t="s">
        <v>824</v>
      </c>
      <c r="T1022" s="85" t="s">
        <v>1782</v>
      </c>
      <c r="U1022" s="19" t="s">
        <v>1577</v>
      </c>
      <c r="V1022" s="19" t="s">
        <v>146</v>
      </c>
      <c r="W1022" s="19" t="s">
        <v>915</v>
      </c>
      <c r="X1022" s="19" t="s">
        <v>917</v>
      </c>
      <c r="Y1022" s="31">
        <v>1603595</v>
      </c>
      <c r="Z1022" s="16"/>
      <c r="AA1022" s="19" t="s">
        <v>33</v>
      </c>
      <c r="AB1022" s="85" t="s">
        <v>1120</v>
      </c>
      <c r="AC1022" s="85" t="s">
        <v>231</v>
      </c>
      <c r="AD1022" s="16"/>
      <c r="AE1022" s="16"/>
      <c r="AF1022" s="146">
        <v>278</v>
      </c>
      <c r="AG1022" s="85" t="s">
        <v>243</v>
      </c>
      <c r="AH1022" s="85" t="s">
        <v>1088</v>
      </c>
      <c r="AI1022" s="85" t="s">
        <v>868</v>
      </c>
      <c r="AJ1022" s="85" t="s">
        <v>1571</v>
      </c>
      <c r="AK1022" s="85" t="s">
        <v>1572</v>
      </c>
      <c r="AL1022" s="16"/>
      <c r="AM1022" s="16"/>
      <c r="AN1022" s="16"/>
      <c r="AO1022" s="16"/>
      <c r="AP1022" s="19" t="s">
        <v>240</v>
      </c>
      <c r="AQ1022" s="6" t="str">
        <f>CONCATENATE("REG-",BDEGENER[[#This Row],[FECHA DE SERVICIO]],"-",BDEGENER[[#This Row],[SERIE]],"-",BDEGENER[[#This Row],[HORAS]])</f>
        <v>REG-43540-1603595-278</v>
      </c>
      <c r="AR1022" s="29" t="str">
        <f>CONCATENATE("MARCA: ",BDEGENER[[#This Row],[MARCA]],"
 MODELO: ",BDEGENER[[#This Row],[MODELO]])</f>
        <v>MARCA: GENERAC
 MODELO: VT8 K3</v>
      </c>
      <c r="AS1022" s="29" t="str">
        <f>CONCATENATE("MARCA: ",BDEGENER[[#This Row],[MARCA DE MOTOR]],"
SERIE: ",BDEGENER[[#This Row],[SERIE DE MOTOR]])</f>
        <v>MARCA: KUBOTA
SERIE: 1GL0885</v>
      </c>
      <c r="AT1022" s="29" t="str">
        <f>CONCATENATE("MARCA: ",BDEGENER[[#This Row],[MARCA ALTERNADOR ]],"
SERIE: ",BDEGENER[[#This Row],[SERIE DE ALTERNADOR]])</f>
        <v xml:space="preserve">MARCA: LINZ
SERIE: </v>
      </c>
      <c r="AU1022" s="29" t="str">
        <f>CONCATENATE("HORAS: ",BDEGENER[[#This Row],[HORAS]],"
KW-HR: ",BDEGENER[[#This Row],[KW-HORA]],"
VOLT.BATERIA: ",BDEGENER[[#This Row],[VOLTAJE DE BATERIA]],"
TEMPERATURA: ",BDEGENER[[#This Row],[TEMPERATURA DE AGUA]],"
PRES. ACEITE: ",BDEGENER[[#This Row],[PRESION DE ACEITE]])</f>
        <v xml:space="preserve">HORAS: 278
KW-HR: 
VOLT.BATERIA: 
TEMPERATURA: 
PRES. ACEITE: </v>
      </c>
      <c r="AV1022" s="683">
        <f>COUNTIFS(Q1022:Q3022,"MANTENIMIENTO CORRECTIVO",Y1022:Y3022,BDEGENER[[#This Row],[SERIE]])</f>
        <v>0</v>
      </c>
      <c r="AW1022" s="683">
        <f>COUNTIFS(Q1022:Q3022,"MANTENIMIENTO PREVENTIVO",Y1022:Y3022,BDEGENER[[#This Row],[SERIE]])</f>
        <v>1</v>
      </c>
      <c r="AX102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22" s="29">
        <f>COUNTIFS(BDEGENER[SERIE],BDEGENER[[#This Row],[SERIE]],BDEGENER[TIPO DE SERVICIO],"MANTENIMIENTO PREVENTIVO")</f>
        <v>3</v>
      </c>
      <c r="AZ1022" s="29" t="str">
        <f>CONCATENATE("MANTENIMIENTO PREVENTIVO N°",BDEGENER[[#This Row],[GA1]])</f>
        <v>MANTENIMIENTO PREVENTIVO N°3</v>
      </c>
      <c r="BA1022" s="325" t="str">
        <f>IF(BDEGENER[[#This Row],[SERVICIO]]=BDEGENER[[#This Row],[GA2]],BDEGENER[[#This Row],[HORAS]],"0")</f>
        <v>0</v>
      </c>
      <c r="BB1022" s="325">
        <f>SUMIF(BDEGENER[SERIE],BDEGENER[[#This Row],[SERIE]],BDEGENER[GA3])</f>
        <v>1242</v>
      </c>
      <c r="BC1022" s="683" t="str">
        <f>CONCATENATE("MANT",COUNTIF($Y$7:Y1022,Y1022))</f>
        <v>MANT4</v>
      </c>
      <c r="BD1022" s="29" t="str">
        <f>CONCATENATE(BDEGENER[[#This Row],[SERIE]],BDEGENER[[#This Row],[GA5]])</f>
        <v>1603595MANT4</v>
      </c>
      <c r="BE1022" s="29" t="str">
        <f>CONCATENATE(BDEGENER[[#This Row],[CODIGO PATRIMONIAL]],BDEGENER[[#This Row],[GA5]])</f>
        <v>MANT4</v>
      </c>
      <c r="BF1022" s="16">
        <f>COUNTIF(BDEGENER[SERIE],BDEGENER[[#This Row],[SERIE]])</f>
        <v>4</v>
      </c>
      <c r="BG1022" s="683" t="str">
        <f>CONCATENATE("F",COUNTIF($K$7:K1022,K1022))</f>
        <v>F1</v>
      </c>
      <c r="BH1022" s="325" t="str">
        <f>CONCATENATE(BDEGENER[[#This Row],[FECHA DE SERVICIO]],BDEGENER[[#This Row],[N° DE REGISTROS DEL DIA]])</f>
        <v>43540F1</v>
      </c>
      <c r="BI1022" s="324"/>
      <c r="BJ1022" s="85" t="s">
        <v>1545</v>
      </c>
      <c r="BK1022" s="326"/>
    </row>
    <row r="1023" spans="2:63" ht="69" hidden="1" x14ac:dyDescent="0.3">
      <c r="B1023" s="5"/>
      <c r="C1023" s="34"/>
      <c r="D1023" s="34"/>
      <c r="E1023" s="34"/>
      <c r="F1023" s="34"/>
      <c r="G1023" s="34"/>
      <c r="H1023" s="34"/>
      <c r="I1023" s="34"/>
      <c r="J1023" s="34"/>
      <c r="K1023" s="37">
        <v>43540</v>
      </c>
      <c r="L1023" s="130" t="s">
        <v>796</v>
      </c>
      <c r="M1023" s="85" t="s">
        <v>796</v>
      </c>
      <c r="N1023" s="85" t="s">
        <v>1083</v>
      </c>
      <c r="O1023" s="35"/>
      <c r="P1023" s="3"/>
      <c r="Q1023" s="19" t="s">
        <v>37</v>
      </c>
      <c r="R1023" s="85" t="s">
        <v>1782</v>
      </c>
      <c r="S1023" s="19" t="s">
        <v>824</v>
      </c>
      <c r="T1023" s="85" t="s">
        <v>1782</v>
      </c>
      <c r="U1023" s="19" t="s">
        <v>825</v>
      </c>
      <c r="V1023" s="19" t="s">
        <v>146</v>
      </c>
      <c r="W1023" s="85" t="s">
        <v>915</v>
      </c>
      <c r="X1023" s="85" t="s">
        <v>917</v>
      </c>
      <c r="Y1023" s="31">
        <v>1603587</v>
      </c>
      <c r="Z1023" s="16"/>
      <c r="AA1023" s="19" t="s">
        <v>33</v>
      </c>
      <c r="AB1023" s="85" t="s">
        <v>1120</v>
      </c>
      <c r="AC1023" s="85" t="s">
        <v>231</v>
      </c>
      <c r="AD1023" s="16"/>
      <c r="AE1023" s="16"/>
      <c r="AF1023" s="31">
        <v>358</v>
      </c>
      <c r="AG1023" s="85" t="s">
        <v>243</v>
      </c>
      <c r="AH1023" s="85" t="s">
        <v>1088</v>
      </c>
      <c r="AI1023" s="85" t="s">
        <v>868</v>
      </c>
      <c r="AJ1023" s="85" t="s">
        <v>1591</v>
      </c>
      <c r="AK1023" s="85" t="s">
        <v>1572</v>
      </c>
      <c r="AL1023" s="16"/>
      <c r="AM1023" s="16"/>
      <c r="AN1023" s="16"/>
      <c r="AO1023" s="16"/>
      <c r="AP1023" s="19" t="s">
        <v>240</v>
      </c>
      <c r="AQ1023" s="6" t="str">
        <f>CONCATENATE("REG-",BDEGENER[[#This Row],[FECHA DE SERVICIO]],"-",BDEGENER[[#This Row],[SERIE]],"-",BDEGENER[[#This Row],[HORAS]])</f>
        <v>REG-43540-1603587-358</v>
      </c>
      <c r="AR1023" s="29" t="str">
        <f>CONCATENATE("MARCA: ",BDEGENER[[#This Row],[MARCA]],"
 MODELO: ",BDEGENER[[#This Row],[MODELO]])</f>
        <v>MARCA: GENERAC
 MODELO: VT8 K3</v>
      </c>
      <c r="AS1023" s="29" t="str">
        <f>CONCATENATE("MARCA: ",BDEGENER[[#This Row],[MARCA DE MOTOR]],"
SERIE: ",BDEGENER[[#This Row],[SERIE DE MOTOR]])</f>
        <v>MARCA: KUBOTA
SERIE: 1GL1188</v>
      </c>
      <c r="AT1023" s="29" t="str">
        <f>CONCATENATE("MARCA: ",BDEGENER[[#This Row],[MARCA ALTERNADOR ]],"
SERIE: ",BDEGENER[[#This Row],[SERIE DE ALTERNADOR]])</f>
        <v xml:space="preserve">MARCA: LINZ
SERIE: </v>
      </c>
      <c r="AU1023" s="29" t="str">
        <f>CONCATENATE("HORAS: ",BDEGENER[[#This Row],[HORAS]],"
KW-HR: ",BDEGENER[[#This Row],[KW-HORA]],"
VOLT.BATERIA: ",BDEGENER[[#This Row],[VOLTAJE DE BATERIA]],"
TEMPERATURA: ",BDEGENER[[#This Row],[TEMPERATURA DE AGUA]],"
PRES. ACEITE: ",BDEGENER[[#This Row],[PRESION DE ACEITE]])</f>
        <v xml:space="preserve">HORAS: 358
KW-HR: 
VOLT.BATERIA: 
TEMPERATURA: 
PRES. ACEITE: </v>
      </c>
      <c r="AV1023" s="683">
        <f>COUNTIFS(Q1023:Q3023,"MANTENIMIENTO CORRECTIVO",Y1023:Y3023,BDEGENER[[#This Row],[SERIE]])</f>
        <v>0</v>
      </c>
      <c r="AW1023" s="683">
        <f>COUNTIFS(Q1023:Q3023,"MANTENIMIENTO PREVENTIVO",Y1023:Y3023,BDEGENER[[#This Row],[SERIE]])</f>
        <v>1</v>
      </c>
      <c r="AX102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23" s="29">
        <f>COUNTIFS(BDEGENER[SERIE],BDEGENER[[#This Row],[SERIE]],BDEGENER[TIPO DE SERVICIO],"MANTENIMIENTO PREVENTIVO")</f>
        <v>5</v>
      </c>
      <c r="AZ1023" s="29" t="str">
        <f>CONCATENATE("MANTENIMIENTO PREVENTIVO N°",BDEGENER[[#This Row],[GA1]])</f>
        <v>MANTENIMIENTO PREVENTIVO N°5</v>
      </c>
      <c r="BA1023" s="325" t="str">
        <f>IF(BDEGENER[[#This Row],[SERVICIO]]=BDEGENER[[#This Row],[GA2]],BDEGENER[[#This Row],[HORAS]],"0")</f>
        <v>0</v>
      </c>
      <c r="BB1023" s="325">
        <f>SUMIF(BDEGENER[SERIE],BDEGENER[[#This Row],[SERIE]],BDEGENER[GA3])</f>
        <v>1781.5</v>
      </c>
      <c r="BC1023" s="683" t="str">
        <f>CONCATENATE("MANT",COUNTIF($Y$7:Y1023,Y1023))</f>
        <v>MANT6</v>
      </c>
      <c r="BD1023" s="29" t="str">
        <f>CONCATENATE(BDEGENER[[#This Row],[SERIE]],BDEGENER[[#This Row],[GA5]])</f>
        <v>1603587MANT6</v>
      </c>
      <c r="BE1023" s="29" t="str">
        <f>CONCATENATE(BDEGENER[[#This Row],[CODIGO PATRIMONIAL]],BDEGENER[[#This Row],[GA5]])</f>
        <v>MANT6</v>
      </c>
      <c r="BF1023" s="16">
        <f>COUNTIF(BDEGENER[SERIE],BDEGENER[[#This Row],[SERIE]])</f>
        <v>6</v>
      </c>
      <c r="BG1023" s="683" t="str">
        <f>CONCATENATE("F",COUNTIF($K$7:K1023,K1023))</f>
        <v>F2</v>
      </c>
      <c r="BH1023" s="325" t="str">
        <f>CONCATENATE(BDEGENER[[#This Row],[FECHA DE SERVICIO]],BDEGENER[[#This Row],[N° DE REGISTROS DEL DIA]])</f>
        <v>43540F2</v>
      </c>
      <c r="BI1023" s="324"/>
      <c r="BJ1023" s="85" t="s">
        <v>1545</v>
      </c>
      <c r="BK1023" s="326"/>
    </row>
    <row r="1024" spans="2:63" ht="69" hidden="1" x14ac:dyDescent="0.3">
      <c r="B1024" s="223"/>
      <c r="C1024" s="223"/>
      <c r="D1024" s="223"/>
      <c r="E1024" s="223"/>
      <c r="F1024" s="223"/>
      <c r="G1024" s="223"/>
      <c r="H1024" s="223"/>
      <c r="I1024" s="223"/>
      <c r="J1024" s="223"/>
      <c r="K1024" s="723">
        <v>43539</v>
      </c>
      <c r="L1024" s="15" t="s">
        <v>181</v>
      </c>
      <c r="M1024" s="14" t="s">
        <v>195</v>
      </c>
      <c r="N1024" s="14" t="s">
        <v>195</v>
      </c>
      <c r="O1024" s="8">
        <v>4500690861</v>
      </c>
      <c r="P1024" s="10"/>
      <c r="Q1024" s="14" t="s">
        <v>107</v>
      </c>
      <c r="R1024" s="85" t="s">
        <v>1782</v>
      </c>
      <c r="S1024" s="5" t="s">
        <v>68</v>
      </c>
      <c r="T1024" s="85" t="s">
        <v>1782</v>
      </c>
      <c r="U1024" s="14" t="s">
        <v>135</v>
      </c>
      <c r="V1024" s="14" t="s">
        <v>149</v>
      </c>
      <c r="W1024" s="14"/>
      <c r="X1024" s="14"/>
      <c r="Y1024" s="15"/>
      <c r="Z1024" s="14"/>
      <c r="AA1024" s="14"/>
      <c r="AB1024" s="14"/>
      <c r="AC1024" s="14"/>
      <c r="AD1024" s="16"/>
      <c r="AE1024" s="16"/>
      <c r="AF1024" s="12"/>
      <c r="AG1024" s="16"/>
      <c r="AH1024" s="16"/>
      <c r="AI1024" s="16"/>
      <c r="AJ1024" s="16"/>
      <c r="AK1024" s="16"/>
      <c r="AL1024" s="16"/>
      <c r="AM1024" s="16"/>
      <c r="AN1024" s="16"/>
      <c r="AO1024" s="16"/>
      <c r="AP1024" s="14" t="s">
        <v>240</v>
      </c>
      <c r="AQ1024" s="127" t="str">
        <f>CONCATENATE("REG-",BDEGENER[[#This Row],[FECHA DE SERVICIO]],"-",BDEGENER[[#This Row],[SERIE]],"-",BDEGENER[[#This Row],[HORAS]])</f>
        <v>REG-43539--</v>
      </c>
      <c r="AR1024" s="5" t="str">
        <f>CONCATENATE("MARCA: ",BDEGENER[[#This Row],[MARCA]],"
 MODELO: ",BDEGENER[[#This Row],[MODELO]])</f>
        <v xml:space="preserve">MARCA: 
 MODELO: </v>
      </c>
      <c r="AS1024" s="5" t="str">
        <f>CONCATENATE("MARCA: ",BDEGENER[[#This Row],[MARCA DE MOTOR]],"
SERIE: ",BDEGENER[[#This Row],[SERIE DE MOTOR]])</f>
        <v xml:space="preserve">MARCA: 
SERIE: </v>
      </c>
      <c r="AT1024" s="5" t="str">
        <f>CONCATENATE("MARCA: ",BDEGENER[[#This Row],[MARCA ALTERNADOR ]],"
SERIE: ",BDEGENER[[#This Row],[SERIE DE ALTERNADOR]])</f>
        <v xml:space="preserve">MARCA: 
SERIE: </v>
      </c>
      <c r="AU1024" s="5" t="str">
        <f>CONCATENATE("HORAS: ",BDEGENER[[#This Row],[HORAS]],"
KW-HR: ",BDEGENER[[#This Row],[KW-HORA]],"
VOLT.BATERIA: ",BDEGENER[[#This Row],[VOLTAJE DE BATERIA]],"
TEMPERATURA: ",BDEGENER[[#This Row],[TEMPERATURA DE AGUA]],"
PRES. ACEITE: ",BDEGENER[[#This Row],[PRESION DE ACEITE]])</f>
        <v xml:space="preserve">HORAS: 
KW-HR: 
VOLT.BATERIA: 
TEMPERATURA: 
PRES. ACEITE: </v>
      </c>
      <c r="AV1024" s="761">
        <f>COUNTIFS(Q1024:Q3024,"MANTENIMIENTO CORRECTIVO",Y1024:Y3024,BDEGENER[[#This Row],[SERIE]])</f>
        <v>0</v>
      </c>
      <c r="AW1024" s="761">
        <f>COUNTIFS(Q1024:Q3024,"MANTENIMIENTO PREVENTIVO",Y1024:Y3024,BDEGENER[[#This Row],[SERIE]])</f>
        <v>0</v>
      </c>
      <c r="AX102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N°0</v>
      </c>
      <c r="AY1024" s="29">
        <f>COUNTIFS(BDEGENER[SERIE],BDEGENER[[#This Row],[SERIE]],BDEGENER[TIPO DE SERVICIO],"MANTENIMIENTO PREVENTIVO")</f>
        <v>0</v>
      </c>
      <c r="AZ1024" s="29" t="str">
        <f>CONCATENATE("MANTENIMIENTO PREVENTIVO N°",BDEGENER[[#This Row],[GA1]])</f>
        <v>MANTENIMIENTO PREVENTIVO N°0</v>
      </c>
      <c r="BA1024" s="325" t="str">
        <f>IF(BDEGENER[[#This Row],[SERVICIO]]=BDEGENER[[#This Row],[GA2]],BDEGENER[[#This Row],[HORAS]],"0")</f>
        <v>0</v>
      </c>
      <c r="BB1024" s="325">
        <f>SUMIF(BDEGENER[SERIE],BDEGENER[[#This Row],[SERIE]],BDEGENER[GA3])</f>
        <v>0</v>
      </c>
      <c r="BC1024" s="761" t="str">
        <f>CONCATENATE("MANT",COUNTIF($Y$7:Y1024,Y1024))</f>
        <v>MANT0</v>
      </c>
      <c r="BD1024" s="29" t="str">
        <f>CONCATENATE(BDEGENER[[#This Row],[SERIE]],BDEGENER[[#This Row],[GA5]])</f>
        <v>MANT0</v>
      </c>
      <c r="BE1024" s="29" t="str">
        <f>CONCATENATE(BDEGENER[[#This Row],[CODIGO PATRIMONIAL]],BDEGENER[[#This Row],[GA5]])</f>
        <v>MANT0</v>
      </c>
      <c r="BF1024" s="16">
        <f>COUNTIF(BDEGENER[SERIE],BDEGENER[[#This Row],[SERIE]])</f>
        <v>0</v>
      </c>
      <c r="BG1024" s="761" t="str">
        <f>CONCATENATE("F",COUNTIF($K$7:K1024,K1024))</f>
        <v>F1</v>
      </c>
      <c r="BH1024" s="325" t="str">
        <f>CONCATENATE(BDEGENER[[#This Row],[FECHA DE SERVICIO]],BDEGENER[[#This Row],[N° DE REGISTROS DEL DIA]])</f>
        <v>43539F1</v>
      </c>
      <c r="BI1024" s="324"/>
      <c r="BJ1024" s="325"/>
      <c r="BK1024" s="326"/>
    </row>
    <row r="1025" spans="2:63" ht="69" hidden="1" x14ac:dyDescent="0.3">
      <c r="B1025" s="223"/>
      <c r="C1025" s="223"/>
      <c r="D1025" s="223"/>
      <c r="E1025" s="223"/>
      <c r="F1025" s="223"/>
      <c r="G1025" s="223"/>
      <c r="H1025" s="223"/>
      <c r="I1025" s="223"/>
      <c r="J1025" s="223"/>
      <c r="K1025" s="723">
        <v>43539</v>
      </c>
      <c r="L1025" s="15" t="s">
        <v>181</v>
      </c>
      <c r="M1025" s="14" t="s">
        <v>195</v>
      </c>
      <c r="N1025" s="14" t="s">
        <v>195</v>
      </c>
      <c r="O1025" s="8">
        <v>4500691957</v>
      </c>
      <c r="P1025" s="10"/>
      <c r="Q1025" s="14" t="s">
        <v>107</v>
      </c>
      <c r="R1025" s="85" t="s">
        <v>1782</v>
      </c>
      <c r="S1025" s="5" t="s">
        <v>69</v>
      </c>
      <c r="T1025" s="85" t="s">
        <v>1782</v>
      </c>
      <c r="U1025" s="14" t="s">
        <v>136</v>
      </c>
      <c r="V1025" s="14" t="s">
        <v>149</v>
      </c>
      <c r="W1025" s="14"/>
      <c r="X1025" s="14"/>
      <c r="Y1025" s="15" t="s">
        <v>179</v>
      </c>
      <c r="Z1025" s="15" t="s">
        <v>179</v>
      </c>
      <c r="AA1025" s="14"/>
      <c r="AB1025" s="14"/>
      <c r="AC1025" s="14"/>
      <c r="AD1025" s="16"/>
      <c r="AE1025" s="16"/>
      <c r="AF1025" s="12"/>
      <c r="AG1025" s="16"/>
      <c r="AH1025" s="16"/>
      <c r="AI1025" s="16"/>
      <c r="AJ1025" s="16"/>
      <c r="AK1025" s="16"/>
      <c r="AL1025" s="16"/>
      <c r="AM1025" s="16"/>
      <c r="AN1025" s="16"/>
      <c r="AO1025" s="16"/>
      <c r="AP1025" s="14" t="s">
        <v>240</v>
      </c>
      <c r="AQ1025" s="127" t="str">
        <f>CONCATENATE("REG-",BDEGENER[[#This Row],[FECHA DE SERVICIO]],"-",BDEGENER[[#This Row],[SERIE]],"-",BDEGENER[[#This Row],[HORAS]])</f>
        <v>REG-43539-GEGA10-</v>
      </c>
      <c r="AR1025" s="5" t="str">
        <f>CONCATENATE("MARCA: ",BDEGENER[[#This Row],[MARCA]],"
 MODELO: ",BDEGENER[[#This Row],[MODELO]])</f>
        <v xml:space="preserve">MARCA: 
 MODELO: </v>
      </c>
      <c r="AS1025" s="5" t="str">
        <f>CONCATENATE("MARCA: ",BDEGENER[[#This Row],[MARCA DE MOTOR]],"
SERIE: ",BDEGENER[[#This Row],[SERIE DE MOTOR]])</f>
        <v xml:space="preserve">MARCA: 
SERIE: </v>
      </c>
      <c r="AT1025" s="5" t="str">
        <f>CONCATENATE("MARCA: ",BDEGENER[[#This Row],[MARCA ALTERNADOR ]],"
SERIE: ",BDEGENER[[#This Row],[SERIE DE ALTERNADOR]])</f>
        <v xml:space="preserve">MARCA: 
SERIE: </v>
      </c>
      <c r="AU1025" s="5" t="str">
        <f>CONCATENATE("HORAS: ",BDEGENER[[#This Row],[HORAS]],"
KW-HR: ",BDEGENER[[#This Row],[KW-HORA]],"
VOLT.BATERIA: ",BDEGENER[[#This Row],[VOLTAJE DE BATERIA]],"
TEMPERATURA: ",BDEGENER[[#This Row],[TEMPERATURA DE AGUA]],"
PRES. ACEITE: ",BDEGENER[[#This Row],[PRESION DE ACEITE]])</f>
        <v xml:space="preserve">HORAS: 
KW-HR: 
VOLT.BATERIA: 
TEMPERATURA: 
PRES. ACEITE: </v>
      </c>
      <c r="AV1025" s="683">
        <f>COUNTIFS(Q1025:Q3025,"MANTENIMIENTO CORRECTIVO",Y1025:Y3025,BDEGENER[[#This Row],[SERIE]])</f>
        <v>1</v>
      </c>
      <c r="AW1025" s="683">
        <f>COUNTIFS(Q1025:Q3025,"MANTENIMIENTO PREVENTIVO",Y1025:Y3025,BDEGENER[[#This Row],[SERIE]])</f>
        <v>0</v>
      </c>
      <c r="AX102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025" s="29">
        <f>COUNTIFS(BDEGENER[SERIE],BDEGENER[[#This Row],[SERIE]],BDEGENER[TIPO DE SERVICIO],"MANTENIMIENTO PREVENTIVO")</f>
        <v>0</v>
      </c>
      <c r="AZ1025" s="29" t="str">
        <f>CONCATENATE("MANTENIMIENTO PREVENTIVO N°",BDEGENER[[#This Row],[GA1]])</f>
        <v>MANTENIMIENTO PREVENTIVO N°0</v>
      </c>
      <c r="BA1025" s="325" t="str">
        <f>IF(BDEGENER[[#This Row],[SERVICIO]]=BDEGENER[[#This Row],[GA2]],BDEGENER[[#This Row],[HORAS]],"0")</f>
        <v>0</v>
      </c>
      <c r="BB1025" s="325">
        <f>SUMIF(BDEGENER[SERIE],BDEGENER[[#This Row],[SERIE]],BDEGENER[GA3])</f>
        <v>0</v>
      </c>
      <c r="BC1025" s="683" t="str">
        <f>CONCATENATE("MANT",COUNTIF($Y$7:Y1025,Y1025))</f>
        <v>MANT1</v>
      </c>
      <c r="BD1025" s="29" t="str">
        <f>CONCATENATE(BDEGENER[[#This Row],[SERIE]],BDEGENER[[#This Row],[GA5]])</f>
        <v>GEGA10MANT1</v>
      </c>
      <c r="BE1025" s="29" t="str">
        <f>CONCATENATE(BDEGENER[[#This Row],[CODIGO PATRIMONIAL]],BDEGENER[[#This Row],[GA5]])</f>
        <v>GEGA10MANT1</v>
      </c>
      <c r="BF1025" s="16">
        <f>COUNTIF(BDEGENER[SERIE],BDEGENER[[#This Row],[SERIE]])</f>
        <v>1</v>
      </c>
      <c r="BG1025" s="683" t="str">
        <f>CONCATENATE("F",COUNTIF($K$7:K1025,K1025))</f>
        <v>F2</v>
      </c>
      <c r="BH1025" s="325" t="str">
        <f>CONCATENATE(BDEGENER[[#This Row],[FECHA DE SERVICIO]],BDEGENER[[#This Row],[N° DE REGISTROS DEL DIA]])</f>
        <v>43539F2</v>
      </c>
      <c r="BI1025" s="324"/>
      <c r="BJ1025" s="325"/>
      <c r="BK1025" s="326"/>
    </row>
    <row r="1026" spans="2:63" ht="69" hidden="1" x14ac:dyDescent="0.3">
      <c r="B1026" s="34"/>
      <c r="C1026" s="34"/>
      <c r="D1026" s="34"/>
      <c r="E1026" s="34"/>
      <c r="F1026" s="34"/>
      <c r="G1026" s="34"/>
      <c r="H1026" s="34"/>
      <c r="I1026" s="34"/>
      <c r="J1026" s="34"/>
      <c r="K1026" s="37">
        <v>43538</v>
      </c>
      <c r="L1026" s="30" t="s">
        <v>561</v>
      </c>
      <c r="M1026" s="19" t="s">
        <v>585</v>
      </c>
      <c r="N1026" s="19" t="s">
        <v>586</v>
      </c>
      <c r="O1026" s="19"/>
      <c r="P1026" s="19"/>
      <c r="Q1026" s="19" t="s">
        <v>37</v>
      </c>
      <c r="R1026" s="85" t="s">
        <v>1782</v>
      </c>
      <c r="S1026" s="19" t="s">
        <v>42</v>
      </c>
      <c r="T1026" s="85" t="s">
        <v>1782</v>
      </c>
      <c r="U1026" s="19" t="s">
        <v>726</v>
      </c>
      <c r="V1026" s="19" t="s">
        <v>148</v>
      </c>
      <c r="W1026" s="85" t="s">
        <v>914</v>
      </c>
      <c r="X1026" s="85" t="s">
        <v>918</v>
      </c>
      <c r="Y1026" s="31">
        <v>3003963150</v>
      </c>
      <c r="Z1026" s="690" t="s">
        <v>2618</v>
      </c>
      <c r="AA1026" s="683" t="s">
        <v>33</v>
      </c>
      <c r="AB1026" s="85" t="s">
        <v>34</v>
      </c>
      <c r="AC1026" s="85" t="s">
        <v>230</v>
      </c>
      <c r="AD1026" s="16"/>
      <c r="AE1026" s="16"/>
      <c r="AF1026" s="146">
        <v>38</v>
      </c>
      <c r="AG1026" s="16"/>
      <c r="AH1026" s="16"/>
      <c r="AI1026" s="16"/>
      <c r="AJ1026" s="16"/>
      <c r="AK1026" s="16"/>
      <c r="AL1026" s="16"/>
      <c r="AM1026" s="16"/>
      <c r="AN1026" s="16"/>
      <c r="AO1026" s="16"/>
      <c r="AP1026" s="19" t="s">
        <v>240</v>
      </c>
      <c r="AQ1026" s="6" t="str">
        <f>CONCATENATE("REG-",BDEGENER[[#This Row],[FECHA DE SERVICIO]],"-",BDEGENER[[#This Row],[SERIE]],"-",BDEGENER[[#This Row],[HORAS]])</f>
        <v>REG-43538-3003963150-38</v>
      </c>
      <c r="AR1026" s="5" t="str">
        <f>CONCATENATE("MARCA: ",BDEGENER[[#This Row],[MARCA]],"
 MODELO: ",BDEGENER[[#This Row],[MODELO]])</f>
        <v>MARCA: GENERAC
 MODELO: PG090</v>
      </c>
      <c r="AS1026" s="5" t="str">
        <f>CONCATENATE("MARCA: ",BDEGENER[[#This Row],[MARCA DE MOTOR]],"
SERIE: ",BDEGENER[[#This Row],[SERIE DE MOTOR]])</f>
        <v xml:space="preserve">MARCA: 
SERIE: </v>
      </c>
      <c r="AT1026" s="5" t="str">
        <f>CONCATENATE("MARCA: ",BDEGENER[[#This Row],[MARCA ALTERNADOR ]],"
SERIE: ",BDEGENER[[#This Row],[SERIE DE ALTERNADOR]])</f>
        <v xml:space="preserve">MARCA: 
SERIE: </v>
      </c>
      <c r="AU1026" s="29" t="str">
        <f>CONCATENATE("HORAS: ",BDEGENER[[#This Row],[HORAS]],"
KW-HR: ",BDEGENER[[#This Row],[KW-HORA]],"
VOLT.BATERIA: ",BDEGENER[[#This Row],[VOLTAJE DE BATERIA]],"
TEMPERATURA: ",BDEGENER[[#This Row],[TEMPERATURA DE AGUA]],"
PRES. ACEITE: ",BDEGENER[[#This Row],[PRESION DE ACEITE]])</f>
        <v xml:space="preserve">HORAS: 38
KW-HR: 
VOLT.BATERIA: 
TEMPERATURA: 
PRES. ACEITE: </v>
      </c>
      <c r="AV1026" s="683">
        <f>COUNTIFS(Q1026:Q3026,"MANTENIMIENTO CORRECTIVO",Y1026:Y3026,BDEGENER[[#This Row],[SERIE]])</f>
        <v>0</v>
      </c>
      <c r="AW1026" s="683">
        <f>COUNTIFS(Q1026:Q3026,"MANTENIMIENTO PREVENTIVO",Y1026:Y3026,BDEGENER[[#This Row],[SERIE]])</f>
        <v>1</v>
      </c>
      <c r="AX102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26" s="29">
        <f>COUNTIFS(BDEGENER[SERIE],BDEGENER[[#This Row],[SERIE]],BDEGENER[TIPO DE SERVICIO],"MANTENIMIENTO PREVENTIVO")</f>
        <v>7</v>
      </c>
      <c r="AZ1026" s="29" t="str">
        <f>CONCATENATE("MANTENIMIENTO PREVENTIVO N°",BDEGENER[[#This Row],[GA1]])</f>
        <v>MANTENIMIENTO PREVENTIVO N°7</v>
      </c>
      <c r="BA1026" s="325" t="str">
        <f>IF(BDEGENER[[#This Row],[SERVICIO]]=BDEGENER[[#This Row],[GA2]],BDEGENER[[#This Row],[HORAS]],"0")</f>
        <v>0</v>
      </c>
      <c r="BB1026" s="325">
        <f>SUMIF(BDEGENER[SERIE],BDEGENER[[#This Row],[SERIE]],BDEGENER[GA3])</f>
        <v>4620.5</v>
      </c>
      <c r="BC1026" s="683" t="str">
        <f>CONCATENATE("MANT",COUNTIF($Y$7:Y1026,Y1026))</f>
        <v>MANT12</v>
      </c>
      <c r="BD1026" s="29" t="str">
        <f>CONCATENATE(BDEGENER[[#This Row],[SERIE]],BDEGENER[[#This Row],[GA5]])</f>
        <v>3003963150MANT12</v>
      </c>
      <c r="BE1026" s="29" t="str">
        <f>CONCATENATE(BDEGENER[[#This Row],[CODIGO PATRIMONIAL]],BDEGENER[[#This Row],[GA5]])</f>
        <v>NOR-GEG-0020MANT12</v>
      </c>
      <c r="BF1026" s="16">
        <f>COUNTIF(BDEGENER[SERIE],BDEGENER[[#This Row],[SERIE]])</f>
        <v>13</v>
      </c>
      <c r="BG1026" s="683" t="str">
        <f>CONCATENATE("F",COUNTIF($K$7:K1026,K1026))</f>
        <v>F1</v>
      </c>
      <c r="BH1026" s="325" t="str">
        <f>CONCATENATE(BDEGENER[[#This Row],[FECHA DE SERVICIO]],BDEGENER[[#This Row],[N° DE REGISTROS DEL DIA]])</f>
        <v>43538F1</v>
      </c>
      <c r="BI1026" s="324"/>
      <c r="BJ1026" s="325"/>
      <c r="BK1026" s="326"/>
    </row>
    <row r="1027" spans="2:63" ht="69" hidden="1" x14ac:dyDescent="0.3">
      <c r="B1027" s="223"/>
      <c r="C1027" s="223"/>
      <c r="D1027" s="223"/>
      <c r="E1027" s="223"/>
      <c r="F1027" s="223"/>
      <c r="G1027" s="223"/>
      <c r="H1027" s="223"/>
      <c r="I1027" s="223"/>
      <c r="J1027" s="223"/>
      <c r="K1027" s="723">
        <v>43537</v>
      </c>
      <c r="L1027" s="15" t="s">
        <v>181</v>
      </c>
      <c r="M1027" s="14" t="s">
        <v>204</v>
      </c>
      <c r="N1027" s="14" t="s">
        <v>205</v>
      </c>
      <c r="O1027" s="8"/>
      <c r="P1027" s="10"/>
      <c r="Q1027" s="14" t="s">
        <v>107</v>
      </c>
      <c r="R1027" s="85" t="s">
        <v>1782</v>
      </c>
      <c r="S1027" s="5" t="s">
        <v>70</v>
      </c>
      <c r="T1027" s="85" t="s">
        <v>1782</v>
      </c>
      <c r="U1027" s="14" t="s">
        <v>137</v>
      </c>
      <c r="V1027" s="14" t="s">
        <v>148</v>
      </c>
      <c r="W1027" s="14"/>
      <c r="X1027" s="14"/>
      <c r="Y1027" s="15"/>
      <c r="Z1027" s="14" t="s">
        <v>227</v>
      </c>
      <c r="AA1027" s="14"/>
      <c r="AB1027" s="14"/>
      <c r="AC1027" s="14"/>
      <c r="AD1027" s="16"/>
      <c r="AE1027" s="16"/>
      <c r="AF1027" s="12">
        <v>1961.7</v>
      </c>
      <c r="AG1027" s="16"/>
      <c r="AH1027" s="16"/>
      <c r="AI1027" s="16"/>
      <c r="AJ1027" s="16"/>
      <c r="AK1027" s="16"/>
      <c r="AL1027" s="16"/>
      <c r="AM1027" s="16"/>
      <c r="AN1027" s="16"/>
      <c r="AO1027" s="16"/>
      <c r="AP1027" s="14" t="s">
        <v>240</v>
      </c>
      <c r="AQ1027" s="127" t="str">
        <f>CONCATENATE("REG-",BDEGENER[[#This Row],[FECHA DE SERVICIO]],"-",BDEGENER[[#This Row],[SERIE]],"-",BDEGENER[[#This Row],[HORAS]])</f>
        <v>REG-43537--1961,7</v>
      </c>
      <c r="AR1027" s="5" t="str">
        <f>CONCATENATE("MARCA: ",BDEGENER[[#This Row],[MARCA]],"
 MODELO: ",BDEGENER[[#This Row],[MODELO]])</f>
        <v xml:space="preserve">MARCA: 
 MODELO: </v>
      </c>
      <c r="AS1027" s="5" t="str">
        <f>CONCATENATE("MARCA: ",BDEGENER[[#This Row],[MARCA DE MOTOR]],"
SERIE: ",BDEGENER[[#This Row],[SERIE DE MOTOR]])</f>
        <v xml:space="preserve">MARCA: 
SERIE: </v>
      </c>
      <c r="AT1027" s="5" t="str">
        <f>CONCATENATE("MARCA: ",BDEGENER[[#This Row],[MARCA ALTERNADOR ]],"
SERIE: ",BDEGENER[[#This Row],[SERIE DE ALTERNADOR]])</f>
        <v xml:space="preserve">MARCA: 
SERIE: </v>
      </c>
      <c r="AU1027" s="5" t="str">
        <f>CONCATENATE("HORAS: ",BDEGENER[[#This Row],[HORAS]],"
KW-HR: ",BDEGENER[[#This Row],[KW-HORA]],"
VOLT.BATERIA: ",BDEGENER[[#This Row],[VOLTAJE DE BATERIA]],"
TEMPERATURA: ",BDEGENER[[#This Row],[TEMPERATURA DE AGUA]],"
PRES. ACEITE: ",BDEGENER[[#This Row],[PRESION DE ACEITE]])</f>
        <v xml:space="preserve">HORAS: 1961,7
KW-HR: 
VOLT.BATERIA: 
TEMPERATURA: 
PRES. ACEITE: </v>
      </c>
      <c r="AV1027" s="761">
        <f>COUNTIFS(Q1027:Q3027,"MANTENIMIENTO CORRECTIVO",Y1027:Y3027,BDEGENER[[#This Row],[SERIE]])</f>
        <v>0</v>
      </c>
      <c r="AW1027" s="761">
        <f>COUNTIFS(Q1027:Q3027,"MANTENIMIENTO PREVENTIVO",Y1027:Y3027,BDEGENER[[#This Row],[SERIE]])</f>
        <v>0</v>
      </c>
      <c r="AX102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N°0</v>
      </c>
      <c r="AY1027" s="29">
        <f>COUNTIFS(BDEGENER[SERIE],BDEGENER[[#This Row],[SERIE]],BDEGENER[TIPO DE SERVICIO],"MANTENIMIENTO PREVENTIVO")</f>
        <v>0</v>
      </c>
      <c r="AZ1027" s="29" t="str">
        <f>CONCATENATE("MANTENIMIENTO PREVENTIVO N°",BDEGENER[[#This Row],[GA1]])</f>
        <v>MANTENIMIENTO PREVENTIVO N°0</v>
      </c>
      <c r="BA1027" s="325" t="str">
        <f>IF(BDEGENER[[#This Row],[SERVICIO]]=BDEGENER[[#This Row],[GA2]],BDEGENER[[#This Row],[HORAS]],"0")</f>
        <v>0</v>
      </c>
      <c r="BB1027" s="325">
        <f>SUMIF(BDEGENER[SERIE],BDEGENER[[#This Row],[SERIE]],BDEGENER[GA3])</f>
        <v>0</v>
      </c>
      <c r="BC1027" s="761" t="str">
        <f>CONCATENATE("MANT",COUNTIF($Y$7:Y1027,Y1027))</f>
        <v>MANT0</v>
      </c>
      <c r="BD1027" s="29" t="str">
        <f>CONCATENATE(BDEGENER[[#This Row],[SERIE]],BDEGENER[[#This Row],[GA5]])</f>
        <v>MANT0</v>
      </c>
      <c r="BE1027" s="29" t="str">
        <f>CONCATENATE(BDEGENER[[#This Row],[CODIGO PATRIMONIAL]],BDEGENER[[#This Row],[GA5]])</f>
        <v>GEGA021MANT0</v>
      </c>
      <c r="BF1027" s="16">
        <f>COUNTIF(BDEGENER[SERIE],BDEGENER[[#This Row],[SERIE]])</f>
        <v>0</v>
      </c>
      <c r="BG1027" s="761" t="str">
        <f>CONCATENATE("F",COUNTIF($K$7:K1027,K1027))</f>
        <v>F1</v>
      </c>
      <c r="BH1027" s="325" t="str">
        <f>CONCATENATE(BDEGENER[[#This Row],[FECHA DE SERVICIO]],BDEGENER[[#This Row],[N° DE REGISTROS DEL DIA]])</f>
        <v>43537F1</v>
      </c>
      <c r="BI1027" s="324"/>
      <c r="BJ1027" s="325"/>
      <c r="BK1027" s="326"/>
    </row>
    <row r="1028" spans="2:63" ht="96.6" hidden="1" x14ac:dyDescent="0.3">
      <c r="B1028" s="223"/>
      <c r="C1028" s="223"/>
      <c r="D1028" s="223"/>
      <c r="E1028" s="223"/>
      <c r="F1028" s="223"/>
      <c r="G1028" s="223"/>
      <c r="H1028" s="223"/>
      <c r="I1028" s="223"/>
      <c r="J1028" s="223"/>
      <c r="K1028" s="723">
        <v>43537</v>
      </c>
      <c r="L1028" s="15" t="s">
        <v>181</v>
      </c>
      <c r="M1028" s="14" t="s">
        <v>193</v>
      </c>
      <c r="N1028" s="14" t="s">
        <v>194</v>
      </c>
      <c r="O1028" s="8"/>
      <c r="P1028" s="10"/>
      <c r="Q1028" s="14" t="s">
        <v>107</v>
      </c>
      <c r="R1028" s="85" t="s">
        <v>1782</v>
      </c>
      <c r="S1028" s="5" t="s">
        <v>70</v>
      </c>
      <c r="T1028" s="85" t="s">
        <v>1782</v>
      </c>
      <c r="U1028" s="14" t="s">
        <v>138</v>
      </c>
      <c r="V1028" s="14" t="s">
        <v>148</v>
      </c>
      <c r="W1028" s="14"/>
      <c r="X1028" s="14"/>
      <c r="Y1028" s="15">
        <v>9658426</v>
      </c>
      <c r="Z1028" s="14" t="s">
        <v>216</v>
      </c>
      <c r="AA1028" s="19" t="s">
        <v>33</v>
      </c>
      <c r="AB1028" s="19" t="s">
        <v>217</v>
      </c>
      <c r="AC1028" s="14" t="s">
        <v>234</v>
      </c>
      <c r="AD1028" s="16"/>
      <c r="AE1028" s="16"/>
      <c r="AF1028" s="12">
        <v>5425.1</v>
      </c>
      <c r="AG1028" s="16"/>
      <c r="AH1028" s="16"/>
      <c r="AI1028" s="16"/>
      <c r="AJ1028" s="16"/>
      <c r="AK1028" s="16"/>
      <c r="AL1028" s="16"/>
      <c r="AM1028" s="16"/>
      <c r="AN1028" s="16"/>
      <c r="AO1028" s="16"/>
      <c r="AP1028" s="14" t="s">
        <v>240</v>
      </c>
      <c r="AQ1028" s="127" t="str">
        <f>CONCATENATE("REG-",BDEGENER[[#This Row],[FECHA DE SERVICIO]],"-",BDEGENER[[#This Row],[SERIE]],"-",BDEGENER[[#This Row],[HORAS]])</f>
        <v>REG-43537-9658426-5425,1</v>
      </c>
      <c r="AR1028" s="5" t="str">
        <f>CONCATENATE("MARCA: ",BDEGENER[[#This Row],[MARCA]],"
 MODELO: ",BDEGENER[[#This Row],[MODELO]])</f>
        <v>MARCA: GENERAC
 MODELO: RG022</v>
      </c>
      <c r="AS1028" s="5" t="str">
        <f>CONCATENATE("MARCA: ",BDEGENER[[#This Row],[MARCA DE MOTOR]],"
SERIE: ",BDEGENER[[#This Row],[SERIE DE MOTOR]])</f>
        <v xml:space="preserve">MARCA: 
SERIE: </v>
      </c>
      <c r="AT1028" s="5" t="str">
        <f>CONCATENATE("MARCA: ",BDEGENER[[#This Row],[MARCA ALTERNADOR ]],"
SERIE: ",BDEGENER[[#This Row],[SERIE DE ALTERNADOR]])</f>
        <v xml:space="preserve">MARCA: 
SERIE: </v>
      </c>
      <c r="AU1028" s="5" t="str">
        <f>CONCATENATE("HORAS: ",BDEGENER[[#This Row],[HORAS]],"
KW-HR: ",BDEGENER[[#This Row],[KW-HORA]],"
VOLT.BATERIA: ",BDEGENER[[#This Row],[VOLTAJE DE BATERIA]],"
TEMPERATURA: ",BDEGENER[[#This Row],[TEMPERATURA DE AGUA]],"
PRES. ACEITE: ",BDEGENER[[#This Row],[PRESION DE ACEITE]])</f>
        <v xml:space="preserve">HORAS: 5425,1
KW-HR: 
VOLT.BATERIA: 
TEMPERATURA: 
PRES. ACEITE: </v>
      </c>
      <c r="AV1028" s="683">
        <f>COUNTIFS(Q1028:Q3028,"MANTENIMIENTO CORRECTIVO",Y1028:Y3028,BDEGENER[[#This Row],[SERIE]])</f>
        <v>1</v>
      </c>
      <c r="AW1028" s="683">
        <f>COUNTIFS(Q1028:Q3028,"MANTENIMIENTO PREVENTIVO",Y1028:Y3028,BDEGENER[[#This Row],[SERIE]])</f>
        <v>0</v>
      </c>
      <c r="AX102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028" s="29">
        <f>COUNTIFS(BDEGENER[SERIE],BDEGENER[[#This Row],[SERIE]],BDEGENER[TIPO DE SERVICIO],"MANTENIMIENTO PREVENTIVO")</f>
        <v>0</v>
      </c>
      <c r="AZ1028" s="29" t="str">
        <f>CONCATENATE("MANTENIMIENTO PREVENTIVO N°",BDEGENER[[#This Row],[GA1]])</f>
        <v>MANTENIMIENTO PREVENTIVO N°0</v>
      </c>
      <c r="BA1028" s="325" t="str">
        <f>IF(BDEGENER[[#This Row],[SERVICIO]]=BDEGENER[[#This Row],[GA2]],BDEGENER[[#This Row],[HORAS]],"0")</f>
        <v>0</v>
      </c>
      <c r="BB1028" s="325">
        <f>SUMIF(BDEGENER[SERIE],BDEGENER[[#This Row],[SERIE]],BDEGENER[GA3])</f>
        <v>0</v>
      </c>
      <c r="BC1028" s="683" t="str">
        <f>CONCATENATE("MANT",COUNTIF($Y$7:Y1028,Y1028))</f>
        <v>MANT3</v>
      </c>
      <c r="BD1028" s="29" t="str">
        <f>CONCATENATE(BDEGENER[[#This Row],[SERIE]],BDEGENER[[#This Row],[GA5]])</f>
        <v>9658426MANT3</v>
      </c>
      <c r="BE1028" s="29" t="str">
        <f>CONCATENATE(BDEGENER[[#This Row],[CODIGO PATRIMONIAL]],BDEGENER[[#This Row],[GA5]])</f>
        <v>GEGA023MANT3</v>
      </c>
      <c r="BF1028" s="16">
        <f>COUNTIF(BDEGENER[SERIE],BDEGENER[[#This Row],[SERIE]])</f>
        <v>3</v>
      </c>
      <c r="BG1028" s="683" t="str">
        <f>CONCATENATE("F",COUNTIF($K$7:K1028,K1028))</f>
        <v>F2</v>
      </c>
      <c r="BH1028" s="325" t="str">
        <f>CONCATENATE(BDEGENER[[#This Row],[FECHA DE SERVICIO]],BDEGENER[[#This Row],[N° DE REGISTROS DEL DIA]])</f>
        <v>43537F2</v>
      </c>
      <c r="BI1028" s="324"/>
      <c r="BJ1028" s="325"/>
      <c r="BK1028" s="326"/>
    </row>
    <row r="1029" spans="2:63" ht="96.6" hidden="1" x14ac:dyDescent="0.3">
      <c r="B1029" s="223"/>
      <c r="C1029" s="223"/>
      <c r="D1029" s="223"/>
      <c r="E1029" s="223"/>
      <c r="F1029" s="223"/>
      <c r="G1029" s="223"/>
      <c r="H1029" s="223"/>
      <c r="I1029" s="223"/>
      <c r="J1029" s="223"/>
      <c r="K1029" s="723">
        <v>43537</v>
      </c>
      <c r="L1029" s="15" t="s">
        <v>181</v>
      </c>
      <c r="M1029" s="14" t="s">
        <v>204</v>
      </c>
      <c r="N1029" s="14" t="s">
        <v>2782</v>
      </c>
      <c r="O1029" s="8"/>
      <c r="P1029" s="10"/>
      <c r="Q1029" s="14" t="s">
        <v>107</v>
      </c>
      <c r="R1029" s="85" t="s">
        <v>1782</v>
      </c>
      <c r="S1029" s="5" t="s">
        <v>70</v>
      </c>
      <c r="T1029" s="85" t="s">
        <v>1782</v>
      </c>
      <c r="U1029" s="14" t="s">
        <v>139</v>
      </c>
      <c r="V1029" s="14" t="s">
        <v>148</v>
      </c>
      <c r="W1029" s="14"/>
      <c r="X1029" s="14"/>
      <c r="Y1029" s="15">
        <v>9658425</v>
      </c>
      <c r="Z1029" s="14" t="s">
        <v>218</v>
      </c>
      <c r="AA1029" s="19" t="s">
        <v>33</v>
      </c>
      <c r="AB1029" s="19" t="s">
        <v>217</v>
      </c>
      <c r="AC1029" s="14" t="s">
        <v>234</v>
      </c>
      <c r="AD1029" s="16"/>
      <c r="AE1029" s="16"/>
      <c r="AF1029" s="12">
        <v>2514.3000000000002</v>
      </c>
      <c r="AG1029" s="16"/>
      <c r="AH1029" s="16"/>
      <c r="AI1029" s="16"/>
      <c r="AJ1029" s="16"/>
      <c r="AK1029" s="16"/>
      <c r="AL1029" s="16"/>
      <c r="AM1029" s="16"/>
      <c r="AN1029" s="16"/>
      <c r="AO1029" s="16"/>
      <c r="AP1029" s="14" t="s">
        <v>240</v>
      </c>
      <c r="AQ1029" s="127" t="str">
        <f>CONCATENATE("REG-",BDEGENER[[#This Row],[FECHA DE SERVICIO]],"-",BDEGENER[[#This Row],[SERIE]],"-",BDEGENER[[#This Row],[HORAS]])</f>
        <v>REG-43537-9658425-2514,3</v>
      </c>
      <c r="AR1029" s="5" t="str">
        <f>CONCATENATE("MARCA: ",BDEGENER[[#This Row],[MARCA]],"
 MODELO: ",BDEGENER[[#This Row],[MODELO]])</f>
        <v>MARCA: GENERAC
 MODELO: RG022</v>
      </c>
      <c r="AS1029" s="5" t="str">
        <f>CONCATENATE("MARCA: ",BDEGENER[[#This Row],[MARCA DE MOTOR]],"
SERIE: ",BDEGENER[[#This Row],[SERIE DE MOTOR]])</f>
        <v xml:space="preserve">MARCA: 
SERIE: </v>
      </c>
      <c r="AT1029" s="5" t="str">
        <f>CONCATENATE("MARCA: ",BDEGENER[[#This Row],[MARCA ALTERNADOR ]],"
SERIE: ",BDEGENER[[#This Row],[SERIE DE ALTERNADOR]])</f>
        <v xml:space="preserve">MARCA: 
SERIE: </v>
      </c>
      <c r="AU1029" s="5" t="str">
        <f>CONCATENATE("HORAS: ",BDEGENER[[#This Row],[HORAS]],"
KW-HR: ",BDEGENER[[#This Row],[KW-HORA]],"
VOLT.BATERIA: ",BDEGENER[[#This Row],[VOLTAJE DE BATERIA]],"
TEMPERATURA: ",BDEGENER[[#This Row],[TEMPERATURA DE AGUA]],"
PRES. ACEITE: ",BDEGENER[[#This Row],[PRESION DE ACEITE]])</f>
        <v xml:space="preserve">HORAS: 2514,3
KW-HR: 
VOLT.BATERIA: 
TEMPERATURA: 
PRES. ACEITE: </v>
      </c>
      <c r="AV1029" s="683">
        <f>COUNTIFS(Q1029:Q3029,"MANTENIMIENTO CORRECTIVO",Y1029:Y3029,BDEGENER[[#This Row],[SERIE]])</f>
        <v>1</v>
      </c>
      <c r="AW1029" s="683">
        <f>COUNTIFS(Q1029:Q3029,"MANTENIMIENTO PREVENTIVO",Y1029:Y3029,BDEGENER[[#This Row],[SERIE]])</f>
        <v>0</v>
      </c>
      <c r="AX102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029" s="29">
        <f>COUNTIFS(BDEGENER[SERIE],BDEGENER[[#This Row],[SERIE]],BDEGENER[TIPO DE SERVICIO],"MANTENIMIENTO PREVENTIVO")</f>
        <v>0</v>
      </c>
      <c r="AZ1029" s="29" t="str">
        <f>CONCATENATE("MANTENIMIENTO PREVENTIVO N°",BDEGENER[[#This Row],[GA1]])</f>
        <v>MANTENIMIENTO PREVENTIVO N°0</v>
      </c>
      <c r="BA1029" s="325" t="str">
        <f>IF(BDEGENER[[#This Row],[SERVICIO]]=BDEGENER[[#This Row],[GA2]],BDEGENER[[#This Row],[HORAS]],"0")</f>
        <v>0</v>
      </c>
      <c r="BB1029" s="325">
        <f>SUMIF(BDEGENER[SERIE],BDEGENER[[#This Row],[SERIE]],BDEGENER[GA3])</f>
        <v>0</v>
      </c>
      <c r="BC1029" s="683" t="str">
        <f>CONCATENATE("MANT",COUNTIF($Y$7:Y1029,Y1029))</f>
        <v>MANT2</v>
      </c>
      <c r="BD1029" s="29" t="str">
        <f>CONCATENATE(BDEGENER[[#This Row],[SERIE]],BDEGENER[[#This Row],[GA5]])</f>
        <v>9658425MANT2</v>
      </c>
      <c r="BE1029" s="29" t="str">
        <f>CONCATENATE(BDEGENER[[#This Row],[CODIGO PATRIMONIAL]],BDEGENER[[#This Row],[GA5]])</f>
        <v>GEGA022MANT2</v>
      </c>
      <c r="BF1029" s="16">
        <f>COUNTIF(BDEGENER[SERIE],BDEGENER[[#This Row],[SERIE]])</f>
        <v>2</v>
      </c>
      <c r="BG1029" s="683" t="str">
        <f>CONCATENATE("F",COUNTIF($K$7:K1029,K1029))</f>
        <v>F3</v>
      </c>
      <c r="BH1029" s="325" t="str">
        <f>CONCATENATE(BDEGENER[[#This Row],[FECHA DE SERVICIO]],BDEGENER[[#This Row],[N° DE REGISTROS DEL DIA]])</f>
        <v>43537F3</v>
      </c>
      <c r="BI1029" s="324"/>
      <c r="BJ1029" s="325"/>
      <c r="BK1029" s="326"/>
    </row>
    <row r="1030" spans="2:63" ht="69" hidden="1" x14ac:dyDescent="0.3">
      <c r="B1030" s="34"/>
      <c r="C1030" s="34"/>
      <c r="D1030" s="34"/>
      <c r="E1030" s="34"/>
      <c r="F1030" s="34"/>
      <c r="G1030" s="34"/>
      <c r="H1030" s="34"/>
      <c r="I1030" s="34"/>
      <c r="J1030" s="34"/>
      <c r="K1030" s="37">
        <v>43537</v>
      </c>
      <c r="L1030" s="30" t="s">
        <v>561</v>
      </c>
      <c r="M1030" s="19" t="s">
        <v>567</v>
      </c>
      <c r="N1030" s="19" t="s">
        <v>568</v>
      </c>
      <c r="O1030" s="19"/>
      <c r="P1030" s="19"/>
      <c r="Q1030" s="19" t="s">
        <v>37</v>
      </c>
      <c r="R1030" s="85" t="s">
        <v>1782</v>
      </c>
      <c r="S1030" s="19" t="s">
        <v>641</v>
      </c>
      <c r="T1030" s="85" t="s">
        <v>1782</v>
      </c>
      <c r="U1030" s="19" t="s">
        <v>699</v>
      </c>
      <c r="V1030" s="19" t="s">
        <v>146</v>
      </c>
      <c r="W1030" s="19"/>
      <c r="X1030" s="19"/>
      <c r="Y1030" s="31">
        <v>3003415544</v>
      </c>
      <c r="Z1030" s="692" t="s">
        <v>2601</v>
      </c>
      <c r="AA1030" s="19" t="s">
        <v>33</v>
      </c>
      <c r="AB1030" s="19" t="s">
        <v>217</v>
      </c>
      <c r="AC1030" s="19" t="s">
        <v>749</v>
      </c>
      <c r="AD1030" s="16"/>
      <c r="AE1030" s="16"/>
      <c r="AF1030" s="146">
        <v>1226.8</v>
      </c>
      <c r="AG1030" s="16"/>
      <c r="AH1030" s="16"/>
      <c r="AI1030" s="16"/>
      <c r="AJ1030" s="16"/>
      <c r="AK1030" s="16"/>
      <c r="AL1030" s="16"/>
      <c r="AM1030" s="16"/>
      <c r="AN1030" s="16"/>
      <c r="AO1030" s="16"/>
      <c r="AP1030" s="19" t="s">
        <v>240</v>
      </c>
      <c r="AQ1030" s="6" t="str">
        <f>CONCATENATE("REG-",BDEGENER[[#This Row],[FECHA DE SERVICIO]],"-",BDEGENER[[#This Row],[SERIE]],"-",BDEGENER[[#This Row],[HORAS]])</f>
        <v>REG-43537-3003415544-1226,8</v>
      </c>
      <c r="AR1030" s="5" t="str">
        <f>CONCATENATE("MARCA: ",BDEGENER[[#This Row],[MARCA]],"
 MODELO: ",BDEGENER[[#This Row],[MODELO]])</f>
        <v>MARCA: GENERAC
 MODELO: RG022</v>
      </c>
      <c r="AS1030" s="5" t="str">
        <f>CONCATENATE("MARCA: ",BDEGENER[[#This Row],[MARCA DE MOTOR]],"
SERIE: ",BDEGENER[[#This Row],[SERIE DE MOTOR]])</f>
        <v xml:space="preserve">MARCA: 
SERIE: </v>
      </c>
      <c r="AT1030" s="5" t="str">
        <f>CONCATENATE("MARCA: ",BDEGENER[[#This Row],[MARCA ALTERNADOR ]],"
SERIE: ",BDEGENER[[#This Row],[SERIE DE ALTERNADOR]])</f>
        <v xml:space="preserve">MARCA: 
SERIE: </v>
      </c>
      <c r="AU1030" s="29" t="str">
        <f>CONCATENATE("HORAS: ",BDEGENER[[#This Row],[HORAS]],"
KW-HR: ",BDEGENER[[#This Row],[KW-HORA]],"
VOLT.BATERIA: ",BDEGENER[[#This Row],[VOLTAJE DE BATERIA]],"
TEMPERATURA: ",BDEGENER[[#This Row],[TEMPERATURA DE AGUA]],"
PRES. ACEITE: ",BDEGENER[[#This Row],[PRESION DE ACEITE]])</f>
        <v xml:space="preserve">HORAS: 1226,8
KW-HR: 
VOLT.BATERIA: 
TEMPERATURA: 
PRES. ACEITE: </v>
      </c>
      <c r="AV1030" s="761">
        <f>COUNTIFS(Q1030:Q3030,"MANTENIMIENTO CORRECTIVO",Y1030:Y3030,BDEGENER[[#This Row],[SERIE]])</f>
        <v>0</v>
      </c>
      <c r="AW1030" s="761">
        <f>COUNTIFS(Q1030:Q3030,"MANTENIMIENTO PREVENTIVO",Y1030:Y3030,BDEGENER[[#This Row],[SERIE]])</f>
        <v>3</v>
      </c>
      <c r="AX103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030" s="29">
        <f>COUNTIFS(BDEGENER[SERIE],BDEGENER[[#This Row],[SERIE]],BDEGENER[TIPO DE SERVICIO],"MANTENIMIENTO PREVENTIVO")</f>
        <v>9</v>
      </c>
      <c r="AZ1030" s="29" t="str">
        <f>CONCATENATE("MANTENIMIENTO PREVENTIVO N°",BDEGENER[[#This Row],[GA1]])</f>
        <v>MANTENIMIENTO PREVENTIVO N°9</v>
      </c>
      <c r="BA1030" s="325" t="str">
        <f>IF(BDEGENER[[#This Row],[SERVICIO]]=BDEGENER[[#This Row],[GA2]],BDEGENER[[#This Row],[HORAS]],"0")</f>
        <v>0</v>
      </c>
      <c r="BB1030" s="325">
        <f>SUMIF(BDEGENER[SERIE],BDEGENER[[#This Row],[SERIE]],BDEGENER[GA3])</f>
        <v>5449.4</v>
      </c>
      <c r="BC1030" s="761" t="str">
        <f>CONCATENATE("MANT",COUNTIF($Y$7:Y1030,Y1030))</f>
        <v>MANT11</v>
      </c>
      <c r="BD1030" s="29" t="str">
        <f>CONCATENATE(BDEGENER[[#This Row],[SERIE]],BDEGENER[[#This Row],[GA5]])</f>
        <v>3003415544MANT11</v>
      </c>
      <c r="BE1030" s="29" t="str">
        <f>CONCATENATE(BDEGENER[[#This Row],[CODIGO PATRIMONIAL]],BDEGENER[[#This Row],[GA5]])</f>
        <v>SUR-GEG-0005MANT11</v>
      </c>
      <c r="BF1030" s="16">
        <f>COUNTIF(BDEGENER[SERIE],BDEGENER[[#This Row],[SERIE]])</f>
        <v>13</v>
      </c>
      <c r="BG1030" s="761" t="str">
        <f>CONCATENATE("F",COUNTIF($K$7:K1030,K1030))</f>
        <v>F4</v>
      </c>
      <c r="BH1030" s="325" t="str">
        <f>CONCATENATE(BDEGENER[[#This Row],[FECHA DE SERVICIO]],BDEGENER[[#This Row],[N° DE REGISTROS DEL DIA]])</f>
        <v>43537F4</v>
      </c>
      <c r="BI1030" s="324"/>
      <c r="BJ1030" s="325"/>
      <c r="BK1030" s="326"/>
    </row>
    <row r="1031" spans="2:63" ht="69" hidden="1" x14ac:dyDescent="0.3">
      <c r="B1031" s="34"/>
      <c r="C1031" s="34"/>
      <c r="D1031" s="34"/>
      <c r="E1031" s="34"/>
      <c r="F1031" s="34"/>
      <c r="G1031" s="34"/>
      <c r="H1031" s="34"/>
      <c r="I1031" s="34"/>
      <c r="J1031" s="34"/>
      <c r="K1031" s="37">
        <v>43535</v>
      </c>
      <c r="L1031" s="30" t="s">
        <v>561</v>
      </c>
      <c r="M1031" s="19" t="s">
        <v>585</v>
      </c>
      <c r="N1031" s="19" t="s">
        <v>586</v>
      </c>
      <c r="O1031" s="19"/>
      <c r="P1031" s="19"/>
      <c r="Q1031" s="19" t="s">
        <v>109</v>
      </c>
      <c r="R1031" s="85" t="s">
        <v>1782</v>
      </c>
      <c r="S1031" s="19" t="s">
        <v>642</v>
      </c>
      <c r="T1031" s="85" t="s">
        <v>1782</v>
      </c>
      <c r="U1031" s="19"/>
      <c r="V1031" s="19" t="s">
        <v>149</v>
      </c>
      <c r="W1031" s="85" t="s">
        <v>914</v>
      </c>
      <c r="X1031" s="85" t="s">
        <v>918</v>
      </c>
      <c r="Y1031" s="31">
        <v>3003963150</v>
      </c>
      <c r="Z1031" s="690" t="s">
        <v>2618</v>
      </c>
      <c r="AA1031" s="683" t="s">
        <v>33</v>
      </c>
      <c r="AB1031" s="85" t="s">
        <v>34</v>
      </c>
      <c r="AC1031" s="19" t="s">
        <v>230</v>
      </c>
      <c r="AD1031" s="16"/>
      <c r="AE1031" s="16"/>
      <c r="AF1031" s="146">
        <v>0.5</v>
      </c>
      <c r="AG1031" s="16"/>
      <c r="AH1031" s="16"/>
      <c r="AI1031" s="16"/>
      <c r="AJ1031" s="16"/>
      <c r="AK1031" s="16"/>
      <c r="AL1031" s="16"/>
      <c r="AM1031" s="16"/>
      <c r="AN1031" s="16"/>
      <c r="AO1031" s="16"/>
      <c r="AP1031" s="19" t="s">
        <v>240</v>
      </c>
      <c r="AQ1031" s="6" t="str">
        <f>CONCATENATE("REG-",BDEGENER[[#This Row],[FECHA DE SERVICIO]],"-",BDEGENER[[#This Row],[SERIE]],"-",BDEGENER[[#This Row],[HORAS]])</f>
        <v>REG-43535-3003963150-0,5</v>
      </c>
      <c r="AR1031" s="5" t="str">
        <f>CONCATENATE("MARCA: ",BDEGENER[[#This Row],[MARCA]],"
 MODELO: ",BDEGENER[[#This Row],[MODELO]])</f>
        <v>MARCA: GENERAC
 MODELO: PG090</v>
      </c>
      <c r="AS1031" s="5" t="str">
        <f>CONCATENATE("MARCA: ",BDEGENER[[#This Row],[MARCA DE MOTOR]],"
SERIE: ",BDEGENER[[#This Row],[SERIE DE MOTOR]])</f>
        <v xml:space="preserve">MARCA: 
SERIE: </v>
      </c>
      <c r="AT1031" s="5" t="str">
        <f>CONCATENATE("MARCA: ",BDEGENER[[#This Row],[MARCA ALTERNADOR ]],"
SERIE: ",BDEGENER[[#This Row],[SERIE DE ALTERNADOR]])</f>
        <v xml:space="preserve">MARCA: 
SERIE: </v>
      </c>
      <c r="AU1031" s="29" t="str">
        <f>CONCATENATE("HORAS: ",BDEGENER[[#This Row],[HORAS]],"
KW-HR: ",BDEGENER[[#This Row],[KW-HORA]],"
VOLT.BATERIA: ",BDEGENER[[#This Row],[VOLTAJE DE BATERIA]],"
TEMPERATURA: ",BDEGENER[[#This Row],[TEMPERATURA DE AGUA]],"
PRES. ACEITE: ",BDEGENER[[#This Row],[PRESION DE ACEITE]])</f>
        <v xml:space="preserve">HORAS: 0,5
KW-HR: 
VOLT.BATERIA: 
TEMPERATURA: 
PRES. ACEITE: </v>
      </c>
      <c r="AV1031" s="683">
        <f>COUNTIFS(Q1031:Q3031,"MANTENIMIENTO CORRECTIVO",Y1031:Y3031,BDEGENER[[#This Row],[SERIE]])</f>
        <v>0</v>
      </c>
      <c r="AW1031" s="683">
        <f>COUNTIFS(Q1031:Q3031,"MANTENIMIENTO PREVENTIVO",Y1031:Y3031,BDEGENER[[#This Row],[SERIE]])</f>
        <v>0</v>
      </c>
      <c r="AX103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31" s="29">
        <f>COUNTIFS(BDEGENER[SERIE],BDEGENER[[#This Row],[SERIE]],BDEGENER[TIPO DE SERVICIO],"MANTENIMIENTO PREVENTIVO")</f>
        <v>7</v>
      </c>
      <c r="AZ1031" s="29" t="str">
        <f>CONCATENATE("MANTENIMIENTO PREVENTIVO N°",BDEGENER[[#This Row],[GA1]])</f>
        <v>MANTENIMIENTO PREVENTIVO N°7</v>
      </c>
      <c r="BA1031" s="325" t="str">
        <f>IF(BDEGENER[[#This Row],[SERVICIO]]=BDEGENER[[#This Row],[GA2]],BDEGENER[[#This Row],[HORAS]],"0")</f>
        <v>0</v>
      </c>
      <c r="BB1031" s="325">
        <f>SUMIF(BDEGENER[SERIE],BDEGENER[[#This Row],[SERIE]],BDEGENER[GA3])</f>
        <v>4620.5</v>
      </c>
      <c r="BC1031" s="683" t="str">
        <f>CONCATENATE("MANT",COUNTIF($Y$7:Y1031,Y1031))</f>
        <v>MANT13</v>
      </c>
      <c r="BD1031" s="29" t="str">
        <f>CONCATENATE(BDEGENER[[#This Row],[SERIE]],BDEGENER[[#This Row],[GA5]])</f>
        <v>3003963150MANT13</v>
      </c>
      <c r="BE1031" s="29" t="str">
        <f>CONCATENATE(BDEGENER[[#This Row],[CODIGO PATRIMONIAL]],BDEGENER[[#This Row],[GA5]])</f>
        <v>NOR-GEG-0020MANT13</v>
      </c>
      <c r="BF1031" s="16">
        <f>COUNTIF(BDEGENER[SERIE],BDEGENER[[#This Row],[SERIE]])</f>
        <v>13</v>
      </c>
      <c r="BG1031" s="683" t="str">
        <f>CONCATENATE("F",COUNTIF($K$7:K1031,K1031))</f>
        <v>F1</v>
      </c>
      <c r="BH1031" s="325" t="str">
        <f>CONCATENATE(BDEGENER[[#This Row],[FECHA DE SERVICIO]],BDEGENER[[#This Row],[N° DE REGISTROS DEL DIA]])</f>
        <v>43535F1</v>
      </c>
      <c r="BI1031" s="324"/>
      <c r="BJ1031" s="325"/>
      <c r="BK1031" s="326"/>
    </row>
    <row r="1032" spans="2:63" ht="69" hidden="1" x14ac:dyDescent="0.3">
      <c r="B1032" s="34"/>
      <c r="C1032" s="34"/>
      <c r="D1032" s="34"/>
      <c r="E1032" s="34"/>
      <c r="F1032" s="34"/>
      <c r="G1032" s="34"/>
      <c r="H1032" s="34"/>
      <c r="I1032" s="34"/>
      <c r="J1032" s="34"/>
      <c r="K1032" s="37">
        <v>43532</v>
      </c>
      <c r="L1032" s="30" t="s">
        <v>561</v>
      </c>
      <c r="M1032" s="19" t="s">
        <v>573</v>
      </c>
      <c r="N1032" s="19" t="s">
        <v>574</v>
      </c>
      <c r="O1032" s="19"/>
      <c r="P1032" s="19"/>
      <c r="Q1032" s="19" t="s">
        <v>37</v>
      </c>
      <c r="R1032" s="85" t="s">
        <v>1782</v>
      </c>
      <c r="S1032" s="19" t="s">
        <v>643</v>
      </c>
      <c r="T1032" s="85" t="s">
        <v>1782</v>
      </c>
      <c r="U1032" s="19" t="s">
        <v>727</v>
      </c>
      <c r="V1032" s="19" t="s">
        <v>149</v>
      </c>
      <c r="W1032" s="19"/>
      <c r="X1032" s="19"/>
      <c r="Y1032" s="31">
        <v>3003415539</v>
      </c>
      <c r="Z1032" s="692" t="s">
        <v>2600</v>
      </c>
      <c r="AA1032" s="19" t="s">
        <v>33</v>
      </c>
      <c r="AB1032" s="19" t="s">
        <v>217</v>
      </c>
      <c r="AC1032" s="19" t="s">
        <v>749</v>
      </c>
      <c r="AD1032" s="16"/>
      <c r="AE1032" s="16"/>
      <c r="AF1032" s="146">
        <v>1356</v>
      </c>
      <c r="AG1032" s="16"/>
      <c r="AH1032" s="16"/>
      <c r="AI1032" s="16"/>
      <c r="AJ1032" s="16"/>
      <c r="AK1032" s="16"/>
      <c r="AL1032" s="16"/>
      <c r="AM1032" s="16"/>
      <c r="AN1032" s="16"/>
      <c r="AO1032" s="16"/>
      <c r="AP1032" s="19" t="s">
        <v>240</v>
      </c>
      <c r="AQ1032" s="6" t="str">
        <f>CONCATENATE("REG-",BDEGENER[[#This Row],[FECHA DE SERVICIO]],"-",BDEGENER[[#This Row],[SERIE]],"-",BDEGENER[[#This Row],[HORAS]])</f>
        <v>REG-43532-3003415539-1356</v>
      </c>
      <c r="AR1032" s="5" t="str">
        <f>CONCATENATE("MARCA: ",BDEGENER[[#This Row],[MARCA]],"
 MODELO: ",BDEGENER[[#This Row],[MODELO]])</f>
        <v>MARCA: GENERAC
 MODELO: RG022</v>
      </c>
      <c r="AS1032" s="5" t="str">
        <f>CONCATENATE("MARCA: ",BDEGENER[[#This Row],[MARCA DE MOTOR]],"
SERIE: ",BDEGENER[[#This Row],[SERIE DE MOTOR]])</f>
        <v xml:space="preserve">MARCA: 
SERIE: </v>
      </c>
      <c r="AT1032" s="5" t="str">
        <f>CONCATENATE("MARCA: ",BDEGENER[[#This Row],[MARCA ALTERNADOR ]],"
SERIE: ",BDEGENER[[#This Row],[SERIE DE ALTERNADOR]])</f>
        <v xml:space="preserve">MARCA: 
SERIE: </v>
      </c>
      <c r="AU1032" s="29" t="str">
        <f>CONCATENATE("HORAS: ",BDEGENER[[#This Row],[HORAS]],"
KW-HR: ",BDEGENER[[#This Row],[KW-HORA]],"
VOLT.BATERIA: ",BDEGENER[[#This Row],[VOLTAJE DE BATERIA]],"
TEMPERATURA: ",BDEGENER[[#This Row],[TEMPERATURA DE AGUA]],"
PRES. ACEITE: ",BDEGENER[[#This Row],[PRESION DE ACEITE]])</f>
        <v xml:space="preserve">HORAS: 1356
KW-HR: 
VOLT.BATERIA: 
TEMPERATURA: 
PRES. ACEITE: </v>
      </c>
      <c r="AV1032" s="683">
        <f>COUNTIFS(Q1032:Q3032,"MANTENIMIENTO CORRECTIVO",Y1032:Y3032,BDEGENER[[#This Row],[SERIE]])</f>
        <v>0</v>
      </c>
      <c r="AW1032" s="683">
        <f>COUNTIFS(Q1032:Q3032,"MANTENIMIENTO PREVENTIVO",Y1032:Y3032,BDEGENER[[#This Row],[SERIE]])</f>
        <v>2</v>
      </c>
      <c r="AX103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32" s="29">
        <f>COUNTIFS(BDEGENER[SERIE],BDEGENER[[#This Row],[SERIE]],BDEGENER[TIPO DE SERVICIO],"MANTENIMIENTO PREVENTIVO")</f>
        <v>11</v>
      </c>
      <c r="AZ1032" s="29" t="str">
        <f>CONCATENATE("MANTENIMIENTO PREVENTIVO N°",BDEGENER[[#This Row],[GA1]])</f>
        <v>MANTENIMIENTO PREVENTIVO N°11</v>
      </c>
      <c r="BA1032" s="325" t="str">
        <f>IF(BDEGENER[[#This Row],[SERVICIO]]=BDEGENER[[#This Row],[GA2]],BDEGENER[[#This Row],[HORAS]],"0")</f>
        <v>0</v>
      </c>
      <c r="BB1032" s="325">
        <f>SUMIF(BDEGENER[SERIE],BDEGENER[[#This Row],[SERIE]],BDEGENER[GA3])</f>
        <v>5881.6</v>
      </c>
      <c r="BC1032" s="683" t="str">
        <f>CONCATENATE("MANT",COUNTIF($Y$7:Y1032,Y1032))</f>
        <v>MANT15</v>
      </c>
      <c r="BD1032" s="29" t="str">
        <f>CONCATENATE(BDEGENER[[#This Row],[SERIE]],BDEGENER[[#This Row],[GA5]])</f>
        <v>3003415539MANT15</v>
      </c>
      <c r="BE1032" s="29" t="str">
        <f>CONCATENATE(BDEGENER[[#This Row],[CODIGO PATRIMONIAL]],BDEGENER[[#This Row],[GA5]])</f>
        <v>SUR-GEG-0004MANT15</v>
      </c>
      <c r="BF1032" s="16">
        <f>COUNTIF(BDEGENER[SERIE],BDEGENER[[#This Row],[SERIE]])</f>
        <v>16</v>
      </c>
      <c r="BG1032" s="683" t="str">
        <f>CONCATENATE("F",COUNTIF($K$7:K1032,K1032))</f>
        <v>F1</v>
      </c>
      <c r="BH1032" s="325" t="str">
        <f>CONCATENATE(BDEGENER[[#This Row],[FECHA DE SERVICIO]],BDEGENER[[#This Row],[N° DE REGISTROS DEL DIA]])</f>
        <v>43532F1</v>
      </c>
      <c r="BI1032" s="324"/>
      <c r="BJ1032" s="325"/>
      <c r="BK1032" s="326"/>
    </row>
    <row r="1033" spans="2:63" ht="69" hidden="1" x14ac:dyDescent="0.3">
      <c r="B1033" s="34"/>
      <c r="C1033" s="34"/>
      <c r="D1033" s="34"/>
      <c r="E1033" s="34"/>
      <c r="F1033" s="34"/>
      <c r="G1033" s="34"/>
      <c r="H1033" s="34"/>
      <c r="I1033" s="34"/>
      <c r="J1033" s="34"/>
      <c r="K1033" s="37">
        <v>43531</v>
      </c>
      <c r="L1033" s="30" t="s">
        <v>561</v>
      </c>
      <c r="M1033" s="683" t="s">
        <v>2439</v>
      </c>
      <c r="N1033" s="19" t="s">
        <v>564</v>
      </c>
      <c r="O1033" s="19"/>
      <c r="P1033" s="19"/>
      <c r="Q1033" s="19" t="s">
        <v>109</v>
      </c>
      <c r="R1033" s="85" t="s">
        <v>1782</v>
      </c>
      <c r="S1033" s="19" t="s">
        <v>644</v>
      </c>
      <c r="T1033" s="85" t="s">
        <v>1782</v>
      </c>
      <c r="U1033" s="19"/>
      <c r="V1033" s="19" t="s">
        <v>149</v>
      </c>
      <c r="W1033" s="85" t="s">
        <v>914</v>
      </c>
      <c r="X1033" s="85" t="s">
        <v>918</v>
      </c>
      <c r="Y1033" s="31">
        <v>3003963149</v>
      </c>
      <c r="Z1033" s="692" t="s">
        <v>2603</v>
      </c>
      <c r="AA1033" s="683" t="s">
        <v>33</v>
      </c>
      <c r="AB1033" s="85" t="s">
        <v>34</v>
      </c>
      <c r="AC1033" s="683" t="s">
        <v>230</v>
      </c>
      <c r="AD1033" s="16"/>
      <c r="AE1033" s="16"/>
      <c r="AF1033" s="146">
        <v>0.5</v>
      </c>
      <c r="AG1033" s="16"/>
      <c r="AH1033" s="16"/>
      <c r="AI1033" s="16"/>
      <c r="AJ1033" s="16"/>
      <c r="AK1033" s="16"/>
      <c r="AL1033" s="16"/>
      <c r="AM1033" s="16"/>
      <c r="AN1033" s="16"/>
      <c r="AO1033" s="16"/>
      <c r="AP1033" s="19" t="s">
        <v>240</v>
      </c>
      <c r="AQ1033" s="6" t="str">
        <f>CONCATENATE("REG-",BDEGENER[[#This Row],[FECHA DE SERVICIO]],"-",BDEGENER[[#This Row],[SERIE]],"-",BDEGENER[[#This Row],[HORAS]])</f>
        <v>REG-43531-3003963149-0,5</v>
      </c>
      <c r="AR1033" s="5" t="str">
        <f>CONCATENATE("MARCA: ",BDEGENER[[#This Row],[MARCA]],"
 MODELO: ",BDEGENER[[#This Row],[MODELO]])</f>
        <v>MARCA: GENERAC
 MODELO: PG090</v>
      </c>
      <c r="AS1033" s="5" t="str">
        <f>CONCATENATE("MARCA: ",BDEGENER[[#This Row],[MARCA DE MOTOR]],"
SERIE: ",BDEGENER[[#This Row],[SERIE DE MOTOR]])</f>
        <v xml:space="preserve">MARCA: 
SERIE: </v>
      </c>
      <c r="AT1033" s="5" t="str">
        <f>CONCATENATE("MARCA: ",BDEGENER[[#This Row],[MARCA ALTERNADOR ]],"
SERIE: ",BDEGENER[[#This Row],[SERIE DE ALTERNADOR]])</f>
        <v xml:space="preserve">MARCA: 
SERIE: </v>
      </c>
      <c r="AU1033" s="29" t="str">
        <f>CONCATENATE("HORAS: ",BDEGENER[[#This Row],[HORAS]],"
KW-HR: ",BDEGENER[[#This Row],[KW-HORA]],"
VOLT.BATERIA: ",BDEGENER[[#This Row],[VOLTAJE DE BATERIA]],"
TEMPERATURA: ",BDEGENER[[#This Row],[TEMPERATURA DE AGUA]],"
PRES. ACEITE: ",BDEGENER[[#This Row],[PRESION DE ACEITE]])</f>
        <v xml:space="preserve">HORAS: 0,5
KW-HR: 
VOLT.BATERIA: 
TEMPERATURA: 
PRES. ACEITE: </v>
      </c>
      <c r="AV1033" s="761">
        <f>COUNTIFS(Q1033:Q3033,"MANTENIMIENTO CORRECTIVO",Y1033:Y3033,BDEGENER[[#This Row],[SERIE]])</f>
        <v>0</v>
      </c>
      <c r="AW1033" s="761">
        <f>COUNTIFS(Q1033:Q3033,"MANTENIMIENTO PREVENTIVO",Y1033:Y3033,BDEGENER[[#This Row],[SERIE]])</f>
        <v>0</v>
      </c>
      <c r="AX103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33" s="29">
        <f>COUNTIFS(BDEGENER[SERIE],BDEGENER[[#This Row],[SERIE]],BDEGENER[TIPO DE SERVICIO],"MANTENIMIENTO PREVENTIVO")</f>
        <v>6</v>
      </c>
      <c r="AZ1033" s="29" t="str">
        <f>CONCATENATE("MANTENIMIENTO PREVENTIVO N°",BDEGENER[[#This Row],[GA1]])</f>
        <v>MANTENIMIENTO PREVENTIVO N°6</v>
      </c>
      <c r="BA1033" s="325" t="str">
        <f>IF(BDEGENER[[#This Row],[SERVICIO]]=BDEGENER[[#This Row],[GA2]],BDEGENER[[#This Row],[HORAS]],"0")</f>
        <v>0</v>
      </c>
      <c r="BB1033" s="325">
        <f>SUMIF(BDEGENER[SERIE],BDEGENER[[#This Row],[SERIE]],BDEGENER[GA3])</f>
        <v>3959.4</v>
      </c>
      <c r="BC1033" s="761" t="str">
        <f>CONCATENATE("MANT",COUNTIF($Y$7:Y1033,Y1033))</f>
        <v>MANT12</v>
      </c>
      <c r="BD1033" s="29" t="str">
        <f>CONCATENATE(BDEGENER[[#This Row],[SERIE]],BDEGENER[[#This Row],[GA5]])</f>
        <v>3003963149MANT12</v>
      </c>
      <c r="BE1033" s="29" t="str">
        <f>CONCATENATE(BDEGENER[[#This Row],[CODIGO PATRIMONIAL]],BDEGENER[[#This Row],[GA5]])</f>
        <v>SUR-GEG-0007MANT12</v>
      </c>
      <c r="BF1033" s="16">
        <f>COUNTIF(BDEGENER[SERIE],BDEGENER[[#This Row],[SERIE]])</f>
        <v>12</v>
      </c>
      <c r="BG1033" s="761" t="str">
        <f>CONCATENATE("F",COUNTIF($K$7:K1033,K1033))</f>
        <v>F1</v>
      </c>
      <c r="BH1033" s="325" t="str">
        <f>CONCATENATE(BDEGENER[[#This Row],[FECHA DE SERVICIO]],BDEGENER[[#This Row],[N° DE REGISTROS DEL DIA]])</f>
        <v>43531F1</v>
      </c>
      <c r="BI1033" s="324"/>
      <c r="BJ1033" s="325"/>
      <c r="BK1033" s="326"/>
    </row>
    <row r="1034" spans="2:63" ht="69" hidden="1" x14ac:dyDescent="0.3">
      <c r="B1034" s="34"/>
      <c r="C1034" s="34"/>
      <c r="D1034" s="34"/>
      <c r="E1034" s="34"/>
      <c r="F1034" s="34"/>
      <c r="G1034" s="34"/>
      <c r="H1034" s="34"/>
      <c r="I1034" s="34"/>
      <c r="J1034" s="34"/>
      <c r="K1034" s="37">
        <v>43530</v>
      </c>
      <c r="L1034" s="30" t="s">
        <v>561</v>
      </c>
      <c r="M1034" s="19" t="s">
        <v>587</v>
      </c>
      <c r="N1034" s="19" t="s">
        <v>586</v>
      </c>
      <c r="O1034" s="19"/>
      <c r="P1034" s="19"/>
      <c r="Q1034" s="19" t="s">
        <v>37</v>
      </c>
      <c r="R1034" s="85" t="s">
        <v>1782</v>
      </c>
      <c r="S1034" s="19" t="s">
        <v>645</v>
      </c>
      <c r="T1034" s="85" t="s">
        <v>1782</v>
      </c>
      <c r="U1034" s="19" t="s">
        <v>728</v>
      </c>
      <c r="V1034" s="19" t="s">
        <v>146</v>
      </c>
      <c r="W1034" s="85" t="s">
        <v>914</v>
      </c>
      <c r="X1034" s="85" t="s">
        <v>918</v>
      </c>
      <c r="Y1034" s="31">
        <v>3003932245</v>
      </c>
      <c r="Z1034" s="692" t="s">
        <v>2617</v>
      </c>
      <c r="AA1034" s="683" t="s">
        <v>33</v>
      </c>
      <c r="AB1034" s="85" t="s">
        <v>34</v>
      </c>
      <c r="AC1034" s="19" t="s">
        <v>235</v>
      </c>
      <c r="AD1034" s="16"/>
      <c r="AE1034" s="16"/>
      <c r="AF1034" s="146">
        <v>302.60000000000002</v>
      </c>
      <c r="AG1034" s="16"/>
      <c r="AH1034" s="16"/>
      <c r="AI1034" s="16"/>
      <c r="AJ1034" s="16"/>
      <c r="AK1034" s="16"/>
      <c r="AL1034" s="16"/>
      <c r="AM1034" s="16"/>
      <c r="AN1034" s="16"/>
      <c r="AO1034" s="16"/>
      <c r="AP1034" s="19" t="s">
        <v>240</v>
      </c>
      <c r="AQ1034" s="6" t="str">
        <f>CONCATENATE("REG-",BDEGENER[[#This Row],[FECHA DE SERVICIO]],"-",BDEGENER[[#This Row],[SERIE]],"-",BDEGENER[[#This Row],[HORAS]])</f>
        <v>REG-43530-3003932245-302,6</v>
      </c>
      <c r="AR1034" s="5" t="str">
        <f>CONCATENATE("MARCA: ",BDEGENER[[#This Row],[MARCA]],"
 MODELO: ",BDEGENER[[#This Row],[MODELO]])</f>
        <v>MARCA: GENERAC
 MODELO: PG090</v>
      </c>
      <c r="AS1034" s="5" t="str">
        <f>CONCATENATE("MARCA: ",BDEGENER[[#This Row],[MARCA DE MOTOR]],"
SERIE: ",BDEGENER[[#This Row],[SERIE DE MOTOR]])</f>
        <v xml:space="preserve">MARCA: 
SERIE: </v>
      </c>
      <c r="AT1034" s="5" t="str">
        <f>CONCATENATE("MARCA: ",BDEGENER[[#This Row],[MARCA ALTERNADOR ]],"
SERIE: ",BDEGENER[[#This Row],[SERIE DE ALTERNADOR]])</f>
        <v xml:space="preserve">MARCA: 
SERIE: </v>
      </c>
      <c r="AU1034" s="29" t="str">
        <f>CONCATENATE("HORAS: ",BDEGENER[[#This Row],[HORAS]],"
KW-HR: ",BDEGENER[[#This Row],[KW-HORA]],"
VOLT.BATERIA: ",BDEGENER[[#This Row],[VOLTAJE DE BATERIA]],"
TEMPERATURA: ",BDEGENER[[#This Row],[TEMPERATURA DE AGUA]],"
PRES. ACEITE: ",BDEGENER[[#This Row],[PRESION DE ACEITE]])</f>
        <v xml:space="preserve">HORAS: 302,6
KW-HR: 
VOLT.BATERIA: 
TEMPERATURA: 
PRES. ACEITE: </v>
      </c>
      <c r="AV1034" s="683">
        <f>COUNTIFS(Q1034:Q3034,"MANTENIMIENTO CORRECTIVO",Y1034:Y3034,BDEGENER[[#This Row],[SERIE]])</f>
        <v>0</v>
      </c>
      <c r="AW1034" s="683">
        <f>COUNTIFS(Q1034:Q3034,"MANTENIMIENTO PREVENTIVO",Y1034:Y3034,BDEGENER[[#This Row],[SERIE]])</f>
        <v>2</v>
      </c>
      <c r="AX103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34" s="29">
        <f>COUNTIFS(BDEGENER[SERIE],BDEGENER[[#This Row],[SERIE]],BDEGENER[TIPO DE SERVICIO],"MANTENIMIENTO PREVENTIVO")</f>
        <v>9</v>
      </c>
      <c r="AZ1034" s="29" t="str">
        <f>CONCATENATE("MANTENIMIENTO PREVENTIVO N°",BDEGENER[[#This Row],[GA1]])</f>
        <v>MANTENIMIENTO PREVENTIVO N°9</v>
      </c>
      <c r="BA1034" s="325" t="str">
        <f>IF(BDEGENER[[#This Row],[SERVICIO]]=BDEGENER[[#This Row],[GA2]],BDEGENER[[#This Row],[HORAS]],"0")</f>
        <v>0</v>
      </c>
      <c r="BB1034" s="325">
        <f>SUMIF(BDEGENER[SERIE],BDEGENER[[#This Row],[SERIE]],BDEGENER[GA3])</f>
        <v>6582.8</v>
      </c>
      <c r="BC1034" s="683" t="str">
        <f>CONCATENATE("MANT",COUNTIF($Y$7:Y1034,Y1034))</f>
        <v>MANT9</v>
      </c>
      <c r="BD1034" s="29" t="str">
        <f>CONCATENATE(BDEGENER[[#This Row],[SERIE]],BDEGENER[[#This Row],[GA5]])</f>
        <v>3003932245MANT9</v>
      </c>
      <c r="BE1034" s="29" t="str">
        <f>CONCATENATE(BDEGENER[[#This Row],[CODIGO PATRIMONIAL]],BDEGENER[[#This Row],[GA5]])</f>
        <v>NOR-GEG-0019MANT9</v>
      </c>
      <c r="BF1034" s="16">
        <f>COUNTIF(BDEGENER[SERIE],BDEGENER[[#This Row],[SERIE]])</f>
        <v>10</v>
      </c>
      <c r="BG1034" s="683" t="str">
        <f>CONCATENATE("F",COUNTIF($K$7:K1034,K1034))</f>
        <v>F1</v>
      </c>
      <c r="BH1034" s="325" t="str">
        <f>CONCATENATE(BDEGENER[[#This Row],[FECHA DE SERVICIO]],BDEGENER[[#This Row],[N° DE REGISTROS DEL DIA]])</f>
        <v>43530F1</v>
      </c>
      <c r="BI1034" s="324"/>
      <c r="BJ1034" s="325"/>
      <c r="BK1034" s="326"/>
    </row>
    <row r="1035" spans="2:63" ht="69" hidden="1" x14ac:dyDescent="0.3">
      <c r="B1035" s="34"/>
      <c r="C1035" s="34"/>
      <c r="D1035" s="34"/>
      <c r="E1035" s="34"/>
      <c r="F1035" s="34"/>
      <c r="G1035" s="34"/>
      <c r="H1035" s="34"/>
      <c r="I1035" s="34"/>
      <c r="J1035" s="34"/>
      <c r="K1035" s="37">
        <v>43530</v>
      </c>
      <c r="L1035" s="30" t="s">
        <v>561</v>
      </c>
      <c r="M1035" s="19" t="s">
        <v>2452</v>
      </c>
      <c r="N1035" s="19" t="s">
        <v>584</v>
      </c>
      <c r="O1035" s="19"/>
      <c r="P1035" s="19"/>
      <c r="Q1035" s="19" t="s">
        <v>37</v>
      </c>
      <c r="R1035" s="85" t="s">
        <v>1782</v>
      </c>
      <c r="S1035" s="19" t="s">
        <v>646</v>
      </c>
      <c r="T1035" s="85" t="s">
        <v>1782</v>
      </c>
      <c r="U1035" s="19" t="s">
        <v>729</v>
      </c>
      <c r="V1035" s="19" t="s">
        <v>146</v>
      </c>
      <c r="W1035" s="85" t="s">
        <v>914</v>
      </c>
      <c r="X1035" s="85" t="s">
        <v>918</v>
      </c>
      <c r="Y1035" s="31">
        <v>3003566705</v>
      </c>
      <c r="Z1035" s="692" t="s">
        <v>2613</v>
      </c>
      <c r="AA1035" s="683" t="s">
        <v>33</v>
      </c>
      <c r="AB1035" s="85" t="s">
        <v>34</v>
      </c>
      <c r="AC1035" s="683" t="s">
        <v>230</v>
      </c>
      <c r="AD1035" s="16"/>
      <c r="AE1035" s="16"/>
      <c r="AF1035" s="146">
        <v>1166.4000000000001</v>
      </c>
      <c r="AG1035" s="16"/>
      <c r="AH1035" s="16"/>
      <c r="AI1035" s="16"/>
      <c r="AJ1035" s="16"/>
      <c r="AK1035" s="16"/>
      <c r="AL1035" s="16"/>
      <c r="AM1035" s="16"/>
      <c r="AN1035" s="16"/>
      <c r="AO1035" s="16"/>
      <c r="AP1035" s="19" t="s">
        <v>240</v>
      </c>
      <c r="AQ1035" s="6" t="str">
        <f>CONCATENATE("REG-",BDEGENER[[#This Row],[FECHA DE SERVICIO]],"-",BDEGENER[[#This Row],[SERIE]],"-",BDEGENER[[#This Row],[HORAS]])</f>
        <v>REG-43530-3003566705-1166,4</v>
      </c>
      <c r="AR1035" s="5" t="str">
        <f>CONCATENATE("MARCA: ",BDEGENER[[#This Row],[MARCA]],"
 MODELO: ",BDEGENER[[#This Row],[MODELO]])</f>
        <v>MARCA: GENERAC
 MODELO: PG090</v>
      </c>
      <c r="AS1035" s="5" t="str">
        <f>CONCATENATE("MARCA: ",BDEGENER[[#This Row],[MARCA DE MOTOR]],"
SERIE: ",BDEGENER[[#This Row],[SERIE DE MOTOR]])</f>
        <v xml:space="preserve">MARCA: 
SERIE: </v>
      </c>
      <c r="AT1035" s="5" t="str">
        <f>CONCATENATE("MARCA: ",BDEGENER[[#This Row],[MARCA ALTERNADOR ]],"
SERIE: ",BDEGENER[[#This Row],[SERIE DE ALTERNADOR]])</f>
        <v xml:space="preserve">MARCA: 
SERIE: </v>
      </c>
      <c r="AU1035" s="29" t="str">
        <f>CONCATENATE("HORAS: ",BDEGENER[[#This Row],[HORAS]],"
KW-HR: ",BDEGENER[[#This Row],[KW-HORA]],"
VOLT.BATERIA: ",BDEGENER[[#This Row],[VOLTAJE DE BATERIA]],"
TEMPERATURA: ",BDEGENER[[#This Row],[TEMPERATURA DE AGUA]],"
PRES. ACEITE: ",BDEGENER[[#This Row],[PRESION DE ACEITE]])</f>
        <v xml:space="preserve">HORAS: 1166,4
KW-HR: 
VOLT.BATERIA: 
TEMPERATURA: 
PRES. ACEITE: </v>
      </c>
      <c r="AV1035" s="683">
        <f>COUNTIFS(Q1035:Q3035,"MANTENIMIENTO CORRECTIVO",Y1035:Y3035,BDEGENER[[#This Row],[SERIE]])</f>
        <v>0</v>
      </c>
      <c r="AW1035" s="683">
        <f>COUNTIFS(Q1035:Q3035,"MANTENIMIENTO PREVENTIVO",Y1035:Y3035,BDEGENER[[#This Row],[SERIE]])</f>
        <v>2</v>
      </c>
      <c r="AX103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35" s="29">
        <f>COUNTIFS(BDEGENER[SERIE],BDEGENER[[#This Row],[SERIE]],BDEGENER[TIPO DE SERVICIO],"MANTENIMIENTO PREVENTIVO")</f>
        <v>6</v>
      </c>
      <c r="AZ1035" s="29" t="str">
        <f>CONCATENATE("MANTENIMIENTO PREVENTIVO N°",BDEGENER[[#This Row],[GA1]])</f>
        <v>MANTENIMIENTO PREVENTIVO N°6</v>
      </c>
      <c r="BA1035" s="325" t="str">
        <f>IF(BDEGENER[[#This Row],[SERVICIO]]=BDEGENER[[#This Row],[GA2]],BDEGENER[[#This Row],[HORAS]],"0")</f>
        <v>0</v>
      </c>
      <c r="BB1035" s="325">
        <f>SUMIF(BDEGENER[SERIE],BDEGENER[[#This Row],[SERIE]],BDEGENER[GA3])</f>
        <v>6247.9</v>
      </c>
      <c r="BC1035" s="683" t="str">
        <f>CONCATENATE("MANT",COUNTIF($Y$7:Y1035,Y1035))</f>
        <v>MANT7</v>
      </c>
      <c r="BD1035" s="29" t="str">
        <f>CONCATENATE(BDEGENER[[#This Row],[SERIE]],BDEGENER[[#This Row],[GA5]])</f>
        <v>3003566705MANT7</v>
      </c>
      <c r="BE1035" s="29" t="str">
        <f>CONCATENATE(BDEGENER[[#This Row],[CODIGO PATRIMONIAL]],BDEGENER[[#This Row],[GA5]])</f>
        <v>NOR-GEG-0015MANT7</v>
      </c>
      <c r="BF1035" s="16">
        <f>COUNTIF(BDEGENER[SERIE],BDEGENER[[#This Row],[SERIE]])</f>
        <v>8</v>
      </c>
      <c r="BG1035" s="683" t="str">
        <f>CONCATENATE("F",COUNTIF($K$7:K1035,K1035))</f>
        <v>F2</v>
      </c>
      <c r="BH1035" s="325" t="str">
        <f>CONCATENATE(BDEGENER[[#This Row],[FECHA DE SERVICIO]],BDEGENER[[#This Row],[N° DE REGISTROS DEL DIA]])</f>
        <v>43530F2</v>
      </c>
      <c r="BI1035" s="324"/>
      <c r="BJ1035" s="325"/>
      <c r="BK1035" s="326"/>
    </row>
    <row r="1036" spans="2:63" ht="69" hidden="1" x14ac:dyDescent="0.3">
      <c r="B1036" s="129"/>
      <c r="C1036" s="129"/>
      <c r="D1036" s="129"/>
      <c r="E1036" s="129"/>
      <c r="F1036" s="129"/>
      <c r="G1036" s="129"/>
      <c r="H1036" s="129"/>
      <c r="I1036" s="129"/>
      <c r="J1036" s="129"/>
      <c r="K1036" s="131">
        <v>43526</v>
      </c>
      <c r="L1036" s="85" t="s">
        <v>791</v>
      </c>
      <c r="M1036" s="85" t="s">
        <v>1926</v>
      </c>
      <c r="N1036" s="85" t="s">
        <v>795</v>
      </c>
      <c r="O1036" s="85"/>
      <c r="P1036" s="85"/>
      <c r="Q1036" s="85" t="s">
        <v>37</v>
      </c>
      <c r="R1036" s="85" t="s">
        <v>1782</v>
      </c>
      <c r="S1036" s="6" t="s">
        <v>2296</v>
      </c>
      <c r="T1036" s="85" t="s">
        <v>2300</v>
      </c>
      <c r="U1036" s="85" t="s">
        <v>2297</v>
      </c>
      <c r="V1036" s="85" t="s">
        <v>149</v>
      </c>
      <c r="W1036" s="85" t="s">
        <v>914</v>
      </c>
      <c r="X1036" s="85" t="s">
        <v>917</v>
      </c>
      <c r="Y1036" s="15" t="s">
        <v>1928</v>
      </c>
      <c r="Z1036" s="85" t="s">
        <v>159</v>
      </c>
      <c r="AA1036" s="85" t="s">
        <v>1929</v>
      </c>
      <c r="AB1036" s="85" t="s">
        <v>1930</v>
      </c>
      <c r="AC1036" s="683" t="s">
        <v>1931</v>
      </c>
      <c r="AD1036" s="85" t="s">
        <v>1932</v>
      </c>
      <c r="AE1036" s="85">
        <v>60.1</v>
      </c>
      <c r="AF1036" s="132">
        <v>95.48</v>
      </c>
      <c r="AG1036" s="85" t="s">
        <v>243</v>
      </c>
      <c r="AH1036" s="85" t="s">
        <v>1933</v>
      </c>
      <c r="AI1036" s="85" t="s">
        <v>2298</v>
      </c>
      <c r="AJ1036" s="85">
        <v>5362010819</v>
      </c>
      <c r="AK1036" s="85" t="s">
        <v>1934</v>
      </c>
      <c r="AL1036" s="85" t="s">
        <v>1935</v>
      </c>
      <c r="AM1036" s="85" t="s">
        <v>1176</v>
      </c>
      <c r="AN1036" s="85" t="s">
        <v>1369</v>
      </c>
      <c r="AO1036" s="85" t="s">
        <v>2299</v>
      </c>
      <c r="AP1036" s="85" t="s">
        <v>240</v>
      </c>
      <c r="AQ1036" s="9" t="str">
        <f>CONCATENATE("REG-",BDEGENER[[#This Row],[FECHA DE SERVICIO]],"-",BDEGENER[[#This Row],[SERIE]],"-",BDEGENER[[#This Row],[HORAS]])</f>
        <v>REG-43526-362973-1-1-0813-95,48</v>
      </c>
      <c r="AR1036" s="85" t="str">
        <f>CONCATENATE("MARCA: ",BDEGENER[[#This Row],[MARCA]],"
 MODELO: ",BDEGENER[[#This Row],[MODELO]])</f>
        <v>MARCA: MTU
 MODELO: 9001XC6DT2</v>
      </c>
      <c r="AS1036" s="85" t="str">
        <f>CONCATENATE("MARCA: ",BDEGENER[[#This Row],[MARCA DE MOTOR]],"
SERIE: ",BDEGENER[[#This Row],[SERIE DE MOTOR]])</f>
        <v>MARCA: MTU.DIESEL
SERIE: 5362010819</v>
      </c>
      <c r="AT1036" s="85" t="str">
        <f>CONCATENATE("MARCA: ",BDEGENER[[#This Row],[MARCA ALTERNADOR ]],"
SERIE: ",BDEGENER[[#This Row],[SERIE DE ALTERNADOR]])</f>
        <v>MARCA: MARATHON
SERIE: WA-581537-0813</v>
      </c>
      <c r="AU1036" s="85" t="str">
        <f>CONCATENATE("HORAS: ",BDEGENER[[#This Row],[HORAS]],"
KW-HR: ",BDEGENER[[#This Row],[KW-HORA]],"
VOLT.BATERIA: ",BDEGENER[[#This Row],[VOLTAJE DE BATERIA]],"
TEMPERATURA: ",BDEGENER[[#This Row],[TEMPERATURA DE AGUA]],"
PRES. ACEITE: ",BDEGENER[[#This Row],[PRESION DE ACEITE]])</f>
        <v>HORAS: 95,48
KW-HR: 
VOLT.BATERIA: 27.8 V
TEMPERATURA: 120 °F
PRES. ACEITE: 142 PSI</v>
      </c>
      <c r="AV1036" s="761">
        <f>COUNTIFS(Q1036:Q3036,"MANTENIMIENTO CORRECTIVO",Y1036:Y3036,BDEGENER[[#This Row],[SERIE]])</f>
        <v>0</v>
      </c>
      <c r="AW1036" s="761">
        <f>COUNTIFS(Q1036:Q3036,"MANTENIMIENTO PREVENTIVO",Y1036:Y3036,BDEGENER[[#This Row],[SERIE]])</f>
        <v>1</v>
      </c>
      <c r="AX1036" s="8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36" s="85">
        <f>COUNTIFS(BDEGENER[SERIE],BDEGENER[[#This Row],[SERIE]],BDEGENER[TIPO DE SERVICIO],"MANTENIMIENTO PREVENTIVO")</f>
        <v>2</v>
      </c>
      <c r="AZ1036" s="85" t="str">
        <f>CONCATENATE("MANTENIMIENTO PREVENTIVO N°",BDEGENER[[#This Row],[GA1]])</f>
        <v>MANTENIMIENTO PREVENTIVO N°2</v>
      </c>
      <c r="BA1036" s="85" t="str">
        <f>IF(BDEGENER[[#This Row],[SERVICIO]]=BDEGENER[[#This Row],[GA2]],BDEGENER[[#This Row],[HORAS]],"0")</f>
        <v>0</v>
      </c>
      <c r="BB1036" s="85">
        <f>SUMIF(BDEGENER[SERIE],BDEGENER[[#This Row],[SERIE]],BDEGENER[GA3])</f>
        <v>116.48</v>
      </c>
      <c r="BC1036" s="761" t="str">
        <f>CONCATENATE("MANT",COUNTIF($Y$7:Y1036,Y1036))</f>
        <v>MANT2</v>
      </c>
      <c r="BD1036" s="85" t="str">
        <f>CONCATENATE(BDEGENER[[#This Row],[SERIE]],BDEGENER[[#This Row],[GA5]])</f>
        <v>362973-1-1-0813MANT2</v>
      </c>
      <c r="BE1036" s="85" t="str">
        <f>CONCATENATE(BDEGENER[[#This Row],[CODIGO PATRIMONIAL]],BDEGENER[[#This Row],[GA5]])</f>
        <v>MANT2</v>
      </c>
      <c r="BF1036" s="85">
        <f>COUNTIF(BDEGENER[SERIE],BDEGENER[[#This Row],[SERIE]])</f>
        <v>2</v>
      </c>
      <c r="BG1036" s="761" t="str">
        <f>CONCATENATE("F",COUNTIF($K$7:K1036,K1036))</f>
        <v>F1</v>
      </c>
      <c r="BH1036" s="85" t="str">
        <f>CONCATENATE(BDEGENER[[#This Row],[FECHA DE SERVICIO]],BDEGENER[[#This Row],[N° DE REGISTROS DEL DIA]])</f>
        <v>43526F1</v>
      </c>
      <c r="BI1036" s="132"/>
      <c r="BJ1036" s="85" t="s">
        <v>1544</v>
      </c>
      <c r="BK1036" s="680"/>
    </row>
    <row r="1037" spans="2:63" ht="69" hidden="1" x14ac:dyDescent="0.3">
      <c r="B1037" s="34"/>
      <c r="C1037" s="34"/>
      <c r="D1037" s="34"/>
      <c r="E1037" s="34"/>
      <c r="F1037" s="34"/>
      <c r="G1037" s="34"/>
      <c r="H1037" s="34"/>
      <c r="I1037" s="34"/>
      <c r="J1037" s="34"/>
      <c r="K1037" s="37">
        <v>43526</v>
      </c>
      <c r="L1037" s="30" t="s">
        <v>561</v>
      </c>
      <c r="M1037" s="19" t="s">
        <v>588</v>
      </c>
      <c r="N1037" s="19" t="s">
        <v>589</v>
      </c>
      <c r="O1037" s="19"/>
      <c r="P1037" s="19"/>
      <c r="Q1037" s="19" t="s">
        <v>37</v>
      </c>
      <c r="R1037" s="85" t="s">
        <v>1782</v>
      </c>
      <c r="S1037" s="19" t="s">
        <v>647</v>
      </c>
      <c r="T1037" s="85" t="s">
        <v>1782</v>
      </c>
      <c r="U1037" s="19" t="s">
        <v>730</v>
      </c>
      <c r="V1037" s="19" t="s">
        <v>146</v>
      </c>
      <c r="W1037" s="85" t="s">
        <v>914</v>
      </c>
      <c r="X1037" s="85" t="s">
        <v>918</v>
      </c>
      <c r="Y1037" s="31">
        <v>3003566699</v>
      </c>
      <c r="Z1037" s="692" t="s">
        <v>2619</v>
      </c>
      <c r="AA1037" s="19" t="s">
        <v>33</v>
      </c>
      <c r="AB1037" s="85" t="s">
        <v>34</v>
      </c>
      <c r="AC1037" s="19" t="s">
        <v>230</v>
      </c>
      <c r="AD1037" s="16"/>
      <c r="AE1037" s="16"/>
      <c r="AF1037" s="146">
        <v>1052.8</v>
      </c>
      <c r="AG1037" s="16" t="s">
        <v>243</v>
      </c>
      <c r="AH1037" s="16" t="s">
        <v>244</v>
      </c>
      <c r="AI1037" s="16"/>
      <c r="AJ1037" s="16"/>
      <c r="AK1037" s="16"/>
      <c r="AL1037" s="16"/>
      <c r="AM1037" s="16"/>
      <c r="AN1037" s="16"/>
      <c r="AO1037" s="16"/>
      <c r="AP1037" s="19" t="s">
        <v>240</v>
      </c>
      <c r="AQ1037" s="6" t="str">
        <f>CONCATENATE("REG-",BDEGENER[[#This Row],[FECHA DE SERVICIO]],"-",BDEGENER[[#This Row],[SERIE]],"-",BDEGENER[[#This Row],[HORAS]])</f>
        <v>REG-43526-3003566699-1052,8</v>
      </c>
      <c r="AR1037" s="5" t="str">
        <f>CONCATENATE("MARCA: ",BDEGENER[[#This Row],[MARCA]],"
 MODELO: ",BDEGENER[[#This Row],[MODELO]])</f>
        <v>MARCA: GENERAC
 MODELO: PG090</v>
      </c>
      <c r="AS1037" s="5" t="str">
        <f>CONCATENATE("MARCA: ",BDEGENER[[#This Row],[MARCA DE MOTOR]],"
SERIE: ",BDEGENER[[#This Row],[SERIE DE MOTOR]])</f>
        <v xml:space="preserve">MARCA: 
SERIE: </v>
      </c>
      <c r="AT1037" s="5" t="str">
        <f>CONCATENATE("MARCA: ",BDEGENER[[#This Row],[MARCA ALTERNADOR ]],"
SERIE: ",BDEGENER[[#This Row],[SERIE DE ALTERNADOR]])</f>
        <v xml:space="preserve">MARCA: 
SERIE: </v>
      </c>
      <c r="AU1037" s="29" t="str">
        <f>CONCATENATE("HORAS: ",BDEGENER[[#This Row],[HORAS]],"
KW-HR: ",BDEGENER[[#This Row],[KW-HORA]],"
VOLT.BATERIA: ",BDEGENER[[#This Row],[VOLTAJE DE BATERIA]],"
TEMPERATURA: ",BDEGENER[[#This Row],[TEMPERATURA DE AGUA]],"
PRES. ACEITE: ",BDEGENER[[#This Row],[PRESION DE ACEITE]])</f>
        <v xml:space="preserve">HORAS: 1052,8
KW-HR: 
VOLT.BATERIA: 
TEMPERATURA: 
PRES. ACEITE: </v>
      </c>
      <c r="AV1037" s="683">
        <f>COUNTIFS(Q1037:Q3037,"MANTENIMIENTO CORRECTIVO",Y1037:Y3037,BDEGENER[[#This Row],[SERIE]])</f>
        <v>1</v>
      </c>
      <c r="AW1037" s="683">
        <f>COUNTIFS(Q1037:Q3037,"MANTENIMIENTO PREVENTIVO",Y1037:Y3037,BDEGENER[[#This Row],[SERIE]])</f>
        <v>3</v>
      </c>
      <c r="AX103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037" s="29">
        <f>COUNTIFS(BDEGENER[SERIE],BDEGENER[[#This Row],[SERIE]],BDEGENER[TIPO DE SERVICIO],"MANTENIMIENTO PREVENTIVO")</f>
        <v>12</v>
      </c>
      <c r="AZ1037" s="29" t="str">
        <f>CONCATENATE("MANTENIMIENTO PREVENTIVO N°",BDEGENER[[#This Row],[GA1]])</f>
        <v>MANTENIMIENTO PREVENTIVO N°12</v>
      </c>
      <c r="BA1037" s="325" t="str">
        <f>IF(BDEGENER[[#This Row],[SERVICIO]]=BDEGENER[[#This Row],[GA2]],BDEGENER[[#This Row],[HORAS]],"0")</f>
        <v>0</v>
      </c>
      <c r="BB1037" s="325">
        <f>SUMIF(BDEGENER[SERIE],BDEGENER[[#This Row],[SERIE]],BDEGENER[GA3])</f>
        <v>8154.7</v>
      </c>
      <c r="BC1037" s="683" t="str">
        <f>CONCATENATE("MANT",COUNTIF($Y$7:Y1037,Y1037))</f>
        <v>MANT14</v>
      </c>
      <c r="BD1037" s="29" t="str">
        <f>CONCATENATE(BDEGENER[[#This Row],[SERIE]],BDEGENER[[#This Row],[GA5]])</f>
        <v>3003566699MANT14</v>
      </c>
      <c r="BE1037" s="29" t="str">
        <f>CONCATENATE(BDEGENER[[#This Row],[CODIGO PATRIMONIAL]],BDEGENER[[#This Row],[GA5]])</f>
        <v>NOR-GEG-0021MANT14</v>
      </c>
      <c r="BF1037" s="16">
        <f>COUNTIF(BDEGENER[SERIE],BDEGENER[[#This Row],[SERIE]])</f>
        <v>17</v>
      </c>
      <c r="BG1037" s="683" t="str">
        <f>CONCATENATE("F",COUNTIF($K$7:K1037,K1037))</f>
        <v>F2</v>
      </c>
      <c r="BH1037" s="325" t="str">
        <f>CONCATENATE(BDEGENER[[#This Row],[FECHA DE SERVICIO]],BDEGENER[[#This Row],[N° DE REGISTROS DEL DIA]])</f>
        <v>43526F2</v>
      </c>
      <c r="BI1037" s="324"/>
      <c r="BJ1037" s="325"/>
      <c r="BK1037" s="326"/>
    </row>
    <row r="1038" spans="2:63" ht="69" hidden="1" x14ac:dyDescent="0.3">
      <c r="B1038" s="34"/>
      <c r="C1038" s="34"/>
      <c r="D1038" s="34"/>
      <c r="E1038" s="34"/>
      <c r="F1038" s="34"/>
      <c r="G1038" s="34"/>
      <c r="H1038" s="34"/>
      <c r="I1038" s="34"/>
      <c r="J1038" s="34"/>
      <c r="K1038" s="37">
        <v>43526</v>
      </c>
      <c r="L1038" s="30" t="s">
        <v>561</v>
      </c>
      <c r="M1038" s="19" t="s">
        <v>2453</v>
      </c>
      <c r="N1038" s="19" t="s">
        <v>584</v>
      </c>
      <c r="O1038" s="19"/>
      <c r="P1038" s="19"/>
      <c r="Q1038" s="19" t="s">
        <v>37</v>
      </c>
      <c r="R1038" s="85" t="s">
        <v>1782</v>
      </c>
      <c r="S1038" s="19" t="s">
        <v>648</v>
      </c>
      <c r="T1038" s="85" t="s">
        <v>1782</v>
      </c>
      <c r="U1038" s="19" t="s">
        <v>731</v>
      </c>
      <c r="V1038" s="19" t="s">
        <v>146</v>
      </c>
      <c r="W1038" s="85" t="s">
        <v>914</v>
      </c>
      <c r="X1038" s="85" t="s">
        <v>918</v>
      </c>
      <c r="Y1038" s="31">
        <v>3003566703</v>
      </c>
      <c r="Z1038" s="692" t="s">
        <v>2615</v>
      </c>
      <c r="AA1038" s="683" t="s">
        <v>33</v>
      </c>
      <c r="AB1038" s="85" t="s">
        <v>34</v>
      </c>
      <c r="AC1038" s="19" t="s">
        <v>230</v>
      </c>
      <c r="AD1038" s="16"/>
      <c r="AE1038" s="16"/>
      <c r="AF1038" s="146">
        <v>1235.4000000000001</v>
      </c>
      <c r="AG1038" s="16"/>
      <c r="AH1038" s="16"/>
      <c r="AI1038" s="16"/>
      <c r="AJ1038" s="16"/>
      <c r="AK1038" s="16"/>
      <c r="AL1038" s="16"/>
      <c r="AM1038" s="16"/>
      <c r="AN1038" s="16"/>
      <c r="AO1038" s="16"/>
      <c r="AP1038" s="19" t="s">
        <v>240</v>
      </c>
      <c r="AQ1038" s="6" t="str">
        <f>CONCATENATE("REG-",BDEGENER[[#This Row],[FECHA DE SERVICIO]],"-",BDEGENER[[#This Row],[SERIE]],"-",BDEGENER[[#This Row],[HORAS]])</f>
        <v>REG-43526-3003566703-1235,4</v>
      </c>
      <c r="AR1038" s="5" t="str">
        <f>CONCATENATE("MARCA: ",BDEGENER[[#This Row],[MARCA]],"
 MODELO: ",BDEGENER[[#This Row],[MODELO]])</f>
        <v>MARCA: GENERAC
 MODELO: PG090</v>
      </c>
      <c r="AS1038" s="5" t="str">
        <f>CONCATENATE("MARCA: ",BDEGENER[[#This Row],[MARCA DE MOTOR]],"
SERIE: ",BDEGENER[[#This Row],[SERIE DE MOTOR]])</f>
        <v xml:space="preserve">MARCA: 
SERIE: </v>
      </c>
      <c r="AT1038" s="5" t="str">
        <f>CONCATENATE("MARCA: ",BDEGENER[[#This Row],[MARCA ALTERNADOR ]],"
SERIE: ",BDEGENER[[#This Row],[SERIE DE ALTERNADOR]])</f>
        <v xml:space="preserve">MARCA: 
SERIE: </v>
      </c>
      <c r="AU1038" s="29" t="str">
        <f>CONCATENATE("HORAS: ",BDEGENER[[#This Row],[HORAS]],"
KW-HR: ",BDEGENER[[#This Row],[KW-HORA]],"
VOLT.BATERIA: ",BDEGENER[[#This Row],[VOLTAJE DE BATERIA]],"
TEMPERATURA: ",BDEGENER[[#This Row],[TEMPERATURA DE AGUA]],"
PRES. ACEITE: ",BDEGENER[[#This Row],[PRESION DE ACEITE]])</f>
        <v xml:space="preserve">HORAS: 1235,4
KW-HR: 
VOLT.BATERIA: 
TEMPERATURA: 
PRES. ACEITE: </v>
      </c>
      <c r="AV1038" s="683">
        <f>COUNTIFS(Q1038:Q3038,"MANTENIMIENTO CORRECTIVO",Y1038:Y3038,BDEGENER[[#This Row],[SERIE]])</f>
        <v>0</v>
      </c>
      <c r="AW1038" s="683">
        <f>COUNTIFS(Q1038:Q3038,"MANTENIMIENTO PREVENTIVO",Y1038:Y3038,BDEGENER[[#This Row],[SERIE]])</f>
        <v>2</v>
      </c>
      <c r="AX103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38" s="29">
        <f>COUNTIFS(BDEGENER[SERIE],BDEGENER[[#This Row],[SERIE]],BDEGENER[TIPO DE SERVICIO],"MANTENIMIENTO PREVENTIVO")</f>
        <v>8</v>
      </c>
      <c r="AZ1038" s="29" t="str">
        <f>CONCATENATE("MANTENIMIENTO PREVENTIVO N°",BDEGENER[[#This Row],[GA1]])</f>
        <v>MANTENIMIENTO PREVENTIVO N°8</v>
      </c>
      <c r="BA1038" s="325" t="str">
        <f>IF(BDEGENER[[#This Row],[SERVICIO]]=BDEGENER[[#This Row],[GA2]],BDEGENER[[#This Row],[HORAS]],"0")</f>
        <v>0</v>
      </c>
      <c r="BB1038" s="325">
        <f>SUMIF(BDEGENER[SERIE],BDEGENER[[#This Row],[SERIE]],BDEGENER[GA3])</f>
        <v>6396.5</v>
      </c>
      <c r="BC1038" s="683" t="str">
        <f>CONCATENATE("MANT",COUNTIF($Y$7:Y1038,Y1038))</f>
        <v>MANT10</v>
      </c>
      <c r="BD1038" s="29" t="str">
        <f>CONCATENATE(BDEGENER[[#This Row],[SERIE]],BDEGENER[[#This Row],[GA5]])</f>
        <v>3003566703MANT10</v>
      </c>
      <c r="BE1038" s="29" t="str">
        <f>CONCATENATE(BDEGENER[[#This Row],[CODIGO PATRIMONIAL]],BDEGENER[[#This Row],[GA5]])</f>
        <v>NOR-GEG-0017MANT10</v>
      </c>
      <c r="BF1038" s="16">
        <f>COUNTIF(BDEGENER[SERIE],BDEGENER[[#This Row],[SERIE]])</f>
        <v>11</v>
      </c>
      <c r="BG1038" s="683" t="str">
        <f>CONCATENATE("F",COUNTIF($K$7:K1038,K1038))</f>
        <v>F3</v>
      </c>
      <c r="BH1038" s="325" t="str">
        <f>CONCATENATE(BDEGENER[[#This Row],[FECHA DE SERVICIO]],BDEGENER[[#This Row],[N° DE REGISTROS DEL DIA]])</f>
        <v>43526F3</v>
      </c>
      <c r="BI1038" s="324"/>
      <c r="BJ1038" s="325"/>
      <c r="BK1038" s="326"/>
    </row>
    <row r="1039" spans="2:63" ht="69" hidden="1" x14ac:dyDescent="0.3">
      <c r="B1039" s="34"/>
      <c r="C1039" s="34"/>
      <c r="D1039" s="34"/>
      <c r="E1039" s="34"/>
      <c r="F1039" s="34"/>
      <c r="G1039" s="34"/>
      <c r="H1039" s="34"/>
      <c r="I1039" s="34"/>
      <c r="J1039" s="34"/>
      <c r="K1039" s="37">
        <v>43522</v>
      </c>
      <c r="L1039" s="30" t="s">
        <v>561</v>
      </c>
      <c r="M1039" s="19" t="s">
        <v>562</v>
      </c>
      <c r="N1039" s="19" t="s">
        <v>563</v>
      </c>
      <c r="O1039" s="19"/>
      <c r="P1039" s="19"/>
      <c r="Q1039" s="19" t="s">
        <v>37</v>
      </c>
      <c r="R1039" s="85" t="s">
        <v>1782</v>
      </c>
      <c r="S1039" s="19" t="s">
        <v>649</v>
      </c>
      <c r="T1039" s="85" t="s">
        <v>1782</v>
      </c>
      <c r="U1039" s="19" t="s">
        <v>732</v>
      </c>
      <c r="V1039" s="19" t="s">
        <v>146</v>
      </c>
      <c r="W1039" s="19" t="s">
        <v>913</v>
      </c>
      <c r="X1039" s="19" t="s">
        <v>918</v>
      </c>
      <c r="Y1039" s="31">
        <v>3003415532</v>
      </c>
      <c r="Z1039" s="19" t="s">
        <v>2606</v>
      </c>
      <c r="AA1039" s="19" t="s">
        <v>33</v>
      </c>
      <c r="AB1039" s="19" t="s">
        <v>217</v>
      </c>
      <c r="AC1039" s="19" t="s">
        <v>749</v>
      </c>
      <c r="AD1039" s="16"/>
      <c r="AE1039" s="16"/>
      <c r="AF1039" s="146">
        <v>845.8</v>
      </c>
      <c r="AG1039" s="16"/>
      <c r="AH1039" s="16"/>
      <c r="AI1039" s="16"/>
      <c r="AJ1039" s="16"/>
      <c r="AK1039" s="16"/>
      <c r="AL1039" s="16"/>
      <c r="AM1039" s="16"/>
      <c r="AN1039" s="16"/>
      <c r="AO1039" s="16"/>
      <c r="AP1039" s="19" t="s">
        <v>240</v>
      </c>
      <c r="AQ1039" s="6" t="str">
        <f>CONCATENATE("REG-",BDEGENER[[#This Row],[FECHA DE SERVICIO]],"-",BDEGENER[[#This Row],[SERIE]],"-",BDEGENER[[#This Row],[HORAS]])</f>
        <v>REG-43522-3003415532-845,8</v>
      </c>
      <c r="AR1039" s="5" t="str">
        <f>CONCATENATE("MARCA: ",BDEGENER[[#This Row],[MARCA]],"
 MODELO: ",BDEGENER[[#This Row],[MODELO]])</f>
        <v>MARCA: GENERAC
 MODELO: RG022</v>
      </c>
      <c r="AS1039" s="5" t="str">
        <f>CONCATENATE("MARCA: ",BDEGENER[[#This Row],[MARCA DE MOTOR]],"
SERIE: ",BDEGENER[[#This Row],[SERIE DE MOTOR]])</f>
        <v xml:space="preserve">MARCA: 
SERIE: </v>
      </c>
      <c r="AT1039" s="5" t="str">
        <f>CONCATENATE("MARCA: ",BDEGENER[[#This Row],[MARCA ALTERNADOR ]],"
SERIE: ",BDEGENER[[#This Row],[SERIE DE ALTERNADOR]])</f>
        <v xml:space="preserve">MARCA: 
SERIE: </v>
      </c>
      <c r="AU1039" s="29" t="str">
        <f>CONCATENATE("HORAS: ",BDEGENER[[#This Row],[HORAS]],"
KW-HR: ",BDEGENER[[#This Row],[KW-HORA]],"
VOLT.BATERIA: ",BDEGENER[[#This Row],[VOLTAJE DE BATERIA]],"
TEMPERATURA: ",BDEGENER[[#This Row],[TEMPERATURA DE AGUA]],"
PRES. ACEITE: ",BDEGENER[[#This Row],[PRESION DE ACEITE]])</f>
        <v xml:space="preserve">HORAS: 845,8
KW-HR: 
VOLT.BATERIA: 
TEMPERATURA: 
PRES. ACEITE: </v>
      </c>
      <c r="AV1039" s="761">
        <f>COUNTIFS(Q1039:Q3039,"MANTENIMIENTO CORRECTIVO",Y1039:Y3039,BDEGENER[[#This Row],[SERIE]])</f>
        <v>0</v>
      </c>
      <c r="AW1039" s="761">
        <f>COUNTIFS(Q1039:Q3039,"MANTENIMIENTO PREVENTIVO",Y1039:Y3039,BDEGENER[[#This Row],[SERIE]])</f>
        <v>2</v>
      </c>
      <c r="AX103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39" s="29">
        <f>COUNTIFS(BDEGENER[SERIE],BDEGENER[[#This Row],[SERIE]],BDEGENER[TIPO DE SERVICIO],"MANTENIMIENTO PREVENTIVO")</f>
        <v>14</v>
      </c>
      <c r="AZ1039" s="29" t="str">
        <f>CONCATENATE("MANTENIMIENTO PREVENTIVO N°",BDEGENER[[#This Row],[GA1]])</f>
        <v>MANTENIMIENTO PREVENTIVO N°14</v>
      </c>
      <c r="BA1039" s="325" t="str">
        <f>IF(BDEGENER[[#This Row],[SERVICIO]]=BDEGENER[[#This Row],[GA2]],BDEGENER[[#This Row],[HORAS]],"0")</f>
        <v>0</v>
      </c>
      <c r="BB1039" s="325">
        <f>SUMIF(BDEGENER[SERIE],BDEGENER[[#This Row],[SERIE]],BDEGENER[GA3])</f>
        <v>5730.6</v>
      </c>
      <c r="BC1039" s="761" t="str">
        <f>CONCATENATE("MANT",COUNTIF($Y$7:Y1039,Y1039))</f>
        <v>MANT13</v>
      </c>
      <c r="BD1039" s="29" t="str">
        <f>CONCATENATE(BDEGENER[[#This Row],[SERIE]],BDEGENER[[#This Row],[GA5]])</f>
        <v>3003415532MANT13</v>
      </c>
      <c r="BE1039" s="29" t="str">
        <f>CONCATENATE(BDEGENER[[#This Row],[CODIGO PATRIMONIAL]],BDEGENER[[#This Row],[GA5]])</f>
        <v>SUR-GEG-0010MANT13</v>
      </c>
      <c r="BF1039" s="16">
        <f>COUNTIF(BDEGENER[SERIE],BDEGENER[[#This Row],[SERIE]])</f>
        <v>14</v>
      </c>
      <c r="BG1039" s="761" t="str">
        <f>CONCATENATE("F",COUNTIF($K$7:K1039,K1039))</f>
        <v>F1</v>
      </c>
      <c r="BH1039" s="325" t="str">
        <f>CONCATENATE(BDEGENER[[#This Row],[FECHA DE SERVICIO]],BDEGENER[[#This Row],[N° DE REGISTROS DEL DIA]])</f>
        <v>43522F1</v>
      </c>
      <c r="BI1039" s="324"/>
      <c r="BJ1039" s="325"/>
      <c r="BK1039" s="326"/>
    </row>
    <row r="1040" spans="2:63" ht="69" hidden="1" x14ac:dyDescent="0.3">
      <c r="B1040" s="223"/>
      <c r="C1040" s="223"/>
      <c r="D1040" s="223"/>
      <c r="E1040" s="223"/>
      <c r="F1040" s="223"/>
      <c r="G1040" s="223"/>
      <c r="H1040" s="223"/>
      <c r="I1040" s="223"/>
      <c r="J1040" s="223"/>
      <c r="K1040" s="723">
        <v>43521</v>
      </c>
      <c r="L1040" s="15" t="s">
        <v>181</v>
      </c>
      <c r="M1040" s="14" t="s">
        <v>197</v>
      </c>
      <c r="N1040" s="14" t="s">
        <v>201</v>
      </c>
      <c r="O1040" s="8"/>
      <c r="P1040" s="10"/>
      <c r="Q1040" s="14" t="s">
        <v>107</v>
      </c>
      <c r="R1040" s="85" t="s">
        <v>1782</v>
      </c>
      <c r="S1040" s="5" t="s">
        <v>71</v>
      </c>
      <c r="T1040" s="85" t="s">
        <v>1782</v>
      </c>
      <c r="U1040" s="14" t="s">
        <v>140</v>
      </c>
      <c r="V1040" s="14" t="s">
        <v>148</v>
      </c>
      <c r="W1040" s="14"/>
      <c r="X1040" s="14"/>
      <c r="Y1040" s="15"/>
      <c r="Z1040" s="14" t="s">
        <v>228</v>
      </c>
      <c r="AA1040" s="14"/>
      <c r="AB1040" s="14"/>
      <c r="AC1040" s="14"/>
      <c r="AD1040" s="16"/>
      <c r="AE1040" s="16"/>
      <c r="AF1040" s="12">
        <v>8837.2000000000007</v>
      </c>
      <c r="AG1040" s="16"/>
      <c r="AH1040" s="16"/>
      <c r="AI1040" s="16"/>
      <c r="AJ1040" s="16"/>
      <c r="AK1040" s="16"/>
      <c r="AL1040" s="16"/>
      <c r="AM1040" s="16"/>
      <c r="AN1040" s="16"/>
      <c r="AO1040" s="16"/>
      <c r="AP1040" s="14" t="s">
        <v>240</v>
      </c>
      <c r="AQ1040" s="6" t="str">
        <f>CONCATENATE("REG-",BDEGENER[[#This Row],[FECHA DE SERVICIO]],"-",BDEGENER[[#This Row],[SERIE]],"-",BDEGENER[[#This Row],[HORAS]])</f>
        <v>REG-43521--8837,2</v>
      </c>
      <c r="AR1040" s="5" t="str">
        <f>CONCATENATE("MARCA: ",BDEGENER[[#This Row],[MARCA]],"
 MODELO: ",BDEGENER[[#This Row],[MODELO]])</f>
        <v xml:space="preserve">MARCA: 
 MODELO: </v>
      </c>
      <c r="AS1040" s="5" t="str">
        <f>CONCATENATE("MARCA: ",BDEGENER[[#This Row],[MARCA DE MOTOR]],"
SERIE: ",BDEGENER[[#This Row],[SERIE DE MOTOR]])</f>
        <v xml:space="preserve">MARCA: 
SERIE: </v>
      </c>
      <c r="AT1040" s="5" t="str">
        <f>CONCATENATE("MARCA: ",BDEGENER[[#This Row],[MARCA ALTERNADOR ]],"
SERIE: ",BDEGENER[[#This Row],[SERIE DE ALTERNADOR]])</f>
        <v xml:space="preserve">MARCA: 
SERIE: </v>
      </c>
      <c r="AU1040" s="5" t="str">
        <f>CONCATENATE("HORAS: ",BDEGENER[[#This Row],[HORAS]],"
KW-HR: ",BDEGENER[[#This Row],[KW-HORA]],"
VOLT.BATERIA: ",BDEGENER[[#This Row],[VOLTAJE DE BATERIA]],"
TEMPERATURA: ",BDEGENER[[#This Row],[TEMPERATURA DE AGUA]],"
PRES. ACEITE: ",BDEGENER[[#This Row],[PRESION DE ACEITE]])</f>
        <v xml:space="preserve">HORAS: 8837,2
KW-HR: 
VOLT.BATERIA: 
TEMPERATURA: 
PRES. ACEITE: </v>
      </c>
      <c r="AV1040" s="683">
        <f>COUNTIFS(Q1040:Q3040,"MANTENIMIENTO CORRECTIVO",Y1040:Y3040,BDEGENER[[#This Row],[SERIE]])</f>
        <v>0</v>
      </c>
      <c r="AW1040" s="683">
        <f>COUNTIFS(Q1040:Q3040,"MANTENIMIENTO PREVENTIVO",Y1040:Y3040,BDEGENER[[#This Row],[SERIE]])</f>
        <v>0</v>
      </c>
      <c r="AX104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N°0</v>
      </c>
      <c r="AY1040" s="29">
        <f>COUNTIFS(BDEGENER[SERIE],BDEGENER[[#This Row],[SERIE]],BDEGENER[TIPO DE SERVICIO],"MANTENIMIENTO PREVENTIVO")</f>
        <v>0</v>
      </c>
      <c r="AZ1040" s="29" t="str">
        <f>CONCATENATE("MANTENIMIENTO PREVENTIVO N°",BDEGENER[[#This Row],[GA1]])</f>
        <v>MANTENIMIENTO PREVENTIVO N°0</v>
      </c>
      <c r="BA1040" s="325" t="str">
        <f>IF(BDEGENER[[#This Row],[SERVICIO]]=BDEGENER[[#This Row],[GA2]],BDEGENER[[#This Row],[HORAS]],"0")</f>
        <v>0</v>
      </c>
      <c r="BB1040" s="325">
        <f>SUMIF(BDEGENER[SERIE],BDEGENER[[#This Row],[SERIE]],BDEGENER[GA3])</f>
        <v>0</v>
      </c>
      <c r="BC1040" s="683" t="str">
        <f>CONCATENATE("MANT",COUNTIF($Y$7:Y1040,Y1040))</f>
        <v>MANT0</v>
      </c>
      <c r="BD1040" s="29" t="str">
        <f>CONCATENATE(BDEGENER[[#This Row],[SERIE]],BDEGENER[[#This Row],[GA5]])</f>
        <v>MANT0</v>
      </c>
      <c r="BE1040" s="29" t="str">
        <f>CONCATENATE(BDEGENER[[#This Row],[CODIGO PATRIMONIAL]],BDEGENER[[#This Row],[GA5]])</f>
        <v>GEGA 01MANT0</v>
      </c>
      <c r="BF1040" s="16">
        <f>COUNTIF(BDEGENER[SERIE],BDEGENER[[#This Row],[SERIE]])</f>
        <v>0</v>
      </c>
      <c r="BG1040" s="683" t="str">
        <f>CONCATENATE("F",COUNTIF($K$7:K1040,K1040))</f>
        <v>F1</v>
      </c>
      <c r="BH1040" s="325" t="str">
        <f>CONCATENATE(BDEGENER[[#This Row],[FECHA DE SERVICIO]],BDEGENER[[#This Row],[N° DE REGISTROS DEL DIA]])</f>
        <v>43521F1</v>
      </c>
      <c r="BI1040" s="324"/>
      <c r="BJ1040" s="325"/>
      <c r="BK1040" s="326"/>
    </row>
    <row r="1041" spans="2:63" ht="69" hidden="1" x14ac:dyDescent="0.3">
      <c r="B1041" s="34"/>
      <c r="C1041" s="34"/>
      <c r="D1041" s="34"/>
      <c r="E1041" s="34"/>
      <c r="F1041" s="34"/>
      <c r="G1041" s="34"/>
      <c r="H1041" s="34"/>
      <c r="I1041" s="34"/>
      <c r="J1041" s="34"/>
      <c r="K1041" s="37">
        <v>43518</v>
      </c>
      <c r="L1041" s="30" t="s">
        <v>561</v>
      </c>
      <c r="M1041" s="19" t="s">
        <v>567</v>
      </c>
      <c r="N1041" s="19" t="s">
        <v>568</v>
      </c>
      <c r="O1041" s="19"/>
      <c r="P1041" s="19"/>
      <c r="Q1041" s="19" t="s">
        <v>37</v>
      </c>
      <c r="R1041" s="85" t="s">
        <v>1782</v>
      </c>
      <c r="S1041" s="19" t="s">
        <v>650</v>
      </c>
      <c r="T1041" s="85" t="s">
        <v>1782</v>
      </c>
      <c r="U1041" s="19" t="s">
        <v>733</v>
      </c>
      <c r="V1041" s="19" t="s">
        <v>146</v>
      </c>
      <c r="W1041" s="85" t="s">
        <v>914</v>
      </c>
      <c r="X1041" s="85" t="s">
        <v>918</v>
      </c>
      <c r="Y1041" s="31">
        <v>3003962766</v>
      </c>
      <c r="Z1041" s="692" t="s">
        <v>2602</v>
      </c>
      <c r="AA1041" s="683" t="s">
        <v>33</v>
      </c>
      <c r="AB1041" s="85" t="s">
        <v>34</v>
      </c>
      <c r="AC1041" s="19" t="s">
        <v>230</v>
      </c>
      <c r="AD1041" s="16"/>
      <c r="AE1041" s="16"/>
      <c r="AF1041" s="146">
        <v>45.6</v>
      </c>
      <c r="AG1041" s="16"/>
      <c r="AH1041" s="16"/>
      <c r="AI1041" s="16"/>
      <c r="AJ1041" s="16"/>
      <c r="AK1041" s="16"/>
      <c r="AL1041" s="16"/>
      <c r="AM1041" s="16"/>
      <c r="AN1041" s="16"/>
      <c r="AO1041" s="16"/>
      <c r="AP1041" s="19" t="s">
        <v>240</v>
      </c>
      <c r="AQ1041" s="6" t="str">
        <f>CONCATENATE("REG-",BDEGENER[[#This Row],[FECHA DE SERVICIO]],"-",BDEGENER[[#This Row],[SERIE]],"-",BDEGENER[[#This Row],[HORAS]])</f>
        <v>REG-43518-3003962766-45,6</v>
      </c>
      <c r="AR1041" s="5" t="str">
        <f>CONCATENATE("MARCA: ",BDEGENER[[#This Row],[MARCA]],"
 MODELO: ",BDEGENER[[#This Row],[MODELO]])</f>
        <v>MARCA: GENERAC
 MODELO: PG090</v>
      </c>
      <c r="AS1041" s="5" t="str">
        <f>CONCATENATE("MARCA: ",BDEGENER[[#This Row],[MARCA DE MOTOR]],"
SERIE: ",BDEGENER[[#This Row],[SERIE DE MOTOR]])</f>
        <v xml:space="preserve">MARCA: 
SERIE: </v>
      </c>
      <c r="AT1041" s="5" t="str">
        <f>CONCATENATE("MARCA: ",BDEGENER[[#This Row],[MARCA ALTERNADOR ]],"
SERIE: ",BDEGENER[[#This Row],[SERIE DE ALTERNADOR]])</f>
        <v xml:space="preserve">MARCA: 
SERIE: </v>
      </c>
      <c r="AU1041" s="29" t="str">
        <f>CONCATENATE("HORAS: ",BDEGENER[[#This Row],[HORAS]],"
KW-HR: ",BDEGENER[[#This Row],[KW-HORA]],"
VOLT.BATERIA: ",BDEGENER[[#This Row],[VOLTAJE DE BATERIA]],"
TEMPERATURA: ",BDEGENER[[#This Row],[TEMPERATURA DE AGUA]],"
PRES. ACEITE: ",BDEGENER[[#This Row],[PRESION DE ACEITE]])</f>
        <v xml:space="preserve">HORAS: 45,6
KW-HR: 
VOLT.BATERIA: 
TEMPERATURA: 
PRES. ACEITE: </v>
      </c>
      <c r="AV1041" s="683">
        <f>COUNTIFS(Q1041:Q3041,"MANTENIMIENTO CORRECTIVO",Y1041:Y3041,BDEGENER[[#This Row],[SERIE]])</f>
        <v>0</v>
      </c>
      <c r="AW1041" s="683">
        <f>COUNTIFS(Q1041:Q3041,"MANTENIMIENTO PREVENTIVO",Y1041:Y3041,BDEGENER[[#This Row],[SERIE]])</f>
        <v>1</v>
      </c>
      <c r="AX104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41" s="29">
        <f>COUNTIFS(BDEGENER[SERIE],BDEGENER[[#This Row],[SERIE]],BDEGENER[TIPO DE SERVICIO],"MANTENIMIENTO PREVENTIVO")</f>
        <v>9</v>
      </c>
      <c r="AZ1041" s="29" t="str">
        <f>CONCATENATE("MANTENIMIENTO PREVENTIVO N°",BDEGENER[[#This Row],[GA1]])</f>
        <v>MANTENIMIENTO PREVENTIVO N°9</v>
      </c>
      <c r="BA1041" s="325" t="str">
        <f>IF(BDEGENER[[#This Row],[SERVICIO]]=BDEGENER[[#This Row],[GA2]],BDEGENER[[#This Row],[HORAS]],"0")</f>
        <v>0</v>
      </c>
      <c r="BB1041" s="325">
        <f>SUMIF(BDEGENER[SERIE],BDEGENER[[#This Row],[SERIE]],BDEGENER[GA3])</f>
        <v>4662.2</v>
      </c>
      <c r="BC1041" s="683" t="str">
        <f>CONCATENATE("MANT",COUNTIF($Y$7:Y1041,Y1041))</f>
        <v>MANT15</v>
      </c>
      <c r="BD1041" s="29" t="str">
        <f>CONCATENATE(BDEGENER[[#This Row],[SERIE]],BDEGENER[[#This Row],[GA5]])</f>
        <v>3003962766MANT15</v>
      </c>
      <c r="BE1041" s="29" t="str">
        <f>CONCATENATE(BDEGENER[[#This Row],[CODIGO PATRIMONIAL]],BDEGENER[[#This Row],[GA5]])</f>
        <v>SUR-GEG-0006MANT15</v>
      </c>
      <c r="BF1041" s="16">
        <f>COUNTIF(BDEGENER[SERIE],BDEGENER[[#This Row],[SERIE]])</f>
        <v>16</v>
      </c>
      <c r="BG1041" s="683" t="str">
        <f>CONCATENATE("F",COUNTIF($K$7:K1041,K1041))</f>
        <v>F1</v>
      </c>
      <c r="BH1041" s="325" t="str">
        <f>CONCATENATE(BDEGENER[[#This Row],[FECHA DE SERVICIO]],BDEGENER[[#This Row],[N° DE REGISTROS DEL DIA]])</f>
        <v>43518F1</v>
      </c>
      <c r="BI1041" s="324"/>
      <c r="BJ1041" s="325"/>
      <c r="BK1041" s="326"/>
    </row>
    <row r="1042" spans="2:63" ht="69" hidden="1" x14ac:dyDescent="0.3">
      <c r="B1042" s="5"/>
      <c r="C1042" s="34"/>
      <c r="D1042" s="34"/>
      <c r="E1042" s="34"/>
      <c r="F1042" s="34"/>
      <c r="G1042" s="34"/>
      <c r="H1042" s="34"/>
      <c r="I1042" s="34"/>
      <c r="J1042" s="34"/>
      <c r="K1042" s="37">
        <v>43511</v>
      </c>
      <c r="L1042" s="30" t="s">
        <v>764</v>
      </c>
      <c r="M1042" s="19" t="s">
        <v>766</v>
      </c>
      <c r="N1042" s="19" t="s">
        <v>767</v>
      </c>
      <c r="O1042" s="35"/>
      <c r="P1042" s="3"/>
      <c r="Q1042" s="19" t="s">
        <v>37</v>
      </c>
      <c r="R1042" s="85" t="s">
        <v>1782</v>
      </c>
      <c r="S1042" s="19" t="s">
        <v>779</v>
      </c>
      <c r="T1042" s="85" t="s">
        <v>1782</v>
      </c>
      <c r="U1042" s="19" t="s">
        <v>780</v>
      </c>
      <c r="V1042" s="19" t="s">
        <v>146</v>
      </c>
      <c r="W1042" s="19"/>
      <c r="X1042" s="19"/>
      <c r="Y1042" s="31" t="s">
        <v>785</v>
      </c>
      <c r="Z1042" s="19"/>
      <c r="AA1042" s="19"/>
      <c r="AB1042" s="19" t="s">
        <v>786</v>
      </c>
      <c r="AC1042" s="19"/>
      <c r="AD1042" s="16"/>
      <c r="AE1042" s="16"/>
      <c r="AF1042" s="31"/>
      <c r="AG1042" s="16"/>
      <c r="AH1042" s="16"/>
      <c r="AI1042" s="16"/>
      <c r="AJ1042" s="16"/>
      <c r="AK1042" s="16"/>
      <c r="AL1042" s="16"/>
      <c r="AM1042" s="16"/>
      <c r="AN1042" s="16"/>
      <c r="AO1042" s="16"/>
      <c r="AP1042" s="19" t="s">
        <v>240</v>
      </c>
      <c r="AQ1042" s="6" t="str">
        <f>CONCATENATE("REG-",BDEGENER[[#This Row],[FECHA DE SERVICIO]],"-",BDEGENER[[#This Row],[SERIE]],"-",BDEGENER[[#This Row],[HORAS]])</f>
        <v>REG-43511-E1501482-</v>
      </c>
      <c r="AR1042" s="29" t="str">
        <f>CONCATENATE("MARCA: ",BDEGENER[[#This Row],[MARCA]],"
 MODELO: ",BDEGENER[[#This Row],[MODELO]])</f>
        <v>MARCA: 
 MODELO: PLY30</v>
      </c>
      <c r="AS1042" s="29" t="str">
        <f>CONCATENATE("MARCA: ",BDEGENER[[#This Row],[MARCA DE MOTOR]],"
SERIE: ",BDEGENER[[#This Row],[SERIE DE MOTOR]])</f>
        <v xml:space="preserve">MARCA: 
SERIE: </v>
      </c>
      <c r="AT1042" s="29" t="str">
        <f>CONCATENATE("MARCA: ",BDEGENER[[#This Row],[MARCA ALTERNADOR ]],"
SERIE: ",BDEGENER[[#This Row],[SERIE DE ALTERNADOR]])</f>
        <v xml:space="preserve">MARCA: 
SERIE: </v>
      </c>
      <c r="AU1042" s="29" t="str">
        <f>CONCATENATE("HORAS: ",BDEGENER[[#This Row],[HORAS]],"
KW-HR: ",BDEGENER[[#This Row],[KW-HORA]],"
VOLT.BATERIA: ",BDEGENER[[#This Row],[VOLTAJE DE BATERIA]],"
TEMPERATURA: ",BDEGENER[[#This Row],[TEMPERATURA DE AGUA]],"
PRES. ACEITE: ",BDEGENER[[#This Row],[PRESION DE ACEITE]])</f>
        <v xml:space="preserve">HORAS: 
KW-HR: 
VOLT.BATERIA: 
TEMPERATURA: 
PRES. ACEITE: </v>
      </c>
      <c r="AV1042" s="761">
        <f>COUNTIFS(Q1042:Q3042,"MANTENIMIENTO CORRECTIVO",Y1042:Y3042,BDEGENER[[#This Row],[SERIE]])</f>
        <v>0</v>
      </c>
      <c r="AW1042" s="761">
        <f>COUNTIFS(Q1042:Q3042,"MANTENIMIENTO PREVENTIVO",Y1042:Y3042,BDEGENER[[#This Row],[SERIE]])</f>
        <v>1</v>
      </c>
      <c r="AX104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42" s="29">
        <f>COUNTIFS(BDEGENER[SERIE],BDEGENER[[#This Row],[SERIE]],BDEGENER[TIPO DE SERVICIO],"MANTENIMIENTO PREVENTIVO")</f>
        <v>1</v>
      </c>
      <c r="AZ1042" s="29" t="str">
        <f>CONCATENATE("MANTENIMIENTO PREVENTIVO N°",BDEGENER[[#This Row],[GA1]])</f>
        <v>MANTENIMIENTO PREVENTIVO N°1</v>
      </c>
      <c r="BA1042" s="325">
        <f>IF(BDEGENER[[#This Row],[SERVICIO]]=BDEGENER[[#This Row],[GA2]],BDEGENER[[#This Row],[HORAS]],"0")</f>
        <v>0</v>
      </c>
      <c r="BB1042" s="325">
        <f>SUMIF(BDEGENER[SERIE],BDEGENER[[#This Row],[SERIE]],BDEGENER[GA3])</f>
        <v>0</v>
      </c>
      <c r="BC1042" s="761" t="str">
        <f>CONCATENATE("MANT",COUNTIF($Y$7:Y1042,Y1042))</f>
        <v>MANT1</v>
      </c>
      <c r="BD1042" s="29" t="str">
        <f>CONCATENATE(BDEGENER[[#This Row],[SERIE]],BDEGENER[[#This Row],[GA5]])</f>
        <v>E1501482MANT1</v>
      </c>
      <c r="BE1042" s="29" t="str">
        <f>CONCATENATE(BDEGENER[[#This Row],[CODIGO PATRIMONIAL]],BDEGENER[[#This Row],[GA5]])</f>
        <v>MANT1</v>
      </c>
      <c r="BF1042" s="16">
        <f>COUNTIF(BDEGENER[SERIE],BDEGENER[[#This Row],[SERIE]])</f>
        <v>1</v>
      </c>
      <c r="BG1042" s="761" t="str">
        <f>CONCATENATE("F",COUNTIF($K$7:K1042,K1042))</f>
        <v>F1</v>
      </c>
      <c r="BH1042" s="325" t="str">
        <f>CONCATENATE(BDEGENER[[#This Row],[FECHA DE SERVICIO]],BDEGENER[[#This Row],[N° DE REGISTROS DEL DIA]])</f>
        <v>43511F1</v>
      </c>
      <c r="BI1042" s="324"/>
      <c r="BJ1042" s="325"/>
      <c r="BK1042" s="326"/>
    </row>
    <row r="1043" spans="2:63" ht="69" hidden="1" x14ac:dyDescent="0.3">
      <c r="B1043" s="34"/>
      <c r="C1043" s="34"/>
      <c r="D1043" s="34"/>
      <c r="E1043" s="34"/>
      <c r="F1043" s="34"/>
      <c r="G1043" s="34"/>
      <c r="H1043" s="34"/>
      <c r="I1043" s="34"/>
      <c r="J1043" s="34"/>
      <c r="K1043" s="37">
        <v>43507</v>
      </c>
      <c r="L1043" s="30" t="s">
        <v>561</v>
      </c>
      <c r="M1043" s="19" t="s">
        <v>588</v>
      </c>
      <c r="N1043" s="19" t="s">
        <v>589</v>
      </c>
      <c r="O1043" s="19"/>
      <c r="P1043" s="19"/>
      <c r="Q1043" s="19" t="s">
        <v>37</v>
      </c>
      <c r="R1043" s="85" t="s">
        <v>1782</v>
      </c>
      <c r="S1043" s="19" t="s">
        <v>651</v>
      </c>
      <c r="T1043" s="85" t="s">
        <v>1782</v>
      </c>
      <c r="U1043" s="19" t="s">
        <v>734</v>
      </c>
      <c r="V1043" s="19" t="s">
        <v>146</v>
      </c>
      <c r="W1043" s="85" t="s">
        <v>914</v>
      </c>
      <c r="X1043" s="85" t="s">
        <v>918</v>
      </c>
      <c r="Y1043" s="31">
        <v>3003566699</v>
      </c>
      <c r="Z1043" s="692" t="s">
        <v>2619</v>
      </c>
      <c r="AA1043" s="19" t="s">
        <v>33</v>
      </c>
      <c r="AB1043" s="85" t="s">
        <v>34</v>
      </c>
      <c r="AC1043" s="19" t="s">
        <v>230</v>
      </c>
      <c r="AD1043" s="16"/>
      <c r="AE1043" s="16"/>
      <c r="AF1043" s="146">
        <v>876.7</v>
      </c>
      <c r="AG1043" s="16" t="s">
        <v>243</v>
      </c>
      <c r="AH1043" s="16" t="s">
        <v>244</v>
      </c>
      <c r="AI1043" s="16"/>
      <c r="AJ1043" s="16"/>
      <c r="AK1043" s="16"/>
      <c r="AL1043" s="16"/>
      <c r="AM1043" s="16"/>
      <c r="AN1043" s="16"/>
      <c r="AO1043" s="16"/>
      <c r="AP1043" s="19" t="s">
        <v>240</v>
      </c>
      <c r="AQ1043" s="6" t="str">
        <f>CONCATENATE("REG-",BDEGENER[[#This Row],[FECHA DE SERVICIO]],"-",BDEGENER[[#This Row],[SERIE]],"-",BDEGENER[[#This Row],[HORAS]])</f>
        <v>REG-43507-3003566699-876,7</v>
      </c>
      <c r="AR1043" s="5" t="str">
        <f>CONCATENATE("MARCA: ",BDEGENER[[#This Row],[MARCA]],"
 MODELO: ",BDEGENER[[#This Row],[MODELO]])</f>
        <v>MARCA: GENERAC
 MODELO: PG090</v>
      </c>
      <c r="AS1043" s="5" t="str">
        <f>CONCATENATE("MARCA: ",BDEGENER[[#This Row],[MARCA DE MOTOR]],"
SERIE: ",BDEGENER[[#This Row],[SERIE DE MOTOR]])</f>
        <v xml:space="preserve">MARCA: 
SERIE: </v>
      </c>
      <c r="AT1043" s="5" t="str">
        <f>CONCATENATE("MARCA: ",BDEGENER[[#This Row],[MARCA ALTERNADOR ]],"
SERIE: ",BDEGENER[[#This Row],[SERIE DE ALTERNADOR]])</f>
        <v xml:space="preserve">MARCA: 
SERIE: </v>
      </c>
      <c r="AU1043" s="29" t="str">
        <f>CONCATENATE("HORAS: ",BDEGENER[[#This Row],[HORAS]],"
KW-HR: ",BDEGENER[[#This Row],[KW-HORA]],"
VOLT.BATERIA: ",BDEGENER[[#This Row],[VOLTAJE DE BATERIA]],"
TEMPERATURA: ",BDEGENER[[#This Row],[TEMPERATURA DE AGUA]],"
PRES. ACEITE: ",BDEGENER[[#This Row],[PRESION DE ACEITE]])</f>
        <v xml:space="preserve">HORAS: 876,7
KW-HR: 
VOLT.BATERIA: 
TEMPERATURA: 
PRES. ACEITE: </v>
      </c>
      <c r="AV1043" s="683">
        <f>COUNTIFS(Q1043:Q3043,"MANTENIMIENTO CORRECTIVO",Y1043:Y3043,BDEGENER[[#This Row],[SERIE]])</f>
        <v>1</v>
      </c>
      <c r="AW1043" s="683">
        <f>COUNTIFS(Q1043:Q3043,"MANTENIMIENTO PREVENTIVO",Y1043:Y3043,BDEGENER[[#This Row],[SERIE]])</f>
        <v>2</v>
      </c>
      <c r="AX104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43" s="29">
        <f>COUNTIFS(BDEGENER[SERIE],BDEGENER[[#This Row],[SERIE]],BDEGENER[TIPO DE SERVICIO],"MANTENIMIENTO PREVENTIVO")</f>
        <v>12</v>
      </c>
      <c r="AZ1043" s="29" t="str">
        <f>CONCATENATE("MANTENIMIENTO PREVENTIVO N°",BDEGENER[[#This Row],[GA1]])</f>
        <v>MANTENIMIENTO PREVENTIVO N°12</v>
      </c>
      <c r="BA1043" s="325" t="str">
        <f>IF(BDEGENER[[#This Row],[SERVICIO]]=BDEGENER[[#This Row],[GA2]],BDEGENER[[#This Row],[HORAS]],"0")</f>
        <v>0</v>
      </c>
      <c r="BB1043" s="325">
        <f>SUMIF(BDEGENER[SERIE],BDEGENER[[#This Row],[SERIE]],BDEGENER[GA3])</f>
        <v>8154.7</v>
      </c>
      <c r="BC1043" s="683" t="str">
        <f>CONCATENATE("MANT",COUNTIF($Y$7:Y1043,Y1043))</f>
        <v>MANT15</v>
      </c>
      <c r="BD1043" s="29" t="str">
        <f>CONCATENATE(BDEGENER[[#This Row],[SERIE]],BDEGENER[[#This Row],[GA5]])</f>
        <v>3003566699MANT15</v>
      </c>
      <c r="BE1043" s="29" t="str">
        <f>CONCATENATE(BDEGENER[[#This Row],[CODIGO PATRIMONIAL]],BDEGENER[[#This Row],[GA5]])</f>
        <v>NOR-GEG-0021MANT15</v>
      </c>
      <c r="BF1043" s="16">
        <f>COUNTIF(BDEGENER[SERIE],BDEGENER[[#This Row],[SERIE]])</f>
        <v>17</v>
      </c>
      <c r="BG1043" s="683" t="str">
        <f>CONCATENATE("F",COUNTIF($K$7:K1043,K1043))</f>
        <v>F1</v>
      </c>
      <c r="BH1043" s="325" t="str">
        <f>CONCATENATE(BDEGENER[[#This Row],[FECHA DE SERVICIO]],BDEGENER[[#This Row],[N° DE REGISTROS DEL DIA]])</f>
        <v>43507F1</v>
      </c>
      <c r="BI1043" s="324"/>
      <c r="BJ1043" s="325"/>
      <c r="BK1043" s="326"/>
    </row>
    <row r="1044" spans="2:63" ht="69" hidden="1" x14ac:dyDescent="0.3">
      <c r="B1044" s="34"/>
      <c r="C1044" s="34"/>
      <c r="D1044" s="34"/>
      <c r="E1044" s="34"/>
      <c r="F1044" s="34"/>
      <c r="G1044" s="34"/>
      <c r="H1044" s="34"/>
      <c r="I1044" s="34"/>
      <c r="J1044" s="34"/>
      <c r="K1044" s="37">
        <v>43504</v>
      </c>
      <c r="L1044" s="30" t="s">
        <v>561</v>
      </c>
      <c r="M1044" s="19" t="s">
        <v>567</v>
      </c>
      <c r="N1044" s="19" t="s">
        <v>568</v>
      </c>
      <c r="O1044" s="19"/>
      <c r="P1044" s="19"/>
      <c r="Q1044" s="19" t="s">
        <v>37</v>
      </c>
      <c r="R1044" s="85" t="s">
        <v>1782</v>
      </c>
      <c r="S1044" s="19" t="s">
        <v>652</v>
      </c>
      <c r="T1044" s="85" t="s">
        <v>1782</v>
      </c>
      <c r="U1044" s="19" t="s">
        <v>735</v>
      </c>
      <c r="V1044" s="19" t="s">
        <v>148</v>
      </c>
      <c r="W1044" s="19"/>
      <c r="X1044" s="19"/>
      <c r="Y1044" s="31">
        <v>3003415544</v>
      </c>
      <c r="Z1044" s="692" t="s">
        <v>2601</v>
      </c>
      <c r="AA1044" s="19" t="s">
        <v>33</v>
      </c>
      <c r="AB1044" s="19" t="s">
        <v>217</v>
      </c>
      <c r="AC1044" s="19" t="s">
        <v>749</v>
      </c>
      <c r="AD1044" s="16"/>
      <c r="AE1044" s="16"/>
      <c r="AF1044" s="146">
        <v>954.5</v>
      </c>
      <c r="AG1044" s="16"/>
      <c r="AH1044" s="16"/>
      <c r="AI1044" s="16"/>
      <c r="AJ1044" s="16"/>
      <c r="AK1044" s="16"/>
      <c r="AL1044" s="16"/>
      <c r="AM1044" s="16"/>
      <c r="AN1044" s="16"/>
      <c r="AO1044" s="16"/>
      <c r="AP1044" s="19" t="s">
        <v>240</v>
      </c>
      <c r="AQ1044" s="6" t="str">
        <f>CONCATENATE("REG-",BDEGENER[[#This Row],[FECHA DE SERVICIO]],"-",BDEGENER[[#This Row],[SERIE]],"-",BDEGENER[[#This Row],[HORAS]])</f>
        <v>REG-43504-3003415544-954,5</v>
      </c>
      <c r="AR1044" s="5" t="str">
        <f>CONCATENATE("MARCA: ",BDEGENER[[#This Row],[MARCA]],"
 MODELO: ",BDEGENER[[#This Row],[MODELO]])</f>
        <v>MARCA: GENERAC
 MODELO: RG022</v>
      </c>
      <c r="AS1044" s="5" t="str">
        <f>CONCATENATE("MARCA: ",BDEGENER[[#This Row],[MARCA DE MOTOR]],"
SERIE: ",BDEGENER[[#This Row],[SERIE DE MOTOR]])</f>
        <v xml:space="preserve">MARCA: 
SERIE: </v>
      </c>
      <c r="AT1044" s="5" t="str">
        <f>CONCATENATE("MARCA: ",BDEGENER[[#This Row],[MARCA ALTERNADOR ]],"
SERIE: ",BDEGENER[[#This Row],[SERIE DE ALTERNADOR]])</f>
        <v xml:space="preserve">MARCA: 
SERIE: </v>
      </c>
      <c r="AU1044" s="29" t="str">
        <f>CONCATENATE("HORAS: ",BDEGENER[[#This Row],[HORAS]],"
KW-HR: ",BDEGENER[[#This Row],[KW-HORA]],"
VOLT.BATERIA: ",BDEGENER[[#This Row],[VOLTAJE DE BATERIA]],"
TEMPERATURA: ",BDEGENER[[#This Row],[TEMPERATURA DE AGUA]],"
PRES. ACEITE: ",BDEGENER[[#This Row],[PRESION DE ACEITE]])</f>
        <v xml:space="preserve">HORAS: 954,5
KW-HR: 
VOLT.BATERIA: 
TEMPERATURA: 
PRES. ACEITE: </v>
      </c>
      <c r="AV1044" s="683">
        <f>COUNTIFS(Q1044:Q3044,"MANTENIMIENTO CORRECTIVO",Y1044:Y3044,BDEGENER[[#This Row],[SERIE]])</f>
        <v>0</v>
      </c>
      <c r="AW1044" s="683">
        <f>COUNTIFS(Q1044:Q3044,"MANTENIMIENTO PREVENTIVO",Y1044:Y3044,BDEGENER[[#This Row],[SERIE]])</f>
        <v>2</v>
      </c>
      <c r="AX104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44" s="29">
        <f>COUNTIFS(BDEGENER[SERIE],BDEGENER[[#This Row],[SERIE]],BDEGENER[TIPO DE SERVICIO],"MANTENIMIENTO PREVENTIVO")</f>
        <v>9</v>
      </c>
      <c r="AZ1044" s="29" t="str">
        <f>CONCATENATE("MANTENIMIENTO PREVENTIVO N°",BDEGENER[[#This Row],[GA1]])</f>
        <v>MANTENIMIENTO PREVENTIVO N°9</v>
      </c>
      <c r="BA1044" s="325" t="str">
        <f>IF(BDEGENER[[#This Row],[SERVICIO]]=BDEGENER[[#This Row],[GA2]],BDEGENER[[#This Row],[HORAS]],"0")</f>
        <v>0</v>
      </c>
      <c r="BB1044" s="325">
        <f>SUMIF(BDEGENER[SERIE],BDEGENER[[#This Row],[SERIE]],BDEGENER[GA3])</f>
        <v>5449.4</v>
      </c>
      <c r="BC1044" s="683" t="str">
        <f>CONCATENATE("MANT",COUNTIF($Y$7:Y1044,Y1044))</f>
        <v>MANT12</v>
      </c>
      <c r="BD1044" s="29" t="str">
        <f>CONCATENATE(BDEGENER[[#This Row],[SERIE]],BDEGENER[[#This Row],[GA5]])</f>
        <v>3003415544MANT12</v>
      </c>
      <c r="BE1044" s="29" t="str">
        <f>CONCATENATE(BDEGENER[[#This Row],[CODIGO PATRIMONIAL]],BDEGENER[[#This Row],[GA5]])</f>
        <v>SUR-GEG-0005MANT12</v>
      </c>
      <c r="BF1044" s="16">
        <f>COUNTIF(BDEGENER[SERIE],BDEGENER[[#This Row],[SERIE]])</f>
        <v>13</v>
      </c>
      <c r="BG1044" s="683" t="str">
        <f>CONCATENATE("F",COUNTIF($K$7:K1044,K1044))</f>
        <v>F1</v>
      </c>
      <c r="BH1044" s="325" t="str">
        <f>CONCATENATE(BDEGENER[[#This Row],[FECHA DE SERVICIO]],BDEGENER[[#This Row],[N° DE REGISTROS DEL DIA]])</f>
        <v>43504F1</v>
      </c>
      <c r="BI1044" s="324"/>
      <c r="BJ1044" s="325"/>
      <c r="BK1044" s="326"/>
    </row>
    <row r="1045" spans="2:63" ht="69" hidden="1" x14ac:dyDescent="0.3">
      <c r="B1045" s="223"/>
      <c r="C1045" s="223"/>
      <c r="D1045" s="223"/>
      <c r="E1045" s="223"/>
      <c r="F1045" s="223"/>
      <c r="G1045" s="223"/>
      <c r="H1045" s="223"/>
      <c r="I1045" s="223"/>
      <c r="J1045" s="223"/>
      <c r="K1045" s="723">
        <v>43502</v>
      </c>
      <c r="L1045" s="15" t="s">
        <v>181</v>
      </c>
      <c r="M1045" s="14" t="s">
        <v>206</v>
      </c>
      <c r="N1045" s="14" t="s">
        <v>207</v>
      </c>
      <c r="O1045" s="8" t="s">
        <v>164</v>
      </c>
      <c r="P1045" s="15" t="s">
        <v>159</v>
      </c>
      <c r="Q1045" s="14" t="s">
        <v>110</v>
      </c>
      <c r="R1045" s="85" t="s">
        <v>1782</v>
      </c>
      <c r="S1045" s="5" t="s">
        <v>72</v>
      </c>
      <c r="T1045" s="85" t="s">
        <v>1782</v>
      </c>
      <c r="U1045" s="14" t="s">
        <v>141</v>
      </c>
      <c r="V1045" s="14" t="s">
        <v>154</v>
      </c>
      <c r="W1045" s="14"/>
      <c r="X1045" s="14"/>
      <c r="Y1045" s="15"/>
      <c r="Z1045" s="14" t="s">
        <v>192</v>
      </c>
      <c r="AA1045" s="14" t="s">
        <v>192</v>
      </c>
      <c r="AB1045" s="14" t="s">
        <v>192</v>
      </c>
      <c r="AC1045" s="14" t="s">
        <v>192</v>
      </c>
      <c r="AD1045" s="16"/>
      <c r="AE1045" s="16"/>
      <c r="AF1045" s="12"/>
      <c r="AG1045" s="16"/>
      <c r="AH1045" s="16"/>
      <c r="AI1045" s="16"/>
      <c r="AJ1045" s="16"/>
      <c r="AK1045" s="16"/>
      <c r="AL1045" s="16"/>
      <c r="AM1045" s="16"/>
      <c r="AN1045" s="16"/>
      <c r="AO1045" s="16"/>
      <c r="AP1045" s="14"/>
      <c r="AQ1045" s="6" t="str">
        <f>CONCATENATE("REG-",BDEGENER[[#This Row],[FECHA DE SERVICIO]],"-",BDEGENER[[#This Row],[SERIE]],"-",BDEGENER[[#This Row],[HORAS]])</f>
        <v>REG-43502--</v>
      </c>
      <c r="AR1045" s="5" t="str">
        <f>CONCATENATE("MARCA: ",BDEGENER[[#This Row],[MARCA]],"
 MODELO: ",BDEGENER[[#This Row],[MODELO]])</f>
        <v xml:space="preserve">MARCA:  
 MODELO:  </v>
      </c>
      <c r="AS1045" s="5" t="str">
        <f>CONCATENATE("MARCA: ",BDEGENER[[#This Row],[MARCA DE MOTOR]],"
SERIE: ",BDEGENER[[#This Row],[SERIE DE MOTOR]])</f>
        <v xml:space="preserve">MARCA: 
SERIE: </v>
      </c>
      <c r="AT1045" s="5" t="str">
        <f>CONCATENATE("MARCA: ",BDEGENER[[#This Row],[MARCA ALTERNADOR ]],"
SERIE: ",BDEGENER[[#This Row],[SERIE DE ALTERNADOR]])</f>
        <v xml:space="preserve">MARCA: 
SERIE: </v>
      </c>
      <c r="AU1045" s="5" t="str">
        <f>CONCATENATE("HORAS: ",BDEGENER[[#This Row],[HORAS]],"
KW-HR: ",BDEGENER[[#This Row],[KW-HORA]],"
VOLT.BATERIA: ",BDEGENER[[#This Row],[VOLTAJE DE BATERIA]],"
TEMPERATURA: ",BDEGENER[[#This Row],[TEMPERATURA DE AGUA]],"
PRES. ACEITE: ",BDEGENER[[#This Row],[PRESION DE ACEITE]])</f>
        <v xml:space="preserve">HORAS: 
KW-HR: 
VOLT.BATERIA: 
TEMPERATURA: 
PRES. ACEITE: </v>
      </c>
      <c r="AV1045" s="761">
        <f>COUNTIFS(Q1045:Q3045,"MANTENIMIENTO CORRECTIVO",Y1045:Y3045,BDEGENER[[#This Row],[SERIE]])</f>
        <v>0</v>
      </c>
      <c r="AW1045" s="761">
        <f>COUNTIFS(Q1045:Q3045,"MANTENIMIENTO PREVENTIVO",Y1045:Y3045,BDEGENER[[#This Row],[SERIE]])</f>
        <v>0</v>
      </c>
      <c r="AX104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VENTA</v>
      </c>
      <c r="AY1045" s="29">
        <f>COUNTIFS(BDEGENER[SERIE],BDEGENER[[#This Row],[SERIE]],BDEGENER[TIPO DE SERVICIO],"MANTENIMIENTO PREVENTIVO")</f>
        <v>0</v>
      </c>
      <c r="AZ1045" s="29" t="str">
        <f>CONCATENATE("MANTENIMIENTO PREVENTIVO N°",BDEGENER[[#This Row],[GA1]])</f>
        <v>MANTENIMIENTO PREVENTIVO N°0</v>
      </c>
      <c r="BA1045" s="325" t="str">
        <f>IF(BDEGENER[[#This Row],[SERVICIO]]=BDEGENER[[#This Row],[GA2]],BDEGENER[[#This Row],[HORAS]],"0")</f>
        <v>0</v>
      </c>
      <c r="BB1045" s="325">
        <f>SUMIF(BDEGENER[SERIE],BDEGENER[[#This Row],[SERIE]],BDEGENER[GA3])</f>
        <v>0</v>
      </c>
      <c r="BC1045" s="761" t="str">
        <f>CONCATENATE("MANT",COUNTIF($Y$7:Y1045,Y1045))</f>
        <v>MANT0</v>
      </c>
      <c r="BD1045" s="29" t="str">
        <f>CONCATENATE(BDEGENER[[#This Row],[SERIE]],BDEGENER[[#This Row],[GA5]])</f>
        <v>MANT0</v>
      </c>
      <c r="BE1045" s="29" t="str">
        <f>CONCATENATE(BDEGENER[[#This Row],[CODIGO PATRIMONIAL]],BDEGENER[[#This Row],[GA5]])</f>
        <v xml:space="preserve"> MANT0</v>
      </c>
      <c r="BF1045" s="16">
        <f>COUNTIF(BDEGENER[SERIE],BDEGENER[[#This Row],[SERIE]])</f>
        <v>0</v>
      </c>
      <c r="BG1045" s="761" t="str">
        <f>CONCATENATE("F",COUNTIF($K$7:K1045,K1045))</f>
        <v>F1</v>
      </c>
      <c r="BH1045" s="325" t="str">
        <f>CONCATENATE(BDEGENER[[#This Row],[FECHA DE SERVICIO]],BDEGENER[[#This Row],[N° DE REGISTROS DEL DIA]])</f>
        <v>43502F1</v>
      </c>
      <c r="BI1045" s="324"/>
      <c r="BJ1045" s="325"/>
      <c r="BK1045" s="326"/>
    </row>
    <row r="1046" spans="2:63" ht="69" hidden="1" x14ac:dyDescent="0.3">
      <c r="B1046" s="223"/>
      <c r="C1046" s="223"/>
      <c r="D1046" s="223"/>
      <c r="E1046" s="223"/>
      <c r="F1046" s="223"/>
      <c r="G1046" s="223"/>
      <c r="H1046" s="223"/>
      <c r="I1046" s="223"/>
      <c r="J1046" s="223"/>
      <c r="K1046" s="723">
        <v>43502</v>
      </c>
      <c r="L1046" s="15" t="s">
        <v>181</v>
      </c>
      <c r="M1046" s="14"/>
      <c r="N1046" s="14" t="s">
        <v>208</v>
      </c>
      <c r="O1046" s="8" t="s">
        <v>159</v>
      </c>
      <c r="P1046" s="15" t="s">
        <v>159</v>
      </c>
      <c r="Q1046" s="14" t="s">
        <v>107</v>
      </c>
      <c r="R1046" s="85" t="s">
        <v>1782</v>
      </c>
      <c r="S1046" s="5" t="s">
        <v>73</v>
      </c>
      <c r="T1046" s="14" t="s">
        <v>106</v>
      </c>
      <c r="U1046" s="14" t="s">
        <v>142</v>
      </c>
      <c r="V1046" s="14" t="s">
        <v>150</v>
      </c>
      <c r="W1046" s="14"/>
      <c r="X1046" s="14"/>
      <c r="Y1046" s="15">
        <v>2070094</v>
      </c>
      <c r="Z1046" s="14" t="s">
        <v>192</v>
      </c>
      <c r="AA1046" s="14" t="s">
        <v>33</v>
      </c>
      <c r="AB1046" s="14" t="s">
        <v>192</v>
      </c>
      <c r="AC1046" s="14" t="s">
        <v>238</v>
      </c>
      <c r="AD1046" s="16"/>
      <c r="AE1046" s="16"/>
      <c r="AF1046" s="12" t="s">
        <v>177</v>
      </c>
      <c r="AG1046" s="16"/>
      <c r="AH1046" s="16"/>
      <c r="AI1046" s="16"/>
      <c r="AJ1046" s="16"/>
      <c r="AK1046" s="16"/>
      <c r="AL1046" s="16"/>
      <c r="AM1046" s="16"/>
      <c r="AN1046" s="16"/>
      <c r="AO1046" s="16"/>
      <c r="AP1046" s="14" t="s">
        <v>240</v>
      </c>
      <c r="AQ1046" s="6" t="str">
        <f>CONCATENATE("REG-",BDEGENER[[#This Row],[FECHA DE SERVICIO]],"-",BDEGENER[[#This Row],[SERIE]],"-",BDEGENER[[#This Row],[HORAS]])</f>
        <v>REG-43502-2070094-NR</v>
      </c>
      <c r="AR1046" s="5" t="str">
        <f>CONCATENATE("MARCA: ",BDEGENER[[#This Row],[MARCA]],"
 MODELO: ",BDEGENER[[#This Row],[MODELO]])</f>
        <v xml:space="preserve">MARCA: GENERAC
 MODELO:  </v>
      </c>
      <c r="AS1046" s="5" t="str">
        <f>CONCATENATE("MARCA: ",BDEGENER[[#This Row],[MARCA DE MOTOR]],"
SERIE: ",BDEGENER[[#This Row],[SERIE DE MOTOR]])</f>
        <v xml:space="preserve">MARCA: 
SERIE: </v>
      </c>
      <c r="AT1046" s="5" t="str">
        <f>CONCATENATE("MARCA: ",BDEGENER[[#This Row],[MARCA ALTERNADOR ]],"
SERIE: ",BDEGENER[[#This Row],[SERIE DE ALTERNADOR]])</f>
        <v xml:space="preserve">MARCA: 
SERIE: </v>
      </c>
      <c r="AU1046"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1046" s="683">
        <f>COUNTIFS(Q1046:Q3046,"MANTENIMIENTO CORRECTIVO",Y1046:Y3046,BDEGENER[[#This Row],[SERIE]])</f>
        <v>1</v>
      </c>
      <c r="AW1046" s="683">
        <f>COUNTIFS(Q1046:Q3046,"MANTENIMIENTO PREVENTIVO",Y1046:Y3046,BDEGENER[[#This Row],[SERIE]])</f>
        <v>0</v>
      </c>
      <c r="AX104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046" s="29">
        <f>COUNTIFS(BDEGENER[SERIE],BDEGENER[[#This Row],[SERIE]],BDEGENER[TIPO DE SERVICIO],"MANTENIMIENTO PREVENTIVO")</f>
        <v>0</v>
      </c>
      <c r="AZ1046" s="29" t="str">
        <f>CONCATENATE("MANTENIMIENTO PREVENTIVO N°",BDEGENER[[#This Row],[GA1]])</f>
        <v>MANTENIMIENTO PREVENTIVO N°0</v>
      </c>
      <c r="BA1046" s="325" t="str">
        <f>IF(BDEGENER[[#This Row],[SERVICIO]]=BDEGENER[[#This Row],[GA2]],BDEGENER[[#This Row],[HORAS]],"0")</f>
        <v>0</v>
      </c>
      <c r="BB1046" s="325">
        <f>SUMIF(BDEGENER[SERIE],BDEGENER[[#This Row],[SERIE]],BDEGENER[GA3])</f>
        <v>0</v>
      </c>
      <c r="BC1046" s="683" t="str">
        <f>CONCATENATE("MANT",COUNTIF($Y$7:Y1046,Y1046))</f>
        <v>MANT1</v>
      </c>
      <c r="BD1046" s="29" t="str">
        <f>CONCATENATE(BDEGENER[[#This Row],[SERIE]],BDEGENER[[#This Row],[GA5]])</f>
        <v>2070094MANT1</v>
      </c>
      <c r="BE1046" s="29" t="str">
        <f>CONCATENATE(BDEGENER[[#This Row],[CODIGO PATRIMONIAL]],BDEGENER[[#This Row],[GA5]])</f>
        <v xml:space="preserve"> MANT1</v>
      </c>
      <c r="BF1046" s="16">
        <f>COUNTIF(BDEGENER[SERIE],BDEGENER[[#This Row],[SERIE]])</f>
        <v>1</v>
      </c>
      <c r="BG1046" s="683" t="str">
        <f>CONCATENATE("F",COUNTIF($K$7:K1046,K1046))</f>
        <v>F2</v>
      </c>
      <c r="BH1046" s="325" t="str">
        <f>CONCATENATE(BDEGENER[[#This Row],[FECHA DE SERVICIO]],BDEGENER[[#This Row],[N° DE REGISTROS DEL DIA]])</f>
        <v>43502F2</v>
      </c>
      <c r="BI1046" s="324"/>
      <c r="BJ1046" s="325"/>
      <c r="BK1046" s="326"/>
    </row>
    <row r="1047" spans="2:63" ht="69" hidden="1" x14ac:dyDescent="0.3">
      <c r="B1047" s="34"/>
      <c r="C1047" s="34"/>
      <c r="D1047" s="34"/>
      <c r="E1047" s="34"/>
      <c r="F1047" s="34"/>
      <c r="G1047" s="34"/>
      <c r="H1047" s="34"/>
      <c r="I1047" s="34"/>
      <c r="J1047" s="34"/>
      <c r="K1047" s="37">
        <v>43502</v>
      </c>
      <c r="L1047" s="30" t="s">
        <v>561</v>
      </c>
      <c r="M1047" s="19" t="s">
        <v>567</v>
      </c>
      <c r="N1047" s="19" t="s">
        <v>568</v>
      </c>
      <c r="O1047" s="19"/>
      <c r="P1047" s="19"/>
      <c r="Q1047" s="19" t="s">
        <v>109</v>
      </c>
      <c r="R1047" s="85" t="s">
        <v>1782</v>
      </c>
      <c r="S1047" s="19" t="s">
        <v>653</v>
      </c>
      <c r="T1047" s="85" t="s">
        <v>1782</v>
      </c>
      <c r="U1047" s="19"/>
      <c r="V1047" s="19" t="s">
        <v>146</v>
      </c>
      <c r="W1047" s="85" t="s">
        <v>914</v>
      </c>
      <c r="X1047" s="85" t="s">
        <v>918</v>
      </c>
      <c r="Y1047" s="31">
        <v>3003962766</v>
      </c>
      <c r="Z1047" s="692" t="s">
        <v>2602</v>
      </c>
      <c r="AA1047" s="683" t="s">
        <v>33</v>
      </c>
      <c r="AB1047" s="85" t="s">
        <v>34</v>
      </c>
      <c r="AC1047" s="19" t="s">
        <v>230</v>
      </c>
      <c r="AD1047" s="16"/>
      <c r="AE1047" s="16"/>
      <c r="AF1047" s="146">
        <v>1.5</v>
      </c>
      <c r="AG1047" s="16"/>
      <c r="AH1047" s="16"/>
      <c r="AI1047" s="16"/>
      <c r="AJ1047" s="16"/>
      <c r="AK1047" s="16"/>
      <c r="AL1047" s="16"/>
      <c r="AM1047" s="16"/>
      <c r="AN1047" s="16"/>
      <c r="AO1047" s="16"/>
      <c r="AP1047" s="19" t="s">
        <v>240</v>
      </c>
      <c r="AQ1047" s="6" t="str">
        <f>CONCATENATE("REG-",BDEGENER[[#This Row],[FECHA DE SERVICIO]],"-",BDEGENER[[#This Row],[SERIE]],"-",BDEGENER[[#This Row],[HORAS]])</f>
        <v>REG-43502-3003962766-1,5</v>
      </c>
      <c r="AR1047" s="5" t="str">
        <f>CONCATENATE("MARCA: ",BDEGENER[[#This Row],[MARCA]],"
 MODELO: ",BDEGENER[[#This Row],[MODELO]])</f>
        <v>MARCA: GENERAC
 MODELO: PG090</v>
      </c>
      <c r="AS1047" s="5" t="str">
        <f>CONCATENATE("MARCA: ",BDEGENER[[#This Row],[MARCA DE MOTOR]],"
SERIE: ",BDEGENER[[#This Row],[SERIE DE MOTOR]])</f>
        <v xml:space="preserve">MARCA: 
SERIE: </v>
      </c>
      <c r="AT1047" s="5" t="str">
        <f>CONCATENATE("MARCA: ",BDEGENER[[#This Row],[MARCA ALTERNADOR ]],"
SERIE: ",BDEGENER[[#This Row],[SERIE DE ALTERNADOR]])</f>
        <v xml:space="preserve">MARCA: 
SERIE: </v>
      </c>
      <c r="AU1047" s="29" t="str">
        <f>CONCATENATE("HORAS: ",BDEGENER[[#This Row],[HORAS]],"
KW-HR: ",BDEGENER[[#This Row],[KW-HORA]],"
VOLT.BATERIA: ",BDEGENER[[#This Row],[VOLTAJE DE BATERIA]],"
TEMPERATURA: ",BDEGENER[[#This Row],[TEMPERATURA DE AGUA]],"
PRES. ACEITE: ",BDEGENER[[#This Row],[PRESION DE ACEITE]])</f>
        <v xml:space="preserve">HORAS: 1,5
KW-HR: 
VOLT.BATERIA: 
TEMPERATURA: 
PRES. ACEITE: </v>
      </c>
      <c r="AV1047" s="683">
        <f>COUNTIFS(Q1047:Q3047,"MANTENIMIENTO CORRECTIVO",Y1047:Y3047,BDEGENER[[#This Row],[SERIE]])</f>
        <v>0</v>
      </c>
      <c r="AW1047" s="683">
        <f>COUNTIFS(Q1047:Q3047,"MANTENIMIENTO PREVENTIVO",Y1047:Y3047,BDEGENER[[#This Row],[SERIE]])</f>
        <v>0</v>
      </c>
      <c r="AX104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47" s="29">
        <f>COUNTIFS(BDEGENER[SERIE],BDEGENER[[#This Row],[SERIE]],BDEGENER[TIPO DE SERVICIO],"MANTENIMIENTO PREVENTIVO")</f>
        <v>9</v>
      </c>
      <c r="AZ1047" s="29" t="str">
        <f>CONCATENATE("MANTENIMIENTO PREVENTIVO N°",BDEGENER[[#This Row],[GA1]])</f>
        <v>MANTENIMIENTO PREVENTIVO N°9</v>
      </c>
      <c r="BA1047" s="325" t="str">
        <f>IF(BDEGENER[[#This Row],[SERVICIO]]=BDEGENER[[#This Row],[GA2]],BDEGENER[[#This Row],[HORAS]],"0")</f>
        <v>0</v>
      </c>
      <c r="BB1047" s="325">
        <f>SUMIF(BDEGENER[SERIE],BDEGENER[[#This Row],[SERIE]],BDEGENER[GA3])</f>
        <v>4662.2</v>
      </c>
      <c r="BC1047" s="683" t="str">
        <f>CONCATENATE("MANT",COUNTIF($Y$7:Y1047,Y1047))</f>
        <v>MANT16</v>
      </c>
      <c r="BD1047" s="29" t="str">
        <f>CONCATENATE(BDEGENER[[#This Row],[SERIE]],BDEGENER[[#This Row],[GA5]])</f>
        <v>3003962766MANT16</v>
      </c>
      <c r="BE1047" s="29" t="str">
        <f>CONCATENATE(BDEGENER[[#This Row],[CODIGO PATRIMONIAL]],BDEGENER[[#This Row],[GA5]])</f>
        <v>SUR-GEG-0006MANT16</v>
      </c>
      <c r="BF1047" s="16">
        <f>COUNTIF(BDEGENER[SERIE],BDEGENER[[#This Row],[SERIE]])</f>
        <v>16</v>
      </c>
      <c r="BG1047" s="683" t="str">
        <f>CONCATENATE("F",COUNTIF($K$7:K1047,K1047))</f>
        <v>F3</v>
      </c>
      <c r="BH1047" s="325" t="str">
        <f>CONCATENATE(BDEGENER[[#This Row],[FECHA DE SERVICIO]],BDEGENER[[#This Row],[N° DE REGISTROS DEL DIA]])</f>
        <v>43502F3</v>
      </c>
      <c r="BI1047" s="324"/>
      <c r="BJ1047" s="325"/>
      <c r="BK1047" s="326"/>
    </row>
    <row r="1048" spans="2:63" ht="69" hidden="1" x14ac:dyDescent="0.3">
      <c r="B1048" s="33"/>
      <c r="C1048" s="33"/>
      <c r="D1048" s="33"/>
      <c r="E1048" s="33"/>
      <c r="F1048" s="33"/>
      <c r="G1048" s="33"/>
      <c r="H1048" s="33"/>
      <c r="I1048" s="33"/>
      <c r="J1048" s="33"/>
      <c r="K1048" s="38">
        <v>43500</v>
      </c>
      <c r="L1048" s="18" t="s">
        <v>248</v>
      </c>
      <c r="M1048" s="23" t="s">
        <v>267</v>
      </c>
      <c r="N1048" s="23" t="s">
        <v>267</v>
      </c>
      <c r="O1048" s="23"/>
      <c r="P1048" s="21"/>
      <c r="Q1048" s="23" t="s">
        <v>107</v>
      </c>
      <c r="R1048" s="85" t="s">
        <v>1782</v>
      </c>
      <c r="S1048" s="25" t="s">
        <v>334</v>
      </c>
      <c r="T1048" s="25" t="s">
        <v>335</v>
      </c>
      <c r="U1048" s="25" t="s">
        <v>336</v>
      </c>
      <c r="V1048" s="25" t="s">
        <v>150</v>
      </c>
      <c r="W1048" s="85" t="s">
        <v>913</v>
      </c>
      <c r="X1048" s="85" t="s">
        <v>917</v>
      </c>
      <c r="Y1048" s="135">
        <v>3002933955</v>
      </c>
      <c r="Z1048" s="16"/>
      <c r="AA1048" s="16" t="s">
        <v>33</v>
      </c>
      <c r="AB1048" s="85">
        <v>60720</v>
      </c>
      <c r="AC1048" s="22" t="s">
        <v>235</v>
      </c>
      <c r="AD1048" s="16"/>
      <c r="AE1048" s="16"/>
      <c r="AF1048" s="27">
        <v>1092</v>
      </c>
      <c r="AG1048" s="16" t="s">
        <v>243</v>
      </c>
      <c r="AH1048" s="16" t="s">
        <v>220</v>
      </c>
      <c r="AI1048" s="16"/>
      <c r="AJ1048" s="16"/>
      <c r="AK1048" s="16"/>
      <c r="AL1048" s="16"/>
      <c r="AM1048" s="16"/>
      <c r="AN1048" s="16"/>
      <c r="AO1048" s="16"/>
      <c r="AP1048" s="22" t="s">
        <v>240</v>
      </c>
      <c r="AQ1048" s="6" t="str">
        <f>CONCATENATE("REG-",BDEGENER[[#This Row],[FECHA DE SERVICIO]],"-",BDEGENER[[#This Row],[SERIE]],"-",BDEGENER[[#This Row],[HORAS]])</f>
        <v>REG-43500-3002933955-1092</v>
      </c>
      <c r="AR1048" s="5" t="str">
        <f>CONCATENATE("MARCA: ",BDEGENER[[#This Row],[MARCA]],"
 MODELO: ",BDEGENER[[#This Row],[MODELO]])</f>
        <v>MARCA: GENERAC
 MODELO: 60720</v>
      </c>
      <c r="AS1048" s="5" t="str">
        <f>CONCATENATE("MARCA: ",BDEGENER[[#This Row],[MARCA DE MOTOR]],"
SERIE: ",BDEGENER[[#This Row],[SERIE DE MOTOR]])</f>
        <v xml:space="preserve">MARCA: 
SERIE: </v>
      </c>
      <c r="AT1048" s="5" t="str">
        <f>CONCATENATE("MARCA: ",BDEGENER[[#This Row],[MARCA ALTERNADOR ]],"
SERIE: ",BDEGENER[[#This Row],[SERIE DE ALTERNADOR]])</f>
        <v xml:space="preserve">MARCA: 
SERIE: </v>
      </c>
      <c r="AU1048" s="5" t="str">
        <f>CONCATENATE("HORAS: ",BDEGENER[[#This Row],[HORAS]],"
KW-HR: ",BDEGENER[[#This Row],[KW-HORA]],"
VOLT.BATERIA: ",BDEGENER[[#This Row],[VOLTAJE DE BATERIA]],"
TEMPERATURA: ",BDEGENER[[#This Row],[TEMPERATURA DE AGUA]],"
PRES. ACEITE: ",BDEGENER[[#This Row],[PRESION DE ACEITE]])</f>
        <v xml:space="preserve">HORAS: 1092
KW-HR: 
VOLT.BATERIA: 
TEMPERATURA: 
PRES. ACEITE: </v>
      </c>
      <c r="AV1048" s="761">
        <f>COUNTIFS(Q1048:Q3048,"MANTENIMIENTO CORRECTIVO",Y1048:Y3048,BDEGENER[[#This Row],[SERIE]])</f>
        <v>1</v>
      </c>
      <c r="AW1048" s="761">
        <f>COUNTIFS(Q1048:Q3048,"MANTENIMIENTO PREVENTIVO",Y1048:Y3048,BDEGENER[[#This Row],[SERIE]])</f>
        <v>3</v>
      </c>
      <c r="AX104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048" s="29">
        <f>COUNTIFS(BDEGENER[SERIE],BDEGENER[[#This Row],[SERIE]],BDEGENER[TIPO DE SERVICIO],"MANTENIMIENTO PREVENTIVO")</f>
        <v>3</v>
      </c>
      <c r="AZ1048" s="29" t="str">
        <f>CONCATENATE("MANTENIMIENTO PREVENTIVO N°",BDEGENER[[#This Row],[GA1]])</f>
        <v>MANTENIMIENTO PREVENTIVO N°3</v>
      </c>
      <c r="BA1048" s="325" t="str">
        <f>IF(BDEGENER[[#This Row],[SERVICIO]]=BDEGENER[[#This Row],[GA2]],BDEGENER[[#This Row],[HORAS]],"0")</f>
        <v>0</v>
      </c>
      <c r="BB1048" s="325">
        <f>SUMIF(BDEGENER[SERIE],BDEGENER[[#This Row],[SERIE]],BDEGENER[GA3])</f>
        <v>994</v>
      </c>
      <c r="BC1048" s="761" t="str">
        <f>CONCATENATE("MANT",COUNTIF($Y$7:Y1048,Y1048))</f>
        <v>MANT1</v>
      </c>
      <c r="BD1048" s="29" t="str">
        <f>CONCATENATE(BDEGENER[[#This Row],[SERIE]],BDEGENER[[#This Row],[GA5]])</f>
        <v>3002933955MANT1</v>
      </c>
      <c r="BE1048" s="29" t="str">
        <f>CONCATENATE(BDEGENER[[#This Row],[CODIGO PATRIMONIAL]],BDEGENER[[#This Row],[GA5]])</f>
        <v>MANT1</v>
      </c>
      <c r="BF1048" s="16">
        <f>COUNTIF(BDEGENER[SERIE],BDEGENER[[#This Row],[SERIE]])</f>
        <v>4</v>
      </c>
      <c r="BG1048" s="761" t="str">
        <f>CONCATENATE("F",COUNTIF($K$7:K1048,K1048))</f>
        <v>F1</v>
      </c>
      <c r="BH1048" s="325" t="str">
        <f>CONCATENATE(BDEGENER[[#This Row],[FECHA DE SERVICIO]],BDEGENER[[#This Row],[N° DE REGISTROS DEL DIA]])</f>
        <v>43500F1</v>
      </c>
      <c r="BI1048" s="324"/>
      <c r="BJ1048" s="325"/>
      <c r="BK1048" s="326"/>
    </row>
    <row r="1049" spans="2:63" ht="69" hidden="1" x14ac:dyDescent="0.3">
      <c r="B1049" s="33"/>
      <c r="C1049" s="33"/>
      <c r="D1049" s="33"/>
      <c r="E1049" s="33"/>
      <c r="F1049" s="33"/>
      <c r="G1049" s="33"/>
      <c r="H1049" s="33"/>
      <c r="I1049" s="33"/>
      <c r="J1049" s="33"/>
      <c r="K1049" s="38">
        <v>43500</v>
      </c>
      <c r="L1049" s="18" t="s">
        <v>248</v>
      </c>
      <c r="M1049" s="23" t="s">
        <v>268</v>
      </c>
      <c r="N1049" s="23" t="s">
        <v>269</v>
      </c>
      <c r="O1049" s="23"/>
      <c r="P1049" s="21"/>
      <c r="Q1049" s="22" t="s">
        <v>37</v>
      </c>
      <c r="R1049" s="85" t="s">
        <v>1782</v>
      </c>
      <c r="S1049" s="23" t="s">
        <v>337</v>
      </c>
      <c r="T1049" s="85" t="s">
        <v>1782</v>
      </c>
      <c r="U1049" s="23" t="s">
        <v>338</v>
      </c>
      <c r="V1049" s="23" t="s">
        <v>146</v>
      </c>
      <c r="W1049" s="85" t="s">
        <v>914</v>
      </c>
      <c r="X1049" s="85" t="s">
        <v>917</v>
      </c>
      <c r="Y1049" s="135">
        <v>3002933971</v>
      </c>
      <c r="Z1049" s="16"/>
      <c r="AA1049" s="16" t="s">
        <v>33</v>
      </c>
      <c r="AB1049" s="85" t="s">
        <v>1446</v>
      </c>
      <c r="AC1049" s="22" t="s">
        <v>1445</v>
      </c>
      <c r="AD1049" s="16"/>
      <c r="AE1049" s="16"/>
      <c r="AF1049" s="27">
        <v>1681</v>
      </c>
      <c r="AG1049" s="16"/>
      <c r="AH1049" s="16"/>
      <c r="AI1049" s="16" t="s">
        <v>844</v>
      </c>
      <c r="AJ1049" s="16"/>
      <c r="AK1049" s="16" t="s">
        <v>1448</v>
      </c>
      <c r="AL1049" s="16"/>
      <c r="AM1049" s="16"/>
      <c r="AN1049" s="16"/>
      <c r="AO1049" s="16"/>
      <c r="AP1049" s="22" t="s">
        <v>240</v>
      </c>
      <c r="AQ1049" s="6" t="str">
        <f>CONCATENATE("REG-",BDEGENER[[#This Row],[FECHA DE SERVICIO]],"-",BDEGENER[[#This Row],[SERIE]],"-",BDEGENER[[#This Row],[HORAS]])</f>
        <v>REG-43500-3002933971-1681</v>
      </c>
      <c r="AR1049" s="6" t="str">
        <f>CONCATENATE("MARCA: ",BDEGENER[[#This Row],[MARCA]],"
 MODELO: ",BDEGENER[[#This Row],[MODELO]])</f>
        <v>MARCA: GENERAC
 MODELO: PLY125</v>
      </c>
      <c r="AS1049" s="5" t="str">
        <f>CONCATENATE("MARCA: ",BDEGENER[[#This Row],[MARCA DE MOTOR]],"
SERIE: ",BDEGENER[[#This Row],[SERIE DE MOTOR]])</f>
        <v xml:space="preserve">MARCA: PERKINS
SERIE: </v>
      </c>
      <c r="AT1049" s="5" t="str">
        <f>CONCATENATE("MARCA: ",BDEGENER[[#This Row],[MARCA ALTERNADOR ]],"
SERIE: ",BDEGENER[[#This Row],[SERIE DE ALTERNADOR]])</f>
        <v xml:space="preserve">MARCA: LEROY SOMER
SERIE: </v>
      </c>
      <c r="AU1049" s="5" t="str">
        <f>CONCATENATE("HORAS: ",BDEGENER[[#This Row],[HORAS]],"
KW-HR: ",BDEGENER[[#This Row],[KW-HORA]],"
VOLT.BATERIA: ",BDEGENER[[#This Row],[VOLTAJE DE BATERIA]],"
TEMPERATURA: ",BDEGENER[[#This Row],[TEMPERATURA DE AGUA]],"
PRES. ACEITE: ",BDEGENER[[#This Row],[PRESION DE ACEITE]])</f>
        <v xml:space="preserve">HORAS: 1681
KW-HR: 
VOLT.BATERIA: 
TEMPERATURA: 
PRES. ACEITE: </v>
      </c>
      <c r="AV1049" s="683">
        <f>COUNTIFS(Q1049:Q3049,"MANTENIMIENTO CORRECTIVO",Y1049:Y3049,BDEGENER[[#This Row],[SERIE]])</f>
        <v>0</v>
      </c>
      <c r="AW1049" s="683">
        <f>COUNTIFS(Q1049:Q3049,"MANTENIMIENTO PREVENTIVO",Y1049:Y3049,BDEGENER[[#This Row],[SERIE]])</f>
        <v>3</v>
      </c>
      <c r="AX104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049" s="29">
        <f>COUNTIFS(BDEGENER[SERIE],BDEGENER[[#This Row],[SERIE]],BDEGENER[TIPO DE SERVICIO],"MANTENIMIENTO PREVENTIVO")</f>
        <v>3</v>
      </c>
      <c r="AZ1049" s="29" t="str">
        <f>CONCATENATE("MANTENIMIENTO PREVENTIVO N°",BDEGENER[[#This Row],[GA1]])</f>
        <v>MANTENIMIENTO PREVENTIVO N°3</v>
      </c>
      <c r="BA1049" s="325">
        <f>IF(BDEGENER[[#This Row],[SERVICIO]]=BDEGENER[[#This Row],[GA2]],BDEGENER[[#This Row],[HORAS]],"0")</f>
        <v>1681</v>
      </c>
      <c r="BB1049" s="325">
        <f>SUMIF(BDEGENER[SERIE],BDEGENER[[#This Row],[SERIE]],BDEGENER[GA3])</f>
        <v>1681</v>
      </c>
      <c r="BC1049" s="683" t="str">
        <f>CONCATENATE("MANT",COUNTIF($Y$7:Y1049,Y1049))</f>
        <v>MANT1</v>
      </c>
      <c r="BD1049" s="29" t="str">
        <f>CONCATENATE(BDEGENER[[#This Row],[SERIE]],BDEGENER[[#This Row],[GA5]])</f>
        <v>3002933971MANT1</v>
      </c>
      <c r="BE1049" s="29" t="str">
        <f>CONCATENATE(BDEGENER[[#This Row],[CODIGO PATRIMONIAL]],BDEGENER[[#This Row],[GA5]])</f>
        <v>MANT1</v>
      </c>
      <c r="BF1049" s="16">
        <f>COUNTIF(BDEGENER[SERIE],BDEGENER[[#This Row],[SERIE]])</f>
        <v>3</v>
      </c>
      <c r="BG1049" s="683" t="str">
        <f>CONCATENATE("F",COUNTIF($K$7:K1049,K1049))</f>
        <v>F2</v>
      </c>
      <c r="BH1049" s="325" t="str">
        <f>CONCATENATE(BDEGENER[[#This Row],[FECHA DE SERVICIO]],BDEGENER[[#This Row],[N° DE REGISTROS DEL DIA]])</f>
        <v>43500F2</v>
      </c>
      <c r="BI1049" s="324"/>
      <c r="BJ1049" s="325"/>
      <c r="BK1049" s="326"/>
    </row>
    <row r="1050" spans="2:63" ht="69" hidden="1" x14ac:dyDescent="0.3">
      <c r="B1050" s="34"/>
      <c r="C1050" s="34"/>
      <c r="D1050" s="34"/>
      <c r="E1050" s="34"/>
      <c r="F1050" s="34"/>
      <c r="G1050" s="34"/>
      <c r="H1050" s="34"/>
      <c r="I1050" s="34"/>
      <c r="J1050" s="34"/>
      <c r="K1050" s="786">
        <v>43497</v>
      </c>
      <c r="L1050" s="787" t="s">
        <v>561</v>
      </c>
      <c r="M1050" s="771" t="s">
        <v>590</v>
      </c>
      <c r="N1050" s="771" t="s">
        <v>586</v>
      </c>
      <c r="O1050" s="771"/>
      <c r="P1050" s="771"/>
      <c r="Q1050" s="771" t="s">
        <v>37</v>
      </c>
      <c r="R1050" s="761" t="s">
        <v>1782</v>
      </c>
      <c r="S1050" s="771" t="s">
        <v>654</v>
      </c>
      <c r="T1050" s="761" t="s">
        <v>1782</v>
      </c>
      <c r="U1050" s="771" t="s">
        <v>736</v>
      </c>
      <c r="V1050" s="771" t="s">
        <v>148</v>
      </c>
      <c r="W1050" s="761" t="s">
        <v>914</v>
      </c>
      <c r="X1050" s="761" t="s">
        <v>918</v>
      </c>
      <c r="Y1050" s="784">
        <v>3003566701</v>
      </c>
      <c r="Z1050" s="761" t="s">
        <v>2616</v>
      </c>
      <c r="AA1050" s="761" t="s">
        <v>33</v>
      </c>
      <c r="AB1050" s="761" t="s">
        <v>34</v>
      </c>
      <c r="AC1050" s="771" t="s">
        <v>230</v>
      </c>
      <c r="AD1050" s="785"/>
      <c r="AE1050" s="785"/>
      <c r="AF1050" s="788">
        <v>879.7</v>
      </c>
      <c r="AG1050" s="761" t="s">
        <v>1413</v>
      </c>
      <c r="AH1050" s="761" t="s">
        <v>220</v>
      </c>
      <c r="AI1050" s="761" t="s">
        <v>33</v>
      </c>
      <c r="AJ1050" s="761">
        <v>3003430313</v>
      </c>
      <c r="AK1050" s="761" t="s">
        <v>33</v>
      </c>
      <c r="AL1050" s="785"/>
      <c r="AM1050" s="785"/>
      <c r="AN1050" s="785"/>
      <c r="AO1050" s="785"/>
      <c r="AP1050" s="771" t="s">
        <v>240</v>
      </c>
      <c r="AQ1050" s="765" t="str">
        <f>CONCATENATE("REG-",BDEGENER[[#This Row],[FECHA DE SERVICIO]],"-",BDEGENER[[#This Row],[SERIE]],"-",BDEGENER[[#This Row],[HORAS]])</f>
        <v>REG-43497-3003566701-879,7</v>
      </c>
      <c r="AR1050" s="789" t="str">
        <f>CONCATENATE("MARCA: ",BDEGENER[[#This Row],[MARCA]],"
 MODELO: ",BDEGENER[[#This Row],[MODELO]])</f>
        <v>MARCA: GENERAC
 MODELO: PG090</v>
      </c>
      <c r="AS1050" s="789" t="str">
        <f>CONCATENATE("MARCA: ",BDEGENER[[#This Row],[MARCA DE MOTOR]],"
SERIE: ",BDEGENER[[#This Row],[SERIE DE MOTOR]])</f>
        <v>MARCA: GENERAC
SERIE: 3003430313</v>
      </c>
      <c r="AT1050" s="789" t="str">
        <f>CONCATENATE("MARCA: ",BDEGENER[[#This Row],[MARCA ALTERNADOR ]],"
SERIE: ",BDEGENER[[#This Row],[SERIE DE ALTERNADOR]])</f>
        <v xml:space="preserve">MARCA: GENERAC
SERIE: </v>
      </c>
      <c r="AU1050" s="773" t="str">
        <f>CONCATENATE("HORAS: ",BDEGENER[[#This Row],[HORAS]],"
KW-HR: ",BDEGENER[[#This Row],[KW-HORA]],"
VOLT.BATERIA: ",BDEGENER[[#This Row],[VOLTAJE DE BATERIA]],"
TEMPERATURA: ",BDEGENER[[#This Row],[TEMPERATURA DE AGUA]],"
PRES. ACEITE: ",BDEGENER[[#This Row],[PRESION DE ACEITE]])</f>
        <v xml:space="preserve">HORAS: 879,7
KW-HR: 
VOLT.BATERIA: 
TEMPERATURA: 
PRES. ACEITE: </v>
      </c>
      <c r="AV1050" s="683">
        <f>COUNTIFS(Q1050:Q3050,"MANTENIMIENTO CORRECTIVO",Y1050:Y3050,BDEGENER[[#This Row],[SERIE]])</f>
        <v>0</v>
      </c>
      <c r="AW1050" s="683">
        <f>COUNTIFS(Q1050:Q3050,"MANTENIMIENTO PREVENTIVO",Y1050:Y3050,BDEGENER[[#This Row],[SERIE]])</f>
        <v>2</v>
      </c>
      <c r="AX1050" s="77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50" s="773">
        <f>COUNTIFS(BDEGENER[SERIE],BDEGENER[[#This Row],[SERIE]],BDEGENER[TIPO DE SERVICIO],"MANTENIMIENTO PREVENTIVO")</f>
        <v>9</v>
      </c>
      <c r="AZ1050" s="773" t="str">
        <f>CONCATENATE("MANTENIMIENTO PREVENTIVO N°",BDEGENER[[#This Row],[GA1]])</f>
        <v>MANTENIMIENTO PREVENTIVO N°9</v>
      </c>
      <c r="BA1050" s="790" t="str">
        <f>IF(BDEGENER[[#This Row],[SERVICIO]]=BDEGENER[[#This Row],[GA2]],BDEGENER[[#This Row],[HORAS]],"0")</f>
        <v>0</v>
      </c>
      <c r="BB1050" s="790">
        <f>SUMIF(BDEGENER[SERIE],BDEGENER[[#This Row],[SERIE]],BDEGENER[GA3])</f>
        <v>5274.9</v>
      </c>
      <c r="BC1050" s="683" t="str">
        <f>CONCATENATE("MANT",COUNTIF($Y$7:Y1050,Y1050))</f>
        <v>MANT9</v>
      </c>
      <c r="BD1050" s="773" t="str">
        <f>CONCATENATE(BDEGENER[[#This Row],[SERIE]],BDEGENER[[#This Row],[GA5]])</f>
        <v>3003566701MANT9</v>
      </c>
      <c r="BE1050" s="773" t="str">
        <f>CONCATENATE(BDEGENER[[#This Row],[CODIGO PATRIMONIAL]],BDEGENER[[#This Row],[GA5]])</f>
        <v>NOR-GEG-0018MANT9</v>
      </c>
      <c r="BF1050" s="16">
        <f>COUNTIF(BDEGENER[SERIE],BDEGENER[[#This Row],[SERIE]])</f>
        <v>10</v>
      </c>
      <c r="BG1050" s="683" t="str">
        <f>CONCATENATE("F",COUNTIF($K$7:K1050,K1050))</f>
        <v>F1</v>
      </c>
      <c r="BH1050" s="325" t="str">
        <f>CONCATENATE(BDEGENER[[#This Row],[FECHA DE SERVICIO]],BDEGENER[[#This Row],[N° DE REGISTROS DEL DIA]])</f>
        <v>43497F1</v>
      </c>
      <c r="BI1050" s="324"/>
      <c r="BJ1050" s="325"/>
      <c r="BK1050" s="326"/>
    </row>
    <row r="1051" spans="2:63" ht="69" hidden="1" x14ac:dyDescent="0.3">
      <c r="B1051" s="223"/>
      <c r="C1051" s="223"/>
      <c r="D1051" s="223"/>
      <c r="E1051" s="223"/>
      <c r="F1051" s="223"/>
      <c r="G1051" s="223"/>
      <c r="H1051" s="223"/>
      <c r="I1051" s="223"/>
      <c r="J1051" s="223"/>
      <c r="K1051" s="723">
        <v>43495</v>
      </c>
      <c r="L1051" s="15" t="s">
        <v>181</v>
      </c>
      <c r="M1051" s="14" t="s">
        <v>202</v>
      </c>
      <c r="N1051" s="14"/>
      <c r="O1051" s="8"/>
      <c r="P1051" s="10"/>
      <c r="Q1051" s="14" t="s">
        <v>107</v>
      </c>
      <c r="R1051" s="85" t="s">
        <v>1782</v>
      </c>
      <c r="S1051" s="5" t="s">
        <v>74</v>
      </c>
      <c r="T1051" s="85" t="s">
        <v>1782</v>
      </c>
      <c r="U1051" s="14" t="s">
        <v>143</v>
      </c>
      <c r="V1051" s="14" t="s">
        <v>146</v>
      </c>
      <c r="W1051" s="14"/>
      <c r="X1051" s="14"/>
      <c r="Y1051" s="15"/>
      <c r="Z1051" s="14"/>
      <c r="AA1051" s="14"/>
      <c r="AB1051" s="14"/>
      <c r="AC1051" s="14"/>
      <c r="AD1051" s="16"/>
      <c r="AE1051" s="16"/>
      <c r="AF1051" s="12">
        <v>4762.3</v>
      </c>
      <c r="AG1051" s="16"/>
      <c r="AH1051" s="16"/>
      <c r="AI1051" s="16"/>
      <c r="AJ1051" s="16"/>
      <c r="AK1051" s="16"/>
      <c r="AL1051" s="16"/>
      <c r="AM1051" s="16"/>
      <c r="AN1051" s="16"/>
      <c r="AO1051" s="16"/>
      <c r="AP1051" s="14" t="s">
        <v>240</v>
      </c>
      <c r="AQ1051" s="6" t="str">
        <f>CONCATENATE("REG-",BDEGENER[[#This Row],[FECHA DE SERVICIO]],"-",BDEGENER[[#This Row],[SERIE]],"-",BDEGENER[[#This Row],[HORAS]])</f>
        <v>REG-43495--4762,3</v>
      </c>
      <c r="AR1051" s="5" t="str">
        <f>CONCATENATE("MARCA: ",BDEGENER[[#This Row],[MARCA]],"
 MODELO: ",BDEGENER[[#This Row],[MODELO]])</f>
        <v xml:space="preserve">MARCA: 
 MODELO: </v>
      </c>
      <c r="AS1051" s="5" t="str">
        <f>CONCATENATE("MARCA: ",BDEGENER[[#This Row],[MARCA DE MOTOR]],"
SERIE: ",BDEGENER[[#This Row],[SERIE DE MOTOR]])</f>
        <v xml:space="preserve">MARCA: 
SERIE: </v>
      </c>
      <c r="AT1051" s="5" t="str">
        <f>CONCATENATE("MARCA: ",BDEGENER[[#This Row],[MARCA ALTERNADOR ]],"
SERIE: ",BDEGENER[[#This Row],[SERIE DE ALTERNADOR]])</f>
        <v xml:space="preserve">MARCA: 
SERIE: </v>
      </c>
      <c r="AU1051" s="5" t="str">
        <f>CONCATENATE("HORAS: ",BDEGENER[[#This Row],[HORAS]],"
KW-HR: ",BDEGENER[[#This Row],[KW-HORA]],"
VOLT.BATERIA: ",BDEGENER[[#This Row],[VOLTAJE DE BATERIA]],"
TEMPERATURA: ",BDEGENER[[#This Row],[TEMPERATURA DE AGUA]],"
PRES. ACEITE: ",BDEGENER[[#This Row],[PRESION DE ACEITE]])</f>
        <v xml:space="preserve">HORAS: 4762,3
KW-HR: 
VOLT.BATERIA: 
TEMPERATURA: 
PRES. ACEITE: </v>
      </c>
      <c r="AV1051" s="761">
        <f>COUNTIFS(Q1051:Q3051,"MANTENIMIENTO CORRECTIVO",Y1051:Y3051,BDEGENER[[#This Row],[SERIE]])</f>
        <v>0</v>
      </c>
      <c r="AW1051" s="761">
        <f>COUNTIFS(Q1051:Q3051,"MANTENIMIENTO PREVENTIVO",Y1051:Y3051,BDEGENER[[#This Row],[SERIE]])</f>
        <v>0</v>
      </c>
      <c r="AX105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N°0</v>
      </c>
      <c r="AY1051" s="29">
        <f>COUNTIFS(BDEGENER[SERIE],BDEGENER[[#This Row],[SERIE]],BDEGENER[TIPO DE SERVICIO],"MANTENIMIENTO PREVENTIVO")</f>
        <v>0</v>
      </c>
      <c r="AZ1051" s="29" t="str">
        <f>CONCATENATE("MANTENIMIENTO PREVENTIVO N°",BDEGENER[[#This Row],[GA1]])</f>
        <v>MANTENIMIENTO PREVENTIVO N°0</v>
      </c>
      <c r="BA1051" s="325" t="str">
        <f>IF(BDEGENER[[#This Row],[SERVICIO]]=BDEGENER[[#This Row],[GA2]],BDEGENER[[#This Row],[HORAS]],"0")</f>
        <v>0</v>
      </c>
      <c r="BB1051" s="325">
        <f>SUMIF(BDEGENER[SERIE],BDEGENER[[#This Row],[SERIE]],BDEGENER[GA3])</f>
        <v>0</v>
      </c>
      <c r="BC1051" s="761" t="str">
        <f>CONCATENATE("MANT",COUNTIF($Y$7:Y1051,Y1051))</f>
        <v>MANT0</v>
      </c>
      <c r="BD1051" s="29" t="str">
        <f>CONCATENATE(BDEGENER[[#This Row],[SERIE]],BDEGENER[[#This Row],[GA5]])</f>
        <v>MANT0</v>
      </c>
      <c r="BE1051" s="29" t="str">
        <f>CONCATENATE(BDEGENER[[#This Row],[CODIGO PATRIMONIAL]],BDEGENER[[#This Row],[GA5]])</f>
        <v>MANT0</v>
      </c>
      <c r="BF1051" s="16">
        <f>COUNTIF(BDEGENER[SERIE],BDEGENER[[#This Row],[SERIE]])</f>
        <v>0</v>
      </c>
      <c r="BG1051" s="761" t="str">
        <f>CONCATENATE("F",COUNTIF($K$7:K1051,K1051))</f>
        <v>F1</v>
      </c>
      <c r="BH1051" s="325" t="str">
        <f>CONCATENATE(BDEGENER[[#This Row],[FECHA DE SERVICIO]],BDEGENER[[#This Row],[N° DE REGISTROS DEL DIA]])</f>
        <v>43495F1</v>
      </c>
      <c r="BI1051" s="324"/>
      <c r="BJ1051" s="325"/>
      <c r="BK1051" s="326"/>
    </row>
    <row r="1052" spans="2:63" ht="82.8" hidden="1" x14ac:dyDescent="0.3">
      <c r="B1052" s="223"/>
      <c r="C1052" s="223"/>
      <c r="D1052" s="223"/>
      <c r="E1052" s="223"/>
      <c r="F1052" s="223"/>
      <c r="G1052" s="223"/>
      <c r="H1052" s="223"/>
      <c r="I1052" s="223"/>
      <c r="J1052" s="223"/>
      <c r="K1052" s="723">
        <v>43495</v>
      </c>
      <c r="L1052" s="15" t="s">
        <v>181</v>
      </c>
      <c r="M1052" s="14" t="s">
        <v>201</v>
      </c>
      <c r="N1052" s="14"/>
      <c r="O1052" s="8"/>
      <c r="P1052" s="10"/>
      <c r="Q1052" s="14" t="s">
        <v>108</v>
      </c>
      <c r="R1052" s="85" t="s">
        <v>1782</v>
      </c>
      <c r="S1052" s="5" t="s">
        <v>75</v>
      </c>
      <c r="T1052" s="85" t="s">
        <v>1782</v>
      </c>
      <c r="U1052" s="14"/>
      <c r="V1052" s="14" t="s">
        <v>155</v>
      </c>
      <c r="W1052" s="14"/>
      <c r="X1052" s="14"/>
      <c r="Y1052" s="15" t="s">
        <v>180</v>
      </c>
      <c r="Z1052" s="14" t="s">
        <v>228</v>
      </c>
      <c r="AA1052" s="14"/>
      <c r="AB1052" s="14"/>
      <c r="AC1052" s="14"/>
      <c r="AD1052" s="16"/>
      <c r="AE1052" s="16"/>
      <c r="AF1052" s="12">
        <v>8836.09</v>
      </c>
      <c r="AG1052" s="16"/>
      <c r="AH1052" s="16"/>
      <c r="AI1052" s="16"/>
      <c r="AJ1052" s="16"/>
      <c r="AK1052" s="16"/>
      <c r="AL1052" s="16"/>
      <c r="AM1052" s="16"/>
      <c r="AN1052" s="16"/>
      <c r="AO1052" s="16"/>
      <c r="AP1052" s="14" t="s">
        <v>240</v>
      </c>
      <c r="AQ1052" s="6" t="str">
        <f>CONCATENATE("REG-",BDEGENER[[#This Row],[FECHA DE SERVICIO]],"-",BDEGENER[[#This Row],[SERIE]],"-",BDEGENER[[#This Row],[HORAS]])</f>
        <v>REG-43495-SFM00032904-8836,09</v>
      </c>
      <c r="AR1052" s="5" t="str">
        <f>CONCATENATE("MARCA: ",BDEGENER[[#This Row],[MARCA]],"
 MODELO: ",BDEGENER[[#This Row],[MODELO]])</f>
        <v xml:space="preserve">MARCA: 
 MODELO: </v>
      </c>
      <c r="AS1052" s="5" t="str">
        <f>CONCATENATE("MARCA: ",BDEGENER[[#This Row],[MARCA DE MOTOR]],"
SERIE: ",BDEGENER[[#This Row],[SERIE DE MOTOR]])</f>
        <v xml:space="preserve">MARCA: 
SERIE: </v>
      </c>
      <c r="AT1052" s="5" t="str">
        <f>CONCATENATE("MARCA: ",BDEGENER[[#This Row],[MARCA ALTERNADOR ]],"
SERIE: ",BDEGENER[[#This Row],[SERIE DE ALTERNADOR]])</f>
        <v xml:space="preserve">MARCA: 
SERIE: </v>
      </c>
      <c r="AU1052" s="5" t="str">
        <f>CONCATENATE("HORAS: ",BDEGENER[[#This Row],[HORAS]],"
KW-HR: ",BDEGENER[[#This Row],[KW-HORA]],"
VOLT.BATERIA: ",BDEGENER[[#This Row],[VOLTAJE DE BATERIA]],"
TEMPERATURA: ",BDEGENER[[#This Row],[TEMPERATURA DE AGUA]],"
PRES. ACEITE: ",BDEGENER[[#This Row],[PRESION DE ACEITE]])</f>
        <v xml:space="preserve">HORAS: 8836,09
KW-HR: 
VOLT.BATERIA: 
TEMPERATURA: 
PRES. ACEITE: </v>
      </c>
      <c r="AV1052" s="683">
        <f>COUNTIFS(Q1052:Q3052,"MANTENIMIENTO CORRECTIVO",Y1052:Y3052,BDEGENER[[#This Row],[SERIE]])</f>
        <v>0</v>
      </c>
      <c r="AW1052" s="683">
        <f>COUNTIFS(Q1052:Q3052,"MANTENIMIENTO PREVENTIVO",Y1052:Y3052,BDEGENER[[#This Row],[SERIE]])</f>
        <v>0</v>
      </c>
      <c r="AX105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052" s="29">
        <f>COUNTIFS(BDEGENER[SERIE],BDEGENER[[#This Row],[SERIE]],BDEGENER[TIPO DE SERVICIO],"MANTENIMIENTO PREVENTIVO")</f>
        <v>0</v>
      </c>
      <c r="AZ1052" s="29" t="str">
        <f>CONCATENATE("MANTENIMIENTO PREVENTIVO N°",BDEGENER[[#This Row],[GA1]])</f>
        <v>MANTENIMIENTO PREVENTIVO N°0</v>
      </c>
      <c r="BA1052" s="325" t="str">
        <f>IF(BDEGENER[[#This Row],[SERVICIO]]=BDEGENER[[#This Row],[GA2]],BDEGENER[[#This Row],[HORAS]],"0")</f>
        <v>0</v>
      </c>
      <c r="BB1052" s="325">
        <f>SUMIF(BDEGENER[SERIE],BDEGENER[[#This Row],[SERIE]],BDEGENER[GA3])</f>
        <v>0</v>
      </c>
      <c r="BC1052" s="683" t="str">
        <f>CONCATENATE("MANT",COUNTIF($Y$7:Y1052,Y1052))</f>
        <v>MANT1</v>
      </c>
      <c r="BD1052" s="29" t="str">
        <f>CONCATENATE(BDEGENER[[#This Row],[SERIE]],BDEGENER[[#This Row],[GA5]])</f>
        <v>SFM00032904MANT1</v>
      </c>
      <c r="BE1052" s="29" t="str">
        <f>CONCATENATE(BDEGENER[[#This Row],[CODIGO PATRIMONIAL]],BDEGENER[[#This Row],[GA5]])</f>
        <v>GEGA 01MANT1</v>
      </c>
      <c r="BF1052" s="16">
        <f>COUNTIF(BDEGENER[SERIE],BDEGENER[[#This Row],[SERIE]])</f>
        <v>1</v>
      </c>
      <c r="BG1052" s="683" t="str">
        <f>CONCATENATE("F",COUNTIF($K$7:K1052,K1052))</f>
        <v>F2</v>
      </c>
      <c r="BH1052" s="325" t="str">
        <f>CONCATENATE(BDEGENER[[#This Row],[FECHA DE SERVICIO]],BDEGENER[[#This Row],[N° DE REGISTROS DEL DIA]])</f>
        <v>43495F2</v>
      </c>
      <c r="BI1052" s="324"/>
      <c r="BJ1052" s="325"/>
      <c r="BK1052" s="326"/>
    </row>
    <row r="1053" spans="2:63" ht="69" hidden="1" x14ac:dyDescent="0.3">
      <c r="B1053" s="33"/>
      <c r="C1053" s="33"/>
      <c r="D1053" s="33"/>
      <c r="E1053" s="33"/>
      <c r="F1053" s="33"/>
      <c r="G1053" s="33"/>
      <c r="H1053" s="33"/>
      <c r="I1053" s="33"/>
      <c r="J1053" s="33"/>
      <c r="K1053" s="38">
        <v>43490</v>
      </c>
      <c r="L1053" s="18" t="s">
        <v>248</v>
      </c>
      <c r="M1053" s="23" t="s">
        <v>270</v>
      </c>
      <c r="N1053" s="23" t="s">
        <v>271</v>
      </c>
      <c r="O1053" s="23"/>
      <c r="P1053" s="21"/>
      <c r="Q1053" s="22" t="s">
        <v>37</v>
      </c>
      <c r="R1053" s="85" t="s">
        <v>1782</v>
      </c>
      <c r="S1053" s="25" t="s">
        <v>339</v>
      </c>
      <c r="T1053" s="85" t="s">
        <v>1782</v>
      </c>
      <c r="U1053" s="25" t="s">
        <v>340</v>
      </c>
      <c r="V1053" s="25" t="s">
        <v>146</v>
      </c>
      <c r="W1053" s="85" t="s">
        <v>913</v>
      </c>
      <c r="X1053" s="85" t="s">
        <v>917</v>
      </c>
      <c r="Y1053" s="135">
        <v>3002933955</v>
      </c>
      <c r="Z1053" s="16"/>
      <c r="AA1053" s="16" t="s">
        <v>33</v>
      </c>
      <c r="AB1053" s="85">
        <v>60720</v>
      </c>
      <c r="AC1053" s="22" t="s">
        <v>235</v>
      </c>
      <c r="AD1053" s="16"/>
      <c r="AE1053" s="16"/>
      <c r="AF1053" s="27">
        <v>994</v>
      </c>
      <c r="AG1053" s="16" t="s">
        <v>243</v>
      </c>
      <c r="AH1053" s="16" t="s">
        <v>220</v>
      </c>
      <c r="AI1053" s="16"/>
      <c r="AJ1053" s="16"/>
      <c r="AK1053" s="16"/>
      <c r="AL1053" s="16"/>
      <c r="AM1053" s="16"/>
      <c r="AN1053" s="16"/>
      <c r="AO1053" s="16"/>
      <c r="AP1053" s="22" t="s">
        <v>240</v>
      </c>
      <c r="AQ1053" s="6" t="str">
        <f>CONCATENATE("REG-",BDEGENER[[#This Row],[FECHA DE SERVICIO]],"-",BDEGENER[[#This Row],[SERIE]],"-",BDEGENER[[#This Row],[HORAS]])</f>
        <v>REG-43490-3002933955-994</v>
      </c>
      <c r="AR1053" s="5" t="str">
        <f>CONCATENATE("MARCA: ",BDEGENER[[#This Row],[MARCA]],"
 MODELO: ",BDEGENER[[#This Row],[MODELO]])</f>
        <v>MARCA: GENERAC
 MODELO: 60720</v>
      </c>
      <c r="AS1053" s="5" t="str">
        <f>CONCATENATE("MARCA: ",BDEGENER[[#This Row],[MARCA DE MOTOR]],"
SERIE: ",BDEGENER[[#This Row],[SERIE DE MOTOR]])</f>
        <v xml:space="preserve">MARCA: 
SERIE: </v>
      </c>
      <c r="AT1053" s="5" t="str">
        <f>CONCATENATE("MARCA: ",BDEGENER[[#This Row],[MARCA ALTERNADOR ]],"
SERIE: ",BDEGENER[[#This Row],[SERIE DE ALTERNADOR]])</f>
        <v xml:space="preserve">MARCA: 
SERIE: </v>
      </c>
      <c r="AU1053" s="5" t="str">
        <f>CONCATENATE("HORAS: ",BDEGENER[[#This Row],[HORAS]],"
KW-HR: ",BDEGENER[[#This Row],[KW-HORA]],"
VOLT.BATERIA: ",BDEGENER[[#This Row],[VOLTAJE DE BATERIA]],"
TEMPERATURA: ",BDEGENER[[#This Row],[TEMPERATURA DE AGUA]],"
PRES. ACEITE: ",BDEGENER[[#This Row],[PRESION DE ACEITE]])</f>
        <v xml:space="preserve">HORAS: 994
KW-HR: 
VOLT.BATERIA: 
TEMPERATURA: 
PRES. ACEITE: </v>
      </c>
      <c r="AV1053" s="683">
        <f>COUNTIFS(Q1053:Q3053,"MANTENIMIENTO CORRECTIVO",Y1053:Y3053,BDEGENER[[#This Row],[SERIE]])</f>
        <v>0</v>
      </c>
      <c r="AW1053" s="683">
        <f>COUNTIFS(Q1053:Q3053,"MANTENIMIENTO PREVENTIVO",Y1053:Y3053,BDEGENER[[#This Row],[SERIE]])</f>
        <v>3</v>
      </c>
      <c r="AX105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053" s="29">
        <f>COUNTIFS(BDEGENER[SERIE],BDEGENER[[#This Row],[SERIE]],BDEGENER[TIPO DE SERVICIO],"MANTENIMIENTO PREVENTIVO")</f>
        <v>3</v>
      </c>
      <c r="AZ1053" s="29" t="str">
        <f>CONCATENATE("MANTENIMIENTO PREVENTIVO N°",BDEGENER[[#This Row],[GA1]])</f>
        <v>MANTENIMIENTO PREVENTIVO N°3</v>
      </c>
      <c r="BA1053" s="325">
        <f>IF(BDEGENER[[#This Row],[SERVICIO]]=BDEGENER[[#This Row],[GA2]],BDEGENER[[#This Row],[HORAS]],"0")</f>
        <v>994</v>
      </c>
      <c r="BB1053" s="325">
        <f>SUMIF(BDEGENER[SERIE],BDEGENER[[#This Row],[SERIE]],BDEGENER[GA3])</f>
        <v>994</v>
      </c>
      <c r="BC1053" s="683" t="str">
        <f>CONCATENATE("MANT",COUNTIF($Y$7:Y1053,Y1053))</f>
        <v>MANT2</v>
      </c>
      <c r="BD1053" s="29" t="str">
        <f>CONCATENATE(BDEGENER[[#This Row],[SERIE]],BDEGENER[[#This Row],[GA5]])</f>
        <v>3002933955MANT2</v>
      </c>
      <c r="BE1053" s="29" t="str">
        <f>CONCATENATE(BDEGENER[[#This Row],[CODIGO PATRIMONIAL]],BDEGENER[[#This Row],[GA5]])</f>
        <v>MANT2</v>
      </c>
      <c r="BF1053" s="16">
        <f>COUNTIF(BDEGENER[SERIE],BDEGENER[[#This Row],[SERIE]])</f>
        <v>4</v>
      </c>
      <c r="BG1053" s="683" t="str">
        <f>CONCATENATE("F",COUNTIF($K$7:K1053,K1053))</f>
        <v>F1</v>
      </c>
      <c r="BH1053" s="325" t="str">
        <f>CONCATENATE(BDEGENER[[#This Row],[FECHA DE SERVICIO]],BDEGENER[[#This Row],[N° DE REGISTROS DEL DIA]])</f>
        <v>43490F1</v>
      </c>
      <c r="BI1053" s="324"/>
      <c r="BJ1053" s="325"/>
      <c r="BK1053" s="326"/>
    </row>
    <row r="1054" spans="2:63" ht="69" hidden="1" x14ac:dyDescent="0.3">
      <c r="B1054" s="34"/>
      <c r="C1054" s="34"/>
      <c r="D1054" s="34"/>
      <c r="E1054" s="34"/>
      <c r="F1054" s="34"/>
      <c r="G1054" s="34"/>
      <c r="H1054" s="34"/>
      <c r="I1054" s="34"/>
      <c r="J1054" s="34"/>
      <c r="K1054" s="37">
        <v>43490</v>
      </c>
      <c r="L1054" s="30" t="s">
        <v>561</v>
      </c>
      <c r="M1054" s="19" t="s">
        <v>588</v>
      </c>
      <c r="N1054" s="19" t="s">
        <v>589</v>
      </c>
      <c r="O1054" s="19"/>
      <c r="P1054" s="19"/>
      <c r="Q1054" s="19" t="s">
        <v>37</v>
      </c>
      <c r="R1054" s="85" t="s">
        <v>1782</v>
      </c>
      <c r="S1054" s="19" t="s">
        <v>655</v>
      </c>
      <c r="T1054" s="85" t="s">
        <v>1782</v>
      </c>
      <c r="U1054" s="19" t="s">
        <v>737</v>
      </c>
      <c r="V1054" s="19" t="s">
        <v>146</v>
      </c>
      <c r="W1054" s="85" t="s">
        <v>914</v>
      </c>
      <c r="X1054" s="85" t="s">
        <v>918</v>
      </c>
      <c r="Y1054" s="31">
        <v>3003566699</v>
      </c>
      <c r="Z1054" s="692" t="s">
        <v>2619</v>
      </c>
      <c r="AA1054" s="19" t="s">
        <v>33</v>
      </c>
      <c r="AB1054" s="85" t="s">
        <v>34</v>
      </c>
      <c r="AC1054" s="19" t="s">
        <v>230</v>
      </c>
      <c r="AD1054" s="16"/>
      <c r="AE1054" s="16"/>
      <c r="AF1054" s="146">
        <v>740.5</v>
      </c>
      <c r="AG1054" s="16" t="s">
        <v>243</v>
      </c>
      <c r="AH1054" s="16" t="s">
        <v>244</v>
      </c>
      <c r="AI1054" s="16"/>
      <c r="AJ1054" s="16"/>
      <c r="AK1054" s="16"/>
      <c r="AL1054" s="16"/>
      <c r="AM1054" s="16"/>
      <c r="AN1054" s="16"/>
      <c r="AO1054" s="16"/>
      <c r="AP1054" s="19" t="s">
        <v>240</v>
      </c>
      <c r="AQ1054" s="6" t="str">
        <f>CONCATENATE("REG-",BDEGENER[[#This Row],[FECHA DE SERVICIO]],"-",BDEGENER[[#This Row],[SERIE]],"-",BDEGENER[[#This Row],[HORAS]])</f>
        <v>REG-43490-3003566699-740,5</v>
      </c>
      <c r="AR1054" s="5" t="str">
        <f>CONCATENATE("MARCA: ",BDEGENER[[#This Row],[MARCA]],"
 MODELO: ",BDEGENER[[#This Row],[MODELO]])</f>
        <v>MARCA: GENERAC
 MODELO: PG090</v>
      </c>
      <c r="AS1054" s="5" t="str">
        <f>CONCATENATE("MARCA: ",BDEGENER[[#This Row],[MARCA DE MOTOR]],"
SERIE: ",BDEGENER[[#This Row],[SERIE DE MOTOR]])</f>
        <v xml:space="preserve">MARCA: 
SERIE: </v>
      </c>
      <c r="AT1054" s="5" t="str">
        <f>CONCATENATE("MARCA: ",BDEGENER[[#This Row],[MARCA ALTERNADOR ]],"
SERIE: ",BDEGENER[[#This Row],[SERIE DE ALTERNADOR]])</f>
        <v xml:space="preserve">MARCA: 
SERIE: </v>
      </c>
      <c r="AU1054" s="29" t="str">
        <f>CONCATENATE("HORAS: ",BDEGENER[[#This Row],[HORAS]],"
KW-HR: ",BDEGENER[[#This Row],[KW-HORA]],"
VOLT.BATERIA: ",BDEGENER[[#This Row],[VOLTAJE DE BATERIA]],"
TEMPERATURA: ",BDEGENER[[#This Row],[TEMPERATURA DE AGUA]],"
PRES. ACEITE: ",BDEGENER[[#This Row],[PRESION DE ACEITE]])</f>
        <v xml:space="preserve">HORAS: 740,5
KW-HR: 
VOLT.BATERIA: 
TEMPERATURA: 
PRES. ACEITE: </v>
      </c>
      <c r="AV1054" s="761">
        <f>COUNTIFS(Q1054:Q3054,"MANTENIMIENTO CORRECTIVO",Y1054:Y3054,BDEGENER[[#This Row],[SERIE]])</f>
        <v>1</v>
      </c>
      <c r="AW1054" s="761">
        <f>COUNTIFS(Q1054:Q3054,"MANTENIMIENTO PREVENTIVO",Y1054:Y3054,BDEGENER[[#This Row],[SERIE]])</f>
        <v>1</v>
      </c>
      <c r="AX105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54" s="29">
        <f>COUNTIFS(BDEGENER[SERIE],BDEGENER[[#This Row],[SERIE]],BDEGENER[TIPO DE SERVICIO],"MANTENIMIENTO PREVENTIVO")</f>
        <v>12</v>
      </c>
      <c r="AZ1054" s="29" t="str">
        <f>CONCATENATE("MANTENIMIENTO PREVENTIVO N°",BDEGENER[[#This Row],[GA1]])</f>
        <v>MANTENIMIENTO PREVENTIVO N°12</v>
      </c>
      <c r="BA1054" s="325" t="str">
        <f>IF(BDEGENER[[#This Row],[SERVICIO]]=BDEGENER[[#This Row],[GA2]],BDEGENER[[#This Row],[HORAS]],"0")</f>
        <v>0</v>
      </c>
      <c r="BB1054" s="325">
        <f>SUMIF(BDEGENER[SERIE],BDEGENER[[#This Row],[SERIE]],BDEGENER[GA3])</f>
        <v>8154.7</v>
      </c>
      <c r="BC1054" s="761" t="str">
        <f>CONCATENATE("MANT",COUNTIF($Y$7:Y1054,Y1054))</f>
        <v>MANT16</v>
      </c>
      <c r="BD1054" s="29" t="str">
        <f>CONCATENATE(BDEGENER[[#This Row],[SERIE]],BDEGENER[[#This Row],[GA5]])</f>
        <v>3003566699MANT16</v>
      </c>
      <c r="BE1054" s="29" t="str">
        <f>CONCATENATE(BDEGENER[[#This Row],[CODIGO PATRIMONIAL]],BDEGENER[[#This Row],[GA5]])</f>
        <v>NOR-GEG-0021MANT16</v>
      </c>
      <c r="BF1054" s="16">
        <f>COUNTIF(BDEGENER[SERIE],BDEGENER[[#This Row],[SERIE]])</f>
        <v>17</v>
      </c>
      <c r="BG1054" s="761" t="str">
        <f>CONCATENATE("F",COUNTIF($K$7:K1054,K1054))</f>
        <v>F2</v>
      </c>
      <c r="BH1054" s="325" t="str">
        <f>CONCATENATE(BDEGENER[[#This Row],[FECHA DE SERVICIO]],BDEGENER[[#This Row],[N° DE REGISTROS DEL DIA]])</f>
        <v>43490F2</v>
      </c>
      <c r="BI1054" s="324"/>
      <c r="BJ1054" s="325"/>
      <c r="BK1054" s="326"/>
    </row>
    <row r="1055" spans="2:63" ht="69" hidden="1" x14ac:dyDescent="0.3">
      <c r="B1055" s="34"/>
      <c r="C1055" s="34"/>
      <c r="D1055" s="34"/>
      <c r="E1055" s="34"/>
      <c r="F1055" s="34"/>
      <c r="G1055" s="34"/>
      <c r="H1055" s="34"/>
      <c r="I1055" s="34"/>
      <c r="J1055" s="34"/>
      <c r="K1055" s="37">
        <v>43490</v>
      </c>
      <c r="L1055" s="30" t="s">
        <v>561</v>
      </c>
      <c r="M1055" s="19" t="s">
        <v>2452</v>
      </c>
      <c r="N1055" s="19" t="s">
        <v>584</v>
      </c>
      <c r="O1055" s="19"/>
      <c r="P1055" s="19"/>
      <c r="Q1055" s="19" t="s">
        <v>37</v>
      </c>
      <c r="R1055" s="85" t="s">
        <v>1782</v>
      </c>
      <c r="S1055" s="19" t="s">
        <v>656</v>
      </c>
      <c r="T1055" s="85" t="s">
        <v>1782</v>
      </c>
      <c r="U1055" s="19" t="s">
        <v>738</v>
      </c>
      <c r="V1055" s="19" t="s">
        <v>146</v>
      </c>
      <c r="W1055" s="85" t="s">
        <v>914</v>
      </c>
      <c r="X1055" s="85" t="s">
        <v>918</v>
      </c>
      <c r="Y1055" s="31">
        <v>3003566705</v>
      </c>
      <c r="Z1055" s="692" t="s">
        <v>2613</v>
      </c>
      <c r="AA1055" s="683" t="s">
        <v>33</v>
      </c>
      <c r="AB1055" s="85" t="s">
        <v>34</v>
      </c>
      <c r="AC1055" s="683" t="s">
        <v>230</v>
      </c>
      <c r="AD1055" s="16"/>
      <c r="AE1055" s="16"/>
      <c r="AF1055" s="146">
        <v>924.5</v>
      </c>
      <c r="AG1055" s="16"/>
      <c r="AH1055" s="16"/>
      <c r="AI1055" s="16"/>
      <c r="AJ1055" s="16"/>
      <c r="AK1055" s="16"/>
      <c r="AL1055" s="16"/>
      <c r="AM1055" s="16"/>
      <c r="AN1055" s="16"/>
      <c r="AO1055" s="16"/>
      <c r="AP1055" s="19" t="s">
        <v>240</v>
      </c>
      <c r="AQ1055" s="6" t="str">
        <f>CONCATENATE("REG-",BDEGENER[[#This Row],[FECHA DE SERVICIO]],"-",BDEGENER[[#This Row],[SERIE]],"-",BDEGENER[[#This Row],[HORAS]])</f>
        <v>REG-43490-3003566705-924,5</v>
      </c>
      <c r="AR1055" s="5" t="str">
        <f>CONCATENATE("MARCA: ",BDEGENER[[#This Row],[MARCA]],"
 MODELO: ",BDEGENER[[#This Row],[MODELO]])</f>
        <v>MARCA: GENERAC
 MODELO: PG090</v>
      </c>
      <c r="AS1055" s="5" t="str">
        <f>CONCATENATE("MARCA: ",BDEGENER[[#This Row],[MARCA DE MOTOR]],"
SERIE: ",BDEGENER[[#This Row],[SERIE DE MOTOR]])</f>
        <v xml:space="preserve">MARCA: 
SERIE: </v>
      </c>
      <c r="AT1055" s="5" t="str">
        <f>CONCATENATE("MARCA: ",BDEGENER[[#This Row],[MARCA ALTERNADOR ]],"
SERIE: ",BDEGENER[[#This Row],[SERIE DE ALTERNADOR]])</f>
        <v xml:space="preserve">MARCA: 
SERIE: </v>
      </c>
      <c r="AU1055" s="29" t="str">
        <f>CONCATENATE("HORAS: ",BDEGENER[[#This Row],[HORAS]],"
KW-HR: ",BDEGENER[[#This Row],[KW-HORA]],"
VOLT.BATERIA: ",BDEGENER[[#This Row],[VOLTAJE DE BATERIA]],"
TEMPERATURA: ",BDEGENER[[#This Row],[TEMPERATURA DE AGUA]],"
PRES. ACEITE: ",BDEGENER[[#This Row],[PRESION DE ACEITE]])</f>
        <v xml:space="preserve">HORAS: 924,5
KW-HR: 
VOLT.BATERIA: 
TEMPERATURA: 
PRES. ACEITE: </v>
      </c>
      <c r="AV1055" s="683">
        <f>COUNTIFS(Q1055:Q3055,"MANTENIMIENTO CORRECTIVO",Y1055:Y3055,BDEGENER[[#This Row],[SERIE]])</f>
        <v>0</v>
      </c>
      <c r="AW1055" s="683">
        <f>COUNTIFS(Q1055:Q3055,"MANTENIMIENTO PREVENTIVO",Y1055:Y3055,BDEGENER[[#This Row],[SERIE]])</f>
        <v>1</v>
      </c>
      <c r="AX105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55" s="29">
        <f>COUNTIFS(BDEGENER[SERIE],BDEGENER[[#This Row],[SERIE]],BDEGENER[TIPO DE SERVICIO],"MANTENIMIENTO PREVENTIVO")</f>
        <v>6</v>
      </c>
      <c r="AZ1055" s="29" t="str">
        <f>CONCATENATE("MANTENIMIENTO PREVENTIVO N°",BDEGENER[[#This Row],[GA1]])</f>
        <v>MANTENIMIENTO PREVENTIVO N°6</v>
      </c>
      <c r="BA1055" s="325" t="str">
        <f>IF(BDEGENER[[#This Row],[SERVICIO]]=BDEGENER[[#This Row],[GA2]],BDEGENER[[#This Row],[HORAS]],"0")</f>
        <v>0</v>
      </c>
      <c r="BB1055" s="325">
        <f>SUMIF(BDEGENER[SERIE],BDEGENER[[#This Row],[SERIE]],BDEGENER[GA3])</f>
        <v>6247.9</v>
      </c>
      <c r="BC1055" s="683" t="str">
        <f>CONCATENATE("MANT",COUNTIF($Y$7:Y1055,Y1055))</f>
        <v>MANT8</v>
      </c>
      <c r="BD1055" s="29" t="str">
        <f>CONCATENATE(BDEGENER[[#This Row],[SERIE]],BDEGENER[[#This Row],[GA5]])</f>
        <v>3003566705MANT8</v>
      </c>
      <c r="BE1055" s="29" t="str">
        <f>CONCATENATE(BDEGENER[[#This Row],[CODIGO PATRIMONIAL]],BDEGENER[[#This Row],[GA5]])</f>
        <v>NOR-GEG-0015MANT8</v>
      </c>
      <c r="BF1055" s="16">
        <f>COUNTIF(BDEGENER[SERIE],BDEGENER[[#This Row],[SERIE]])</f>
        <v>8</v>
      </c>
      <c r="BG1055" s="683" t="str">
        <f>CONCATENATE("F",COUNTIF($K$7:K1055,K1055))</f>
        <v>F3</v>
      </c>
      <c r="BH1055" s="325" t="str">
        <f>CONCATENATE(BDEGENER[[#This Row],[FECHA DE SERVICIO]],BDEGENER[[#This Row],[N° DE REGISTROS DEL DIA]])</f>
        <v>43490F3</v>
      </c>
      <c r="BI1055" s="324"/>
      <c r="BJ1055" s="325"/>
      <c r="BK1055" s="326"/>
    </row>
    <row r="1056" spans="2:63" ht="69" hidden="1" x14ac:dyDescent="0.3">
      <c r="B1056" s="34"/>
      <c r="C1056" s="34"/>
      <c r="D1056" s="34"/>
      <c r="E1056" s="34"/>
      <c r="F1056" s="34"/>
      <c r="G1056" s="34"/>
      <c r="H1056" s="34"/>
      <c r="I1056" s="34"/>
      <c r="J1056" s="34"/>
      <c r="K1056" s="37">
        <v>43490</v>
      </c>
      <c r="L1056" s="30" t="s">
        <v>561</v>
      </c>
      <c r="M1056" s="19" t="s">
        <v>2453</v>
      </c>
      <c r="N1056" s="19" t="s">
        <v>584</v>
      </c>
      <c r="O1056" s="19"/>
      <c r="P1056" s="19"/>
      <c r="Q1056" s="19" t="s">
        <v>37</v>
      </c>
      <c r="R1056" s="85" t="s">
        <v>1782</v>
      </c>
      <c r="S1056" s="19" t="s">
        <v>657</v>
      </c>
      <c r="T1056" s="85" t="s">
        <v>1782</v>
      </c>
      <c r="U1056" s="19" t="s">
        <v>739</v>
      </c>
      <c r="V1056" s="19" t="s">
        <v>146</v>
      </c>
      <c r="W1056" s="85" t="s">
        <v>914</v>
      </c>
      <c r="X1056" s="85" t="s">
        <v>918</v>
      </c>
      <c r="Y1056" s="31">
        <v>3003566703</v>
      </c>
      <c r="Z1056" s="692" t="s">
        <v>2615</v>
      </c>
      <c r="AA1056" s="683" t="s">
        <v>33</v>
      </c>
      <c r="AB1056" s="85" t="s">
        <v>34</v>
      </c>
      <c r="AC1056" s="19" t="s">
        <v>230</v>
      </c>
      <c r="AD1056" s="16"/>
      <c r="AE1056" s="16"/>
      <c r="AF1056" s="146">
        <v>951.9</v>
      </c>
      <c r="AG1056" s="16"/>
      <c r="AH1056" s="16"/>
      <c r="AI1056" s="16"/>
      <c r="AJ1056" s="16"/>
      <c r="AK1056" s="16"/>
      <c r="AL1056" s="16"/>
      <c r="AM1056" s="16"/>
      <c r="AN1056" s="16"/>
      <c r="AO1056" s="16"/>
      <c r="AP1056" s="19" t="s">
        <v>240</v>
      </c>
      <c r="AQ1056" s="6" t="str">
        <f>CONCATENATE("REG-",BDEGENER[[#This Row],[FECHA DE SERVICIO]],"-",BDEGENER[[#This Row],[SERIE]],"-",BDEGENER[[#This Row],[HORAS]])</f>
        <v>REG-43490-3003566703-951,9</v>
      </c>
      <c r="AR1056" s="5" t="str">
        <f>CONCATENATE("MARCA: ",BDEGENER[[#This Row],[MARCA]],"
 MODELO: ",BDEGENER[[#This Row],[MODELO]])</f>
        <v>MARCA: GENERAC
 MODELO: PG090</v>
      </c>
      <c r="AS1056" s="5" t="str">
        <f>CONCATENATE("MARCA: ",BDEGENER[[#This Row],[MARCA DE MOTOR]],"
SERIE: ",BDEGENER[[#This Row],[SERIE DE MOTOR]])</f>
        <v xml:space="preserve">MARCA: 
SERIE: </v>
      </c>
      <c r="AT1056" s="5" t="str">
        <f>CONCATENATE("MARCA: ",BDEGENER[[#This Row],[MARCA ALTERNADOR ]],"
SERIE: ",BDEGENER[[#This Row],[SERIE DE ALTERNADOR]])</f>
        <v xml:space="preserve">MARCA: 
SERIE: </v>
      </c>
      <c r="AU1056" s="29" t="str">
        <f>CONCATENATE("HORAS: ",BDEGENER[[#This Row],[HORAS]],"
KW-HR: ",BDEGENER[[#This Row],[KW-HORA]],"
VOLT.BATERIA: ",BDEGENER[[#This Row],[VOLTAJE DE BATERIA]],"
TEMPERATURA: ",BDEGENER[[#This Row],[TEMPERATURA DE AGUA]],"
PRES. ACEITE: ",BDEGENER[[#This Row],[PRESION DE ACEITE]])</f>
        <v xml:space="preserve">HORAS: 951,9
KW-HR: 
VOLT.BATERIA: 
TEMPERATURA: 
PRES. ACEITE: </v>
      </c>
      <c r="AV1056" s="683">
        <f>COUNTIFS(Q1056:Q3056,"MANTENIMIENTO CORRECTIVO",Y1056:Y3056,BDEGENER[[#This Row],[SERIE]])</f>
        <v>0</v>
      </c>
      <c r="AW1056" s="683">
        <f>COUNTIFS(Q1056:Q3056,"MANTENIMIENTO PREVENTIVO",Y1056:Y3056,BDEGENER[[#This Row],[SERIE]])</f>
        <v>1</v>
      </c>
      <c r="AX105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56" s="29">
        <f>COUNTIFS(BDEGENER[SERIE],BDEGENER[[#This Row],[SERIE]],BDEGENER[TIPO DE SERVICIO],"MANTENIMIENTO PREVENTIVO")</f>
        <v>8</v>
      </c>
      <c r="AZ1056" s="29" t="str">
        <f>CONCATENATE("MANTENIMIENTO PREVENTIVO N°",BDEGENER[[#This Row],[GA1]])</f>
        <v>MANTENIMIENTO PREVENTIVO N°8</v>
      </c>
      <c r="BA1056" s="325" t="str">
        <f>IF(BDEGENER[[#This Row],[SERVICIO]]=BDEGENER[[#This Row],[GA2]],BDEGENER[[#This Row],[HORAS]],"0")</f>
        <v>0</v>
      </c>
      <c r="BB1056" s="325">
        <f>SUMIF(BDEGENER[SERIE],BDEGENER[[#This Row],[SERIE]],BDEGENER[GA3])</f>
        <v>6396.5</v>
      </c>
      <c r="BC1056" s="683" t="str">
        <f>CONCATENATE("MANT",COUNTIF($Y$7:Y1056,Y1056))</f>
        <v>MANT11</v>
      </c>
      <c r="BD1056" s="29" t="str">
        <f>CONCATENATE(BDEGENER[[#This Row],[SERIE]],BDEGENER[[#This Row],[GA5]])</f>
        <v>3003566703MANT11</v>
      </c>
      <c r="BE1056" s="29" t="str">
        <f>CONCATENATE(BDEGENER[[#This Row],[CODIGO PATRIMONIAL]],BDEGENER[[#This Row],[GA5]])</f>
        <v>NOR-GEG-0017MANT11</v>
      </c>
      <c r="BF1056" s="16">
        <f>COUNTIF(BDEGENER[SERIE],BDEGENER[[#This Row],[SERIE]])</f>
        <v>11</v>
      </c>
      <c r="BG1056" s="683" t="str">
        <f>CONCATENATE("F",COUNTIF($K$7:K1056,K1056))</f>
        <v>F4</v>
      </c>
      <c r="BH1056" s="325" t="str">
        <f>CONCATENATE(BDEGENER[[#This Row],[FECHA DE SERVICIO]],BDEGENER[[#This Row],[N° DE REGISTROS DEL DIA]])</f>
        <v>43490F4</v>
      </c>
      <c r="BI1056" s="324"/>
      <c r="BJ1056" s="325"/>
      <c r="BK1056" s="326"/>
    </row>
    <row r="1057" spans="2:63" ht="69" hidden="1" x14ac:dyDescent="0.3">
      <c r="B1057" s="223"/>
      <c r="C1057" s="223"/>
      <c r="D1057" s="223"/>
      <c r="E1057" s="223"/>
      <c r="F1057" s="223"/>
      <c r="G1057" s="223"/>
      <c r="H1057" s="223"/>
      <c r="I1057" s="223"/>
      <c r="J1057" s="223"/>
      <c r="K1057" s="723">
        <v>43489</v>
      </c>
      <c r="L1057" s="15" t="s">
        <v>181</v>
      </c>
      <c r="M1057" s="14" t="s">
        <v>203</v>
      </c>
      <c r="N1057" s="14" t="s">
        <v>183</v>
      </c>
      <c r="O1057" s="8"/>
      <c r="P1057" s="10"/>
      <c r="Q1057" s="14" t="s">
        <v>107</v>
      </c>
      <c r="R1057" s="85" t="s">
        <v>1782</v>
      </c>
      <c r="S1057" s="5" t="s">
        <v>76</v>
      </c>
      <c r="T1057" s="85" t="s">
        <v>1782</v>
      </c>
      <c r="U1057" s="14" t="s">
        <v>144</v>
      </c>
      <c r="V1057" s="14" t="s">
        <v>156</v>
      </c>
      <c r="W1057" s="14"/>
      <c r="X1057" s="14"/>
      <c r="Y1057" s="15">
        <v>2070022</v>
      </c>
      <c r="Z1057" s="14"/>
      <c r="AA1057" s="14"/>
      <c r="AB1057" s="14">
        <v>2813110100</v>
      </c>
      <c r="AC1057" s="14" t="s">
        <v>238</v>
      </c>
      <c r="AD1057" s="16"/>
      <c r="AE1057" s="16"/>
      <c r="AF1057" s="12">
        <v>0.03</v>
      </c>
      <c r="AG1057" s="16"/>
      <c r="AH1057" s="16"/>
      <c r="AI1057" s="16"/>
      <c r="AJ1057" s="16"/>
      <c r="AK1057" s="16"/>
      <c r="AL1057" s="16"/>
      <c r="AM1057" s="16"/>
      <c r="AN1057" s="16"/>
      <c r="AO1057" s="16"/>
      <c r="AP1057" s="14" t="s">
        <v>240</v>
      </c>
      <c r="AQ1057" s="6" t="str">
        <f>CONCATENATE("REG-",BDEGENER[[#This Row],[FECHA DE SERVICIO]],"-",BDEGENER[[#This Row],[SERIE]],"-",BDEGENER[[#This Row],[HORAS]])</f>
        <v>REG-43489-2070022-0,03</v>
      </c>
      <c r="AR1057" s="5" t="str">
        <f>CONCATENATE("MARCA: ",BDEGENER[[#This Row],[MARCA]],"
 MODELO: ",BDEGENER[[#This Row],[MODELO]])</f>
        <v>MARCA: 
 MODELO: 2813110100</v>
      </c>
      <c r="AS1057" s="5" t="str">
        <f>CONCATENATE("MARCA: ",BDEGENER[[#This Row],[MARCA DE MOTOR]],"
SERIE: ",BDEGENER[[#This Row],[SERIE DE MOTOR]])</f>
        <v xml:space="preserve">MARCA: 
SERIE: </v>
      </c>
      <c r="AT1057" s="5" t="str">
        <f>CONCATENATE("MARCA: ",BDEGENER[[#This Row],[MARCA ALTERNADOR ]],"
SERIE: ",BDEGENER[[#This Row],[SERIE DE ALTERNADOR]])</f>
        <v xml:space="preserve">MARCA: 
SERIE: </v>
      </c>
      <c r="AU1057" s="5" t="str">
        <f>CONCATENATE("HORAS: ",BDEGENER[[#This Row],[HORAS]],"
KW-HR: ",BDEGENER[[#This Row],[KW-HORA]],"
VOLT.BATERIA: ",BDEGENER[[#This Row],[VOLTAJE DE BATERIA]],"
TEMPERATURA: ",BDEGENER[[#This Row],[TEMPERATURA DE AGUA]],"
PRES. ACEITE: ",BDEGENER[[#This Row],[PRESION DE ACEITE]])</f>
        <v xml:space="preserve">HORAS: 0,03
KW-HR: 
VOLT.BATERIA: 
TEMPERATURA: 
PRES. ACEITE: </v>
      </c>
      <c r="AV1057" s="761">
        <f>COUNTIFS(Q1057:Q3057,"MANTENIMIENTO CORRECTIVO",Y1057:Y3057,BDEGENER[[#This Row],[SERIE]])</f>
        <v>1</v>
      </c>
      <c r="AW1057" s="761">
        <f>COUNTIFS(Q1057:Q3057,"MANTENIMIENTO PREVENTIVO",Y1057:Y3057,BDEGENER[[#This Row],[SERIE]])</f>
        <v>0</v>
      </c>
      <c r="AX105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057" s="29">
        <f>COUNTIFS(BDEGENER[SERIE],BDEGENER[[#This Row],[SERIE]],BDEGENER[TIPO DE SERVICIO],"MANTENIMIENTO PREVENTIVO")</f>
        <v>0</v>
      </c>
      <c r="AZ1057" s="29" t="str">
        <f>CONCATENATE("MANTENIMIENTO PREVENTIVO N°",BDEGENER[[#This Row],[GA1]])</f>
        <v>MANTENIMIENTO PREVENTIVO N°0</v>
      </c>
      <c r="BA1057" s="325" t="str">
        <f>IF(BDEGENER[[#This Row],[SERVICIO]]=BDEGENER[[#This Row],[GA2]],BDEGENER[[#This Row],[HORAS]],"0")</f>
        <v>0</v>
      </c>
      <c r="BB1057" s="325">
        <f>SUMIF(BDEGENER[SERIE],BDEGENER[[#This Row],[SERIE]],BDEGENER[GA3])</f>
        <v>0</v>
      </c>
      <c r="BC1057" s="761" t="str">
        <f>CONCATENATE("MANT",COUNTIF($Y$7:Y1057,Y1057))</f>
        <v>MANT2</v>
      </c>
      <c r="BD1057" s="29" t="str">
        <f>CONCATENATE(BDEGENER[[#This Row],[SERIE]],BDEGENER[[#This Row],[GA5]])</f>
        <v>2070022MANT2</v>
      </c>
      <c r="BE1057" s="29" t="str">
        <f>CONCATENATE(BDEGENER[[#This Row],[CODIGO PATRIMONIAL]],BDEGENER[[#This Row],[GA5]])</f>
        <v>MANT2</v>
      </c>
      <c r="BF1057" s="16">
        <f>COUNTIF(BDEGENER[SERIE],BDEGENER[[#This Row],[SERIE]])</f>
        <v>2</v>
      </c>
      <c r="BG1057" s="761" t="str">
        <f>CONCATENATE("F",COUNTIF($K$7:K1057,K1057))</f>
        <v>F1</v>
      </c>
      <c r="BH1057" s="325" t="str">
        <f>CONCATENATE(BDEGENER[[#This Row],[FECHA DE SERVICIO]],BDEGENER[[#This Row],[N° DE REGISTROS DEL DIA]])</f>
        <v>43489F1</v>
      </c>
      <c r="BI1057" s="324"/>
      <c r="BJ1057" s="325"/>
      <c r="BK1057" s="326"/>
    </row>
    <row r="1058" spans="2:63" ht="69" hidden="1" x14ac:dyDescent="0.3">
      <c r="B1058" s="33"/>
      <c r="C1058" s="33"/>
      <c r="D1058" s="33"/>
      <c r="E1058" s="33"/>
      <c r="F1058" s="33"/>
      <c r="G1058" s="33"/>
      <c r="H1058" s="33"/>
      <c r="I1058" s="33"/>
      <c r="J1058" s="33"/>
      <c r="K1058" s="38">
        <v>43488</v>
      </c>
      <c r="L1058" s="18" t="s">
        <v>248</v>
      </c>
      <c r="M1058" s="23" t="s">
        <v>272</v>
      </c>
      <c r="N1058" s="23" t="s">
        <v>273</v>
      </c>
      <c r="O1058" s="23"/>
      <c r="P1058" s="21"/>
      <c r="Q1058" s="22" t="s">
        <v>37</v>
      </c>
      <c r="R1058" s="85" t="s">
        <v>1782</v>
      </c>
      <c r="S1058" s="25" t="s">
        <v>341</v>
      </c>
      <c r="T1058" s="85" t="s">
        <v>1782</v>
      </c>
      <c r="U1058" s="25" t="s">
        <v>342</v>
      </c>
      <c r="V1058" s="25" t="s">
        <v>146</v>
      </c>
      <c r="W1058" s="85" t="s">
        <v>913</v>
      </c>
      <c r="X1058" s="85" t="s">
        <v>917</v>
      </c>
      <c r="Y1058" s="31" t="s">
        <v>507</v>
      </c>
      <c r="Z1058" s="16">
        <v>17571</v>
      </c>
      <c r="AA1058" s="85" t="s">
        <v>33</v>
      </c>
      <c r="AB1058" s="85" t="s">
        <v>500</v>
      </c>
      <c r="AC1058" s="23" t="s">
        <v>530</v>
      </c>
      <c r="AD1058" s="16"/>
      <c r="AE1058" s="16"/>
      <c r="AF1058" s="27">
        <v>2735.6</v>
      </c>
      <c r="AG1058" s="85" t="s">
        <v>243</v>
      </c>
      <c r="AH1058" s="85" t="s">
        <v>1236</v>
      </c>
      <c r="AI1058" s="85" t="s">
        <v>844</v>
      </c>
      <c r="AJ1058" s="16"/>
      <c r="AK1058" s="85" t="s">
        <v>1235</v>
      </c>
      <c r="AL1058" s="16"/>
      <c r="AM1058" s="16"/>
      <c r="AN1058" s="16"/>
      <c r="AO1058" s="16"/>
      <c r="AP1058" s="22" t="s">
        <v>240</v>
      </c>
      <c r="AQ1058" s="6" t="str">
        <f>CONCATENATE("REG-",BDEGENER[[#This Row],[FECHA DE SERVICIO]],"-",BDEGENER[[#This Row],[SERIE]],"-",BDEGENER[[#This Row],[HORAS]])</f>
        <v>REG-43488-PEE2599048-2735,6</v>
      </c>
      <c r="AR1058" s="5" t="str">
        <f>CONCATENATE("MARCA: ",BDEGENER[[#This Row],[MARCA]],"
 MODELO: ",BDEGENER[[#This Row],[MODELO]])</f>
        <v>MARCA: GENERAC
 MODELO: PMY20B</v>
      </c>
      <c r="AS1058" s="5" t="str">
        <f>CONCATENATE("MARCA: ",BDEGENER[[#This Row],[MARCA DE MOTOR]],"
SERIE: ",BDEGENER[[#This Row],[SERIE DE MOTOR]])</f>
        <v xml:space="preserve">MARCA: PERKINS
SERIE: </v>
      </c>
      <c r="AT1058" s="5" t="str">
        <f>CONCATENATE("MARCA: ",BDEGENER[[#This Row],[MARCA ALTERNADOR ]],"
SERIE: ",BDEGENER[[#This Row],[SERIE DE ALTERNADOR]])</f>
        <v xml:space="preserve">MARCA: MECC ALTE
SERIE: </v>
      </c>
      <c r="AU1058" s="5" t="str">
        <f>CONCATENATE("HORAS: ",BDEGENER[[#This Row],[HORAS]],"
KW-HR: ",BDEGENER[[#This Row],[KW-HORA]],"
VOLT.BATERIA: ",BDEGENER[[#This Row],[VOLTAJE DE BATERIA]],"
TEMPERATURA: ",BDEGENER[[#This Row],[TEMPERATURA DE AGUA]],"
PRES. ACEITE: ",BDEGENER[[#This Row],[PRESION DE ACEITE]])</f>
        <v xml:space="preserve">HORAS: 2735,6
KW-HR: 
VOLT.BATERIA: 
TEMPERATURA: 
PRES. ACEITE: </v>
      </c>
      <c r="AV1058" s="683">
        <f>COUNTIFS(Q1058:Q3058,"MANTENIMIENTO CORRECTIVO",Y1058:Y3058,BDEGENER[[#This Row],[SERIE]])</f>
        <v>0</v>
      </c>
      <c r="AW1058" s="683">
        <f>COUNTIFS(Q1058:Q3058,"MANTENIMIENTO PREVENTIVO",Y1058:Y3058,BDEGENER[[#This Row],[SERIE]])</f>
        <v>4</v>
      </c>
      <c r="AX105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1058" s="29">
        <f>COUNTIFS(BDEGENER[SERIE],BDEGENER[[#This Row],[SERIE]],BDEGENER[TIPO DE SERVICIO],"MANTENIMIENTO PREVENTIVO")</f>
        <v>4</v>
      </c>
      <c r="AZ1058" s="29" t="str">
        <f>CONCATENATE("MANTENIMIENTO PREVENTIVO N°",BDEGENER[[#This Row],[GA1]])</f>
        <v>MANTENIMIENTO PREVENTIVO N°4</v>
      </c>
      <c r="BA1058" s="325">
        <f>IF(BDEGENER[[#This Row],[SERVICIO]]=BDEGENER[[#This Row],[GA2]],BDEGENER[[#This Row],[HORAS]],"0")</f>
        <v>2735.6</v>
      </c>
      <c r="BB1058" s="325">
        <f>SUMIF(BDEGENER[SERIE],BDEGENER[[#This Row],[SERIE]],BDEGENER[GA3])</f>
        <v>2735.6</v>
      </c>
      <c r="BC1058" s="683" t="str">
        <f>CONCATENATE("MANT",COUNTIF($Y$7:Y1058,Y1058))</f>
        <v>MANT1</v>
      </c>
      <c r="BD1058" s="29" t="str">
        <f>CONCATENATE(BDEGENER[[#This Row],[SERIE]],BDEGENER[[#This Row],[GA5]])</f>
        <v>PEE2599048MANT1</v>
      </c>
      <c r="BE1058" s="29" t="str">
        <f>CONCATENATE(BDEGENER[[#This Row],[CODIGO PATRIMONIAL]],BDEGENER[[#This Row],[GA5]])</f>
        <v>17571MANT1</v>
      </c>
      <c r="BF1058" s="16">
        <f>COUNTIF(BDEGENER[SERIE],BDEGENER[[#This Row],[SERIE]])</f>
        <v>4</v>
      </c>
      <c r="BG1058" s="683" t="str">
        <f>CONCATENATE("F",COUNTIF($K$7:K1058,K1058))</f>
        <v>F1</v>
      </c>
      <c r="BH1058" s="325" t="str">
        <f>CONCATENATE(BDEGENER[[#This Row],[FECHA DE SERVICIO]],BDEGENER[[#This Row],[N° DE REGISTROS DEL DIA]])</f>
        <v>43488F1</v>
      </c>
      <c r="BI1058" s="324"/>
      <c r="BJ1058" s="325"/>
      <c r="BK1058" s="326"/>
    </row>
    <row r="1059" spans="2:63" ht="69" hidden="1" x14ac:dyDescent="0.3">
      <c r="B1059" s="33"/>
      <c r="C1059" s="33"/>
      <c r="D1059" s="33"/>
      <c r="E1059" s="33"/>
      <c r="F1059" s="33"/>
      <c r="G1059" s="33"/>
      <c r="H1059" s="33"/>
      <c r="I1059" s="33"/>
      <c r="J1059" s="33"/>
      <c r="K1059" s="38">
        <v>43488</v>
      </c>
      <c r="L1059" s="18" t="s">
        <v>248</v>
      </c>
      <c r="M1059" s="23" t="s">
        <v>274</v>
      </c>
      <c r="N1059" s="23" t="s">
        <v>275</v>
      </c>
      <c r="O1059" s="23"/>
      <c r="P1059" s="21"/>
      <c r="Q1059" s="22" t="s">
        <v>37</v>
      </c>
      <c r="R1059" s="85" t="s">
        <v>1782</v>
      </c>
      <c r="S1059" s="25" t="s">
        <v>343</v>
      </c>
      <c r="T1059" s="85" t="s">
        <v>1782</v>
      </c>
      <c r="U1059" s="25" t="s">
        <v>344</v>
      </c>
      <c r="V1059" s="25" t="s">
        <v>146</v>
      </c>
      <c r="W1059" s="85" t="s">
        <v>913</v>
      </c>
      <c r="X1059" s="85" t="s">
        <v>917</v>
      </c>
      <c r="Y1059" s="135">
        <v>3002933955</v>
      </c>
      <c r="Z1059" s="16"/>
      <c r="AA1059" s="16" t="s">
        <v>33</v>
      </c>
      <c r="AB1059" s="85">
        <v>60720</v>
      </c>
      <c r="AC1059" s="22" t="s">
        <v>235</v>
      </c>
      <c r="AD1059" s="16"/>
      <c r="AE1059" s="16"/>
      <c r="AF1059" s="27">
        <v>974.15</v>
      </c>
      <c r="AG1059" s="16" t="s">
        <v>243</v>
      </c>
      <c r="AH1059" s="16" t="s">
        <v>220</v>
      </c>
      <c r="AI1059" s="16"/>
      <c r="AJ1059" s="16"/>
      <c r="AK1059" s="16"/>
      <c r="AL1059" s="16"/>
      <c r="AM1059" s="16"/>
      <c r="AN1059" s="16"/>
      <c r="AO1059" s="16"/>
      <c r="AP1059" s="22" t="s">
        <v>240</v>
      </c>
      <c r="AQ1059" s="6" t="str">
        <f>CONCATENATE("REG-",BDEGENER[[#This Row],[FECHA DE SERVICIO]],"-",BDEGENER[[#This Row],[SERIE]],"-",BDEGENER[[#This Row],[HORAS]])</f>
        <v>REG-43488-3002933955-974,15</v>
      </c>
      <c r="AR1059" s="5" t="str">
        <f>CONCATENATE("MARCA: ",BDEGENER[[#This Row],[MARCA]],"
 MODELO: ",BDEGENER[[#This Row],[MODELO]])</f>
        <v>MARCA: GENERAC
 MODELO: 60720</v>
      </c>
      <c r="AS1059" s="5" t="str">
        <f>CONCATENATE("MARCA: ",BDEGENER[[#This Row],[MARCA DE MOTOR]],"
SERIE: ",BDEGENER[[#This Row],[SERIE DE MOTOR]])</f>
        <v xml:space="preserve">MARCA: 
SERIE: </v>
      </c>
      <c r="AT1059" s="5" t="str">
        <f>CONCATENATE("MARCA: ",BDEGENER[[#This Row],[MARCA ALTERNADOR ]],"
SERIE: ",BDEGENER[[#This Row],[SERIE DE ALTERNADOR]])</f>
        <v xml:space="preserve">MARCA: 
SERIE: </v>
      </c>
      <c r="AU1059" s="5" t="str">
        <f>CONCATENATE("HORAS: ",BDEGENER[[#This Row],[HORAS]],"
KW-HR: ",BDEGENER[[#This Row],[KW-HORA]],"
VOLT.BATERIA: ",BDEGENER[[#This Row],[VOLTAJE DE BATERIA]],"
TEMPERATURA: ",BDEGENER[[#This Row],[TEMPERATURA DE AGUA]],"
PRES. ACEITE: ",BDEGENER[[#This Row],[PRESION DE ACEITE]])</f>
        <v xml:space="preserve">HORAS: 974,15
KW-HR: 
VOLT.BATERIA: 
TEMPERATURA: 
PRES. ACEITE: </v>
      </c>
      <c r="AV1059" s="683">
        <f>COUNTIFS(Q1059:Q3059,"MANTENIMIENTO CORRECTIVO",Y1059:Y3059,BDEGENER[[#This Row],[SERIE]])</f>
        <v>0</v>
      </c>
      <c r="AW1059" s="683">
        <f>COUNTIFS(Q1059:Q3059,"MANTENIMIENTO PREVENTIVO",Y1059:Y3059,BDEGENER[[#This Row],[SERIE]])</f>
        <v>2</v>
      </c>
      <c r="AX105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59" s="29">
        <f>COUNTIFS(BDEGENER[SERIE],BDEGENER[[#This Row],[SERIE]],BDEGENER[TIPO DE SERVICIO],"MANTENIMIENTO PREVENTIVO")</f>
        <v>3</v>
      </c>
      <c r="AZ1059" s="29" t="str">
        <f>CONCATENATE("MANTENIMIENTO PREVENTIVO N°",BDEGENER[[#This Row],[GA1]])</f>
        <v>MANTENIMIENTO PREVENTIVO N°3</v>
      </c>
      <c r="BA1059" s="325" t="str">
        <f>IF(BDEGENER[[#This Row],[SERVICIO]]=BDEGENER[[#This Row],[GA2]],BDEGENER[[#This Row],[HORAS]],"0")</f>
        <v>0</v>
      </c>
      <c r="BB1059" s="325">
        <f>SUMIF(BDEGENER[SERIE],BDEGENER[[#This Row],[SERIE]],BDEGENER[GA3])</f>
        <v>994</v>
      </c>
      <c r="BC1059" s="683" t="str">
        <f>CONCATENATE("MANT",COUNTIF($Y$7:Y1059,Y1059))</f>
        <v>MANT3</v>
      </c>
      <c r="BD1059" s="29" t="str">
        <f>CONCATENATE(BDEGENER[[#This Row],[SERIE]],BDEGENER[[#This Row],[GA5]])</f>
        <v>3002933955MANT3</v>
      </c>
      <c r="BE1059" s="29" t="str">
        <f>CONCATENATE(BDEGENER[[#This Row],[CODIGO PATRIMONIAL]],BDEGENER[[#This Row],[GA5]])</f>
        <v>MANT3</v>
      </c>
      <c r="BF1059" s="16">
        <f>COUNTIF(BDEGENER[SERIE],BDEGENER[[#This Row],[SERIE]])</f>
        <v>4</v>
      </c>
      <c r="BG1059" s="683" t="str">
        <f>CONCATENATE("F",COUNTIF($K$7:K1059,K1059))</f>
        <v>F2</v>
      </c>
      <c r="BH1059" s="325" t="str">
        <f>CONCATENATE(BDEGENER[[#This Row],[FECHA DE SERVICIO]],BDEGENER[[#This Row],[N° DE REGISTROS DEL DIA]])</f>
        <v>43488F2</v>
      </c>
      <c r="BI1059" s="324"/>
      <c r="BJ1059" s="325"/>
      <c r="BK1059" s="326"/>
    </row>
    <row r="1060" spans="2:63" ht="69" hidden="1" x14ac:dyDescent="0.3">
      <c r="B1060" s="33"/>
      <c r="C1060" s="33"/>
      <c r="D1060" s="33"/>
      <c r="E1060" s="33"/>
      <c r="F1060" s="33"/>
      <c r="G1060" s="33"/>
      <c r="H1060" s="33"/>
      <c r="I1060" s="33"/>
      <c r="J1060" s="33"/>
      <c r="K1060" s="38">
        <v>43488</v>
      </c>
      <c r="L1060" s="18" t="s">
        <v>248</v>
      </c>
      <c r="M1060" s="23" t="s">
        <v>276</v>
      </c>
      <c r="N1060" s="23" t="s">
        <v>277</v>
      </c>
      <c r="O1060" s="23"/>
      <c r="P1060" s="21"/>
      <c r="Q1060" s="22" t="s">
        <v>37</v>
      </c>
      <c r="R1060" s="85" t="s">
        <v>1782</v>
      </c>
      <c r="S1060" s="25" t="s">
        <v>345</v>
      </c>
      <c r="T1060" s="25" t="s">
        <v>346</v>
      </c>
      <c r="U1060" s="25" t="s">
        <v>344</v>
      </c>
      <c r="V1060" s="25" t="s">
        <v>146</v>
      </c>
      <c r="W1060" s="25"/>
      <c r="X1060" s="25"/>
      <c r="Y1060" s="135">
        <v>3002933962</v>
      </c>
      <c r="Z1060" s="16"/>
      <c r="AA1060" s="16"/>
      <c r="AB1060" s="16" t="s">
        <v>502</v>
      </c>
      <c r="AC1060" s="23" t="s">
        <v>531</v>
      </c>
      <c r="AD1060" s="16"/>
      <c r="AE1060" s="16"/>
      <c r="AF1060" s="27">
        <v>744.4</v>
      </c>
      <c r="AG1060" s="16"/>
      <c r="AH1060" s="16"/>
      <c r="AI1060" s="16"/>
      <c r="AJ1060" s="16"/>
      <c r="AK1060" s="16"/>
      <c r="AL1060" s="16"/>
      <c r="AM1060" s="16"/>
      <c r="AN1060" s="16"/>
      <c r="AO1060" s="16"/>
      <c r="AP1060" s="22" t="s">
        <v>240</v>
      </c>
      <c r="AQ1060" s="6" t="str">
        <f>CONCATENATE("REG-",BDEGENER[[#This Row],[FECHA DE SERVICIO]],"-",BDEGENER[[#This Row],[SERIE]],"-",BDEGENER[[#This Row],[HORAS]])</f>
        <v>REG-43488-3002933962-744,4</v>
      </c>
      <c r="AR1060" s="5" t="str">
        <f>CONCATENATE("MARCA: ",BDEGENER[[#This Row],[MARCA]],"
 MODELO: ",BDEGENER[[#This Row],[MODELO]])</f>
        <v>MARCA: 
 MODELO: Perkins</v>
      </c>
      <c r="AS1060" s="5" t="str">
        <f>CONCATENATE("MARCA: ",BDEGENER[[#This Row],[MARCA DE MOTOR]],"
SERIE: ",BDEGENER[[#This Row],[SERIE DE MOTOR]])</f>
        <v xml:space="preserve">MARCA: 
SERIE: </v>
      </c>
      <c r="AT1060" s="5" t="str">
        <f>CONCATENATE("MARCA: ",BDEGENER[[#This Row],[MARCA ALTERNADOR ]],"
SERIE: ",BDEGENER[[#This Row],[SERIE DE ALTERNADOR]])</f>
        <v xml:space="preserve">MARCA: 
SERIE: </v>
      </c>
      <c r="AU1060" s="5" t="str">
        <f>CONCATENATE("HORAS: ",BDEGENER[[#This Row],[HORAS]],"
KW-HR: ",BDEGENER[[#This Row],[KW-HORA]],"
VOLT.BATERIA: ",BDEGENER[[#This Row],[VOLTAJE DE BATERIA]],"
TEMPERATURA: ",BDEGENER[[#This Row],[TEMPERATURA DE AGUA]],"
PRES. ACEITE: ",BDEGENER[[#This Row],[PRESION DE ACEITE]])</f>
        <v xml:space="preserve">HORAS: 744,4
KW-HR: 
VOLT.BATERIA: 
TEMPERATURA: 
PRES. ACEITE: </v>
      </c>
      <c r="AV1060" s="761">
        <f>COUNTIFS(Q1060:Q3060,"MANTENIMIENTO CORRECTIVO",Y1060:Y3060,BDEGENER[[#This Row],[SERIE]])</f>
        <v>0</v>
      </c>
      <c r="AW1060" s="761">
        <f>COUNTIFS(Q1060:Q3060,"MANTENIMIENTO PREVENTIVO",Y1060:Y3060,BDEGENER[[#This Row],[SERIE]])</f>
        <v>2</v>
      </c>
      <c r="AX106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60" s="29">
        <f>COUNTIFS(BDEGENER[SERIE],BDEGENER[[#This Row],[SERIE]],BDEGENER[TIPO DE SERVICIO],"MANTENIMIENTO PREVENTIVO")</f>
        <v>2</v>
      </c>
      <c r="AZ1060" s="29" t="str">
        <f>CONCATENATE("MANTENIMIENTO PREVENTIVO N°",BDEGENER[[#This Row],[GA1]])</f>
        <v>MANTENIMIENTO PREVENTIVO N°2</v>
      </c>
      <c r="BA1060" s="325">
        <f>IF(BDEGENER[[#This Row],[SERVICIO]]=BDEGENER[[#This Row],[GA2]],BDEGENER[[#This Row],[HORAS]],"0")</f>
        <v>744.4</v>
      </c>
      <c r="BB1060" s="325">
        <f>SUMIF(BDEGENER[SERIE],BDEGENER[[#This Row],[SERIE]],BDEGENER[GA3])</f>
        <v>744.4</v>
      </c>
      <c r="BC1060" s="761" t="str">
        <f>CONCATENATE("MANT",COUNTIF($Y$7:Y1060,Y1060))</f>
        <v>MANT1</v>
      </c>
      <c r="BD1060" s="29" t="str">
        <f>CONCATENATE(BDEGENER[[#This Row],[SERIE]],BDEGENER[[#This Row],[GA5]])</f>
        <v>3002933962MANT1</v>
      </c>
      <c r="BE1060" s="29" t="str">
        <f>CONCATENATE(BDEGENER[[#This Row],[CODIGO PATRIMONIAL]],BDEGENER[[#This Row],[GA5]])</f>
        <v>MANT1</v>
      </c>
      <c r="BF1060" s="16">
        <f>COUNTIF(BDEGENER[SERIE],BDEGENER[[#This Row],[SERIE]])</f>
        <v>2</v>
      </c>
      <c r="BG1060" s="761" t="str">
        <f>CONCATENATE("F",COUNTIF($K$7:K1060,K1060))</f>
        <v>F3</v>
      </c>
      <c r="BH1060" s="325" t="str">
        <f>CONCATENATE(BDEGENER[[#This Row],[FECHA DE SERVICIO]],BDEGENER[[#This Row],[N° DE REGISTROS DEL DIA]])</f>
        <v>43488F3</v>
      </c>
      <c r="BI1060" s="324"/>
      <c r="BJ1060" s="325"/>
      <c r="BK1060" s="326"/>
    </row>
    <row r="1061" spans="2:63" ht="69" hidden="1" x14ac:dyDescent="0.3">
      <c r="B1061" s="34"/>
      <c r="C1061" s="34"/>
      <c r="D1061" s="34"/>
      <c r="E1061" s="34"/>
      <c r="F1061" s="34"/>
      <c r="G1061" s="34"/>
      <c r="H1061" s="34"/>
      <c r="I1061" s="34"/>
      <c r="J1061" s="34"/>
      <c r="K1061" s="37">
        <v>43487</v>
      </c>
      <c r="L1061" s="30" t="s">
        <v>561</v>
      </c>
      <c r="M1061" s="19" t="s">
        <v>567</v>
      </c>
      <c r="N1061" s="19" t="s">
        <v>568</v>
      </c>
      <c r="O1061" s="19"/>
      <c r="P1061" s="19"/>
      <c r="Q1061" s="19" t="s">
        <v>37</v>
      </c>
      <c r="R1061" s="85" t="s">
        <v>1782</v>
      </c>
      <c r="S1061" s="19" t="s">
        <v>658</v>
      </c>
      <c r="T1061" s="85" t="s">
        <v>1782</v>
      </c>
      <c r="U1061" s="19" t="s">
        <v>740</v>
      </c>
      <c r="V1061" s="19" t="s">
        <v>698</v>
      </c>
      <c r="W1061" s="19"/>
      <c r="X1061" s="19"/>
      <c r="Y1061" s="31">
        <v>3003415544</v>
      </c>
      <c r="Z1061" s="692" t="s">
        <v>2601</v>
      </c>
      <c r="AA1061" s="19" t="s">
        <v>33</v>
      </c>
      <c r="AB1061" s="19" t="s">
        <v>217</v>
      </c>
      <c r="AC1061" s="19" t="s">
        <v>749</v>
      </c>
      <c r="AD1061" s="16"/>
      <c r="AE1061" s="16"/>
      <c r="AF1061" s="146">
        <v>648.29999999999995</v>
      </c>
      <c r="AG1061" s="16"/>
      <c r="AH1061" s="16"/>
      <c r="AI1061" s="16"/>
      <c r="AJ1061" s="16"/>
      <c r="AK1061" s="16"/>
      <c r="AL1061" s="16"/>
      <c r="AM1061" s="16"/>
      <c r="AN1061" s="16"/>
      <c r="AO1061" s="16"/>
      <c r="AP1061" s="19" t="s">
        <v>240</v>
      </c>
      <c r="AQ1061" s="6" t="str">
        <f>CONCATENATE("REG-",BDEGENER[[#This Row],[FECHA DE SERVICIO]],"-",BDEGENER[[#This Row],[SERIE]],"-",BDEGENER[[#This Row],[HORAS]])</f>
        <v>REG-43487-3003415544-648,3</v>
      </c>
      <c r="AR1061" s="5" t="str">
        <f>CONCATENATE("MARCA: ",BDEGENER[[#This Row],[MARCA]],"
 MODELO: ",BDEGENER[[#This Row],[MODELO]])</f>
        <v>MARCA: GENERAC
 MODELO: RG022</v>
      </c>
      <c r="AS1061" s="5" t="str">
        <f>CONCATENATE("MARCA: ",BDEGENER[[#This Row],[MARCA DE MOTOR]],"
SERIE: ",BDEGENER[[#This Row],[SERIE DE MOTOR]])</f>
        <v xml:space="preserve">MARCA: 
SERIE: </v>
      </c>
      <c r="AT1061" s="5" t="str">
        <f>CONCATENATE("MARCA: ",BDEGENER[[#This Row],[MARCA ALTERNADOR ]],"
SERIE: ",BDEGENER[[#This Row],[SERIE DE ALTERNADOR]])</f>
        <v xml:space="preserve">MARCA: 
SERIE: </v>
      </c>
      <c r="AU1061" s="29" t="str">
        <f>CONCATENATE("HORAS: ",BDEGENER[[#This Row],[HORAS]],"
KW-HR: ",BDEGENER[[#This Row],[KW-HORA]],"
VOLT.BATERIA: ",BDEGENER[[#This Row],[VOLTAJE DE BATERIA]],"
TEMPERATURA: ",BDEGENER[[#This Row],[TEMPERATURA DE AGUA]],"
PRES. ACEITE: ",BDEGENER[[#This Row],[PRESION DE ACEITE]])</f>
        <v xml:space="preserve">HORAS: 648,3
KW-HR: 
VOLT.BATERIA: 
TEMPERATURA: 
PRES. ACEITE: </v>
      </c>
      <c r="AV1061" s="683">
        <f>COUNTIFS(Q1061:Q3061,"MANTENIMIENTO CORRECTIVO",Y1061:Y3061,BDEGENER[[#This Row],[SERIE]])</f>
        <v>0</v>
      </c>
      <c r="AW1061" s="683">
        <f>COUNTIFS(Q1061:Q3061,"MANTENIMIENTO PREVENTIVO",Y1061:Y3061,BDEGENER[[#This Row],[SERIE]])</f>
        <v>1</v>
      </c>
      <c r="AX106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61" s="29">
        <f>COUNTIFS(BDEGENER[SERIE],BDEGENER[[#This Row],[SERIE]],BDEGENER[TIPO DE SERVICIO],"MANTENIMIENTO PREVENTIVO")</f>
        <v>9</v>
      </c>
      <c r="AZ1061" s="29" t="str">
        <f>CONCATENATE("MANTENIMIENTO PREVENTIVO N°",BDEGENER[[#This Row],[GA1]])</f>
        <v>MANTENIMIENTO PREVENTIVO N°9</v>
      </c>
      <c r="BA1061" s="325" t="str">
        <f>IF(BDEGENER[[#This Row],[SERVICIO]]=BDEGENER[[#This Row],[GA2]],BDEGENER[[#This Row],[HORAS]],"0")</f>
        <v>0</v>
      </c>
      <c r="BB1061" s="325">
        <f>SUMIF(BDEGENER[SERIE],BDEGENER[[#This Row],[SERIE]],BDEGENER[GA3])</f>
        <v>5449.4</v>
      </c>
      <c r="BC1061" s="683" t="str">
        <f>CONCATENATE("MANT",COUNTIF($Y$7:Y1061,Y1061))</f>
        <v>MANT13</v>
      </c>
      <c r="BD1061" s="29" t="str">
        <f>CONCATENATE(BDEGENER[[#This Row],[SERIE]],BDEGENER[[#This Row],[GA5]])</f>
        <v>3003415544MANT13</v>
      </c>
      <c r="BE1061" s="29" t="str">
        <f>CONCATENATE(BDEGENER[[#This Row],[CODIGO PATRIMONIAL]],BDEGENER[[#This Row],[GA5]])</f>
        <v>SUR-GEG-0005MANT13</v>
      </c>
      <c r="BF1061" s="16">
        <f>COUNTIF(BDEGENER[SERIE],BDEGENER[[#This Row],[SERIE]])</f>
        <v>13</v>
      </c>
      <c r="BG1061" s="683" t="str">
        <f>CONCATENATE("F",COUNTIF($K$7:K1061,K1061))</f>
        <v>F1</v>
      </c>
      <c r="BH1061" s="325" t="str">
        <f>CONCATENATE(BDEGENER[[#This Row],[FECHA DE SERVICIO]],BDEGENER[[#This Row],[N° DE REGISTROS DEL DIA]])</f>
        <v>43487F1</v>
      </c>
      <c r="BI1061" s="324"/>
      <c r="BJ1061" s="325"/>
      <c r="BK1061" s="326"/>
    </row>
    <row r="1062" spans="2:63" ht="69" hidden="1" x14ac:dyDescent="0.3">
      <c r="B1062" s="223"/>
      <c r="C1062" s="223"/>
      <c r="D1062" s="223"/>
      <c r="E1062" s="223"/>
      <c r="F1062" s="223"/>
      <c r="G1062" s="223"/>
      <c r="H1062" s="223"/>
      <c r="I1062" s="223"/>
      <c r="J1062" s="223"/>
      <c r="K1062" s="723">
        <v>43484</v>
      </c>
      <c r="L1062" s="15" t="s">
        <v>181</v>
      </c>
      <c r="M1062" s="14" t="s">
        <v>197</v>
      </c>
      <c r="N1062" s="14" t="s">
        <v>197</v>
      </c>
      <c r="O1062" s="8"/>
      <c r="P1062" s="10"/>
      <c r="Q1062" s="14" t="s">
        <v>107</v>
      </c>
      <c r="R1062" s="85" t="s">
        <v>1782</v>
      </c>
      <c r="S1062" s="5" t="s">
        <v>77</v>
      </c>
      <c r="T1062" s="85" t="s">
        <v>1782</v>
      </c>
      <c r="U1062" s="14" t="s">
        <v>145</v>
      </c>
      <c r="V1062" s="14" t="s">
        <v>157</v>
      </c>
      <c r="W1062" s="14"/>
      <c r="X1062" s="14"/>
      <c r="Y1062" s="15">
        <v>7965981</v>
      </c>
      <c r="Z1062" s="14" t="s">
        <v>229</v>
      </c>
      <c r="AA1062" s="14"/>
      <c r="AB1062" s="14"/>
      <c r="AC1062" s="14" t="s">
        <v>239</v>
      </c>
      <c r="AD1062" s="16"/>
      <c r="AE1062" s="16"/>
      <c r="AF1062" s="12">
        <v>3093.9</v>
      </c>
      <c r="AG1062" s="16"/>
      <c r="AH1062" s="16"/>
      <c r="AI1062" s="16"/>
      <c r="AJ1062" s="16"/>
      <c r="AK1062" s="16"/>
      <c r="AL1062" s="16"/>
      <c r="AM1062" s="16"/>
      <c r="AN1062" s="16"/>
      <c r="AO1062" s="16"/>
      <c r="AP1062" s="14" t="s">
        <v>240</v>
      </c>
      <c r="AQ1062" s="6" t="str">
        <f>CONCATENATE("REG-",BDEGENER[[#This Row],[FECHA DE SERVICIO]],"-",BDEGENER[[#This Row],[SERIE]],"-",BDEGENER[[#This Row],[HORAS]])</f>
        <v>REG-43484-7965981-3093,9</v>
      </c>
      <c r="AR1062" s="5" t="str">
        <f>CONCATENATE("MARCA: ",BDEGENER[[#This Row],[MARCA]],"
 MODELO: ",BDEGENER[[#This Row],[MODELO]])</f>
        <v xml:space="preserve">MARCA: 
 MODELO: </v>
      </c>
      <c r="AS1062" s="5" t="str">
        <f>CONCATENATE("MARCA: ",BDEGENER[[#This Row],[MARCA DE MOTOR]],"
SERIE: ",BDEGENER[[#This Row],[SERIE DE MOTOR]])</f>
        <v xml:space="preserve">MARCA: 
SERIE: </v>
      </c>
      <c r="AT1062" s="5" t="str">
        <f>CONCATENATE("MARCA: ",BDEGENER[[#This Row],[MARCA ALTERNADOR ]],"
SERIE: ",BDEGENER[[#This Row],[SERIE DE ALTERNADOR]])</f>
        <v xml:space="preserve">MARCA: 
SERIE: </v>
      </c>
      <c r="AU1062" s="5" t="str">
        <f>CONCATENATE("HORAS: ",BDEGENER[[#This Row],[HORAS]],"
KW-HR: ",BDEGENER[[#This Row],[KW-HORA]],"
VOLT.BATERIA: ",BDEGENER[[#This Row],[VOLTAJE DE BATERIA]],"
TEMPERATURA: ",BDEGENER[[#This Row],[TEMPERATURA DE AGUA]],"
PRES. ACEITE: ",BDEGENER[[#This Row],[PRESION DE ACEITE]])</f>
        <v xml:space="preserve">HORAS: 3093,9
KW-HR: 
VOLT.BATERIA: 
TEMPERATURA: 
PRES. ACEITE: </v>
      </c>
      <c r="AV1062" s="683">
        <f>COUNTIFS(Q1062:Q3062,"MANTENIMIENTO CORRECTIVO",Y1062:Y3062,BDEGENER[[#This Row],[SERIE]])</f>
        <v>1</v>
      </c>
      <c r="AW1062" s="683">
        <f>COUNTIFS(Q1062:Q3062,"MANTENIMIENTO PREVENTIVO",Y1062:Y3062,BDEGENER[[#This Row],[SERIE]])</f>
        <v>0</v>
      </c>
      <c r="AX106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062" s="29">
        <f>COUNTIFS(BDEGENER[SERIE],BDEGENER[[#This Row],[SERIE]],BDEGENER[TIPO DE SERVICIO],"MANTENIMIENTO PREVENTIVO")</f>
        <v>0</v>
      </c>
      <c r="AZ1062" s="29" t="str">
        <f>CONCATENATE("MANTENIMIENTO PREVENTIVO N°",BDEGENER[[#This Row],[GA1]])</f>
        <v>MANTENIMIENTO PREVENTIVO N°0</v>
      </c>
      <c r="BA1062" s="325" t="str">
        <f>IF(BDEGENER[[#This Row],[SERVICIO]]=BDEGENER[[#This Row],[GA2]],BDEGENER[[#This Row],[HORAS]],"0")</f>
        <v>0</v>
      </c>
      <c r="BB1062" s="325">
        <f>SUMIF(BDEGENER[SERIE],BDEGENER[[#This Row],[SERIE]],BDEGENER[GA3])</f>
        <v>0</v>
      </c>
      <c r="BC1062" s="683" t="str">
        <f>CONCATENATE("MANT",COUNTIF($Y$7:Y1062,Y1062))</f>
        <v>MANT1</v>
      </c>
      <c r="BD1062" s="29" t="str">
        <f>CONCATENATE(BDEGENER[[#This Row],[SERIE]],BDEGENER[[#This Row],[GA5]])</f>
        <v>7965981MANT1</v>
      </c>
      <c r="BE1062" s="29" t="str">
        <f>CONCATENATE(BDEGENER[[#This Row],[CODIGO PATRIMONIAL]],BDEGENER[[#This Row],[GA5]])</f>
        <v>GEGA 05MANT1</v>
      </c>
      <c r="BF1062" s="16">
        <f>COUNTIF(BDEGENER[SERIE],BDEGENER[[#This Row],[SERIE]])</f>
        <v>1</v>
      </c>
      <c r="BG1062" s="683" t="str">
        <f>CONCATENATE("F",COUNTIF($K$7:K1062,K1062))</f>
        <v>F1</v>
      </c>
      <c r="BH1062" s="325" t="str">
        <f>CONCATENATE(BDEGENER[[#This Row],[FECHA DE SERVICIO]],BDEGENER[[#This Row],[N° DE REGISTROS DEL DIA]])</f>
        <v>43484F1</v>
      </c>
      <c r="BI1062" s="324"/>
      <c r="BJ1062" s="325"/>
      <c r="BK1062" s="326"/>
    </row>
    <row r="1063" spans="2:63" ht="69" hidden="1" x14ac:dyDescent="0.3">
      <c r="B1063" s="34"/>
      <c r="C1063" s="34"/>
      <c r="D1063" s="34"/>
      <c r="E1063" s="34"/>
      <c r="F1063" s="34"/>
      <c r="G1063" s="34"/>
      <c r="H1063" s="34"/>
      <c r="I1063" s="34"/>
      <c r="J1063" s="34"/>
      <c r="K1063" s="37">
        <v>43484</v>
      </c>
      <c r="L1063" s="30" t="s">
        <v>561</v>
      </c>
      <c r="M1063" s="19" t="s">
        <v>588</v>
      </c>
      <c r="N1063" s="19" t="s">
        <v>589</v>
      </c>
      <c r="O1063" s="19"/>
      <c r="P1063" s="19"/>
      <c r="Q1063" s="19" t="s">
        <v>37</v>
      </c>
      <c r="R1063" s="85" t="s">
        <v>1782</v>
      </c>
      <c r="S1063" s="19" t="s">
        <v>659</v>
      </c>
      <c r="T1063" s="85" t="s">
        <v>1782</v>
      </c>
      <c r="U1063" s="19" t="s">
        <v>741</v>
      </c>
      <c r="V1063" s="19" t="s">
        <v>148</v>
      </c>
      <c r="W1063" s="85" t="s">
        <v>914</v>
      </c>
      <c r="X1063" s="85" t="s">
        <v>918</v>
      </c>
      <c r="Y1063" s="31">
        <v>3003932245</v>
      </c>
      <c r="Z1063" s="692" t="s">
        <v>2617</v>
      </c>
      <c r="AA1063" s="683" t="s">
        <v>33</v>
      </c>
      <c r="AB1063" s="85" t="s">
        <v>34</v>
      </c>
      <c r="AC1063" s="19" t="s">
        <v>235</v>
      </c>
      <c r="AD1063" s="16"/>
      <c r="AE1063" s="16"/>
      <c r="AF1063" s="146">
        <v>28.5</v>
      </c>
      <c r="AG1063" s="16"/>
      <c r="AH1063" s="16"/>
      <c r="AI1063" s="16"/>
      <c r="AJ1063" s="16"/>
      <c r="AK1063" s="16"/>
      <c r="AL1063" s="16"/>
      <c r="AM1063" s="16"/>
      <c r="AN1063" s="16"/>
      <c r="AO1063" s="16"/>
      <c r="AP1063" s="19" t="s">
        <v>240</v>
      </c>
      <c r="AQ1063" s="6" t="str">
        <f>CONCATENATE("REG-",BDEGENER[[#This Row],[FECHA DE SERVICIO]],"-",BDEGENER[[#This Row],[SERIE]],"-",BDEGENER[[#This Row],[HORAS]])</f>
        <v>REG-43484-3003932245-28,5</v>
      </c>
      <c r="AR1063" s="5" t="str">
        <f>CONCATENATE("MARCA: ",BDEGENER[[#This Row],[MARCA]],"
 MODELO: ",BDEGENER[[#This Row],[MODELO]])</f>
        <v>MARCA: GENERAC
 MODELO: PG090</v>
      </c>
      <c r="AS1063" s="5" t="str">
        <f>CONCATENATE("MARCA: ",BDEGENER[[#This Row],[MARCA DE MOTOR]],"
SERIE: ",BDEGENER[[#This Row],[SERIE DE MOTOR]])</f>
        <v xml:space="preserve">MARCA: 
SERIE: </v>
      </c>
      <c r="AT1063" s="5" t="str">
        <f>CONCATENATE("MARCA: ",BDEGENER[[#This Row],[MARCA ALTERNADOR ]],"
SERIE: ",BDEGENER[[#This Row],[SERIE DE ALTERNADOR]])</f>
        <v xml:space="preserve">MARCA: 
SERIE: </v>
      </c>
      <c r="AU1063" s="29" t="str">
        <f>CONCATENATE("HORAS: ",BDEGENER[[#This Row],[HORAS]],"
KW-HR: ",BDEGENER[[#This Row],[KW-HORA]],"
VOLT.BATERIA: ",BDEGENER[[#This Row],[VOLTAJE DE BATERIA]],"
TEMPERATURA: ",BDEGENER[[#This Row],[TEMPERATURA DE AGUA]],"
PRES. ACEITE: ",BDEGENER[[#This Row],[PRESION DE ACEITE]])</f>
        <v xml:space="preserve">HORAS: 28,5
KW-HR: 
VOLT.BATERIA: 
TEMPERATURA: 
PRES. ACEITE: </v>
      </c>
      <c r="AV1063" s="761">
        <f>COUNTIFS(Q1063:Q3063,"MANTENIMIENTO CORRECTIVO",Y1063:Y3063,BDEGENER[[#This Row],[SERIE]])</f>
        <v>0</v>
      </c>
      <c r="AW1063" s="761">
        <f>COUNTIFS(Q1063:Q3063,"MANTENIMIENTO PREVENTIVO",Y1063:Y3063,BDEGENER[[#This Row],[SERIE]])</f>
        <v>1</v>
      </c>
      <c r="AX106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63" s="29">
        <f>COUNTIFS(BDEGENER[SERIE],BDEGENER[[#This Row],[SERIE]],BDEGENER[TIPO DE SERVICIO],"MANTENIMIENTO PREVENTIVO")</f>
        <v>9</v>
      </c>
      <c r="AZ1063" s="29" t="str">
        <f>CONCATENATE("MANTENIMIENTO PREVENTIVO N°",BDEGENER[[#This Row],[GA1]])</f>
        <v>MANTENIMIENTO PREVENTIVO N°9</v>
      </c>
      <c r="BA1063" s="325" t="str">
        <f>IF(BDEGENER[[#This Row],[SERVICIO]]=BDEGENER[[#This Row],[GA2]],BDEGENER[[#This Row],[HORAS]],"0")</f>
        <v>0</v>
      </c>
      <c r="BB1063" s="325">
        <f>SUMIF(BDEGENER[SERIE],BDEGENER[[#This Row],[SERIE]],BDEGENER[GA3])</f>
        <v>6582.8</v>
      </c>
      <c r="BC1063" s="761" t="str">
        <f>CONCATENATE("MANT",COUNTIF($Y$7:Y1063,Y1063))</f>
        <v>MANT10</v>
      </c>
      <c r="BD1063" s="29" t="str">
        <f>CONCATENATE(BDEGENER[[#This Row],[SERIE]],BDEGENER[[#This Row],[GA5]])</f>
        <v>3003932245MANT10</v>
      </c>
      <c r="BE1063" s="29" t="str">
        <f>CONCATENATE(BDEGENER[[#This Row],[CODIGO PATRIMONIAL]],BDEGENER[[#This Row],[GA5]])</f>
        <v>NOR-GEG-0019MANT10</v>
      </c>
      <c r="BF1063" s="16">
        <f>COUNTIF(BDEGENER[SERIE],BDEGENER[[#This Row],[SERIE]])</f>
        <v>10</v>
      </c>
      <c r="BG1063" s="761" t="str">
        <f>CONCATENATE("F",COUNTIF($K$7:K1063,K1063))</f>
        <v>F2</v>
      </c>
      <c r="BH1063" s="325" t="str">
        <f>CONCATENATE(BDEGENER[[#This Row],[FECHA DE SERVICIO]],BDEGENER[[#This Row],[N° DE REGISTROS DEL DIA]])</f>
        <v>43484F2</v>
      </c>
      <c r="BI1063" s="324"/>
      <c r="BJ1063" s="325"/>
      <c r="BK1063" s="326"/>
    </row>
    <row r="1064" spans="2:63" ht="69" hidden="1" x14ac:dyDescent="0.3">
      <c r="B1064" s="34"/>
      <c r="C1064" s="34"/>
      <c r="D1064" s="34"/>
      <c r="E1064" s="34"/>
      <c r="F1064" s="34"/>
      <c r="G1064" s="34"/>
      <c r="H1064" s="34"/>
      <c r="I1064" s="34"/>
      <c r="J1064" s="34"/>
      <c r="K1064" s="37">
        <v>43484</v>
      </c>
      <c r="L1064" s="30" t="s">
        <v>561</v>
      </c>
      <c r="M1064" s="19" t="s">
        <v>588</v>
      </c>
      <c r="N1064" s="19" t="s">
        <v>589</v>
      </c>
      <c r="O1064" s="19"/>
      <c r="P1064" s="19"/>
      <c r="Q1064" s="19" t="s">
        <v>107</v>
      </c>
      <c r="R1064" s="85" t="s">
        <v>1782</v>
      </c>
      <c r="S1064" s="19" t="s">
        <v>660</v>
      </c>
      <c r="T1064" s="85" t="s">
        <v>1782</v>
      </c>
      <c r="U1064" s="19"/>
      <c r="V1064" s="19" t="s">
        <v>146</v>
      </c>
      <c r="W1064" s="85" t="s">
        <v>914</v>
      </c>
      <c r="X1064" s="85" t="s">
        <v>918</v>
      </c>
      <c r="Y1064" s="31">
        <v>3003566699</v>
      </c>
      <c r="Z1064" s="692" t="s">
        <v>2619</v>
      </c>
      <c r="AA1064" s="19" t="s">
        <v>33</v>
      </c>
      <c r="AB1064" s="85" t="s">
        <v>34</v>
      </c>
      <c r="AC1064" s="19" t="s">
        <v>230</v>
      </c>
      <c r="AD1064" s="16"/>
      <c r="AE1064" s="16"/>
      <c r="AF1064" s="146">
        <v>739.5</v>
      </c>
      <c r="AG1064" s="16" t="s">
        <v>243</v>
      </c>
      <c r="AH1064" s="16" t="s">
        <v>244</v>
      </c>
      <c r="AI1064" s="16"/>
      <c r="AJ1064" s="16"/>
      <c r="AK1064" s="16"/>
      <c r="AL1064" s="16"/>
      <c r="AM1064" s="16"/>
      <c r="AN1064" s="16"/>
      <c r="AO1064" s="16"/>
      <c r="AP1064" s="19" t="s">
        <v>240</v>
      </c>
      <c r="AQ1064" s="6" t="str">
        <f>CONCATENATE("REG-",BDEGENER[[#This Row],[FECHA DE SERVICIO]],"-",BDEGENER[[#This Row],[SERIE]],"-",BDEGENER[[#This Row],[HORAS]])</f>
        <v>REG-43484-3003566699-739,5</v>
      </c>
      <c r="AR1064" s="5" t="str">
        <f>CONCATENATE("MARCA: ",BDEGENER[[#This Row],[MARCA]],"
 MODELO: ",BDEGENER[[#This Row],[MODELO]])</f>
        <v>MARCA: GENERAC
 MODELO: PG090</v>
      </c>
      <c r="AS1064" s="5" t="str">
        <f>CONCATENATE("MARCA: ",BDEGENER[[#This Row],[MARCA DE MOTOR]],"
SERIE: ",BDEGENER[[#This Row],[SERIE DE MOTOR]])</f>
        <v xml:space="preserve">MARCA: 
SERIE: </v>
      </c>
      <c r="AT1064" s="5" t="str">
        <f>CONCATENATE("MARCA: ",BDEGENER[[#This Row],[MARCA ALTERNADOR ]],"
SERIE: ",BDEGENER[[#This Row],[SERIE DE ALTERNADOR]])</f>
        <v xml:space="preserve">MARCA: 
SERIE: </v>
      </c>
      <c r="AU1064" s="29" t="str">
        <f>CONCATENATE("HORAS: ",BDEGENER[[#This Row],[HORAS]],"
KW-HR: ",BDEGENER[[#This Row],[KW-HORA]],"
VOLT.BATERIA: ",BDEGENER[[#This Row],[VOLTAJE DE BATERIA]],"
TEMPERATURA: ",BDEGENER[[#This Row],[TEMPERATURA DE AGUA]],"
PRES. ACEITE: ",BDEGENER[[#This Row],[PRESION DE ACEITE]])</f>
        <v xml:space="preserve">HORAS: 739,5
KW-HR: 
VOLT.BATERIA: 
TEMPERATURA: 
PRES. ACEITE: </v>
      </c>
      <c r="AV1064" s="683">
        <f>COUNTIFS(Q1064:Q3064,"MANTENIMIENTO CORRECTIVO",Y1064:Y3064,BDEGENER[[#This Row],[SERIE]])</f>
        <v>1</v>
      </c>
      <c r="AW1064" s="683">
        <f>COUNTIFS(Q1064:Q3064,"MANTENIMIENTO PREVENTIVO",Y1064:Y3064,BDEGENER[[#This Row],[SERIE]])</f>
        <v>0</v>
      </c>
      <c r="AX106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064" s="29">
        <f>COUNTIFS(BDEGENER[SERIE],BDEGENER[[#This Row],[SERIE]],BDEGENER[TIPO DE SERVICIO],"MANTENIMIENTO PREVENTIVO")</f>
        <v>12</v>
      </c>
      <c r="AZ1064" s="29" t="str">
        <f>CONCATENATE("MANTENIMIENTO PREVENTIVO N°",BDEGENER[[#This Row],[GA1]])</f>
        <v>MANTENIMIENTO PREVENTIVO N°12</v>
      </c>
      <c r="BA1064" s="325" t="str">
        <f>IF(BDEGENER[[#This Row],[SERVICIO]]=BDEGENER[[#This Row],[GA2]],BDEGENER[[#This Row],[HORAS]],"0")</f>
        <v>0</v>
      </c>
      <c r="BB1064" s="325">
        <f>SUMIF(BDEGENER[SERIE],BDEGENER[[#This Row],[SERIE]],BDEGENER[GA3])</f>
        <v>8154.7</v>
      </c>
      <c r="BC1064" s="683" t="str">
        <f>CONCATENATE("MANT",COUNTIF($Y$7:Y1064,Y1064))</f>
        <v>MANT17</v>
      </c>
      <c r="BD1064" s="29" t="str">
        <f>CONCATENATE(BDEGENER[[#This Row],[SERIE]],BDEGENER[[#This Row],[GA5]])</f>
        <v>3003566699MANT17</v>
      </c>
      <c r="BE1064" s="29" t="str">
        <f>CONCATENATE(BDEGENER[[#This Row],[CODIGO PATRIMONIAL]],BDEGENER[[#This Row],[GA5]])</f>
        <v>NOR-GEG-0021MANT17</v>
      </c>
      <c r="BF1064" s="16">
        <f>COUNTIF(BDEGENER[SERIE],BDEGENER[[#This Row],[SERIE]])</f>
        <v>17</v>
      </c>
      <c r="BG1064" s="683" t="str">
        <f>CONCATENATE("F",COUNTIF($K$7:K1064,K1064))</f>
        <v>F3</v>
      </c>
      <c r="BH1064" s="325" t="str">
        <f>CONCATENATE(BDEGENER[[#This Row],[FECHA DE SERVICIO]],BDEGENER[[#This Row],[N° DE REGISTROS DEL DIA]])</f>
        <v>43484F3</v>
      </c>
      <c r="BI1064" s="324"/>
      <c r="BJ1064" s="325"/>
      <c r="BK1064" s="326"/>
    </row>
    <row r="1065" spans="2:63" ht="69" hidden="1" x14ac:dyDescent="0.3">
      <c r="B1065" s="34"/>
      <c r="C1065" s="34"/>
      <c r="D1065" s="34"/>
      <c r="E1065" s="34"/>
      <c r="F1065" s="34"/>
      <c r="G1065" s="34"/>
      <c r="H1065" s="34"/>
      <c r="I1065" s="34"/>
      <c r="J1065" s="34"/>
      <c r="K1065" s="37">
        <v>43481</v>
      </c>
      <c r="L1065" s="30" t="s">
        <v>561</v>
      </c>
      <c r="M1065" s="19" t="s">
        <v>575</v>
      </c>
      <c r="N1065" s="19" t="s">
        <v>576</v>
      </c>
      <c r="O1065" s="19"/>
      <c r="P1065" s="19"/>
      <c r="Q1065" s="19" t="s">
        <v>37</v>
      </c>
      <c r="R1065" s="85" t="s">
        <v>1782</v>
      </c>
      <c r="S1065" s="19" t="s">
        <v>661</v>
      </c>
      <c r="T1065" s="85" t="s">
        <v>1782</v>
      </c>
      <c r="U1065" s="19" t="s">
        <v>742</v>
      </c>
      <c r="V1065" s="19" t="s">
        <v>146</v>
      </c>
      <c r="W1065" s="683" t="s">
        <v>913</v>
      </c>
      <c r="X1065" s="691" t="s">
        <v>918</v>
      </c>
      <c r="Y1065" s="31">
        <v>3003415536</v>
      </c>
      <c r="Z1065" s="692" t="s">
        <v>2604</v>
      </c>
      <c r="AA1065" s="19" t="s">
        <v>33</v>
      </c>
      <c r="AB1065" s="19" t="s">
        <v>217</v>
      </c>
      <c r="AC1065" s="19" t="s">
        <v>749</v>
      </c>
      <c r="AD1065" s="16"/>
      <c r="AE1065" s="16"/>
      <c r="AF1065" s="146">
        <v>681.3</v>
      </c>
      <c r="AG1065" s="16"/>
      <c r="AH1065" s="16"/>
      <c r="AI1065" s="16"/>
      <c r="AJ1065" s="16"/>
      <c r="AK1065" s="16"/>
      <c r="AL1065" s="16"/>
      <c r="AM1065" s="16"/>
      <c r="AN1065" s="16"/>
      <c r="AO1065" s="16"/>
      <c r="AP1065" s="19" t="s">
        <v>240</v>
      </c>
      <c r="AQ1065" s="6" t="str">
        <f>CONCATENATE("REG-",BDEGENER[[#This Row],[FECHA DE SERVICIO]],"-",BDEGENER[[#This Row],[SERIE]],"-",BDEGENER[[#This Row],[HORAS]])</f>
        <v>REG-43481-3003415536-681,3</v>
      </c>
      <c r="AR1065" s="5" t="str">
        <f>CONCATENATE("MARCA: ",BDEGENER[[#This Row],[MARCA]],"
 MODELO: ",BDEGENER[[#This Row],[MODELO]])</f>
        <v>MARCA: GENERAC
 MODELO: RG022</v>
      </c>
      <c r="AS1065" s="5" t="str">
        <f>CONCATENATE("MARCA: ",BDEGENER[[#This Row],[MARCA DE MOTOR]],"
SERIE: ",BDEGENER[[#This Row],[SERIE DE MOTOR]])</f>
        <v xml:space="preserve">MARCA: 
SERIE: </v>
      </c>
      <c r="AT1065" s="5" t="str">
        <f>CONCATENATE("MARCA: ",BDEGENER[[#This Row],[MARCA ALTERNADOR ]],"
SERIE: ",BDEGENER[[#This Row],[SERIE DE ALTERNADOR]])</f>
        <v xml:space="preserve">MARCA: 
SERIE: </v>
      </c>
      <c r="AU1065" s="29" t="str">
        <f>CONCATENATE("HORAS: ",BDEGENER[[#This Row],[HORAS]],"
KW-HR: ",BDEGENER[[#This Row],[KW-HORA]],"
VOLT.BATERIA: ",BDEGENER[[#This Row],[VOLTAJE DE BATERIA]],"
TEMPERATURA: ",BDEGENER[[#This Row],[TEMPERATURA DE AGUA]],"
PRES. ACEITE: ",BDEGENER[[#This Row],[PRESION DE ACEITE]])</f>
        <v xml:space="preserve">HORAS: 681,3
KW-HR: 
VOLT.BATERIA: 
TEMPERATURA: 
PRES. ACEITE: </v>
      </c>
      <c r="AV1065" s="683">
        <f>COUNTIFS(Q1065:Q3065,"MANTENIMIENTO CORRECTIVO",Y1065:Y3065,BDEGENER[[#This Row],[SERIE]])</f>
        <v>0</v>
      </c>
      <c r="AW1065" s="683">
        <f>COUNTIFS(Q1065:Q3065,"MANTENIMIENTO PREVENTIVO",Y1065:Y3065,BDEGENER[[#This Row],[SERIE]])</f>
        <v>1</v>
      </c>
      <c r="AX106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65" s="29">
        <f>COUNTIFS(BDEGENER[SERIE],BDEGENER[[#This Row],[SERIE]],BDEGENER[TIPO DE SERVICIO],"MANTENIMIENTO PREVENTIVO")</f>
        <v>10</v>
      </c>
      <c r="AZ1065" s="29" t="str">
        <f>CONCATENATE("MANTENIMIENTO PREVENTIVO N°",BDEGENER[[#This Row],[GA1]])</f>
        <v>MANTENIMIENTO PREVENTIVO N°10</v>
      </c>
      <c r="BA1065" s="325" t="str">
        <f>IF(BDEGENER[[#This Row],[SERVICIO]]=BDEGENER[[#This Row],[GA2]],BDEGENER[[#This Row],[HORAS]],"0")</f>
        <v>0</v>
      </c>
      <c r="BB1065" s="325">
        <f>SUMIF(BDEGENER[SERIE],BDEGENER[[#This Row],[SERIE]],BDEGENER[GA3])</f>
        <v>5559.8</v>
      </c>
      <c r="BC1065" s="683" t="str">
        <f>CONCATENATE("MANT",COUNTIF($Y$7:Y1065,Y1065))</f>
        <v>MANT12</v>
      </c>
      <c r="BD1065" s="29" t="str">
        <f>CONCATENATE(BDEGENER[[#This Row],[SERIE]],BDEGENER[[#This Row],[GA5]])</f>
        <v>3003415536MANT12</v>
      </c>
      <c r="BE1065" s="29" t="str">
        <f>CONCATENATE(BDEGENER[[#This Row],[CODIGO PATRIMONIAL]],BDEGENER[[#This Row],[GA5]])</f>
        <v>SUR-GEG-0008MANT12</v>
      </c>
      <c r="BF1065" s="16">
        <f>COUNTIF(BDEGENER[SERIE],BDEGENER[[#This Row],[SERIE]])</f>
        <v>12</v>
      </c>
      <c r="BG1065" s="683" t="str">
        <f>CONCATENATE("F",COUNTIF($K$7:K1065,K1065))</f>
        <v>F1</v>
      </c>
      <c r="BH1065" s="325" t="str">
        <f>CONCATENATE(BDEGENER[[#This Row],[FECHA DE SERVICIO]],BDEGENER[[#This Row],[N° DE REGISTROS DEL DIA]])</f>
        <v>43481F1</v>
      </c>
      <c r="BI1065" s="324"/>
      <c r="BJ1065" s="325"/>
      <c r="BK1065" s="326"/>
    </row>
    <row r="1066" spans="2:63" ht="69" hidden="1" x14ac:dyDescent="0.3">
      <c r="B1066" s="34"/>
      <c r="C1066" s="34"/>
      <c r="D1066" s="34"/>
      <c r="E1066" s="34"/>
      <c r="F1066" s="34"/>
      <c r="G1066" s="34"/>
      <c r="H1066" s="34"/>
      <c r="I1066" s="34"/>
      <c r="J1066" s="34"/>
      <c r="K1066" s="37">
        <v>43481</v>
      </c>
      <c r="L1066" s="30" t="s">
        <v>561</v>
      </c>
      <c r="M1066" s="19" t="s">
        <v>565</v>
      </c>
      <c r="N1066" s="19" t="s">
        <v>566</v>
      </c>
      <c r="O1066" s="19"/>
      <c r="P1066" s="19"/>
      <c r="Q1066" s="19" t="s">
        <v>37</v>
      </c>
      <c r="R1066" s="85" t="s">
        <v>1782</v>
      </c>
      <c r="S1066" s="19" t="s">
        <v>662</v>
      </c>
      <c r="T1066" s="85" t="s">
        <v>1782</v>
      </c>
      <c r="U1066" s="19" t="s">
        <v>743</v>
      </c>
      <c r="V1066" s="19" t="s">
        <v>744</v>
      </c>
      <c r="W1066" s="19"/>
      <c r="X1066" s="19"/>
      <c r="Y1066" s="31">
        <v>3003415540</v>
      </c>
      <c r="Z1066" s="19" t="s">
        <v>2605</v>
      </c>
      <c r="AA1066" s="19" t="s">
        <v>33</v>
      </c>
      <c r="AB1066" s="19" t="s">
        <v>217</v>
      </c>
      <c r="AC1066" s="19" t="s">
        <v>749</v>
      </c>
      <c r="AD1066" s="16"/>
      <c r="AE1066" s="16"/>
      <c r="AF1066" s="146">
        <v>1044</v>
      </c>
      <c r="AG1066" s="16"/>
      <c r="AH1066" s="16"/>
      <c r="AI1066" s="16"/>
      <c r="AJ1066" s="16"/>
      <c r="AK1066" s="16"/>
      <c r="AL1066" s="16"/>
      <c r="AM1066" s="16"/>
      <c r="AN1066" s="16"/>
      <c r="AO1066" s="16"/>
      <c r="AP1066" s="19" t="s">
        <v>240</v>
      </c>
      <c r="AQ1066" s="6" t="str">
        <f>CONCATENATE("REG-",BDEGENER[[#This Row],[FECHA DE SERVICIO]],"-",BDEGENER[[#This Row],[SERIE]],"-",BDEGENER[[#This Row],[HORAS]])</f>
        <v>REG-43481-3003415540-1044</v>
      </c>
      <c r="AR1066" s="5" t="str">
        <f>CONCATENATE("MARCA: ",BDEGENER[[#This Row],[MARCA]],"
 MODELO: ",BDEGENER[[#This Row],[MODELO]])</f>
        <v>MARCA: GENERAC
 MODELO: RG022</v>
      </c>
      <c r="AS1066" s="5" t="str">
        <f>CONCATENATE("MARCA: ",BDEGENER[[#This Row],[MARCA DE MOTOR]],"
SERIE: ",BDEGENER[[#This Row],[SERIE DE MOTOR]])</f>
        <v xml:space="preserve">MARCA: 
SERIE: </v>
      </c>
      <c r="AT1066" s="5" t="str">
        <f>CONCATENATE("MARCA: ",BDEGENER[[#This Row],[MARCA ALTERNADOR ]],"
SERIE: ",BDEGENER[[#This Row],[SERIE DE ALTERNADOR]])</f>
        <v xml:space="preserve">MARCA: 
SERIE: </v>
      </c>
      <c r="AU1066" s="29" t="str">
        <f>CONCATENATE("HORAS: ",BDEGENER[[#This Row],[HORAS]],"
KW-HR: ",BDEGENER[[#This Row],[KW-HORA]],"
VOLT.BATERIA: ",BDEGENER[[#This Row],[VOLTAJE DE BATERIA]],"
TEMPERATURA: ",BDEGENER[[#This Row],[TEMPERATURA DE AGUA]],"
PRES. ACEITE: ",BDEGENER[[#This Row],[PRESION DE ACEITE]])</f>
        <v xml:space="preserve">HORAS: 1044
KW-HR: 
VOLT.BATERIA: 
TEMPERATURA: 
PRES. ACEITE: </v>
      </c>
      <c r="AV1066" s="761">
        <f>COUNTIFS(Q1066:Q3066,"MANTENIMIENTO CORRECTIVO",Y1066:Y3066,BDEGENER[[#This Row],[SERIE]])</f>
        <v>0</v>
      </c>
      <c r="AW1066" s="761">
        <f>COUNTIFS(Q1066:Q3066,"MANTENIMIENTO PREVENTIVO",Y1066:Y3066,BDEGENER[[#This Row],[SERIE]])</f>
        <v>2</v>
      </c>
      <c r="AX106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66" s="29">
        <f>COUNTIFS(BDEGENER[SERIE],BDEGENER[[#This Row],[SERIE]],BDEGENER[TIPO DE SERVICIO],"MANTENIMIENTO PREVENTIVO")</f>
        <v>6</v>
      </c>
      <c r="AZ1066" s="29" t="str">
        <f>CONCATENATE("MANTENIMIENTO PREVENTIVO N°",BDEGENER[[#This Row],[GA1]])</f>
        <v>MANTENIMIENTO PREVENTIVO N°6</v>
      </c>
      <c r="BA1066" s="325" t="str">
        <f>IF(BDEGENER[[#This Row],[SERVICIO]]=BDEGENER[[#This Row],[GA2]],BDEGENER[[#This Row],[HORAS]],"0")</f>
        <v>0</v>
      </c>
      <c r="BB1066" s="325">
        <f>SUMIF(BDEGENER[SERIE],BDEGENER[[#This Row],[SERIE]],BDEGENER[GA3])</f>
        <v>4522.8999999999996</v>
      </c>
      <c r="BC1066" s="761" t="str">
        <f>CONCATENATE("MANT",COUNTIF($Y$7:Y1066,Y1066))</f>
        <v>MANT5</v>
      </c>
      <c r="BD1066" s="29" t="str">
        <f>CONCATENATE(BDEGENER[[#This Row],[SERIE]],BDEGENER[[#This Row],[GA5]])</f>
        <v>3003415540MANT5</v>
      </c>
      <c r="BE1066" s="29" t="str">
        <f>CONCATENATE(BDEGENER[[#This Row],[CODIGO PATRIMONIAL]],BDEGENER[[#This Row],[GA5]])</f>
        <v>SUR-GEG-0009MANT5</v>
      </c>
      <c r="BF1066" s="16">
        <f>COUNTIF(BDEGENER[SERIE],BDEGENER[[#This Row],[SERIE]])</f>
        <v>6</v>
      </c>
      <c r="BG1066" s="761" t="str">
        <f>CONCATENATE("F",COUNTIF($K$7:K1066,K1066))</f>
        <v>F2</v>
      </c>
      <c r="BH1066" s="325" t="str">
        <f>CONCATENATE(BDEGENER[[#This Row],[FECHA DE SERVICIO]],BDEGENER[[#This Row],[N° DE REGISTROS DEL DIA]])</f>
        <v>43481F2</v>
      </c>
      <c r="BI1066" s="324"/>
      <c r="BJ1066" s="325"/>
      <c r="BK1066" s="326"/>
    </row>
    <row r="1067" spans="2:63" ht="69" hidden="1" x14ac:dyDescent="0.3">
      <c r="B1067" s="33"/>
      <c r="C1067" s="33"/>
      <c r="D1067" s="33"/>
      <c r="E1067" s="33"/>
      <c r="F1067" s="33"/>
      <c r="G1067" s="33"/>
      <c r="H1067" s="33"/>
      <c r="I1067" s="33"/>
      <c r="J1067" s="33"/>
      <c r="K1067" s="38">
        <v>43480</v>
      </c>
      <c r="L1067" s="18" t="s">
        <v>248</v>
      </c>
      <c r="M1067" s="23" t="s">
        <v>267</v>
      </c>
      <c r="N1067" s="23" t="s">
        <v>278</v>
      </c>
      <c r="O1067" s="23"/>
      <c r="P1067" s="21"/>
      <c r="Q1067" s="22" t="s">
        <v>37</v>
      </c>
      <c r="R1067" s="85" t="s">
        <v>1782</v>
      </c>
      <c r="S1067" s="25" t="s">
        <v>347</v>
      </c>
      <c r="T1067" s="85" t="s">
        <v>1782</v>
      </c>
      <c r="U1067" s="25" t="s">
        <v>348</v>
      </c>
      <c r="V1067" s="25" t="s">
        <v>349</v>
      </c>
      <c r="W1067" s="85" t="s">
        <v>913</v>
      </c>
      <c r="X1067" s="85" t="s">
        <v>917</v>
      </c>
      <c r="Y1067" s="31">
        <v>3002933961</v>
      </c>
      <c r="Z1067" s="16"/>
      <c r="AA1067" s="85" t="s">
        <v>33</v>
      </c>
      <c r="AB1067" s="85" t="s">
        <v>500</v>
      </c>
      <c r="AC1067" s="23" t="s">
        <v>530</v>
      </c>
      <c r="AD1067" s="16"/>
      <c r="AE1067" s="16"/>
      <c r="AF1067" s="27">
        <v>1025.51</v>
      </c>
      <c r="AG1067" s="85" t="s">
        <v>243</v>
      </c>
      <c r="AH1067" s="85" t="s">
        <v>1236</v>
      </c>
      <c r="AI1067" s="85" t="s">
        <v>844</v>
      </c>
      <c r="AJ1067" s="16"/>
      <c r="AK1067" s="85" t="s">
        <v>1235</v>
      </c>
      <c r="AL1067" s="16"/>
      <c r="AM1067" s="16"/>
      <c r="AN1067" s="16"/>
      <c r="AO1067" s="16"/>
      <c r="AP1067" s="22" t="s">
        <v>240</v>
      </c>
      <c r="AQ1067" s="6" t="str">
        <f>CONCATENATE("REG-",BDEGENER[[#This Row],[FECHA DE SERVICIO]],"-",BDEGENER[[#This Row],[SERIE]],"-",BDEGENER[[#This Row],[HORAS]])</f>
        <v>REG-43480-3002933961-1025,51</v>
      </c>
      <c r="AR1067" s="5" t="str">
        <f>CONCATENATE("MARCA: ",BDEGENER[[#This Row],[MARCA]],"
 MODELO: ",BDEGENER[[#This Row],[MODELO]])</f>
        <v>MARCA: GENERAC
 MODELO: PMY20B</v>
      </c>
      <c r="AS1067" s="5" t="str">
        <f>CONCATENATE("MARCA: ",BDEGENER[[#This Row],[MARCA DE MOTOR]],"
SERIE: ",BDEGENER[[#This Row],[SERIE DE MOTOR]])</f>
        <v xml:space="preserve">MARCA: PERKINS
SERIE: </v>
      </c>
      <c r="AT1067" s="5" t="str">
        <f>CONCATENATE("MARCA: ",BDEGENER[[#This Row],[MARCA ALTERNADOR ]],"
SERIE: ",BDEGENER[[#This Row],[SERIE DE ALTERNADOR]])</f>
        <v xml:space="preserve">MARCA: MECC ALTE
SERIE: </v>
      </c>
      <c r="AU1067" s="5" t="str">
        <f>CONCATENATE("HORAS: ",BDEGENER[[#This Row],[HORAS]],"
KW-HR: ",BDEGENER[[#This Row],[KW-HORA]],"
VOLT.BATERIA: ",BDEGENER[[#This Row],[VOLTAJE DE BATERIA]],"
TEMPERATURA: ",BDEGENER[[#This Row],[TEMPERATURA DE AGUA]],"
PRES. ACEITE: ",BDEGENER[[#This Row],[PRESION DE ACEITE]])</f>
        <v xml:space="preserve">HORAS: 1025,51
KW-HR: 
VOLT.BATERIA: 
TEMPERATURA: 
PRES. ACEITE: </v>
      </c>
      <c r="AV1067" s="683">
        <f>COUNTIFS(Q1067:Q3067,"MANTENIMIENTO CORRECTIVO",Y1067:Y3067,BDEGENER[[#This Row],[SERIE]])</f>
        <v>0</v>
      </c>
      <c r="AW1067" s="683">
        <f>COUNTIFS(Q1067:Q3067,"MANTENIMIENTO PREVENTIVO",Y1067:Y3067,BDEGENER[[#This Row],[SERIE]])</f>
        <v>2</v>
      </c>
      <c r="AX106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67" s="29">
        <f>COUNTIFS(BDEGENER[SERIE],BDEGENER[[#This Row],[SERIE]],BDEGENER[TIPO DE SERVICIO],"MANTENIMIENTO PREVENTIVO")</f>
        <v>2</v>
      </c>
      <c r="AZ1067" s="29" t="str">
        <f>CONCATENATE("MANTENIMIENTO PREVENTIVO N°",BDEGENER[[#This Row],[GA1]])</f>
        <v>MANTENIMIENTO PREVENTIVO N°2</v>
      </c>
      <c r="BA1067" s="325">
        <f>IF(BDEGENER[[#This Row],[SERVICIO]]=BDEGENER[[#This Row],[GA2]],BDEGENER[[#This Row],[HORAS]],"0")</f>
        <v>1025.51</v>
      </c>
      <c r="BB1067" s="325">
        <f>SUMIF(BDEGENER[SERIE],BDEGENER[[#This Row],[SERIE]],BDEGENER[GA3])</f>
        <v>1025.51</v>
      </c>
      <c r="BC1067" s="683" t="str">
        <f>CONCATENATE("MANT",COUNTIF($Y$7:Y1067,Y1067))</f>
        <v>MANT1</v>
      </c>
      <c r="BD1067" s="29" t="str">
        <f>CONCATENATE(BDEGENER[[#This Row],[SERIE]],BDEGENER[[#This Row],[GA5]])</f>
        <v>3002933961MANT1</v>
      </c>
      <c r="BE1067" s="29" t="str">
        <f>CONCATENATE(BDEGENER[[#This Row],[CODIGO PATRIMONIAL]],BDEGENER[[#This Row],[GA5]])</f>
        <v>MANT1</v>
      </c>
      <c r="BF1067" s="16">
        <f>COUNTIF(BDEGENER[SERIE],BDEGENER[[#This Row],[SERIE]])</f>
        <v>2</v>
      </c>
      <c r="BG1067" s="683" t="str">
        <f>CONCATENATE("F",COUNTIF($K$7:K1067,K1067))</f>
        <v>F1</v>
      </c>
      <c r="BH1067" s="325" t="str">
        <f>CONCATENATE(BDEGENER[[#This Row],[FECHA DE SERVICIO]],BDEGENER[[#This Row],[N° DE REGISTROS DEL DIA]])</f>
        <v>43480F1</v>
      </c>
      <c r="BI1067" s="324"/>
      <c r="BJ1067" s="325"/>
      <c r="BK1067" s="326"/>
    </row>
    <row r="1068" spans="2:63" ht="69" hidden="1" x14ac:dyDescent="0.3">
      <c r="B1068" s="33"/>
      <c r="C1068" s="33"/>
      <c r="D1068" s="33"/>
      <c r="E1068" s="33"/>
      <c r="F1068" s="33"/>
      <c r="G1068" s="33"/>
      <c r="H1068" s="33"/>
      <c r="I1068" s="33"/>
      <c r="J1068" s="33"/>
      <c r="K1068" s="38">
        <v>43480</v>
      </c>
      <c r="L1068" s="18" t="s">
        <v>248</v>
      </c>
      <c r="M1068" s="23" t="s">
        <v>268</v>
      </c>
      <c r="N1068" s="23" t="s">
        <v>269</v>
      </c>
      <c r="O1068" s="23"/>
      <c r="P1068" s="21"/>
      <c r="Q1068" s="22" t="s">
        <v>37</v>
      </c>
      <c r="R1068" s="85" t="s">
        <v>1782</v>
      </c>
      <c r="S1068" s="23" t="s">
        <v>350</v>
      </c>
      <c r="T1068" s="85" t="s">
        <v>1782</v>
      </c>
      <c r="U1068" s="23" t="s">
        <v>351</v>
      </c>
      <c r="V1068" s="23" t="s">
        <v>349</v>
      </c>
      <c r="W1068" s="85" t="s">
        <v>914</v>
      </c>
      <c r="X1068" s="85" t="s">
        <v>917</v>
      </c>
      <c r="Y1068" s="31">
        <v>3002933971</v>
      </c>
      <c r="Z1068" s="16"/>
      <c r="AA1068" s="16" t="s">
        <v>33</v>
      </c>
      <c r="AB1068" s="85" t="s">
        <v>1446</v>
      </c>
      <c r="AC1068" s="22" t="s">
        <v>1445</v>
      </c>
      <c r="AD1068" s="16"/>
      <c r="AE1068" s="16"/>
      <c r="AF1068" s="27">
        <v>1416</v>
      </c>
      <c r="AG1068" s="16"/>
      <c r="AH1068" s="16"/>
      <c r="AI1068" s="16" t="s">
        <v>844</v>
      </c>
      <c r="AJ1068" s="16"/>
      <c r="AK1068" s="16" t="s">
        <v>1448</v>
      </c>
      <c r="AL1068" s="16"/>
      <c r="AM1068" s="16"/>
      <c r="AN1068" s="16"/>
      <c r="AO1068" s="16"/>
      <c r="AP1068" s="22" t="s">
        <v>240</v>
      </c>
      <c r="AQ1068" s="6" t="str">
        <f>CONCATENATE("REG-",BDEGENER[[#This Row],[FECHA DE SERVICIO]],"-",BDEGENER[[#This Row],[SERIE]],"-",BDEGENER[[#This Row],[HORAS]])</f>
        <v>REG-43480-3002933971-1416</v>
      </c>
      <c r="AR1068" s="6" t="str">
        <f>CONCATENATE("MARCA: ",BDEGENER[[#This Row],[MARCA]],"
 MODELO: ",BDEGENER[[#This Row],[MODELO]])</f>
        <v>MARCA: GENERAC
 MODELO: PLY125</v>
      </c>
      <c r="AS1068" s="5" t="str">
        <f>CONCATENATE("MARCA: ",BDEGENER[[#This Row],[MARCA DE MOTOR]],"
SERIE: ",BDEGENER[[#This Row],[SERIE DE MOTOR]])</f>
        <v xml:space="preserve">MARCA: PERKINS
SERIE: </v>
      </c>
      <c r="AT1068" s="5" t="str">
        <f>CONCATENATE("MARCA: ",BDEGENER[[#This Row],[MARCA ALTERNADOR ]],"
SERIE: ",BDEGENER[[#This Row],[SERIE DE ALTERNADOR]])</f>
        <v xml:space="preserve">MARCA: LEROY SOMER
SERIE: </v>
      </c>
      <c r="AU1068" s="5" t="str">
        <f>CONCATENATE("HORAS: ",BDEGENER[[#This Row],[HORAS]],"
KW-HR: ",BDEGENER[[#This Row],[KW-HORA]],"
VOLT.BATERIA: ",BDEGENER[[#This Row],[VOLTAJE DE BATERIA]],"
TEMPERATURA: ",BDEGENER[[#This Row],[TEMPERATURA DE AGUA]],"
PRES. ACEITE: ",BDEGENER[[#This Row],[PRESION DE ACEITE]])</f>
        <v xml:space="preserve">HORAS: 1416
KW-HR: 
VOLT.BATERIA: 
TEMPERATURA: 
PRES. ACEITE: </v>
      </c>
      <c r="AV1068" s="683">
        <f>COUNTIFS(Q1068:Q3068,"MANTENIMIENTO CORRECTIVO",Y1068:Y3068,BDEGENER[[#This Row],[SERIE]])</f>
        <v>0</v>
      </c>
      <c r="AW1068" s="683">
        <f>COUNTIFS(Q1068:Q3068,"MANTENIMIENTO PREVENTIVO",Y1068:Y3068,BDEGENER[[#This Row],[SERIE]])</f>
        <v>2</v>
      </c>
      <c r="AX106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68" s="29">
        <f>COUNTIFS(BDEGENER[SERIE],BDEGENER[[#This Row],[SERIE]],BDEGENER[TIPO DE SERVICIO],"MANTENIMIENTO PREVENTIVO")</f>
        <v>3</v>
      </c>
      <c r="AZ1068" s="29" t="str">
        <f>CONCATENATE("MANTENIMIENTO PREVENTIVO N°",BDEGENER[[#This Row],[GA1]])</f>
        <v>MANTENIMIENTO PREVENTIVO N°3</v>
      </c>
      <c r="BA1068" s="325" t="str">
        <f>IF(BDEGENER[[#This Row],[SERVICIO]]=BDEGENER[[#This Row],[GA2]],BDEGENER[[#This Row],[HORAS]],"0")</f>
        <v>0</v>
      </c>
      <c r="BB1068" s="325">
        <f>SUMIF(BDEGENER[SERIE],BDEGENER[[#This Row],[SERIE]],BDEGENER[GA3])</f>
        <v>1681</v>
      </c>
      <c r="BC1068" s="683" t="str">
        <f>CONCATENATE("MANT",COUNTIF($Y$7:Y1068,Y1068))</f>
        <v>MANT2</v>
      </c>
      <c r="BD1068" s="29" t="str">
        <f>CONCATENATE(BDEGENER[[#This Row],[SERIE]],BDEGENER[[#This Row],[GA5]])</f>
        <v>3002933971MANT2</v>
      </c>
      <c r="BE1068" s="29" t="str">
        <f>CONCATENATE(BDEGENER[[#This Row],[CODIGO PATRIMONIAL]],BDEGENER[[#This Row],[GA5]])</f>
        <v>MANT2</v>
      </c>
      <c r="BF1068" s="16">
        <f>COUNTIF(BDEGENER[SERIE],BDEGENER[[#This Row],[SERIE]])</f>
        <v>3</v>
      </c>
      <c r="BG1068" s="683" t="str">
        <f>CONCATENATE("F",COUNTIF($K$7:K1068,K1068))</f>
        <v>F2</v>
      </c>
      <c r="BH1068" s="325" t="str">
        <f>CONCATENATE(BDEGENER[[#This Row],[FECHA DE SERVICIO]],BDEGENER[[#This Row],[N° DE REGISTROS DEL DIA]])</f>
        <v>43480F2</v>
      </c>
      <c r="BI1068" s="324"/>
      <c r="BJ1068" s="325"/>
      <c r="BK1068" s="326"/>
    </row>
    <row r="1069" spans="2:63" ht="69" hidden="1" x14ac:dyDescent="0.3">
      <c r="B1069" s="34"/>
      <c r="C1069" s="34"/>
      <c r="D1069" s="34"/>
      <c r="E1069" s="34"/>
      <c r="F1069" s="34"/>
      <c r="G1069" s="34"/>
      <c r="H1069" s="34"/>
      <c r="I1069" s="34"/>
      <c r="J1069" s="34"/>
      <c r="K1069" s="37">
        <v>43479</v>
      </c>
      <c r="L1069" s="30" t="s">
        <v>561</v>
      </c>
      <c r="M1069" s="19" t="s">
        <v>562</v>
      </c>
      <c r="N1069" s="19" t="s">
        <v>563</v>
      </c>
      <c r="O1069" s="19"/>
      <c r="P1069" s="19"/>
      <c r="Q1069" s="19" t="s">
        <v>37</v>
      </c>
      <c r="R1069" s="85" t="s">
        <v>1782</v>
      </c>
      <c r="S1069" s="19" t="s">
        <v>663</v>
      </c>
      <c r="T1069" s="85" t="s">
        <v>1782</v>
      </c>
      <c r="U1069" s="19" t="s">
        <v>745</v>
      </c>
      <c r="V1069" s="19" t="s">
        <v>146</v>
      </c>
      <c r="W1069" s="19" t="s">
        <v>913</v>
      </c>
      <c r="X1069" s="19" t="s">
        <v>918</v>
      </c>
      <c r="Y1069" s="31">
        <v>3003415532</v>
      </c>
      <c r="Z1069" s="19" t="s">
        <v>2606</v>
      </c>
      <c r="AA1069" s="19" t="s">
        <v>33</v>
      </c>
      <c r="AB1069" s="19" t="s">
        <v>217</v>
      </c>
      <c r="AC1069" s="19" t="s">
        <v>749</v>
      </c>
      <c r="AD1069" s="16"/>
      <c r="AE1069" s="16"/>
      <c r="AF1069" s="146">
        <v>570.70000000000005</v>
      </c>
      <c r="AG1069" s="16"/>
      <c r="AH1069" s="16"/>
      <c r="AI1069" s="16"/>
      <c r="AJ1069" s="16"/>
      <c r="AK1069" s="16"/>
      <c r="AL1069" s="16"/>
      <c r="AM1069" s="16"/>
      <c r="AN1069" s="16"/>
      <c r="AO1069" s="16"/>
      <c r="AP1069" s="19" t="s">
        <v>240</v>
      </c>
      <c r="AQ1069" s="6" t="str">
        <f>CONCATENATE("REG-",BDEGENER[[#This Row],[FECHA DE SERVICIO]],"-",BDEGENER[[#This Row],[SERIE]],"-",BDEGENER[[#This Row],[HORAS]])</f>
        <v>REG-43479-3003415532-570,7</v>
      </c>
      <c r="AR1069" s="5" t="str">
        <f>CONCATENATE("MARCA: ",BDEGENER[[#This Row],[MARCA]],"
 MODELO: ",BDEGENER[[#This Row],[MODELO]])</f>
        <v>MARCA: GENERAC
 MODELO: RG022</v>
      </c>
      <c r="AS1069" s="5" t="str">
        <f>CONCATENATE("MARCA: ",BDEGENER[[#This Row],[MARCA DE MOTOR]],"
SERIE: ",BDEGENER[[#This Row],[SERIE DE MOTOR]])</f>
        <v xml:space="preserve">MARCA: 
SERIE: </v>
      </c>
      <c r="AT1069" s="5" t="str">
        <f>CONCATENATE("MARCA: ",BDEGENER[[#This Row],[MARCA ALTERNADOR ]],"
SERIE: ",BDEGENER[[#This Row],[SERIE DE ALTERNADOR]])</f>
        <v xml:space="preserve">MARCA: 
SERIE: </v>
      </c>
      <c r="AU1069" s="29" t="str">
        <f>CONCATENATE("HORAS: ",BDEGENER[[#This Row],[HORAS]],"
KW-HR: ",BDEGENER[[#This Row],[KW-HORA]],"
VOLT.BATERIA: ",BDEGENER[[#This Row],[VOLTAJE DE BATERIA]],"
TEMPERATURA: ",BDEGENER[[#This Row],[TEMPERATURA DE AGUA]],"
PRES. ACEITE: ",BDEGENER[[#This Row],[PRESION DE ACEITE]])</f>
        <v xml:space="preserve">HORAS: 570,7
KW-HR: 
VOLT.BATERIA: 
TEMPERATURA: 
PRES. ACEITE: </v>
      </c>
      <c r="AV1069" s="761">
        <f>COUNTIFS(Q1069:Q3069,"MANTENIMIENTO CORRECTIVO",Y1069:Y3069,BDEGENER[[#This Row],[SERIE]])</f>
        <v>0</v>
      </c>
      <c r="AW1069" s="761">
        <f>COUNTIFS(Q1069:Q3069,"MANTENIMIENTO PREVENTIVO",Y1069:Y3069,BDEGENER[[#This Row],[SERIE]])</f>
        <v>1</v>
      </c>
      <c r="AX106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69" s="29">
        <f>COUNTIFS(BDEGENER[SERIE],BDEGENER[[#This Row],[SERIE]],BDEGENER[TIPO DE SERVICIO],"MANTENIMIENTO PREVENTIVO")</f>
        <v>14</v>
      </c>
      <c r="AZ1069" s="29" t="str">
        <f>CONCATENATE("MANTENIMIENTO PREVENTIVO N°",BDEGENER[[#This Row],[GA1]])</f>
        <v>MANTENIMIENTO PREVENTIVO N°14</v>
      </c>
      <c r="BA1069" s="325" t="str">
        <f>IF(BDEGENER[[#This Row],[SERVICIO]]=BDEGENER[[#This Row],[GA2]],BDEGENER[[#This Row],[HORAS]],"0")</f>
        <v>0</v>
      </c>
      <c r="BB1069" s="325">
        <f>SUMIF(BDEGENER[SERIE],BDEGENER[[#This Row],[SERIE]],BDEGENER[GA3])</f>
        <v>5730.6</v>
      </c>
      <c r="BC1069" s="761" t="str">
        <f>CONCATENATE("MANT",COUNTIF($Y$7:Y1069,Y1069))</f>
        <v>MANT14</v>
      </c>
      <c r="BD1069" s="29" t="str">
        <f>CONCATENATE(BDEGENER[[#This Row],[SERIE]],BDEGENER[[#This Row],[GA5]])</f>
        <v>3003415532MANT14</v>
      </c>
      <c r="BE1069" s="29" t="str">
        <f>CONCATENATE(BDEGENER[[#This Row],[CODIGO PATRIMONIAL]],BDEGENER[[#This Row],[GA5]])</f>
        <v>SUR-GEG-0010MANT14</v>
      </c>
      <c r="BF1069" s="16">
        <f>COUNTIF(BDEGENER[SERIE],BDEGENER[[#This Row],[SERIE]])</f>
        <v>14</v>
      </c>
      <c r="BG1069" s="761" t="str">
        <f>CONCATENATE("F",COUNTIF($K$7:K1069,K1069))</f>
        <v>F1</v>
      </c>
      <c r="BH1069" s="325" t="str">
        <f>CONCATENATE(BDEGENER[[#This Row],[FECHA DE SERVICIO]],BDEGENER[[#This Row],[N° DE REGISTROS DEL DIA]])</f>
        <v>43479F1</v>
      </c>
      <c r="BI1069" s="324"/>
      <c r="BJ1069" s="325"/>
      <c r="BK1069" s="326"/>
    </row>
    <row r="1070" spans="2:63" ht="69" hidden="1" x14ac:dyDescent="0.3">
      <c r="B1070" s="33"/>
      <c r="C1070" s="33"/>
      <c r="D1070" s="33"/>
      <c r="E1070" s="33"/>
      <c r="F1070" s="33"/>
      <c r="G1070" s="33"/>
      <c r="H1070" s="33"/>
      <c r="I1070" s="33"/>
      <c r="J1070" s="33"/>
      <c r="K1070" s="38">
        <v>43477</v>
      </c>
      <c r="L1070" s="18" t="s">
        <v>248</v>
      </c>
      <c r="M1070" s="23" t="s">
        <v>279</v>
      </c>
      <c r="N1070" s="23" t="s">
        <v>1402</v>
      </c>
      <c r="O1070" s="23"/>
      <c r="P1070" s="21"/>
      <c r="Q1070" s="22" t="s">
        <v>37</v>
      </c>
      <c r="R1070" s="85" t="s">
        <v>1782</v>
      </c>
      <c r="S1070" s="23" t="s">
        <v>352</v>
      </c>
      <c r="T1070" s="85" t="s">
        <v>1782</v>
      </c>
      <c r="U1070" s="23" t="s">
        <v>353</v>
      </c>
      <c r="V1070" s="23" t="s">
        <v>349</v>
      </c>
      <c r="W1070" s="85" t="s">
        <v>914</v>
      </c>
      <c r="X1070" s="85" t="s">
        <v>918</v>
      </c>
      <c r="Y1070" s="31">
        <v>3000172178</v>
      </c>
      <c r="Z1070" s="16"/>
      <c r="AA1070" s="16" t="s">
        <v>33</v>
      </c>
      <c r="AB1070" s="16" t="s">
        <v>1447</v>
      </c>
      <c r="AC1070" s="23" t="s">
        <v>532</v>
      </c>
      <c r="AD1070" s="16"/>
      <c r="AE1070" s="16"/>
      <c r="AF1070" s="27">
        <v>2824.4</v>
      </c>
      <c r="AG1070" s="16" t="s">
        <v>243</v>
      </c>
      <c r="AH1070" s="16" t="s">
        <v>220</v>
      </c>
      <c r="AI1070" s="16" t="s">
        <v>33</v>
      </c>
      <c r="AJ1070" s="16"/>
      <c r="AK1070" s="16"/>
      <c r="AL1070" s="16"/>
      <c r="AM1070" s="16"/>
      <c r="AN1070" s="16"/>
      <c r="AO1070" s="16"/>
      <c r="AP1070" s="22" t="s">
        <v>240</v>
      </c>
      <c r="AQ1070" s="6" t="str">
        <f>CONCATENATE("REG-",BDEGENER[[#This Row],[FECHA DE SERVICIO]],"-",BDEGENER[[#This Row],[SERIE]],"-",BDEGENER[[#This Row],[HORAS]])</f>
        <v>REG-43477-3000172178-2824,4</v>
      </c>
      <c r="AR1070" s="5" t="str">
        <f>CONCATENATE("MARCA: ",BDEGENER[[#This Row],[MARCA]],"
 MODELO: ",BDEGENER[[#This Row],[MODELO]])</f>
        <v>MARCA: GENERAC
 MODELO: SG100</v>
      </c>
      <c r="AS1070" s="5" t="str">
        <f>CONCATENATE("MARCA: ",BDEGENER[[#This Row],[MARCA DE MOTOR]],"
SERIE: ",BDEGENER[[#This Row],[SERIE DE MOTOR]])</f>
        <v xml:space="preserve">MARCA: GENERAC
SERIE: </v>
      </c>
      <c r="AT1070" s="5" t="str">
        <f>CONCATENATE("MARCA: ",BDEGENER[[#This Row],[MARCA ALTERNADOR ]],"
SERIE: ",BDEGENER[[#This Row],[SERIE DE ALTERNADOR]])</f>
        <v xml:space="preserve">MARCA: 
SERIE: </v>
      </c>
      <c r="AU1070" s="5" t="str">
        <f>CONCATENATE("HORAS: ",BDEGENER[[#This Row],[HORAS]],"
KW-HR: ",BDEGENER[[#This Row],[KW-HORA]],"
VOLT.BATERIA: ",BDEGENER[[#This Row],[VOLTAJE DE BATERIA]],"
TEMPERATURA: ",BDEGENER[[#This Row],[TEMPERATURA DE AGUA]],"
PRES. ACEITE: ",BDEGENER[[#This Row],[PRESION DE ACEITE]])</f>
        <v xml:space="preserve">HORAS: 2824,4
KW-HR: 
VOLT.BATERIA: 
TEMPERATURA: 
PRES. ACEITE: </v>
      </c>
      <c r="AV1070" s="683">
        <f>COUNTIFS(Q1070:Q3070,"MANTENIMIENTO CORRECTIVO",Y1070:Y3070,BDEGENER[[#This Row],[SERIE]])</f>
        <v>0</v>
      </c>
      <c r="AW1070" s="683">
        <f>COUNTIFS(Q1070:Q3070,"MANTENIMIENTO PREVENTIVO",Y1070:Y3070,BDEGENER[[#This Row],[SERIE]])</f>
        <v>2</v>
      </c>
      <c r="AX107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70" s="29">
        <f>COUNTIFS(BDEGENER[SERIE],BDEGENER[[#This Row],[SERIE]],BDEGENER[TIPO DE SERVICIO],"MANTENIMIENTO PREVENTIVO")</f>
        <v>2</v>
      </c>
      <c r="AZ1070" s="29" t="str">
        <f>CONCATENATE("MANTENIMIENTO PREVENTIVO N°",BDEGENER[[#This Row],[GA1]])</f>
        <v>MANTENIMIENTO PREVENTIVO N°2</v>
      </c>
      <c r="BA1070" s="325">
        <f>IF(BDEGENER[[#This Row],[SERVICIO]]=BDEGENER[[#This Row],[GA2]],BDEGENER[[#This Row],[HORAS]],"0")</f>
        <v>2824.4</v>
      </c>
      <c r="BB1070" s="325">
        <f>SUMIF(BDEGENER[SERIE],BDEGENER[[#This Row],[SERIE]],BDEGENER[GA3])</f>
        <v>2824.4</v>
      </c>
      <c r="BC1070" s="683" t="str">
        <f>CONCATENATE("MANT",COUNTIF($Y$7:Y1070,Y1070))</f>
        <v>MANT1</v>
      </c>
      <c r="BD1070" s="29" t="str">
        <f>CONCATENATE(BDEGENER[[#This Row],[SERIE]],BDEGENER[[#This Row],[GA5]])</f>
        <v>3000172178MANT1</v>
      </c>
      <c r="BE1070" s="29" t="str">
        <f>CONCATENATE(BDEGENER[[#This Row],[CODIGO PATRIMONIAL]],BDEGENER[[#This Row],[GA5]])</f>
        <v>MANT1</v>
      </c>
      <c r="BF1070" s="16">
        <f>COUNTIF(BDEGENER[SERIE],BDEGENER[[#This Row],[SERIE]])</f>
        <v>3</v>
      </c>
      <c r="BG1070" s="683" t="str">
        <f>CONCATENATE("F",COUNTIF($K$7:K1070,K1070))</f>
        <v>F1</v>
      </c>
      <c r="BH1070" s="325" t="str">
        <f>CONCATENATE(BDEGENER[[#This Row],[FECHA DE SERVICIO]],BDEGENER[[#This Row],[N° DE REGISTROS DEL DIA]])</f>
        <v>43477F1</v>
      </c>
      <c r="BI1070" s="324"/>
      <c r="BJ1070" s="325"/>
      <c r="BK1070" s="326"/>
    </row>
    <row r="1071" spans="2:63" ht="69" hidden="1" x14ac:dyDescent="0.3">
      <c r="B1071" s="33"/>
      <c r="C1071" s="33"/>
      <c r="D1071" s="33"/>
      <c r="E1071" s="33"/>
      <c r="F1071" s="33"/>
      <c r="G1071" s="33"/>
      <c r="H1071" s="33"/>
      <c r="I1071" s="33"/>
      <c r="J1071" s="33"/>
      <c r="K1071" s="38">
        <v>43476</v>
      </c>
      <c r="L1071" s="18" t="s">
        <v>248</v>
      </c>
      <c r="M1071" s="23" t="s">
        <v>265</v>
      </c>
      <c r="N1071" s="23" t="s">
        <v>266</v>
      </c>
      <c r="O1071" s="23"/>
      <c r="P1071" s="21"/>
      <c r="Q1071" s="22" t="s">
        <v>37</v>
      </c>
      <c r="R1071" s="85" t="s">
        <v>1782</v>
      </c>
      <c r="S1071" s="25" t="s">
        <v>354</v>
      </c>
      <c r="T1071" s="85" t="s">
        <v>1782</v>
      </c>
      <c r="U1071" s="25" t="s">
        <v>355</v>
      </c>
      <c r="V1071" s="25" t="s">
        <v>148</v>
      </c>
      <c r="W1071" s="25"/>
      <c r="X1071" s="25" t="s">
        <v>917</v>
      </c>
      <c r="Y1071" s="31" t="s">
        <v>508</v>
      </c>
      <c r="Z1071" s="16">
        <v>21011</v>
      </c>
      <c r="AA1071" s="16" t="s">
        <v>33</v>
      </c>
      <c r="AB1071" s="16" t="s">
        <v>498</v>
      </c>
      <c r="AC1071" s="23" t="s">
        <v>533</v>
      </c>
      <c r="AD1071" s="16"/>
      <c r="AE1071" s="16"/>
      <c r="AF1071" s="27">
        <v>1975</v>
      </c>
      <c r="AG1071" s="16"/>
      <c r="AH1071" s="16"/>
      <c r="AI1071" s="16"/>
      <c r="AJ1071" s="16"/>
      <c r="AK1071" s="16"/>
      <c r="AL1071" s="16"/>
      <c r="AM1071" s="16"/>
      <c r="AN1071" s="16"/>
      <c r="AO1071" s="16"/>
      <c r="AP1071" s="22" t="s">
        <v>240</v>
      </c>
      <c r="AQ1071" s="6" t="str">
        <f>CONCATENATE("REG-",BDEGENER[[#This Row],[FECHA DE SERVICIO]],"-",BDEGENER[[#This Row],[SERIE]],"-",BDEGENER[[#This Row],[HORAS]])</f>
        <v>REG-43476-PEE2613305-1975</v>
      </c>
      <c r="AR1071" s="5" t="str">
        <f>CONCATENATE("MARCA: ",BDEGENER[[#This Row],[MARCA]],"
 MODELO: ",BDEGENER[[#This Row],[MODELO]])</f>
        <v>MARCA: GENERAC
 MODELO: GOO68640</v>
      </c>
      <c r="AS1071" s="5" t="str">
        <f>CONCATENATE("MARCA: ",BDEGENER[[#This Row],[MARCA DE MOTOR]],"
SERIE: ",BDEGENER[[#This Row],[SERIE DE MOTOR]])</f>
        <v xml:space="preserve">MARCA: 
SERIE: </v>
      </c>
      <c r="AT1071" s="5" t="str">
        <f>CONCATENATE("MARCA: ",BDEGENER[[#This Row],[MARCA ALTERNADOR ]],"
SERIE: ",BDEGENER[[#This Row],[SERIE DE ALTERNADOR]])</f>
        <v xml:space="preserve">MARCA: 
SERIE: </v>
      </c>
      <c r="AU1071" s="5" t="str">
        <f>CONCATENATE("HORAS: ",BDEGENER[[#This Row],[HORAS]],"
KW-HR: ",BDEGENER[[#This Row],[KW-HORA]],"
VOLT.BATERIA: ",BDEGENER[[#This Row],[VOLTAJE DE BATERIA]],"
TEMPERATURA: ",BDEGENER[[#This Row],[TEMPERATURA DE AGUA]],"
PRES. ACEITE: ",BDEGENER[[#This Row],[PRESION DE ACEITE]])</f>
        <v xml:space="preserve">HORAS: 1975
KW-HR: 
VOLT.BATERIA: 
TEMPERATURA: 
PRES. ACEITE: </v>
      </c>
      <c r="AV1071" s="683">
        <f>COUNTIFS(Q1071:Q3071,"MANTENIMIENTO CORRECTIVO",Y1071:Y3071,BDEGENER[[#This Row],[SERIE]])</f>
        <v>0</v>
      </c>
      <c r="AW1071" s="683">
        <f>COUNTIFS(Q1071:Q3071,"MANTENIMIENTO PREVENTIVO",Y1071:Y3071,BDEGENER[[#This Row],[SERIE]])</f>
        <v>2</v>
      </c>
      <c r="AX107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71" s="29">
        <f>COUNTIFS(BDEGENER[SERIE],BDEGENER[[#This Row],[SERIE]],BDEGENER[TIPO DE SERVICIO],"MANTENIMIENTO PREVENTIVO")</f>
        <v>2</v>
      </c>
      <c r="AZ1071" s="29" t="str">
        <f>CONCATENATE("MANTENIMIENTO PREVENTIVO N°",BDEGENER[[#This Row],[GA1]])</f>
        <v>MANTENIMIENTO PREVENTIVO N°2</v>
      </c>
      <c r="BA1071" s="325">
        <f>IF(BDEGENER[[#This Row],[SERVICIO]]=BDEGENER[[#This Row],[GA2]],BDEGENER[[#This Row],[HORAS]],"0")</f>
        <v>1975</v>
      </c>
      <c r="BB1071" s="325">
        <f>SUMIF(BDEGENER[SERIE],BDEGENER[[#This Row],[SERIE]],BDEGENER[GA3])</f>
        <v>1975</v>
      </c>
      <c r="BC1071" s="683" t="str">
        <f>CONCATENATE("MANT",COUNTIF($Y$7:Y1071,Y1071))</f>
        <v>MANT1</v>
      </c>
      <c r="BD1071" s="29" t="str">
        <f>CONCATENATE(BDEGENER[[#This Row],[SERIE]],BDEGENER[[#This Row],[GA5]])</f>
        <v>PEE2613305MANT1</v>
      </c>
      <c r="BE1071" s="29" t="str">
        <f>CONCATENATE(BDEGENER[[#This Row],[CODIGO PATRIMONIAL]],BDEGENER[[#This Row],[GA5]])</f>
        <v>21011MANT1</v>
      </c>
      <c r="BF1071" s="16">
        <f>COUNTIF(BDEGENER[SERIE],BDEGENER[[#This Row],[SERIE]])</f>
        <v>2</v>
      </c>
      <c r="BG1071" s="683" t="str">
        <f>CONCATENATE("F",COUNTIF($K$7:K1071,K1071))</f>
        <v>F1</v>
      </c>
      <c r="BH1071" s="325" t="str">
        <f>CONCATENATE(BDEGENER[[#This Row],[FECHA DE SERVICIO]],BDEGENER[[#This Row],[N° DE REGISTROS DEL DIA]])</f>
        <v>43476F1</v>
      </c>
      <c r="BI1071" s="324"/>
      <c r="BJ1071" s="325"/>
      <c r="BK1071" s="326"/>
    </row>
    <row r="1072" spans="2:63" ht="69" hidden="1" x14ac:dyDescent="0.3">
      <c r="B1072" s="34"/>
      <c r="C1072" s="34"/>
      <c r="D1072" s="34"/>
      <c r="E1072" s="34"/>
      <c r="F1072" s="34"/>
      <c r="G1072" s="34"/>
      <c r="H1072" s="34"/>
      <c r="I1072" s="34"/>
      <c r="J1072" s="34"/>
      <c r="K1072" s="37">
        <v>43475</v>
      </c>
      <c r="L1072" s="30" t="s">
        <v>561</v>
      </c>
      <c r="M1072" s="19" t="s">
        <v>573</v>
      </c>
      <c r="N1072" s="19" t="s">
        <v>574</v>
      </c>
      <c r="O1072" s="19"/>
      <c r="P1072" s="19"/>
      <c r="Q1072" s="19" t="s">
        <v>37</v>
      </c>
      <c r="R1072" s="85" t="s">
        <v>1782</v>
      </c>
      <c r="S1072" s="19" t="s">
        <v>664</v>
      </c>
      <c r="T1072" s="85" t="s">
        <v>1782</v>
      </c>
      <c r="U1072" s="19" t="s">
        <v>746</v>
      </c>
      <c r="V1072" s="19" t="s">
        <v>146</v>
      </c>
      <c r="W1072" s="19"/>
      <c r="X1072" s="19"/>
      <c r="Y1072" s="31">
        <v>3003415539</v>
      </c>
      <c r="Z1072" s="692" t="s">
        <v>2600</v>
      </c>
      <c r="AA1072" s="19" t="s">
        <v>33</v>
      </c>
      <c r="AB1072" s="19" t="s">
        <v>217</v>
      </c>
      <c r="AC1072" s="19" t="s">
        <v>749</v>
      </c>
      <c r="AD1072" s="16"/>
      <c r="AE1072" s="16"/>
      <c r="AF1072" s="146">
        <v>822.8</v>
      </c>
      <c r="AG1072" s="16"/>
      <c r="AH1072" s="16"/>
      <c r="AI1072" s="16"/>
      <c r="AJ1072" s="16"/>
      <c r="AK1072" s="16"/>
      <c r="AL1072" s="16"/>
      <c r="AM1072" s="16"/>
      <c r="AN1072" s="16"/>
      <c r="AO1072" s="16"/>
      <c r="AP1072" s="19" t="s">
        <v>240</v>
      </c>
      <c r="AQ1072" s="6" t="str">
        <f>CONCATENATE("REG-",BDEGENER[[#This Row],[FECHA DE SERVICIO]],"-",BDEGENER[[#This Row],[SERIE]],"-",BDEGENER[[#This Row],[HORAS]])</f>
        <v>REG-43475-3003415539-822,8</v>
      </c>
      <c r="AR1072" s="5" t="str">
        <f>CONCATENATE("MARCA: ",BDEGENER[[#This Row],[MARCA]],"
 MODELO: ",BDEGENER[[#This Row],[MODELO]])</f>
        <v>MARCA: GENERAC
 MODELO: RG022</v>
      </c>
      <c r="AS1072" s="5" t="str">
        <f>CONCATENATE("MARCA: ",BDEGENER[[#This Row],[MARCA DE MOTOR]],"
SERIE: ",BDEGENER[[#This Row],[SERIE DE MOTOR]])</f>
        <v xml:space="preserve">MARCA: 
SERIE: </v>
      </c>
      <c r="AT1072" s="5" t="str">
        <f>CONCATENATE("MARCA: ",BDEGENER[[#This Row],[MARCA ALTERNADOR ]],"
SERIE: ",BDEGENER[[#This Row],[SERIE DE ALTERNADOR]])</f>
        <v xml:space="preserve">MARCA: 
SERIE: </v>
      </c>
      <c r="AU1072" s="29" t="str">
        <f>CONCATENATE("HORAS: ",BDEGENER[[#This Row],[HORAS]],"
KW-HR: ",BDEGENER[[#This Row],[KW-HORA]],"
VOLT.BATERIA: ",BDEGENER[[#This Row],[VOLTAJE DE BATERIA]],"
TEMPERATURA: ",BDEGENER[[#This Row],[TEMPERATURA DE AGUA]],"
PRES. ACEITE: ",BDEGENER[[#This Row],[PRESION DE ACEITE]])</f>
        <v xml:space="preserve">HORAS: 822,8
KW-HR: 
VOLT.BATERIA: 
TEMPERATURA: 
PRES. ACEITE: </v>
      </c>
      <c r="AV1072" s="761">
        <f>COUNTIFS(Q1072:Q3072,"MANTENIMIENTO CORRECTIVO",Y1072:Y3072,BDEGENER[[#This Row],[SERIE]])</f>
        <v>0</v>
      </c>
      <c r="AW1072" s="761">
        <f>COUNTIFS(Q1072:Q3072,"MANTENIMIENTO PREVENTIVO",Y1072:Y3072,BDEGENER[[#This Row],[SERIE]])</f>
        <v>1</v>
      </c>
      <c r="AX107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72" s="29">
        <f>COUNTIFS(BDEGENER[SERIE],BDEGENER[[#This Row],[SERIE]],BDEGENER[TIPO DE SERVICIO],"MANTENIMIENTO PREVENTIVO")</f>
        <v>11</v>
      </c>
      <c r="AZ1072" s="29" t="str">
        <f>CONCATENATE("MANTENIMIENTO PREVENTIVO N°",BDEGENER[[#This Row],[GA1]])</f>
        <v>MANTENIMIENTO PREVENTIVO N°11</v>
      </c>
      <c r="BA1072" s="325" t="str">
        <f>IF(BDEGENER[[#This Row],[SERVICIO]]=BDEGENER[[#This Row],[GA2]],BDEGENER[[#This Row],[HORAS]],"0")</f>
        <v>0</v>
      </c>
      <c r="BB1072" s="325">
        <f>SUMIF(BDEGENER[SERIE],BDEGENER[[#This Row],[SERIE]],BDEGENER[GA3])</f>
        <v>5881.6</v>
      </c>
      <c r="BC1072" s="761" t="str">
        <f>CONCATENATE("MANT",COUNTIF($Y$7:Y1072,Y1072))</f>
        <v>MANT16</v>
      </c>
      <c r="BD1072" s="29" t="str">
        <f>CONCATENATE(BDEGENER[[#This Row],[SERIE]],BDEGENER[[#This Row],[GA5]])</f>
        <v>3003415539MANT16</v>
      </c>
      <c r="BE1072" s="29" t="str">
        <f>CONCATENATE(BDEGENER[[#This Row],[CODIGO PATRIMONIAL]],BDEGENER[[#This Row],[GA5]])</f>
        <v>SUR-GEG-0004MANT16</v>
      </c>
      <c r="BF1072" s="16">
        <f>COUNTIF(BDEGENER[SERIE],BDEGENER[[#This Row],[SERIE]])</f>
        <v>16</v>
      </c>
      <c r="BG1072" s="761" t="str">
        <f>CONCATENATE("F",COUNTIF($K$7:K1072,K1072))</f>
        <v>F1</v>
      </c>
      <c r="BH1072" s="325" t="str">
        <f>CONCATENATE(BDEGENER[[#This Row],[FECHA DE SERVICIO]],BDEGENER[[#This Row],[N° DE REGISTROS DEL DIA]])</f>
        <v>43475F1</v>
      </c>
      <c r="BI1072" s="324"/>
      <c r="BJ1072" s="325"/>
      <c r="BK1072" s="326"/>
    </row>
    <row r="1073" spans="2:63" ht="69" hidden="1" x14ac:dyDescent="0.3">
      <c r="B1073" s="34"/>
      <c r="C1073" s="34"/>
      <c r="D1073" s="34"/>
      <c r="E1073" s="34"/>
      <c r="F1073" s="34"/>
      <c r="G1073" s="34"/>
      <c r="H1073" s="34"/>
      <c r="I1073" s="34"/>
      <c r="J1073" s="34"/>
      <c r="K1073" s="786">
        <v>43472</v>
      </c>
      <c r="L1073" s="787" t="s">
        <v>561</v>
      </c>
      <c r="M1073" s="771" t="s">
        <v>590</v>
      </c>
      <c r="N1073" s="771" t="s">
        <v>586</v>
      </c>
      <c r="O1073" s="771"/>
      <c r="P1073" s="771"/>
      <c r="Q1073" s="771" t="s">
        <v>37</v>
      </c>
      <c r="R1073" s="761" t="s">
        <v>1782</v>
      </c>
      <c r="S1073" s="771" t="s">
        <v>665</v>
      </c>
      <c r="T1073" s="761" t="s">
        <v>1782</v>
      </c>
      <c r="U1073" s="771" t="s">
        <v>747</v>
      </c>
      <c r="V1073" s="771" t="s">
        <v>148</v>
      </c>
      <c r="W1073" s="761" t="s">
        <v>914</v>
      </c>
      <c r="X1073" s="761" t="s">
        <v>918</v>
      </c>
      <c r="Y1073" s="784">
        <v>3003566701</v>
      </c>
      <c r="Z1073" s="761" t="s">
        <v>2616</v>
      </c>
      <c r="AA1073" s="761" t="s">
        <v>33</v>
      </c>
      <c r="AB1073" s="761" t="s">
        <v>34</v>
      </c>
      <c r="AC1073" s="771" t="s">
        <v>230</v>
      </c>
      <c r="AD1073" s="785"/>
      <c r="AE1073" s="785"/>
      <c r="AF1073" s="788">
        <v>697.4</v>
      </c>
      <c r="AG1073" s="761" t="s">
        <v>1413</v>
      </c>
      <c r="AH1073" s="761" t="s">
        <v>220</v>
      </c>
      <c r="AI1073" s="761" t="s">
        <v>33</v>
      </c>
      <c r="AJ1073" s="761">
        <v>3003430313</v>
      </c>
      <c r="AK1073" s="761" t="s">
        <v>33</v>
      </c>
      <c r="AL1073" s="785"/>
      <c r="AM1073" s="785"/>
      <c r="AN1073" s="785"/>
      <c r="AO1073" s="785"/>
      <c r="AP1073" s="771" t="s">
        <v>240</v>
      </c>
      <c r="AQ1073" s="765" t="str">
        <f>CONCATENATE("REG-",BDEGENER[[#This Row],[FECHA DE SERVICIO]],"-",BDEGENER[[#This Row],[SERIE]],"-",BDEGENER[[#This Row],[HORAS]])</f>
        <v>REG-43472-3003566701-697,4</v>
      </c>
      <c r="AR1073" s="789" t="str">
        <f>CONCATENATE("MARCA: ",BDEGENER[[#This Row],[MARCA]],"
 MODELO: ",BDEGENER[[#This Row],[MODELO]])</f>
        <v>MARCA: GENERAC
 MODELO: PG090</v>
      </c>
      <c r="AS1073" s="789" t="str">
        <f>CONCATENATE("MARCA: ",BDEGENER[[#This Row],[MARCA DE MOTOR]],"
SERIE: ",BDEGENER[[#This Row],[SERIE DE MOTOR]])</f>
        <v>MARCA: GENERAC
SERIE: 3003430313</v>
      </c>
      <c r="AT1073" s="789" t="str">
        <f>CONCATENATE("MARCA: ",BDEGENER[[#This Row],[MARCA ALTERNADOR ]],"
SERIE: ",BDEGENER[[#This Row],[SERIE DE ALTERNADOR]])</f>
        <v xml:space="preserve">MARCA: GENERAC
SERIE: </v>
      </c>
      <c r="AU1073" s="773" t="str">
        <f>CONCATENATE("HORAS: ",BDEGENER[[#This Row],[HORAS]],"
KW-HR: ",BDEGENER[[#This Row],[KW-HORA]],"
VOLT.BATERIA: ",BDEGENER[[#This Row],[VOLTAJE DE BATERIA]],"
TEMPERATURA: ",BDEGENER[[#This Row],[TEMPERATURA DE AGUA]],"
PRES. ACEITE: ",BDEGENER[[#This Row],[PRESION DE ACEITE]])</f>
        <v xml:space="preserve">HORAS: 697,4
KW-HR: 
VOLT.BATERIA: 
TEMPERATURA: 
PRES. ACEITE: </v>
      </c>
      <c r="AV1073" s="683">
        <f>COUNTIFS(Q1073:Q3073,"MANTENIMIENTO CORRECTIVO",Y1073:Y3073,BDEGENER[[#This Row],[SERIE]])</f>
        <v>0</v>
      </c>
      <c r="AW1073" s="683">
        <f>COUNTIFS(Q1073:Q3073,"MANTENIMIENTO PREVENTIVO",Y1073:Y3073,BDEGENER[[#This Row],[SERIE]])</f>
        <v>1</v>
      </c>
      <c r="AX1073" s="773"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73" s="773">
        <f>COUNTIFS(BDEGENER[SERIE],BDEGENER[[#This Row],[SERIE]],BDEGENER[TIPO DE SERVICIO],"MANTENIMIENTO PREVENTIVO")</f>
        <v>9</v>
      </c>
      <c r="AZ1073" s="773" t="str">
        <f>CONCATENATE("MANTENIMIENTO PREVENTIVO N°",BDEGENER[[#This Row],[GA1]])</f>
        <v>MANTENIMIENTO PREVENTIVO N°9</v>
      </c>
      <c r="BA1073" s="790" t="str">
        <f>IF(BDEGENER[[#This Row],[SERVICIO]]=BDEGENER[[#This Row],[GA2]],BDEGENER[[#This Row],[HORAS]],"0")</f>
        <v>0</v>
      </c>
      <c r="BB1073" s="790">
        <f>SUMIF(BDEGENER[SERIE],BDEGENER[[#This Row],[SERIE]],BDEGENER[GA3])</f>
        <v>5274.9</v>
      </c>
      <c r="BC1073" s="683" t="str">
        <f>CONCATENATE("MANT",COUNTIF($Y$7:Y1073,Y1073))</f>
        <v>MANT10</v>
      </c>
      <c r="BD1073" s="773" t="str">
        <f>CONCATENATE(BDEGENER[[#This Row],[SERIE]],BDEGENER[[#This Row],[GA5]])</f>
        <v>3003566701MANT10</v>
      </c>
      <c r="BE1073" s="773" t="str">
        <f>CONCATENATE(BDEGENER[[#This Row],[CODIGO PATRIMONIAL]],BDEGENER[[#This Row],[GA5]])</f>
        <v>NOR-GEG-0018MANT10</v>
      </c>
      <c r="BF1073" s="16">
        <f>COUNTIF(BDEGENER[SERIE],BDEGENER[[#This Row],[SERIE]])</f>
        <v>10</v>
      </c>
      <c r="BG1073" s="683" t="str">
        <f>CONCATENATE("F",COUNTIF($K$7:K1073,K1073))</f>
        <v>F1</v>
      </c>
      <c r="BH1073" s="325" t="str">
        <f>CONCATENATE(BDEGENER[[#This Row],[FECHA DE SERVICIO]],BDEGENER[[#This Row],[N° DE REGISTROS DEL DIA]])</f>
        <v>43472F1</v>
      </c>
      <c r="BI1073" s="324"/>
      <c r="BJ1073" s="325"/>
      <c r="BK1073" s="326"/>
    </row>
    <row r="1074" spans="2:63" ht="69" hidden="1" x14ac:dyDescent="0.3">
      <c r="B1074" s="223"/>
      <c r="C1074" s="223"/>
      <c r="D1074" s="223"/>
      <c r="E1074" s="223"/>
      <c r="F1074" s="223"/>
      <c r="G1074" s="223"/>
      <c r="H1074" s="223"/>
      <c r="I1074" s="223"/>
      <c r="J1074" s="223"/>
      <c r="K1074" s="723">
        <v>43468</v>
      </c>
      <c r="L1074" s="15" t="s">
        <v>181</v>
      </c>
      <c r="M1074" s="14" t="s">
        <v>209</v>
      </c>
      <c r="N1074" s="14" t="s">
        <v>192</v>
      </c>
      <c r="O1074" s="8" t="s">
        <v>159</v>
      </c>
      <c r="P1074" s="15" t="s">
        <v>159</v>
      </c>
      <c r="Q1074" s="14" t="s">
        <v>109</v>
      </c>
      <c r="R1074" s="85" t="s">
        <v>1782</v>
      </c>
      <c r="S1074" s="5" t="s">
        <v>78</v>
      </c>
      <c r="T1074" s="85" t="s">
        <v>1782</v>
      </c>
      <c r="U1074" s="14"/>
      <c r="V1074" s="14" t="s">
        <v>148</v>
      </c>
      <c r="W1074" s="14"/>
      <c r="X1074" s="14"/>
      <c r="Y1074" s="15">
        <v>3003953373</v>
      </c>
      <c r="Z1074" s="14" t="s">
        <v>192</v>
      </c>
      <c r="AA1074" s="14" t="s">
        <v>192</v>
      </c>
      <c r="AB1074" s="14" t="s">
        <v>192</v>
      </c>
      <c r="AC1074" s="14" t="s">
        <v>192</v>
      </c>
      <c r="AD1074" s="16"/>
      <c r="AE1074" s="16"/>
      <c r="AF1074" s="12">
        <v>0</v>
      </c>
      <c r="AG1074" s="16"/>
      <c r="AH1074" s="16"/>
      <c r="AI1074" s="16"/>
      <c r="AJ1074" s="16"/>
      <c r="AK1074" s="16"/>
      <c r="AL1074" s="16"/>
      <c r="AM1074" s="16"/>
      <c r="AN1074" s="16"/>
      <c r="AO1074" s="16"/>
      <c r="AP1074" s="14" t="s">
        <v>240</v>
      </c>
      <c r="AQ1074" s="6" t="str">
        <f>CONCATENATE("REG-",BDEGENER[[#This Row],[FECHA DE SERVICIO]],"-",BDEGENER[[#This Row],[SERIE]],"-",BDEGENER[[#This Row],[HORAS]])</f>
        <v>REG-43468-3003953373-0</v>
      </c>
      <c r="AR1074" s="5" t="str">
        <f>CONCATENATE("MARCA: ",BDEGENER[[#This Row],[MARCA]],"
 MODELO: ",BDEGENER[[#This Row],[MODELO]])</f>
        <v xml:space="preserve">MARCA:  
 MODELO:  </v>
      </c>
      <c r="AS1074" s="5" t="str">
        <f>CONCATENATE("MARCA: ",BDEGENER[[#This Row],[MARCA DE MOTOR]],"
SERIE: ",BDEGENER[[#This Row],[SERIE DE MOTOR]])</f>
        <v xml:space="preserve">MARCA: 
SERIE: </v>
      </c>
      <c r="AT1074" s="5" t="str">
        <f>CONCATENATE("MARCA: ",BDEGENER[[#This Row],[MARCA ALTERNADOR ]],"
SERIE: ",BDEGENER[[#This Row],[SERIE DE ALTERNADOR]])</f>
        <v xml:space="preserve">MARCA: 
SERIE: </v>
      </c>
      <c r="AU1074" s="5" t="str">
        <f>CONCATENATE("HORAS: ",BDEGENER[[#This Row],[HORAS]],"
KW-HR: ",BDEGENER[[#This Row],[KW-HORA]],"
VOLT.BATERIA: ",BDEGENER[[#This Row],[VOLTAJE DE BATERIA]],"
TEMPERATURA: ",BDEGENER[[#This Row],[TEMPERATURA DE AGUA]],"
PRES. ACEITE: ",BDEGENER[[#This Row],[PRESION DE ACEITE]])</f>
        <v xml:space="preserve">HORAS: 0
KW-HR: 
VOLT.BATERIA: 
TEMPERATURA: 
PRES. ACEITE: </v>
      </c>
      <c r="AV1074" s="683">
        <f>COUNTIFS(Q1074:Q3074,"MANTENIMIENTO CORRECTIVO",Y1074:Y3074,BDEGENER[[#This Row],[SERIE]])</f>
        <v>0</v>
      </c>
      <c r="AW1074" s="683">
        <f>COUNTIFS(Q1074:Q3074,"MANTENIMIENTO PREVENTIVO",Y1074:Y3074,BDEGENER[[#This Row],[SERIE]])</f>
        <v>0</v>
      </c>
      <c r="AX107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074" s="29">
        <f>COUNTIFS(BDEGENER[SERIE],BDEGENER[[#This Row],[SERIE]],BDEGENER[TIPO DE SERVICIO],"MANTENIMIENTO PREVENTIVO")</f>
        <v>0</v>
      </c>
      <c r="AZ1074" s="29" t="str">
        <f>CONCATENATE("MANTENIMIENTO PREVENTIVO N°",BDEGENER[[#This Row],[GA1]])</f>
        <v>MANTENIMIENTO PREVENTIVO N°0</v>
      </c>
      <c r="BA1074" s="325" t="str">
        <f>IF(BDEGENER[[#This Row],[SERVICIO]]=BDEGENER[[#This Row],[GA2]],BDEGENER[[#This Row],[HORAS]],"0")</f>
        <v>0</v>
      </c>
      <c r="BB1074" s="325">
        <f>SUMIF(BDEGENER[SERIE],BDEGENER[[#This Row],[SERIE]],BDEGENER[GA3])</f>
        <v>0</v>
      </c>
      <c r="BC1074" s="683" t="str">
        <f>CONCATENATE("MANT",COUNTIF($Y$7:Y1074,Y1074))</f>
        <v>MANT1</v>
      </c>
      <c r="BD1074" s="29" t="str">
        <f>CONCATENATE(BDEGENER[[#This Row],[SERIE]],BDEGENER[[#This Row],[GA5]])</f>
        <v>3003953373MANT1</v>
      </c>
      <c r="BE1074" s="29" t="str">
        <f>CONCATENATE(BDEGENER[[#This Row],[CODIGO PATRIMONIAL]],BDEGENER[[#This Row],[GA5]])</f>
        <v xml:space="preserve"> MANT1</v>
      </c>
      <c r="BF1074" s="16">
        <f>COUNTIF(BDEGENER[SERIE],BDEGENER[[#This Row],[SERIE]])</f>
        <v>1</v>
      </c>
      <c r="BG1074" s="683" t="str">
        <f>CONCATENATE("F",COUNTIF($K$7:K1074,K1074))</f>
        <v>F1</v>
      </c>
      <c r="BH1074" s="325" t="str">
        <f>CONCATENATE(BDEGENER[[#This Row],[FECHA DE SERVICIO]],BDEGENER[[#This Row],[N° DE REGISTROS DEL DIA]])</f>
        <v>43468F1</v>
      </c>
      <c r="BI1074" s="324"/>
      <c r="BJ1074" s="325"/>
      <c r="BK1074" s="326"/>
    </row>
    <row r="1075" spans="2:63" ht="69" hidden="1" x14ac:dyDescent="0.3">
      <c r="B1075" s="33"/>
      <c r="C1075" s="33"/>
      <c r="D1075" s="33"/>
      <c r="E1075" s="33"/>
      <c r="F1075" s="33"/>
      <c r="G1075" s="33"/>
      <c r="H1075" s="33"/>
      <c r="I1075" s="33"/>
      <c r="J1075" s="33"/>
      <c r="K1075" s="38">
        <v>43462</v>
      </c>
      <c r="L1075" s="18" t="s">
        <v>248</v>
      </c>
      <c r="M1075" s="23" t="s">
        <v>253</v>
      </c>
      <c r="N1075" s="23" t="s">
        <v>254</v>
      </c>
      <c r="O1075" s="23"/>
      <c r="P1075" s="21"/>
      <c r="Q1075" s="22" t="s">
        <v>37</v>
      </c>
      <c r="R1075" s="85" t="s">
        <v>1782</v>
      </c>
      <c r="S1075" s="25" t="s">
        <v>356</v>
      </c>
      <c r="T1075" s="85" t="s">
        <v>1782</v>
      </c>
      <c r="U1075" s="25" t="s">
        <v>357</v>
      </c>
      <c r="V1075" s="25" t="s">
        <v>148</v>
      </c>
      <c r="W1075" s="25"/>
      <c r="X1075" s="25"/>
      <c r="Y1075" s="31">
        <v>9301206</v>
      </c>
      <c r="Z1075" s="16">
        <v>17525</v>
      </c>
      <c r="AA1075" s="16"/>
      <c r="AB1075" s="16" t="s">
        <v>509</v>
      </c>
      <c r="AC1075" s="23" t="s">
        <v>534</v>
      </c>
      <c r="AD1075" s="16"/>
      <c r="AE1075" s="16"/>
      <c r="AF1075" s="27">
        <v>2784</v>
      </c>
      <c r="AG1075" s="16"/>
      <c r="AH1075" s="16"/>
      <c r="AI1075" s="16"/>
      <c r="AJ1075" s="16"/>
      <c r="AK1075" s="16"/>
      <c r="AL1075" s="16"/>
      <c r="AM1075" s="16"/>
      <c r="AN1075" s="16"/>
      <c r="AO1075" s="16"/>
      <c r="AP1075" s="22" t="s">
        <v>240</v>
      </c>
      <c r="AQ1075" s="6" t="str">
        <f>CONCATENATE("REG-",BDEGENER[[#This Row],[FECHA DE SERVICIO]],"-",BDEGENER[[#This Row],[SERIE]],"-",BDEGENER[[#This Row],[HORAS]])</f>
        <v>REG-43462-9301206-2784</v>
      </c>
      <c r="AR1075" s="5" t="str">
        <f>CONCATENATE("MARCA: ",BDEGENER[[#This Row],[MARCA]],"
 MODELO: ",BDEGENER[[#This Row],[MODELO]])</f>
        <v>MARCA: 
 MODELO: G006841</v>
      </c>
      <c r="AS1075" s="5" t="str">
        <f>CONCATENATE("MARCA: ",BDEGENER[[#This Row],[MARCA DE MOTOR]],"
SERIE: ",BDEGENER[[#This Row],[SERIE DE MOTOR]])</f>
        <v xml:space="preserve">MARCA: 
SERIE: </v>
      </c>
      <c r="AT1075" s="5" t="str">
        <f>CONCATENATE("MARCA: ",BDEGENER[[#This Row],[MARCA ALTERNADOR ]],"
SERIE: ",BDEGENER[[#This Row],[SERIE DE ALTERNADOR]])</f>
        <v xml:space="preserve">MARCA: 
SERIE: </v>
      </c>
      <c r="AU1075" s="5" t="str">
        <f>CONCATENATE("HORAS: ",BDEGENER[[#This Row],[HORAS]],"
KW-HR: ",BDEGENER[[#This Row],[KW-HORA]],"
VOLT.BATERIA: ",BDEGENER[[#This Row],[VOLTAJE DE BATERIA]],"
TEMPERATURA: ",BDEGENER[[#This Row],[TEMPERATURA DE AGUA]],"
PRES. ACEITE: ",BDEGENER[[#This Row],[PRESION DE ACEITE]])</f>
        <v xml:space="preserve">HORAS: 2784
KW-HR: 
VOLT.BATERIA: 
TEMPERATURA: 
PRES. ACEITE: </v>
      </c>
      <c r="AV1075" s="761">
        <f>COUNTIFS(Q1075:Q3075,"MANTENIMIENTO CORRECTIVO",Y1075:Y3075,BDEGENER[[#This Row],[SERIE]])</f>
        <v>2</v>
      </c>
      <c r="AW1075" s="761">
        <f>COUNTIFS(Q1075:Q3075,"MANTENIMIENTO PREVENTIVO",Y1075:Y3075,BDEGENER[[#This Row],[SERIE]])</f>
        <v>4</v>
      </c>
      <c r="AX107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1075" s="29">
        <f>COUNTIFS(BDEGENER[SERIE],BDEGENER[[#This Row],[SERIE]],BDEGENER[TIPO DE SERVICIO],"MANTENIMIENTO PREVENTIVO")</f>
        <v>4</v>
      </c>
      <c r="AZ1075" s="29" t="str">
        <f>CONCATENATE("MANTENIMIENTO PREVENTIVO N°",BDEGENER[[#This Row],[GA1]])</f>
        <v>MANTENIMIENTO PREVENTIVO N°4</v>
      </c>
      <c r="BA1075" s="325">
        <f>IF(BDEGENER[[#This Row],[SERVICIO]]=BDEGENER[[#This Row],[GA2]],BDEGENER[[#This Row],[HORAS]],"0")</f>
        <v>2784</v>
      </c>
      <c r="BB1075" s="325">
        <f>SUMIF(BDEGENER[SERIE],BDEGENER[[#This Row],[SERIE]],BDEGENER[GA3])</f>
        <v>2784</v>
      </c>
      <c r="BC1075" s="761" t="str">
        <f>CONCATENATE("MANT",COUNTIF($Y$7:Y1075,Y1075))</f>
        <v>MANT1</v>
      </c>
      <c r="BD1075" s="29" t="str">
        <f>CONCATENATE(BDEGENER[[#This Row],[SERIE]],BDEGENER[[#This Row],[GA5]])</f>
        <v>9301206MANT1</v>
      </c>
      <c r="BE1075" s="29" t="str">
        <f>CONCATENATE(BDEGENER[[#This Row],[CODIGO PATRIMONIAL]],BDEGENER[[#This Row],[GA5]])</f>
        <v>17525MANT1</v>
      </c>
      <c r="BF1075" s="16">
        <f>COUNTIF(BDEGENER[SERIE],BDEGENER[[#This Row],[SERIE]])</f>
        <v>6</v>
      </c>
      <c r="BG1075" s="761" t="str">
        <f>CONCATENATE("F",COUNTIF($K$7:K1075,K1075))</f>
        <v>F1</v>
      </c>
      <c r="BH1075" s="325" t="str">
        <f>CONCATENATE(BDEGENER[[#This Row],[FECHA DE SERVICIO]],BDEGENER[[#This Row],[N° DE REGISTROS DEL DIA]])</f>
        <v>43462F1</v>
      </c>
      <c r="BI1075" s="324"/>
      <c r="BJ1075" s="325"/>
      <c r="BK1075" s="326"/>
    </row>
    <row r="1076" spans="2:63" ht="69" hidden="1" x14ac:dyDescent="0.3">
      <c r="B1076" s="33"/>
      <c r="C1076" s="33"/>
      <c r="D1076" s="33"/>
      <c r="E1076" s="33"/>
      <c r="F1076" s="33"/>
      <c r="G1076" s="33"/>
      <c r="H1076" s="33"/>
      <c r="I1076" s="33"/>
      <c r="J1076" s="33"/>
      <c r="K1076" s="38">
        <v>43462</v>
      </c>
      <c r="L1076" s="18" t="s">
        <v>248</v>
      </c>
      <c r="M1076" s="23" t="s">
        <v>280</v>
      </c>
      <c r="N1076" s="23" t="s">
        <v>281</v>
      </c>
      <c r="O1076" s="23"/>
      <c r="P1076" s="21"/>
      <c r="Q1076" s="22" t="s">
        <v>37</v>
      </c>
      <c r="R1076" s="85" t="s">
        <v>1782</v>
      </c>
      <c r="S1076" s="23" t="s">
        <v>358</v>
      </c>
      <c r="T1076" s="85" t="s">
        <v>1782</v>
      </c>
      <c r="U1076" s="23" t="s">
        <v>359</v>
      </c>
      <c r="V1076" s="23" t="s">
        <v>148</v>
      </c>
      <c r="W1076" s="85" t="s">
        <v>913</v>
      </c>
      <c r="X1076" s="85" t="s">
        <v>917</v>
      </c>
      <c r="Y1076" s="31" t="s">
        <v>510</v>
      </c>
      <c r="Z1076" s="16">
        <v>18324</v>
      </c>
      <c r="AA1076" s="85" t="s">
        <v>33</v>
      </c>
      <c r="AB1076" s="85" t="s">
        <v>500</v>
      </c>
      <c r="AC1076" s="23" t="s">
        <v>530</v>
      </c>
      <c r="AD1076" s="16"/>
      <c r="AE1076" s="16"/>
      <c r="AF1076" s="27">
        <v>2165.5</v>
      </c>
      <c r="AG1076" s="85" t="s">
        <v>243</v>
      </c>
      <c r="AH1076" s="85" t="s">
        <v>1236</v>
      </c>
      <c r="AI1076" s="85" t="s">
        <v>844</v>
      </c>
      <c r="AJ1076" s="16"/>
      <c r="AK1076" s="85" t="s">
        <v>1235</v>
      </c>
      <c r="AL1076" s="16"/>
      <c r="AM1076" s="16"/>
      <c r="AN1076" s="16"/>
      <c r="AO1076" s="16"/>
      <c r="AP1076" s="22" t="s">
        <v>240</v>
      </c>
      <c r="AQ1076" s="6" t="str">
        <f>CONCATENATE("REG-",BDEGENER[[#This Row],[FECHA DE SERVICIO]],"-",BDEGENER[[#This Row],[SERIE]],"-",BDEGENER[[#This Row],[HORAS]])</f>
        <v>REG-43462-PEE2615852-2165,5</v>
      </c>
      <c r="AR1076" s="5" t="str">
        <f>CONCATENATE("MARCA: ",BDEGENER[[#This Row],[MARCA]],"
 MODELO: ",BDEGENER[[#This Row],[MODELO]])</f>
        <v>MARCA: GENERAC
 MODELO: PMY20B</v>
      </c>
      <c r="AS1076" s="5" t="str">
        <f>CONCATENATE("MARCA: ",BDEGENER[[#This Row],[MARCA DE MOTOR]],"
SERIE: ",BDEGENER[[#This Row],[SERIE DE MOTOR]])</f>
        <v xml:space="preserve">MARCA: PERKINS
SERIE: </v>
      </c>
      <c r="AT1076" s="5" t="str">
        <f>CONCATENATE("MARCA: ",BDEGENER[[#This Row],[MARCA ALTERNADOR ]],"
SERIE: ",BDEGENER[[#This Row],[SERIE DE ALTERNADOR]])</f>
        <v xml:space="preserve">MARCA: MECC ALTE
SERIE: </v>
      </c>
      <c r="AU1076" s="5" t="str">
        <f>CONCATENATE("HORAS: ",BDEGENER[[#This Row],[HORAS]],"
KW-HR: ",BDEGENER[[#This Row],[KW-HORA]],"
VOLT.BATERIA: ",BDEGENER[[#This Row],[VOLTAJE DE BATERIA]],"
TEMPERATURA: ",BDEGENER[[#This Row],[TEMPERATURA DE AGUA]],"
PRES. ACEITE: ",BDEGENER[[#This Row],[PRESION DE ACEITE]])</f>
        <v xml:space="preserve">HORAS: 2165,5
KW-HR: 
VOLT.BATERIA: 
TEMPERATURA: 
PRES. ACEITE: </v>
      </c>
      <c r="AV1076" s="683">
        <f>COUNTIFS(Q1076:Q3076,"MANTENIMIENTO CORRECTIVO",Y1076:Y3076,BDEGENER[[#This Row],[SERIE]])</f>
        <v>0</v>
      </c>
      <c r="AW1076" s="683">
        <f>COUNTIFS(Q1076:Q3076,"MANTENIMIENTO PREVENTIVO",Y1076:Y3076,BDEGENER[[#This Row],[SERIE]])</f>
        <v>4</v>
      </c>
      <c r="AX107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N°4</v>
      </c>
      <c r="AY1076" s="29">
        <f>COUNTIFS(BDEGENER[SERIE],BDEGENER[[#This Row],[SERIE]],BDEGENER[TIPO DE SERVICIO],"MANTENIMIENTO PREVENTIVO")</f>
        <v>4</v>
      </c>
      <c r="AZ1076" s="29" t="str">
        <f>CONCATENATE("MANTENIMIENTO PREVENTIVO N°",BDEGENER[[#This Row],[GA1]])</f>
        <v>MANTENIMIENTO PREVENTIVO N°4</v>
      </c>
      <c r="BA1076" s="325">
        <f>IF(BDEGENER[[#This Row],[SERVICIO]]=BDEGENER[[#This Row],[GA2]],BDEGENER[[#This Row],[HORAS]],"0")</f>
        <v>2165.5</v>
      </c>
      <c r="BB1076" s="325">
        <f>SUMIF(BDEGENER[SERIE],BDEGENER[[#This Row],[SERIE]],BDEGENER[GA3])</f>
        <v>2165.5</v>
      </c>
      <c r="BC1076" s="683" t="str">
        <f>CONCATENATE("MANT",COUNTIF($Y$7:Y1076,Y1076))</f>
        <v>MANT1</v>
      </c>
      <c r="BD1076" s="29" t="str">
        <f>CONCATENATE(BDEGENER[[#This Row],[SERIE]],BDEGENER[[#This Row],[GA5]])</f>
        <v>PEE2615852MANT1</v>
      </c>
      <c r="BE1076" s="29" t="str">
        <f>CONCATENATE(BDEGENER[[#This Row],[CODIGO PATRIMONIAL]],BDEGENER[[#This Row],[GA5]])</f>
        <v>18324MANT1</v>
      </c>
      <c r="BF1076" s="16">
        <f>COUNTIF(BDEGENER[SERIE],BDEGENER[[#This Row],[SERIE]])</f>
        <v>4</v>
      </c>
      <c r="BG1076" s="683" t="str">
        <f>CONCATENATE("F",COUNTIF($K$7:K1076,K1076))</f>
        <v>F2</v>
      </c>
      <c r="BH1076" s="325" t="str">
        <f>CONCATENATE(BDEGENER[[#This Row],[FECHA DE SERVICIO]],BDEGENER[[#This Row],[N° DE REGISTROS DEL DIA]])</f>
        <v>43462F2</v>
      </c>
      <c r="BI1076" s="324"/>
      <c r="BJ1076" s="325"/>
      <c r="BK1076" s="326"/>
    </row>
    <row r="1077" spans="2:63" ht="96.6" hidden="1" x14ac:dyDescent="0.3">
      <c r="B1077" s="33"/>
      <c r="C1077" s="33"/>
      <c r="D1077" s="33"/>
      <c r="E1077" s="33"/>
      <c r="F1077" s="33"/>
      <c r="G1077" s="33"/>
      <c r="H1077" s="33"/>
      <c r="I1077" s="33"/>
      <c r="J1077" s="33"/>
      <c r="K1077" s="38">
        <v>43462</v>
      </c>
      <c r="L1077" s="18" t="s">
        <v>248</v>
      </c>
      <c r="M1077" s="23" t="s">
        <v>282</v>
      </c>
      <c r="N1077" s="23" t="s">
        <v>283</v>
      </c>
      <c r="O1077" s="23"/>
      <c r="P1077" s="21"/>
      <c r="Q1077" s="22" t="s">
        <v>37</v>
      </c>
      <c r="R1077" s="85" t="s">
        <v>1782</v>
      </c>
      <c r="S1077" s="25" t="s">
        <v>360</v>
      </c>
      <c r="T1077" s="85" t="s">
        <v>1782</v>
      </c>
      <c r="U1077" s="25" t="s">
        <v>361</v>
      </c>
      <c r="V1077" s="25" t="s">
        <v>148</v>
      </c>
      <c r="W1077" s="85" t="s">
        <v>913</v>
      </c>
      <c r="X1077" s="85" t="s">
        <v>917</v>
      </c>
      <c r="Y1077" s="31" t="s">
        <v>511</v>
      </c>
      <c r="Z1077" s="16"/>
      <c r="AA1077" s="85" t="s">
        <v>33</v>
      </c>
      <c r="AB1077" s="85" t="s">
        <v>500</v>
      </c>
      <c r="AC1077" s="23" t="s">
        <v>530</v>
      </c>
      <c r="AD1077" s="16"/>
      <c r="AE1077" s="16"/>
      <c r="AF1077" s="27">
        <v>178.7</v>
      </c>
      <c r="AG1077" s="85" t="s">
        <v>243</v>
      </c>
      <c r="AH1077" s="85" t="s">
        <v>1236</v>
      </c>
      <c r="AI1077" s="85" t="s">
        <v>844</v>
      </c>
      <c r="AJ1077" s="16"/>
      <c r="AK1077" s="85" t="s">
        <v>1235</v>
      </c>
      <c r="AL1077" s="16"/>
      <c r="AM1077" s="16"/>
      <c r="AN1077" s="16"/>
      <c r="AO1077" s="16"/>
      <c r="AP1077" s="22" t="s">
        <v>240</v>
      </c>
      <c r="AQ1077" s="6" t="str">
        <f>CONCATENATE("REG-",BDEGENER[[#This Row],[FECHA DE SERVICIO]],"-",BDEGENER[[#This Row],[SERIE]],"-",BDEGENER[[#This Row],[HORAS]])</f>
        <v>REG-43462-PEE2628358-178,7</v>
      </c>
      <c r="AR1077" s="5" t="str">
        <f>CONCATENATE("MARCA: ",BDEGENER[[#This Row],[MARCA]],"
 MODELO: ",BDEGENER[[#This Row],[MODELO]])</f>
        <v>MARCA: GENERAC
 MODELO: PMY20B</v>
      </c>
      <c r="AS1077" s="5" t="str">
        <f>CONCATENATE("MARCA: ",BDEGENER[[#This Row],[MARCA DE MOTOR]],"
SERIE: ",BDEGENER[[#This Row],[SERIE DE MOTOR]])</f>
        <v xml:space="preserve">MARCA: PERKINS
SERIE: </v>
      </c>
      <c r="AT1077" s="5" t="str">
        <f>CONCATENATE("MARCA: ",BDEGENER[[#This Row],[MARCA ALTERNADOR ]],"
SERIE: ",BDEGENER[[#This Row],[SERIE DE ALTERNADOR]])</f>
        <v xml:space="preserve">MARCA: MECC ALTE
SERIE: </v>
      </c>
      <c r="AU1077" s="5" t="str">
        <f>CONCATENATE("HORAS: ",BDEGENER[[#This Row],[HORAS]],"
KW-HR: ",BDEGENER[[#This Row],[KW-HORA]],"
VOLT.BATERIA: ",BDEGENER[[#This Row],[VOLTAJE DE BATERIA]],"
TEMPERATURA: ",BDEGENER[[#This Row],[TEMPERATURA DE AGUA]],"
PRES. ACEITE: ",BDEGENER[[#This Row],[PRESION DE ACEITE]])</f>
        <v xml:space="preserve">HORAS: 178,7
KW-HR: 
VOLT.BATERIA: 
TEMPERATURA: 
PRES. ACEITE: </v>
      </c>
      <c r="AV1077" s="683">
        <f>COUNTIFS(Q1077:Q3077,"MANTENIMIENTO CORRECTIVO",Y1077:Y3077,BDEGENER[[#This Row],[SERIE]])</f>
        <v>0</v>
      </c>
      <c r="AW1077" s="683">
        <f>COUNTIFS(Q1077:Q3077,"MANTENIMIENTO PREVENTIVO",Y1077:Y3077,BDEGENER[[#This Row],[SERIE]])</f>
        <v>1</v>
      </c>
      <c r="AX107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77" s="29">
        <f>COUNTIFS(BDEGENER[SERIE],BDEGENER[[#This Row],[SERIE]],BDEGENER[TIPO DE SERVICIO],"MANTENIMIENTO PREVENTIVO")</f>
        <v>1</v>
      </c>
      <c r="AZ1077" s="29" t="str">
        <f>CONCATENATE("MANTENIMIENTO PREVENTIVO N°",BDEGENER[[#This Row],[GA1]])</f>
        <v>MANTENIMIENTO PREVENTIVO N°1</v>
      </c>
      <c r="BA1077" s="325">
        <f>IF(BDEGENER[[#This Row],[SERVICIO]]=BDEGENER[[#This Row],[GA2]],BDEGENER[[#This Row],[HORAS]],"0")</f>
        <v>178.7</v>
      </c>
      <c r="BB1077" s="325">
        <f>SUMIF(BDEGENER[SERIE],BDEGENER[[#This Row],[SERIE]],BDEGENER[GA3])</f>
        <v>178.7</v>
      </c>
      <c r="BC1077" s="683" t="str">
        <f>CONCATENATE("MANT",COUNTIF($Y$7:Y1077,Y1077))</f>
        <v>MANT1</v>
      </c>
      <c r="BD1077" s="29" t="str">
        <f>CONCATENATE(BDEGENER[[#This Row],[SERIE]],BDEGENER[[#This Row],[GA5]])</f>
        <v>PEE2628358MANT1</v>
      </c>
      <c r="BE1077" s="29" t="str">
        <f>CONCATENATE(BDEGENER[[#This Row],[CODIGO PATRIMONIAL]],BDEGENER[[#This Row],[GA5]])</f>
        <v>MANT1</v>
      </c>
      <c r="BF1077" s="16">
        <f>COUNTIF(BDEGENER[SERIE],BDEGENER[[#This Row],[SERIE]])</f>
        <v>1</v>
      </c>
      <c r="BG1077" s="683" t="str">
        <f>CONCATENATE("F",COUNTIF($K$7:K1077,K1077))</f>
        <v>F3</v>
      </c>
      <c r="BH1077" s="325" t="str">
        <f>CONCATENATE(BDEGENER[[#This Row],[FECHA DE SERVICIO]],BDEGENER[[#This Row],[N° DE REGISTROS DEL DIA]])</f>
        <v>43462F3</v>
      </c>
      <c r="BI1077" s="324"/>
      <c r="BJ1077" s="325"/>
      <c r="BK1077" s="326"/>
    </row>
    <row r="1078" spans="2:63" ht="69" hidden="1" x14ac:dyDescent="0.3">
      <c r="B1078" s="33"/>
      <c r="C1078" s="33"/>
      <c r="D1078" s="33"/>
      <c r="E1078" s="33"/>
      <c r="F1078" s="33"/>
      <c r="G1078" s="33"/>
      <c r="H1078" s="33"/>
      <c r="I1078" s="33"/>
      <c r="J1078" s="33"/>
      <c r="K1078" s="38">
        <v>43462</v>
      </c>
      <c r="L1078" s="18" t="s">
        <v>248</v>
      </c>
      <c r="M1078" s="23" t="s">
        <v>284</v>
      </c>
      <c r="N1078" s="23" t="s">
        <v>256</v>
      </c>
      <c r="O1078" s="23"/>
      <c r="P1078" s="21"/>
      <c r="Q1078" s="22" t="s">
        <v>37</v>
      </c>
      <c r="R1078" s="85" t="s">
        <v>1782</v>
      </c>
      <c r="S1078" s="25" t="s">
        <v>362</v>
      </c>
      <c r="T1078" s="85" t="s">
        <v>1782</v>
      </c>
      <c r="U1078" s="25"/>
      <c r="V1078" s="25" t="s">
        <v>349</v>
      </c>
      <c r="W1078" s="25"/>
      <c r="X1078" s="25"/>
      <c r="Y1078" s="31">
        <v>9319845</v>
      </c>
      <c r="Z1078" s="16">
        <v>21026</v>
      </c>
      <c r="AA1078" s="16"/>
      <c r="AB1078" s="16"/>
      <c r="AC1078" s="23" t="s">
        <v>534</v>
      </c>
      <c r="AD1078" s="16"/>
      <c r="AE1078" s="16"/>
      <c r="AF1078" s="27">
        <v>385.21</v>
      </c>
      <c r="AG1078" s="16"/>
      <c r="AH1078" s="16"/>
      <c r="AI1078" s="16"/>
      <c r="AJ1078" s="16"/>
      <c r="AK1078" s="16"/>
      <c r="AL1078" s="16"/>
      <c r="AM1078" s="16"/>
      <c r="AN1078" s="16"/>
      <c r="AO1078" s="16"/>
      <c r="AP1078" s="22" t="s">
        <v>240</v>
      </c>
      <c r="AQ1078" s="6" t="str">
        <f>CONCATENATE("REG-",BDEGENER[[#This Row],[FECHA DE SERVICIO]],"-",BDEGENER[[#This Row],[SERIE]],"-",BDEGENER[[#This Row],[HORAS]])</f>
        <v>REG-43462-9319845-385,21</v>
      </c>
      <c r="AR1078" s="5" t="str">
        <f>CONCATENATE("MARCA: ",BDEGENER[[#This Row],[MARCA]],"
 MODELO: ",BDEGENER[[#This Row],[MODELO]])</f>
        <v xml:space="preserve">MARCA: 
 MODELO: </v>
      </c>
      <c r="AS1078" s="5" t="str">
        <f>CONCATENATE("MARCA: ",BDEGENER[[#This Row],[MARCA DE MOTOR]],"
SERIE: ",BDEGENER[[#This Row],[SERIE DE MOTOR]])</f>
        <v xml:space="preserve">MARCA: 
SERIE: </v>
      </c>
      <c r="AT1078" s="5" t="str">
        <f>CONCATENATE("MARCA: ",BDEGENER[[#This Row],[MARCA ALTERNADOR ]],"
SERIE: ",BDEGENER[[#This Row],[SERIE DE ALTERNADOR]])</f>
        <v xml:space="preserve">MARCA: 
SERIE: </v>
      </c>
      <c r="AU1078" s="5" t="str">
        <f>CONCATENATE("HORAS: ",BDEGENER[[#This Row],[HORAS]],"
KW-HR: ",BDEGENER[[#This Row],[KW-HORA]],"
VOLT.BATERIA: ",BDEGENER[[#This Row],[VOLTAJE DE BATERIA]],"
TEMPERATURA: ",BDEGENER[[#This Row],[TEMPERATURA DE AGUA]],"
PRES. ACEITE: ",BDEGENER[[#This Row],[PRESION DE ACEITE]])</f>
        <v xml:space="preserve">HORAS: 385,21
KW-HR: 
VOLT.BATERIA: 
TEMPERATURA: 
PRES. ACEITE: </v>
      </c>
      <c r="AV1078" s="761">
        <f>COUNTIFS(Q1078:Q3078,"MANTENIMIENTO CORRECTIVO",Y1078:Y3078,BDEGENER[[#This Row],[SERIE]])</f>
        <v>0</v>
      </c>
      <c r="AW1078" s="761">
        <f>COUNTIFS(Q1078:Q3078,"MANTENIMIENTO PREVENTIVO",Y1078:Y3078,BDEGENER[[#This Row],[SERIE]])</f>
        <v>1</v>
      </c>
      <c r="AX107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78" s="29">
        <f>COUNTIFS(BDEGENER[SERIE],BDEGENER[[#This Row],[SERIE]],BDEGENER[TIPO DE SERVICIO],"MANTENIMIENTO PREVENTIVO")</f>
        <v>1</v>
      </c>
      <c r="AZ1078" s="29" t="str">
        <f>CONCATENATE("MANTENIMIENTO PREVENTIVO N°",BDEGENER[[#This Row],[GA1]])</f>
        <v>MANTENIMIENTO PREVENTIVO N°1</v>
      </c>
      <c r="BA1078" s="325">
        <f>IF(BDEGENER[[#This Row],[SERVICIO]]=BDEGENER[[#This Row],[GA2]],BDEGENER[[#This Row],[HORAS]],"0")</f>
        <v>385.21</v>
      </c>
      <c r="BB1078" s="325">
        <f>SUMIF(BDEGENER[SERIE],BDEGENER[[#This Row],[SERIE]],BDEGENER[GA3])</f>
        <v>385.21</v>
      </c>
      <c r="BC1078" s="761" t="str">
        <f>CONCATENATE("MANT",COUNTIF($Y$7:Y1078,Y1078))</f>
        <v>MANT1</v>
      </c>
      <c r="BD1078" s="29" t="str">
        <f>CONCATENATE(BDEGENER[[#This Row],[SERIE]],BDEGENER[[#This Row],[GA5]])</f>
        <v>9319845MANT1</v>
      </c>
      <c r="BE1078" s="29" t="str">
        <f>CONCATENATE(BDEGENER[[#This Row],[CODIGO PATRIMONIAL]],BDEGENER[[#This Row],[GA5]])</f>
        <v>21026MANT1</v>
      </c>
      <c r="BF1078" s="16">
        <f>COUNTIF(BDEGENER[SERIE],BDEGENER[[#This Row],[SERIE]])</f>
        <v>2</v>
      </c>
      <c r="BG1078" s="761" t="str">
        <f>CONCATENATE("F",COUNTIF($K$7:K1078,K1078))</f>
        <v>F4</v>
      </c>
      <c r="BH1078" s="325" t="str">
        <f>CONCATENATE(BDEGENER[[#This Row],[FECHA DE SERVICIO]],BDEGENER[[#This Row],[N° DE REGISTROS DEL DIA]])</f>
        <v>43462F4</v>
      </c>
      <c r="BI1078" s="324"/>
      <c r="BJ1078" s="325"/>
      <c r="BK1078" s="326"/>
    </row>
    <row r="1079" spans="2:63" ht="69" hidden="1" x14ac:dyDescent="0.3">
      <c r="B1079" s="34"/>
      <c r="C1079" s="34"/>
      <c r="D1079" s="34"/>
      <c r="E1079" s="34"/>
      <c r="F1079" s="34"/>
      <c r="G1079" s="34"/>
      <c r="H1079" s="34"/>
      <c r="I1079" s="34"/>
      <c r="J1079" s="34"/>
      <c r="K1079" s="37">
        <v>43462</v>
      </c>
      <c r="L1079" s="30" t="s">
        <v>561</v>
      </c>
      <c r="M1079" s="19" t="s">
        <v>565</v>
      </c>
      <c r="N1079" s="19" t="s">
        <v>566</v>
      </c>
      <c r="O1079" s="19"/>
      <c r="P1079" s="19"/>
      <c r="Q1079" s="19" t="s">
        <v>37</v>
      </c>
      <c r="R1079" s="85" t="s">
        <v>1782</v>
      </c>
      <c r="S1079" s="19" t="s">
        <v>666</v>
      </c>
      <c r="T1079" s="85" t="s">
        <v>1782</v>
      </c>
      <c r="U1079" s="19" t="s">
        <v>748</v>
      </c>
      <c r="V1079" s="19" t="s">
        <v>146</v>
      </c>
      <c r="W1079" s="19"/>
      <c r="X1079" s="19"/>
      <c r="Y1079" s="31">
        <v>3003415540</v>
      </c>
      <c r="Z1079" s="19" t="s">
        <v>2605</v>
      </c>
      <c r="AA1079" s="19" t="s">
        <v>33</v>
      </c>
      <c r="AB1079" s="19" t="s">
        <v>217</v>
      </c>
      <c r="AC1079" s="19" t="s">
        <v>749</v>
      </c>
      <c r="AD1079" s="16"/>
      <c r="AE1079" s="16"/>
      <c r="AF1079" s="146">
        <v>827.6</v>
      </c>
      <c r="AG1079" s="16"/>
      <c r="AH1079" s="16"/>
      <c r="AI1079" s="16"/>
      <c r="AJ1079" s="16"/>
      <c r="AK1079" s="16"/>
      <c r="AL1079" s="16"/>
      <c r="AM1079" s="16"/>
      <c r="AN1079" s="16"/>
      <c r="AO1079" s="16"/>
      <c r="AP1079" s="19" t="s">
        <v>240</v>
      </c>
      <c r="AQ1079" s="6" t="str">
        <f>CONCATENATE("REG-",BDEGENER[[#This Row],[FECHA DE SERVICIO]],"-",BDEGENER[[#This Row],[SERIE]],"-",BDEGENER[[#This Row],[HORAS]])</f>
        <v>REG-43462-3003415540-827,6</v>
      </c>
      <c r="AR1079" s="5" t="str">
        <f>CONCATENATE("MARCA: ",BDEGENER[[#This Row],[MARCA]],"
 MODELO: ",BDEGENER[[#This Row],[MODELO]])</f>
        <v>MARCA: GENERAC
 MODELO: RG022</v>
      </c>
      <c r="AS1079" s="5" t="str">
        <f>CONCATENATE("MARCA: ",BDEGENER[[#This Row],[MARCA DE MOTOR]],"
SERIE: ",BDEGENER[[#This Row],[SERIE DE MOTOR]])</f>
        <v xml:space="preserve">MARCA: 
SERIE: </v>
      </c>
      <c r="AT1079" s="5" t="str">
        <f>CONCATENATE("MARCA: ",BDEGENER[[#This Row],[MARCA ALTERNADOR ]],"
SERIE: ",BDEGENER[[#This Row],[SERIE DE ALTERNADOR]])</f>
        <v xml:space="preserve">MARCA: 
SERIE: </v>
      </c>
      <c r="AU1079" s="29" t="str">
        <f>CONCATENATE("HORAS: ",BDEGENER[[#This Row],[HORAS]],"
KW-HR: ",BDEGENER[[#This Row],[KW-HORA]],"
VOLT.BATERIA: ",BDEGENER[[#This Row],[VOLTAJE DE BATERIA]],"
TEMPERATURA: ",BDEGENER[[#This Row],[TEMPERATURA DE AGUA]],"
PRES. ACEITE: ",BDEGENER[[#This Row],[PRESION DE ACEITE]])</f>
        <v xml:space="preserve">HORAS: 827,6
KW-HR: 
VOLT.BATERIA: 
TEMPERATURA: 
PRES. ACEITE: </v>
      </c>
      <c r="AV1079" s="683">
        <f>COUNTIFS(Q1079:Q3079,"MANTENIMIENTO CORRECTIVO",Y1079:Y3079,BDEGENER[[#This Row],[SERIE]])</f>
        <v>0</v>
      </c>
      <c r="AW1079" s="683">
        <f>COUNTIFS(Q1079:Q3079,"MANTENIMIENTO PREVENTIVO",Y1079:Y3079,BDEGENER[[#This Row],[SERIE]])</f>
        <v>1</v>
      </c>
      <c r="AX107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79" s="29">
        <f>COUNTIFS(BDEGENER[SERIE],BDEGENER[[#This Row],[SERIE]],BDEGENER[TIPO DE SERVICIO],"MANTENIMIENTO PREVENTIVO")</f>
        <v>6</v>
      </c>
      <c r="AZ1079" s="29" t="str">
        <f>CONCATENATE("MANTENIMIENTO PREVENTIVO N°",BDEGENER[[#This Row],[GA1]])</f>
        <v>MANTENIMIENTO PREVENTIVO N°6</v>
      </c>
      <c r="BA1079" s="325" t="str">
        <f>IF(BDEGENER[[#This Row],[SERVICIO]]=BDEGENER[[#This Row],[GA2]],BDEGENER[[#This Row],[HORAS]],"0")</f>
        <v>0</v>
      </c>
      <c r="BB1079" s="325">
        <f>SUMIF(BDEGENER[SERIE],BDEGENER[[#This Row],[SERIE]],BDEGENER[GA3])</f>
        <v>4522.8999999999996</v>
      </c>
      <c r="BC1079" s="683" t="str">
        <f>CONCATENATE("MANT",COUNTIF($Y$7:Y1079,Y1079))</f>
        <v>MANT6</v>
      </c>
      <c r="BD1079" s="29" t="str">
        <f>CONCATENATE(BDEGENER[[#This Row],[SERIE]],BDEGENER[[#This Row],[GA5]])</f>
        <v>3003415540MANT6</v>
      </c>
      <c r="BE1079" s="29" t="str">
        <f>CONCATENATE(BDEGENER[[#This Row],[CODIGO PATRIMONIAL]],BDEGENER[[#This Row],[GA5]])</f>
        <v>SUR-GEG-0009MANT6</v>
      </c>
      <c r="BF1079" s="16">
        <f>COUNTIF(BDEGENER[SERIE],BDEGENER[[#This Row],[SERIE]])</f>
        <v>6</v>
      </c>
      <c r="BG1079" s="683" t="str">
        <f>CONCATENATE("F",COUNTIF($K$7:K1079,K1079))</f>
        <v>F5</v>
      </c>
      <c r="BH1079" s="325" t="str">
        <f>CONCATENATE(BDEGENER[[#This Row],[FECHA DE SERVICIO]],BDEGENER[[#This Row],[N° DE REGISTROS DEL DIA]])</f>
        <v>43462F5</v>
      </c>
      <c r="BI1079" s="324"/>
      <c r="BJ1079" s="325"/>
      <c r="BK1079" s="326"/>
    </row>
    <row r="1080" spans="2:63" ht="69" hidden="1" x14ac:dyDescent="0.3">
      <c r="B1080" s="5"/>
      <c r="C1080" s="34"/>
      <c r="D1080" s="34"/>
      <c r="E1080" s="34"/>
      <c r="F1080" s="34"/>
      <c r="G1080" s="34"/>
      <c r="H1080" s="34"/>
      <c r="I1080" s="34"/>
      <c r="J1080" s="34"/>
      <c r="K1080" s="37">
        <v>43440</v>
      </c>
      <c r="L1080" s="31" t="s">
        <v>791</v>
      </c>
      <c r="M1080" s="19" t="s">
        <v>1927</v>
      </c>
      <c r="N1080" s="683" t="s">
        <v>794</v>
      </c>
      <c r="O1080" s="35"/>
      <c r="P1080" s="3"/>
      <c r="Q1080" s="19" t="s">
        <v>107</v>
      </c>
      <c r="R1080" s="85" t="s">
        <v>1782</v>
      </c>
      <c r="S1080" s="19" t="s">
        <v>826</v>
      </c>
      <c r="T1080" s="85" t="s">
        <v>1782</v>
      </c>
      <c r="U1080" s="19" t="s">
        <v>827</v>
      </c>
      <c r="V1080" s="19" t="s">
        <v>828</v>
      </c>
      <c r="W1080" s="19" t="s">
        <v>914</v>
      </c>
      <c r="X1080" s="19" t="s">
        <v>917</v>
      </c>
      <c r="Y1080" s="31" t="s">
        <v>837</v>
      </c>
      <c r="Z1080" s="16"/>
      <c r="AA1080" s="19" t="s">
        <v>845</v>
      </c>
      <c r="AB1080" s="19" t="s">
        <v>849</v>
      </c>
      <c r="AC1080" s="19" t="s">
        <v>853</v>
      </c>
      <c r="AD1080" s="16"/>
      <c r="AE1080" s="16"/>
      <c r="AF1080" s="31">
        <v>356</v>
      </c>
      <c r="AG1080" s="683" t="s">
        <v>243</v>
      </c>
      <c r="AH1080" s="683" t="s">
        <v>2293</v>
      </c>
      <c r="AI1080" s="19" t="s">
        <v>867</v>
      </c>
      <c r="AJ1080" s="19" t="s">
        <v>862</v>
      </c>
      <c r="AK1080" s="16" t="s">
        <v>845</v>
      </c>
      <c r="AL1080" s="16">
        <v>66612</v>
      </c>
      <c r="AM1080" s="16"/>
      <c r="AN1080" s="16"/>
      <c r="AO1080" s="16"/>
      <c r="AP1080" s="19" t="s">
        <v>240</v>
      </c>
      <c r="AQ1080" s="6" t="str">
        <f>CONCATENATE("REG-",BDEGENER[[#This Row],[FECHA DE SERVICIO]],"-",BDEGENER[[#This Row],[SERIE]],"-",BDEGENER[[#This Row],[HORAS]])</f>
        <v>REG-43440-123231-0306-356</v>
      </c>
      <c r="AR1080" s="29" t="str">
        <f>CONCATENATE("MARCA: ",BDEGENER[[#This Row],[MARCA]],"
 MODELO: ",BDEGENER[[#This Row],[MODELO]])</f>
        <v>MARCA: KATOLIGHT
 MODELO: sen25FGN4</v>
      </c>
      <c r="AS1080" s="29" t="str">
        <f>CONCATENATE("MARCA: ",BDEGENER[[#This Row],[MARCA DE MOTOR]],"
SERIE: ",BDEGENER[[#This Row],[SERIE DE MOTOR]])</f>
        <v>MARCA: NISSAN
SERIE: 5Y21F</v>
      </c>
      <c r="AT1080" s="29" t="str">
        <f>CONCATENATE("MARCA: ",BDEGENER[[#This Row],[MARCA ALTERNADOR ]],"
SERIE: ",BDEGENER[[#This Row],[SERIE DE ALTERNADOR]])</f>
        <v>MARCA: KATOLIGHT
SERIE: 66612</v>
      </c>
      <c r="AU1080" s="29" t="str">
        <f>CONCATENATE("HORAS: ",BDEGENER[[#This Row],[HORAS]],"
KW-HR: ",BDEGENER[[#This Row],[KW-HORA]],"
VOLT.BATERIA: ",BDEGENER[[#This Row],[VOLTAJE DE BATERIA]],"
TEMPERATURA: ",BDEGENER[[#This Row],[TEMPERATURA DE AGUA]],"
PRES. ACEITE: ",BDEGENER[[#This Row],[PRESION DE ACEITE]])</f>
        <v xml:space="preserve">HORAS: 356
KW-HR: 
VOLT.BATERIA: 
TEMPERATURA: 
PRES. ACEITE: </v>
      </c>
      <c r="AV1080" s="683">
        <f>COUNTIFS(Q1080:Q3080,"MANTENIMIENTO CORRECTIVO",Y1080:Y3080,BDEGENER[[#This Row],[SERIE]])</f>
        <v>1</v>
      </c>
      <c r="AW1080" s="683">
        <f>COUNTIFS(Q1080:Q3080,"MANTENIMIENTO PREVENTIVO",Y1080:Y3080,BDEGENER[[#This Row],[SERIE]])</f>
        <v>1</v>
      </c>
      <c r="AX108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080" s="29">
        <f>COUNTIFS(BDEGENER[SERIE],BDEGENER[[#This Row],[SERIE]],BDEGENER[TIPO DE SERVICIO],"MANTENIMIENTO PREVENTIVO")</f>
        <v>4</v>
      </c>
      <c r="AZ1080" s="29" t="str">
        <f>CONCATENATE("MANTENIMIENTO PREVENTIVO N°",BDEGENER[[#This Row],[GA1]])</f>
        <v>MANTENIMIENTO PREVENTIVO N°4</v>
      </c>
      <c r="BA1080" s="325" t="str">
        <f>IF(BDEGENER[[#This Row],[SERVICIO]]=BDEGENER[[#This Row],[GA2]],BDEGENER[[#This Row],[HORAS]],"0")</f>
        <v>0</v>
      </c>
      <c r="BB1080" s="325">
        <f>SUMIF(BDEGENER[SERIE],BDEGENER[[#This Row],[SERIE]],BDEGENER[GA3])</f>
        <v>383</v>
      </c>
      <c r="BC1080" s="683" t="str">
        <f>CONCATENATE("MANT",COUNTIF($Y$7:Y1080,Y1080))</f>
        <v>MANT4</v>
      </c>
      <c r="BD1080" s="29" t="str">
        <f>CONCATENATE(BDEGENER[[#This Row],[SERIE]],BDEGENER[[#This Row],[GA5]])</f>
        <v>123231-0306MANT4</v>
      </c>
      <c r="BE1080" s="29" t="str">
        <f>CONCATENATE(BDEGENER[[#This Row],[CODIGO PATRIMONIAL]],BDEGENER[[#This Row],[GA5]])</f>
        <v>MANT4</v>
      </c>
      <c r="BF1080" s="16">
        <f>COUNTIF(BDEGENER[SERIE],BDEGENER[[#This Row],[SERIE]])</f>
        <v>5</v>
      </c>
      <c r="BG1080" s="683" t="str">
        <f>CONCATENATE("F",COUNTIF($K$7:K1080,K1080))</f>
        <v>F1</v>
      </c>
      <c r="BH1080" s="325" t="str">
        <f>CONCATENATE(BDEGENER[[#This Row],[FECHA DE SERVICIO]],BDEGENER[[#This Row],[N° DE REGISTROS DEL DIA]])</f>
        <v>43440F1</v>
      </c>
      <c r="BI1080" s="324"/>
      <c r="BJ1080" s="325"/>
      <c r="BK1080" s="326"/>
    </row>
    <row r="1081" spans="2:63" ht="69" hidden="1" x14ac:dyDescent="0.3">
      <c r="B1081" s="5"/>
      <c r="C1081" s="34"/>
      <c r="D1081" s="34"/>
      <c r="E1081" s="34"/>
      <c r="F1081" s="34"/>
      <c r="G1081" s="34"/>
      <c r="H1081" s="34"/>
      <c r="I1081" s="34"/>
      <c r="J1081" s="34"/>
      <c r="K1081" s="37">
        <v>43421</v>
      </c>
      <c r="L1081" s="683" t="s">
        <v>791</v>
      </c>
      <c r="M1081" s="19" t="s">
        <v>1926</v>
      </c>
      <c r="N1081" s="19" t="s">
        <v>800</v>
      </c>
      <c r="O1081" s="35"/>
      <c r="P1081" s="3"/>
      <c r="Q1081" s="19" t="s">
        <v>37</v>
      </c>
      <c r="R1081" s="85" t="s">
        <v>1782</v>
      </c>
      <c r="S1081" s="19" t="s">
        <v>829</v>
      </c>
      <c r="T1081" s="19" t="s">
        <v>830</v>
      </c>
      <c r="U1081" s="19" t="s">
        <v>831</v>
      </c>
      <c r="V1081" s="19" t="s">
        <v>828</v>
      </c>
      <c r="W1081" s="19" t="s">
        <v>914</v>
      </c>
      <c r="X1081" s="19" t="s">
        <v>917</v>
      </c>
      <c r="Y1081" s="687" t="s">
        <v>838</v>
      </c>
      <c r="Z1081" s="16"/>
      <c r="AA1081" s="19" t="s">
        <v>845</v>
      </c>
      <c r="AB1081" s="19" t="s">
        <v>847</v>
      </c>
      <c r="AC1081" s="19" t="s">
        <v>232</v>
      </c>
      <c r="AD1081" s="16"/>
      <c r="AE1081" s="16"/>
      <c r="AF1081" s="146">
        <v>90</v>
      </c>
      <c r="AG1081" s="683" t="s">
        <v>243</v>
      </c>
      <c r="AH1081" s="683" t="s">
        <v>2293</v>
      </c>
      <c r="AI1081" s="19" t="s">
        <v>1188</v>
      </c>
      <c r="AJ1081" s="19" t="s">
        <v>863</v>
      </c>
      <c r="AK1081" s="16" t="s">
        <v>845</v>
      </c>
      <c r="AL1081" s="16">
        <v>664946</v>
      </c>
      <c r="AM1081" s="16"/>
      <c r="AN1081" s="16"/>
      <c r="AO1081" s="16"/>
      <c r="AP1081" s="19" t="s">
        <v>240</v>
      </c>
      <c r="AQ1081" s="6" t="str">
        <f>CONCATENATE("REG-",BDEGENER[[#This Row],[FECHA DE SERVICIO]],"-",BDEGENER[[#This Row],[SERIE]],"-",BDEGENER[[#This Row],[HORAS]])</f>
        <v>REG-43421-123234-0306-90</v>
      </c>
      <c r="AR1081" s="29" t="str">
        <f>CONCATENATE("MARCA: ",BDEGENER[[#This Row],[MARCA]],"
 MODELO: ",BDEGENER[[#This Row],[MODELO]])</f>
        <v>MARCA: KATOLIGHT
 MODELO: SEN40FPG4</v>
      </c>
      <c r="AS1081" s="29" t="str">
        <f>CONCATENATE("MARCA: ",BDEGENER[[#This Row],[MARCA DE MOTOR]],"
SERIE: ",BDEGENER[[#This Row],[SERIE DE MOTOR]])</f>
        <v>MARCA: VORTE
SERIE: 4P3L32844</v>
      </c>
      <c r="AT1081" s="29" t="str">
        <f>CONCATENATE("MARCA: ",BDEGENER[[#This Row],[MARCA ALTERNADOR ]],"
SERIE: ",BDEGENER[[#This Row],[SERIE DE ALTERNADOR]])</f>
        <v>MARCA: KATOLIGHT
SERIE: 664946</v>
      </c>
      <c r="AU1081" s="29" t="str">
        <f>CONCATENATE("HORAS: ",BDEGENER[[#This Row],[HORAS]],"
KW-HR: ",BDEGENER[[#This Row],[KW-HORA]],"
VOLT.BATERIA: ",BDEGENER[[#This Row],[VOLTAJE DE BATERIA]],"
TEMPERATURA: ",BDEGENER[[#This Row],[TEMPERATURA DE AGUA]],"
PRES. ACEITE: ",BDEGENER[[#This Row],[PRESION DE ACEITE]])</f>
        <v xml:space="preserve">HORAS: 90
KW-HR: 
VOLT.BATERIA: 
TEMPERATURA: 
PRES. ACEITE: </v>
      </c>
      <c r="AV1081" s="761">
        <f>COUNTIFS(Q1081:Q3081,"MANTENIMIENTO CORRECTIVO",Y1081:Y3081,BDEGENER[[#This Row],[SERIE]])</f>
        <v>0</v>
      </c>
      <c r="AW1081" s="761">
        <f>COUNTIFS(Q1081:Q3081,"MANTENIMIENTO PREVENTIVO",Y1081:Y3081,BDEGENER[[#This Row],[SERIE]])</f>
        <v>1</v>
      </c>
      <c r="AX108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81" s="29">
        <f>COUNTIFS(BDEGENER[SERIE],BDEGENER[[#This Row],[SERIE]],BDEGENER[TIPO DE SERVICIO],"MANTENIMIENTO PREVENTIVO")</f>
        <v>4</v>
      </c>
      <c r="AZ1081" s="29" t="str">
        <f>CONCATENATE("MANTENIMIENTO PREVENTIVO N°",BDEGENER[[#This Row],[GA1]])</f>
        <v>MANTENIMIENTO PREVENTIVO N°4</v>
      </c>
      <c r="BA1081" s="325" t="str">
        <f>IF(BDEGENER[[#This Row],[SERVICIO]]=BDEGENER[[#This Row],[GA2]],BDEGENER[[#This Row],[HORAS]],"0")</f>
        <v>0</v>
      </c>
      <c r="BB1081" s="325">
        <f>SUMIF(BDEGENER[SERIE],BDEGENER[[#This Row],[SERIE]],BDEGENER[GA3])</f>
        <v>90</v>
      </c>
      <c r="BC1081" s="761" t="str">
        <f>CONCATENATE("MANT",COUNTIF($Y$7:Y1081,Y1081))</f>
        <v>MANT4</v>
      </c>
      <c r="BD1081" s="29" t="str">
        <f>CONCATENATE(BDEGENER[[#This Row],[SERIE]],BDEGENER[[#This Row],[GA5]])</f>
        <v>123234-0306MANT4</v>
      </c>
      <c r="BE1081" s="29" t="str">
        <f>CONCATENATE(BDEGENER[[#This Row],[CODIGO PATRIMONIAL]],BDEGENER[[#This Row],[GA5]])</f>
        <v>MANT4</v>
      </c>
      <c r="BF1081" s="16">
        <f>COUNTIF(BDEGENER[SERIE],BDEGENER[[#This Row],[SERIE]])</f>
        <v>5</v>
      </c>
      <c r="BG1081" s="761" t="str">
        <f>CONCATENATE("F",COUNTIF($K$7:K1081,K1081))</f>
        <v>F1</v>
      </c>
      <c r="BH1081" s="325" t="str">
        <f>CONCATENATE(BDEGENER[[#This Row],[FECHA DE SERVICIO]],BDEGENER[[#This Row],[N° DE REGISTROS DEL DIA]])</f>
        <v>43421F1</v>
      </c>
      <c r="BI1081" s="324"/>
      <c r="BJ1081" s="325"/>
      <c r="BK1081" s="326"/>
    </row>
    <row r="1082" spans="2:63" ht="69" hidden="1" x14ac:dyDescent="0.3">
      <c r="B1082" s="5"/>
      <c r="C1082" s="34"/>
      <c r="D1082" s="34"/>
      <c r="E1082" s="34"/>
      <c r="F1082" s="34"/>
      <c r="G1082" s="34"/>
      <c r="H1082" s="34"/>
      <c r="I1082" s="34"/>
      <c r="J1082" s="34"/>
      <c r="K1082" s="37">
        <v>43414</v>
      </c>
      <c r="L1082" s="683" t="s">
        <v>791</v>
      </c>
      <c r="M1082" s="19" t="s">
        <v>1926</v>
      </c>
      <c r="N1082" s="19" t="s">
        <v>800</v>
      </c>
      <c r="O1082" s="35"/>
      <c r="P1082" s="3"/>
      <c r="Q1082" s="19" t="s">
        <v>108</v>
      </c>
      <c r="R1082" s="85" t="s">
        <v>1782</v>
      </c>
      <c r="S1082" s="19" t="s">
        <v>832</v>
      </c>
      <c r="T1082" s="85" t="s">
        <v>1782</v>
      </c>
      <c r="U1082" s="19"/>
      <c r="V1082" s="19" t="s">
        <v>828</v>
      </c>
      <c r="W1082" s="19" t="s">
        <v>914</v>
      </c>
      <c r="X1082" s="19" t="s">
        <v>917</v>
      </c>
      <c r="Y1082" s="687" t="s">
        <v>838</v>
      </c>
      <c r="Z1082" s="16"/>
      <c r="AA1082" s="19" t="s">
        <v>845</v>
      </c>
      <c r="AB1082" s="19" t="s">
        <v>847</v>
      </c>
      <c r="AC1082" s="19" t="s">
        <v>232</v>
      </c>
      <c r="AD1082" s="16"/>
      <c r="AE1082" s="16"/>
      <c r="AF1082" s="146">
        <v>90</v>
      </c>
      <c r="AG1082" s="683" t="s">
        <v>243</v>
      </c>
      <c r="AH1082" s="683" t="s">
        <v>2293</v>
      </c>
      <c r="AI1082" s="19" t="s">
        <v>1188</v>
      </c>
      <c r="AJ1082" s="19" t="s">
        <v>863</v>
      </c>
      <c r="AK1082" s="16" t="s">
        <v>845</v>
      </c>
      <c r="AL1082" s="16">
        <v>664946</v>
      </c>
      <c r="AM1082" s="16"/>
      <c r="AN1082" s="16"/>
      <c r="AO1082" s="16"/>
      <c r="AP1082" s="19" t="s">
        <v>557</v>
      </c>
      <c r="AQ1082" s="6" t="str">
        <f>CONCATENATE("REG-",BDEGENER[[#This Row],[FECHA DE SERVICIO]],"-",BDEGENER[[#This Row],[SERIE]],"-",BDEGENER[[#This Row],[HORAS]])</f>
        <v>REG-43414-123234-0306-90</v>
      </c>
      <c r="AR1082" s="29" t="str">
        <f>CONCATENATE("MARCA: ",BDEGENER[[#This Row],[MARCA]],"
 MODELO: ",BDEGENER[[#This Row],[MODELO]])</f>
        <v>MARCA: KATOLIGHT
 MODELO: SEN40FPG4</v>
      </c>
      <c r="AS1082" s="29" t="str">
        <f>CONCATENATE("MARCA: ",BDEGENER[[#This Row],[MARCA DE MOTOR]],"
SERIE: ",BDEGENER[[#This Row],[SERIE DE MOTOR]])</f>
        <v>MARCA: VORTE
SERIE: 4P3L32844</v>
      </c>
      <c r="AT1082" s="29" t="str">
        <f>CONCATENATE("MARCA: ",BDEGENER[[#This Row],[MARCA ALTERNADOR ]],"
SERIE: ",BDEGENER[[#This Row],[SERIE DE ALTERNADOR]])</f>
        <v>MARCA: KATOLIGHT
SERIE: 664946</v>
      </c>
      <c r="AU1082" s="29" t="str">
        <f>CONCATENATE("HORAS: ",BDEGENER[[#This Row],[HORAS]],"
KW-HR: ",BDEGENER[[#This Row],[KW-HORA]],"
VOLT.BATERIA: ",BDEGENER[[#This Row],[VOLTAJE DE BATERIA]],"
TEMPERATURA: ",BDEGENER[[#This Row],[TEMPERATURA DE AGUA]],"
PRES. ACEITE: ",BDEGENER[[#This Row],[PRESION DE ACEITE]])</f>
        <v xml:space="preserve">HORAS: 90
KW-HR: 
VOLT.BATERIA: 
TEMPERATURA: 
PRES. ACEITE: </v>
      </c>
      <c r="AV1082" s="683">
        <f>COUNTIFS(Q1082:Q3082,"MANTENIMIENTO CORRECTIVO",Y1082:Y3082,BDEGENER[[#This Row],[SERIE]])</f>
        <v>0</v>
      </c>
      <c r="AW1082" s="683">
        <f>COUNTIFS(Q1082:Q3082,"MANTENIMIENTO PREVENTIVO",Y1082:Y3082,BDEGENER[[#This Row],[SERIE]])</f>
        <v>0</v>
      </c>
      <c r="AX108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082" s="29">
        <f>COUNTIFS(BDEGENER[SERIE],BDEGENER[[#This Row],[SERIE]],BDEGENER[TIPO DE SERVICIO],"MANTENIMIENTO PREVENTIVO")</f>
        <v>4</v>
      </c>
      <c r="AZ1082" s="29" t="str">
        <f>CONCATENATE("MANTENIMIENTO PREVENTIVO N°",BDEGENER[[#This Row],[GA1]])</f>
        <v>MANTENIMIENTO PREVENTIVO N°4</v>
      </c>
      <c r="BA1082" s="325" t="str">
        <f>IF(BDEGENER[[#This Row],[SERVICIO]]=BDEGENER[[#This Row],[GA2]],BDEGENER[[#This Row],[HORAS]],"0")</f>
        <v>0</v>
      </c>
      <c r="BB1082" s="325">
        <f>SUMIF(BDEGENER[SERIE],BDEGENER[[#This Row],[SERIE]],BDEGENER[GA3])</f>
        <v>90</v>
      </c>
      <c r="BC1082" s="683" t="str">
        <f>CONCATENATE("MANT",COUNTIF($Y$7:Y1082,Y1082))</f>
        <v>MANT5</v>
      </c>
      <c r="BD1082" s="29" t="str">
        <f>CONCATENATE(BDEGENER[[#This Row],[SERIE]],BDEGENER[[#This Row],[GA5]])</f>
        <v>123234-0306MANT5</v>
      </c>
      <c r="BE1082" s="29" t="str">
        <f>CONCATENATE(BDEGENER[[#This Row],[CODIGO PATRIMONIAL]],BDEGENER[[#This Row],[GA5]])</f>
        <v>MANT5</v>
      </c>
      <c r="BF1082" s="16">
        <f>COUNTIF(BDEGENER[SERIE],BDEGENER[[#This Row],[SERIE]])</f>
        <v>5</v>
      </c>
      <c r="BG1082" s="683" t="str">
        <f>CONCATENATE("F",COUNTIF($K$7:K1082,K1082))</f>
        <v>F1</v>
      </c>
      <c r="BH1082" s="325" t="str">
        <f>CONCATENATE(BDEGENER[[#This Row],[FECHA DE SERVICIO]],BDEGENER[[#This Row],[N° DE REGISTROS DEL DIA]])</f>
        <v>43414F1</v>
      </c>
      <c r="BI1082" s="324"/>
      <c r="BJ1082" s="325"/>
      <c r="BK1082" s="326"/>
    </row>
    <row r="1083" spans="2:63" ht="69" hidden="1" x14ac:dyDescent="0.3">
      <c r="B1083" s="5"/>
      <c r="C1083" s="34"/>
      <c r="D1083" s="34"/>
      <c r="E1083" s="34"/>
      <c r="F1083" s="34"/>
      <c r="G1083" s="34"/>
      <c r="H1083" s="34"/>
      <c r="I1083" s="34"/>
      <c r="J1083" s="34"/>
      <c r="K1083" s="37">
        <v>43414</v>
      </c>
      <c r="L1083" s="31" t="s">
        <v>791</v>
      </c>
      <c r="M1083" s="19" t="s">
        <v>1927</v>
      </c>
      <c r="N1083" s="683" t="s">
        <v>794</v>
      </c>
      <c r="O1083" s="35"/>
      <c r="P1083" s="3"/>
      <c r="Q1083" s="19" t="s">
        <v>37</v>
      </c>
      <c r="R1083" s="85" t="s">
        <v>1782</v>
      </c>
      <c r="S1083" s="19" t="s">
        <v>833</v>
      </c>
      <c r="T1083" s="19" t="s">
        <v>834</v>
      </c>
      <c r="U1083" s="19"/>
      <c r="V1083" s="19" t="s">
        <v>828</v>
      </c>
      <c r="W1083" s="19" t="s">
        <v>914</v>
      </c>
      <c r="X1083" s="19" t="s">
        <v>917</v>
      </c>
      <c r="Y1083" s="31" t="s">
        <v>837</v>
      </c>
      <c r="Z1083" s="16"/>
      <c r="AA1083" s="19" t="s">
        <v>843</v>
      </c>
      <c r="AB1083" s="19" t="s">
        <v>850</v>
      </c>
      <c r="AC1083" s="19" t="s">
        <v>853</v>
      </c>
      <c r="AD1083" s="16"/>
      <c r="AE1083" s="16"/>
      <c r="AF1083" s="31">
        <v>355</v>
      </c>
      <c r="AG1083" s="683" t="s">
        <v>243</v>
      </c>
      <c r="AH1083" s="683" t="s">
        <v>2293</v>
      </c>
      <c r="AI1083" s="19" t="s">
        <v>867</v>
      </c>
      <c r="AJ1083" s="19" t="s">
        <v>862</v>
      </c>
      <c r="AK1083" s="16" t="s">
        <v>845</v>
      </c>
      <c r="AL1083" s="16">
        <v>66612</v>
      </c>
      <c r="AM1083" s="16"/>
      <c r="AN1083" s="16"/>
      <c r="AO1083" s="16"/>
      <c r="AP1083" s="19" t="s">
        <v>240</v>
      </c>
      <c r="AQ1083" s="6" t="str">
        <f>CONCATENATE("REG-",BDEGENER[[#This Row],[FECHA DE SERVICIO]],"-",BDEGENER[[#This Row],[SERIE]],"-",BDEGENER[[#This Row],[HORAS]])</f>
        <v>REG-43414-123231-0306-355</v>
      </c>
      <c r="AR1083" s="29" t="str">
        <f>CONCATENATE("MARCA: ",BDEGENER[[#This Row],[MARCA]],"
 MODELO: ",BDEGENER[[#This Row],[MODELO]])</f>
        <v>MARCA: katolight
 MODELO: gen25FGN4</v>
      </c>
      <c r="AS1083" s="29" t="str">
        <f>CONCATENATE("MARCA: ",BDEGENER[[#This Row],[MARCA DE MOTOR]],"
SERIE: ",BDEGENER[[#This Row],[SERIE DE MOTOR]])</f>
        <v>MARCA: NISSAN
SERIE: 5Y21F</v>
      </c>
      <c r="AT1083" s="29" t="str">
        <f>CONCATENATE("MARCA: ",BDEGENER[[#This Row],[MARCA ALTERNADOR ]],"
SERIE: ",BDEGENER[[#This Row],[SERIE DE ALTERNADOR]])</f>
        <v>MARCA: KATOLIGHT
SERIE: 66612</v>
      </c>
      <c r="AU1083" s="29" t="str">
        <f>CONCATENATE("HORAS: ",BDEGENER[[#This Row],[HORAS]],"
KW-HR: ",BDEGENER[[#This Row],[KW-HORA]],"
VOLT.BATERIA: ",BDEGENER[[#This Row],[VOLTAJE DE BATERIA]],"
TEMPERATURA: ",BDEGENER[[#This Row],[TEMPERATURA DE AGUA]],"
PRES. ACEITE: ",BDEGENER[[#This Row],[PRESION DE ACEITE]])</f>
        <v xml:space="preserve">HORAS: 355
KW-HR: 
VOLT.BATERIA: 
TEMPERATURA: 
PRES. ACEITE: </v>
      </c>
      <c r="AV1083" s="683">
        <f>COUNTIFS(Q1083:Q3083,"MANTENIMIENTO CORRECTIVO",Y1083:Y3083,BDEGENER[[#This Row],[SERIE]])</f>
        <v>0</v>
      </c>
      <c r="AW1083" s="683">
        <f>COUNTIFS(Q1083:Q3083,"MANTENIMIENTO PREVENTIVO",Y1083:Y3083,BDEGENER[[#This Row],[SERIE]])</f>
        <v>1</v>
      </c>
      <c r="AX108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83" s="29">
        <f>COUNTIFS(BDEGENER[SERIE],BDEGENER[[#This Row],[SERIE]],BDEGENER[TIPO DE SERVICIO],"MANTENIMIENTO PREVENTIVO")</f>
        <v>4</v>
      </c>
      <c r="AZ1083" s="29" t="str">
        <f>CONCATENATE("MANTENIMIENTO PREVENTIVO N°",BDEGENER[[#This Row],[GA1]])</f>
        <v>MANTENIMIENTO PREVENTIVO N°4</v>
      </c>
      <c r="BA1083" s="325" t="str">
        <f>IF(BDEGENER[[#This Row],[SERVICIO]]=BDEGENER[[#This Row],[GA2]],BDEGENER[[#This Row],[HORAS]],"0")</f>
        <v>0</v>
      </c>
      <c r="BB1083" s="325">
        <f>SUMIF(BDEGENER[SERIE],BDEGENER[[#This Row],[SERIE]],BDEGENER[GA3])</f>
        <v>383</v>
      </c>
      <c r="BC1083" s="683" t="str">
        <f>CONCATENATE("MANT",COUNTIF($Y$7:Y1083,Y1083))</f>
        <v>MANT5</v>
      </c>
      <c r="BD1083" s="29" t="str">
        <f>CONCATENATE(BDEGENER[[#This Row],[SERIE]],BDEGENER[[#This Row],[GA5]])</f>
        <v>123231-0306MANT5</v>
      </c>
      <c r="BE1083" s="29" t="str">
        <f>CONCATENATE(BDEGENER[[#This Row],[CODIGO PATRIMONIAL]],BDEGENER[[#This Row],[GA5]])</f>
        <v>MANT5</v>
      </c>
      <c r="BF1083" s="16">
        <f>COUNTIF(BDEGENER[SERIE],BDEGENER[[#This Row],[SERIE]])</f>
        <v>5</v>
      </c>
      <c r="BG1083" s="683" t="str">
        <f>CONCATENATE("F",COUNTIF($K$7:K1083,K1083))</f>
        <v>F2</v>
      </c>
      <c r="BH1083" s="325" t="str">
        <f>CONCATENATE(BDEGENER[[#This Row],[FECHA DE SERVICIO]],BDEGENER[[#This Row],[N° DE REGISTROS DEL DIA]])</f>
        <v>43414F2</v>
      </c>
      <c r="BI1083" s="324"/>
      <c r="BJ1083" s="325"/>
      <c r="BK1083" s="326"/>
    </row>
    <row r="1084" spans="2:63" ht="69" hidden="1" x14ac:dyDescent="0.3">
      <c r="B1084" s="33"/>
      <c r="C1084" s="33"/>
      <c r="D1084" s="33"/>
      <c r="E1084" s="33"/>
      <c r="F1084" s="33"/>
      <c r="G1084" s="33"/>
      <c r="H1084" s="33"/>
      <c r="I1084" s="33"/>
      <c r="J1084" s="33"/>
      <c r="K1084" s="38">
        <v>43375</v>
      </c>
      <c r="L1084" s="18" t="s">
        <v>248</v>
      </c>
      <c r="M1084" s="23" t="s">
        <v>285</v>
      </c>
      <c r="N1084" s="23" t="s">
        <v>286</v>
      </c>
      <c r="O1084" s="23"/>
      <c r="P1084" s="21"/>
      <c r="Q1084" s="23" t="s">
        <v>108</v>
      </c>
      <c r="R1084" s="85" t="s">
        <v>1782</v>
      </c>
      <c r="S1084" s="25" t="s">
        <v>363</v>
      </c>
      <c r="T1084" s="85" t="s">
        <v>1782</v>
      </c>
      <c r="U1084" s="25"/>
      <c r="V1084" s="25" t="s">
        <v>364</v>
      </c>
      <c r="W1084" s="25"/>
      <c r="X1084" s="25"/>
      <c r="Y1084" s="31">
        <v>9301207</v>
      </c>
      <c r="Z1084" s="16">
        <v>17524</v>
      </c>
      <c r="AA1084" s="16"/>
      <c r="AB1084" s="16" t="s">
        <v>512</v>
      </c>
      <c r="AC1084" s="23" t="s">
        <v>535</v>
      </c>
      <c r="AD1084" s="16"/>
      <c r="AE1084" s="16"/>
      <c r="AF1084" s="27">
        <v>1270.81</v>
      </c>
      <c r="AG1084" s="16"/>
      <c r="AH1084" s="16"/>
      <c r="AI1084" s="16"/>
      <c r="AJ1084" s="16"/>
      <c r="AK1084" s="16"/>
      <c r="AL1084" s="16"/>
      <c r="AM1084" s="16"/>
      <c r="AN1084" s="16"/>
      <c r="AO1084" s="16"/>
      <c r="AP1084" s="22" t="s">
        <v>240</v>
      </c>
      <c r="AQ1084" s="6" t="str">
        <f>CONCATENATE("REG-",BDEGENER[[#This Row],[FECHA DE SERVICIO]],"-",BDEGENER[[#This Row],[SERIE]],"-",BDEGENER[[#This Row],[HORAS]])</f>
        <v>REG-43375-9301207-1270,81</v>
      </c>
      <c r="AR1084" s="5" t="str">
        <f>CONCATENATE("MARCA: ",BDEGENER[[#This Row],[MARCA]],"
 MODELO: ",BDEGENER[[#This Row],[MODELO]])</f>
        <v xml:space="preserve">MARCA: 
 MODELO: POWER PACT </v>
      </c>
      <c r="AS1084" s="5" t="str">
        <f>CONCATENATE("MARCA: ",BDEGENER[[#This Row],[MARCA DE MOTOR]],"
SERIE: ",BDEGENER[[#This Row],[SERIE DE MOTOR]])</f>
        <v xml:space="preserve">MARCA: 
SERIE: </v>
      </c>
      <c r="AT1084" s="5" t="str">
        <f>CONCATENATE("MARCA: ",BDEGENER[[#This Row],[MARCA ALTERNADOR ]],"
SERIE: ",BDEGENER[[#This Row],[SERIE DE ALTERNADOR]])</f>
        <v xml:space="preserve">MARCA: 
SERIE: </v>
      </c>
      <c r="AU1084" s="5" t="str">
        <f>CONCATENATE("HORAS: ",BDEGENER[[#This Row],[HORAS]],"
KW-HR: ",BDEGENER[[#This Row],[KW-HORA]],"
VOLT.BATERIA: ",BDEGENER[[#This Row],[VOLTAJE DE BATERIA]],"
TEMPERATURA: ",BDEGENER[[#This Row],[TEMPERATURA DE AGUA]],"
PRES. ACEITE: ",BDEGENER[[#This Row],[PRESION DE ACEITE]])</f>
        <v xml:space="preserve">HORAS: 1270,81
KW-HR: 
VOLT.BATERIA: 
TEMPERATURA: 
PRES. ACEITE: </v>
      </c>
      <c r="AV1084" s="761">
        <f>COUNTIFS(Q1084:Q3084,"MANTENIMIENTO CORRECTIVO",Y1084:Y3084,BDEGENER[[#This Row],[SERIE]])</f>
        <v>4</v>
      </c>
      <c r="AW1084" s="761">
        <f>COUNTIFS(Q1084:Q3084,"MANTENIMIENTO PREVENTIVO",Y1084:Y3084,BDEGENER[[#This Row],[SERIE]])</f>
        <v>3</v>
      </c>
      <c r="AX108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084" s="29">
        <f>COUNTIFS(BDEGENER[SERIE],BDEGENER[[#This Row],[SERIE]],BDEGENER[TIPO DE SERVICIO],"MANTENIMIENTO PREVENTIVO")</f>
        <v>3</v>
      </c>
      <c r="AZ1084" s="29" t="str">
        <f>CONCATENATE("MANTENIMIENTO PREVENTIVO N°",BDEGENER[[#This Row],[GA1]])</f>
        <v>MANTENIMIENTO PREVENTIVO N°3</v>
      </c>
      <c r="BA1084" s="325" t="str">
        <f>IF(BDEGENER[[#This Row],[SERVICIO]]=BDEGENER[[#This Row],[GA2]],BDEGENER[[#This Row],[HORAS]],"0")</f>
        <v>0</v>
      </c>
      <c r="BB1084" s="325">
        <f>SUMIF(BDEGENER[SERIE],BDEGENER[[#This Row],[SERIE]],BDEGENER[GA3])</f>
        <v>0</v>
      </c>
      <c r="BC1084" s="761" t="str">
        <f>CONCATENATE("MANT",COUNTIF($Y$7:Y1084,Y1084))</f>
        <v>MANT1</v>
      </c>
      <c r="BD1084" s="29" t="str">
        <f>CONCATENATE(BDEGENER[[#This Row],[SERIE]],BDEGENER[[#This Row],[GA5]])</f>
        <v>9301207MANT1</v>
      </c>
      <c r="BE1084" s="29" t="str">
        <f>CONCATENATE(BDEGENER[[#This Row],[CODIGO PATRIMONIAL]],BDEGENER[[#This Row],[GA5]])</f>
        <v>17524MANT1</v>
      </c>
      <c r="BF1084" s="16">
        <f>COUNTIF(BDEGENER[SERIE],BDEGENER[[#This Row],[SERIE]])</f>
        <v>8</v>
      </c>
      <c r="BG1084" s="761" t="str">
        <f>CONCATENATE("F",COUNTIF($K$7:K1084,K1084))</f>
        <v>F1</v>
      </c>
      <c r="BH1084" s="325" t="str">
        <f>CONCATENATE(BDEGENER[[#This Row],[FECHA DE SERVICIO]],BDEGENER[[#This Row],[N° DE REGISTROS DEL DIA]])</f>
        <v>43375F1</v>
      </c>
      <c r="BI1084" s="324"/>
      <c r="BJ1084" s="325"/>
      <c r="BK1084" s="326"/>
    </row>
    <row r="1085" spans="2:63" ht="69" hidden="1" x14ac:dyDescent="0.3">
      <c r="B1085" s="33"/>
      <c r="C1085" s="33"/>
      <c r="D1085" s="33"/>
      <c r="E1085" s="33"/>
      <c r="F1085" s="33"/>
      <c r="G1085" s="33"/>
      <c r="H1085" s="33"/>
      <c r="I1085" s="33"/>
      <c r="J1085" s="33"/>
      <c r="K1085" s="38">
        <v>43375</v>
      </c>
      <c r="L1085" s="18" t="s">
        <v>248</v>
      </c>
      <c r="M1085" s="23" t="s">
        <v>287</v>
      </c>
      <c r="N1085" s="23" t="s">
        <v>288</v>
      </c>
      <c r="O1085" s="23"/>
      <c r="P1085" s="21"/>
      <c r="Q1085" s="23" t="s">
        <v>108</v>
      </c>
      <c r="R1085" s="85" t="s">
        <v>1782</v>
      </c>
      <c r="S1085" s="25" t="s">
        <v>365</v>
      </c>
      <c r="T1085" s="25" t="s">
        <v>366</v>
      </c>
      <c r="U1085" s="25"/>
      <c r="V1085" s="25" t="s">
        <v>364</v>
      </c>
      <c r="W1085" s="25"/>
      <c r="X1085" s="25"/>
      <c r="Y1085" s="31">
        <v>9319809</v>
      </c>
      <c r="Z1085" s="16">
        <v>17922</v>
      </c>
      <c r="AA1085" s="16"/>
      <c r="AB1085" s="16" t="s">
        <v>513</v>
      </c>
      <c r="AC1085" s="23"/>
      <c r="AD1085" s="16"/>
      <c r="AE1085" s="16"/>
      <c r="AF1085" s="27">
        <v>1143.5</v>
      </c>
      <c r="AG1085" s="16"/>
      <c r="AH1085" s="16"/>
      <c r="AI1085" s="16"/>
      <c r="AJ1085" s="16"/>
      <c r="AK1085" s="16"/>
      <c r="AL1085" s="16"/>
      <c r="AM1085" s="16"/>
      <c r="AN1085" s="16"/>
      <c r="AO1085" s="16"/>
      <c r="AP1085" s="22" t="s">
        <v>240</v>
      </c>
      <c r="AQ1085" s="6" t="str">
        <f>CONCATENATE("REG-",BDEGENER[[#This Row],[FECHA DE SERVICIO]],"-",BDEGENER[[#This Row],[SERIE]],"-",BDEGENER[[#This Row],[HORAS]])</f>
        <v>REG-43375-9319809-1143,5</v>
      </c>
      <c r="AR1085" s="5" t="str">
        <f>CONCATENATE("MARCA: ",BDEGENER[[#This Row],[MARCA]],"
 MODELO: ",BDEGENER[[#This Row],[MODELO]])</f>
        <v>MARCA: 
 MODELO: 0065610</v>
      </c>
      <c r="AS1085" s="5" t="str">
        <f>CONCATENATE("MARCA: ",BDEGENER[[#This Row],[MARCA DE MOTOR]],"
SERIE: ",BDEGENER[[#This Row],[SERIE DE MOTOR]])</f>
        <v xml:space="preserve">MARCA: 
SERIE: </v>
      </c>
      <c r="AT1085" s="5" t="str">
        <f>CONCATENATE("MARCA: ",BDEGENER[[#This Row],[MARCA ALTERNADOR ]],"
SERIE: ",BDEGENER[[#This Row],[SERIE DE ALTERNADOR]])</f>
        <v xml:space="preserve">MARCA: 
SERIE: </v>
      </c>
      <c r="AU1085" s="5" t="str">
        <f>CONCATENATE("HORAS: ",BDEGENER[[#This Row],[HORAS]],"
KW-HR: ",BDEGENER[[#This Row],[KW-HORA]],"
VOLT.BATERIA: ",BDEGENER[[#This Row],[VOLTAJE DE BATERIA]],"
TEMPERATURA: ",BDEGENER[[#This Row],[TEMPERATURA DE AGUA]],"
PRES. ACEITE: ",BDEGENER[[#This Row],[PRESION DE ACEITE]])</f>
        <v xml:space="preserve">HORAS: 1143,5
KW-HR: 
VOLT.BATERIA: 
TEMPERATURA: 
PRES. ACEITE: </v>
      </c>
      <c r="AV1085" s="683">
        <f>COUNTIFS(Q1085:Q3085,"MANTENIMIENTO CORRECTIVO",Y1085:Y3085,BDEGENER[[#This Row],[SERIE]])</f>
        <v>3</v>
      </c>
      <c r="AW1085" s="683">
        <f>COUNTIFS(Q1085:Q3085,"MANTENIMIENTO PREVENTIVO",Y1085:Y3085,BDEGENER[[#This Row],[SERIE]])</f>
        <v>2</v>
      </c>
      <c r="AX108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085" s="29">
        <f>COUNTIFS(BDEGENER[SERIE],BDEGENER[[#This Row],[SERIE]],BDEGENER[TIPO DE SERVICIO],"MANTENIMIENTO PREVENTIVO")</f>
        <v>2</v>
      </c>
      <c r="AZ1085" s="29" t="str">
        <f>CONCATENATE("MANTENIMIENTO PREVENTIVO N°",BDEGENER[[#This Row],[GA1]])</f>
        <v>MANTENIMIENTO PREVENTIVO N°2</v>
      </c>
      <c r="BA1085" s="325" t="str">
        <f>IF(BDEGENER[[#This Row],[SERVICIO]]=BDEGENER[[#This Row],[GA2]],BDEGENER[[#This Row],[HORAS]],"0")</f>
        <v>0</v>
      </c>
      <c r="BB1085" s="325">
        <f>SUMIF(BDEGENER[SERIE],BDEGENER[[#This Row],[SERIE]],BDEGENER[GA3])</f>
        <v>0</v>
      </c>
      <c r="BC1085" s="683" t="str">
        <f>CONCATENATE("MANT",COUNTIF($Y$7:Y1085,Y1085))</f>
        <v>MANT2</v>
      </c>
      <c r="BD1085" s="29" t="str">
        <f>CONCATENATE(BDEGENER[[#This Row],[SERIE]],BDEGENER[[#This Row],[GA5]])</f>
        <v>9319809MANT2</v>
      </c>
      <c r="BE1085" s="29" t="str">
        <f>CONCATENATE(BDEGENER[[#This Row],[CODIGO PATRIMONIAL]],BDEGENER[[#This Row],[GA5]])</f>
        <v>17922MANT2</v>
      </c>
      <c r="BF1085" s="16">
        <f>COUNTIF(BDEGENER[SERIE],BDEGENER[[#This Row],[SERIE]])</f>
        <v>8</v>
      </c>
      <c r="BG1085" s="683" t="str">
        <f>CONCATENATE("F",COUNTIF($K$7:K1085,K1085))</f>
        <v>F2</v>
      </c>
      <c r="BH1085" s="325" t="str">
        <f>CONCATENATE(BDEGENER[[#This Row],[FECHA DE SERVICIO]],BDEGENER[[#This Row],[N° DE REGISTROS DEL DIA]])</f>
        <v>43375F2</v>
      </c>
      <c r="BI1085" s="324"/>
      <c r="BJ1085" s="325"/>
      <c r="BK1085" s="326"/>
    </row>
    <row r="1086" spans="2:63" ht="69" hidden="1" x14ac:dyDescent="0.3">
      <c r="B1086" s="33"/>
      <c r="C1086" s="33"/>
      <c r="D1086" s="33"/>
      <c r="E1086" s="33"/>
      <c r="F1086" s="33"/>
      <c r="G1086" s="33"/>
      <c r="H1086" s="33"/>
      <c r="I1086" s="33"/>
      <c r="J1086" s="33"/>
      <c r="K1086" s="38">
        <v>43375</v>
      </c>
      <c r="L1086" s="18" t="s">
        <v>248</v>
      </c>
      <c r="M1086" s="23" t="s">
        <v>289</v>
      </c>
      <c r="N1086" s="23" t="s">
        <v>290</v>
      </c>
      <c r="O1086" s="23"/>
      <c r="P1086" s="21"/>
      <c r="Q1086" s="22" t="s">
        <v>37</v>
      </c>
      <c r="R1086" s="85" t="s">
        <v>1782</v>
      </c>
      <c r="S1086" s="25" t="s">
        <v>367</v>
      </c>
      <c r="T1086" s="25" t="s">
        <v>368</v>
      </c>
      <c r="U1086" s="25" t="s">
        <v>369</v>
      </c>
      <c r="V1086" s="25" t="s">
        <v>364</v>
      </c>
      <c r="W1086" s="25"/>
      <c r="X1086" s="25"/>
      <c r="Y1086" s="31" t="s">
        <v>514</v>
      </c>
      <c r="Z1086" s="16">
        <v>19994</v>
      </c>
      <c r="AA1086" s="16"/>
      <c r="AB1086" s="16"/>
      <c r="AC1086" s="23"/>
      <c r="AD1086" s="16"/>
      <c r="AE1086" s="16"/>
      <c r="AF1086" s="27">
        <v>847</v>
      </c>
      <c r="AG1086" s="16"/>
      <c r="AH1086" s="16"/>
      <c r="AI1086" s="16"/>
      <c r="AJ1086" s="16"/>
      <c r="AK1086" s="16"/>
      <c r="AL1086" s="16"/>
      <c r="AM1086" s="16"/>
      <c r="AN1086" s="16"/>
      <c r="AO1086" s="16"/>
      <c r="AP1086" s="22" t="s">
        <v>240</v>
      </c>
      <c r="AQ1086" s="6" t="str">
        <f>CONCATENATE("REG-",BDEGENER[[#This Row],[FECHA DE SERVICIO]],"-",BDEGENER[[#This Row],[SERIE]],"-",BDEGENER[[#This Row],[HORAS]])</f>
        <v>REG-43375-PEE2615961-847</v>
      </c>
      <c r="AR1086" s="5" t="str">
        <f>CONCATENATE("MARCA: ",BDEGENER[[#This Row],[MARCA]],"
 MODELO: ",BDEGENER[[#This Row],[MODELO]])</f>
        <v xml:space="preserve">MARCA: 
 MODELO: </v>
      </c>
      <c r="AS1086" s="5" t="str">
        <f>CONCATENATE("MARCA: ",BDEGENER[[#This Row],[MARCA DE MOTOR]],"
SERIE: ",BDEGENER[[#This Row],[SERIE DE MOTOR]])</f>
        <v xml:space="preserve">MARCA: 
SERIE: </v>
      </c>
      <c r="AT1086" s="5" t="str">
        <f>CONCATENATE("MARCA: ",BDEGENER[[#This Row],[MARCA ALTERNADOR ]],"
SERIE: ",BDEGENER[[#This Row],[SERIE DE ALTERNADOR]])</f>
        <v xml:space="preserve">MARCA: 
SERIE: </v>
      </c>
      <c r="AU1086" s="5" t="str">
        <f>CONCATENATE("HORAS: ",BDEGENER[[#This Row],[HORAS]],"
KW-HR: ",BDEGENER[[#This Row],[KW-HORA]],"
VOLT.BATERIA: ",BDEGENER[[#This Row],[VOLTAJE DE BATERIA]],"
TEMPERATURA: ",BDEGENER[[#This Row],[TEMPERATURA DE AGUA]],"
PRES. ACEITE: ",BDEGENER[[#This Row],[PRESION DE ACEITE]])</f>
        <v xml:space="preserve">HORAS: 847
KW-HR: 
VOLT.BATERIA: 
TEMPERATURA: 
PRES. ACEITE: </v>
      </c>
      <c r="AV1086" s="683">
        <f>COUNTIFS(Q1086:Q3086,"MANTENIMIENTO CORRECTIVO",Y1086:Y3086,BDEGENER[[#This Row],[SERIE]])</f>
        <v>0</v>
      </c>
      <c r="AW1086" s="683">
        <f>COUNTIFS(Q1086:Q3086,"MANTENIMIENTO PREVENTIVO",Y1086:Y3086,BDEGENER[[#This Row],[SERIE]])</f>
        <v>1</v>
      </c>
      <c r="AX108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86" s="29">
        <f>COUNTIFS(BDEGENER[SERIE],BDEGENER[[#This Row],[SERIE]],BDEGENER[TIPO DE SERVICIO],"MANTENIMIENTO PREVENTIVO")</f>
        <v>1</v>
      </c>
      <c r="AZ1086" s="29" t="str">
        <f>CONCATENATE("MANTENIMIENTO PREVENTIVO N°",BDEGENER[[#This Row],[GA1]])</f>
        <v>MANTENIMIENTO PREVENTIVO N°1</v>
      </c>
      <c r="BA1086" s="325">
        <f>IF(BDEGENER[[#This Row],[SERVICIO]]=BDEGENER[[#This Row],[GA2]],BDEGENER[[#This Row],[HORAS]],"0")</f>
        <v>847</v>
      </c>
      <c r="BB1086" s="325">
        <f>SUMIF(BDEGENER[SERIE],BDEGENER[[#This Row],[SERIE]],BDEGENER[GA3])</f>
        <v>847</v>
      </c>
      <c r="BC1086" s="683" t="str">
        <f>CONCATENATE("MANT",COUNTIF($Y$7:Y1086,Y1086))</f>
        <v>MANT1</v>
      </c>
      <c r="BD1086" s="29" t="str">
        <f>CONCATENATE(BDEGENER[[#This Row],[SERIE]],BDEGENER[[#This Row],[GA5]])</f>
        <v>PEE2615961MANT1</v>
      </c>
      <c r="BE1086" s="29" t="str">
        <f>CONCATENATE(BDEGENER[[#This Row],[CODIGO PATRIMONIAL]],BDEGENER[[#This Row],[GA5]])</f>
        <v>19994MANT1</v>
      </c>
      <c r="BF1086" s="16">
        <f>COUNTIF(BDEGENER[SERIE],BDEGENER[[#This Row],[SERIE]])</f>
        <v>1</v>
      </c>
      <c r="BG1086" s="683" t="str">
        <f>CONCATENATE("F",COUNTIF($K$7:K1086,K1086))</f>
        <v>F3</v>
      </c>
      <c r="BH1086" s="325" t="str">
        <f>CONCATENATE(BDEGENER[[#This Row],[FECHA DE SERVICIO]],BDEGENER[[#This Row],[N° DE REGISTROS DEL DIA]])</f>
        <v>43375F3</v>
      </c>
      <c r="BI1086" s="324"/>
      <c r="BJ1086" s="325"/>
      <c r="BK1086" s="326"/>
    </row>
    <row r="1087" spans="2:63" ht="69" hidden="1" x14ac:dyDescent="0.3">
      <c r="B1087" s="33"/>
      <c r="C1087" s="33"/>
      <c r="D1087" s="33"/>
      <c r="E1087" s="33"/>
      <c r="F1087" s="33"/>
      <c r="G1087" s="33"/>
      <c r="H1087" s="33"/>
      <c r="I1087" s="33"/>
      <c r="J1087" s="33"/>
      <c r="K1087" s="38">
        <v>43375</v>
      </c>
      <c r="L1087" s="18" t="s">
        <v>248</v>
      </c>
      <c r="M1087" s="23" t="s">
        <v>291</v>
      </c>
      <c r="N1087" s="85" t="s">
        <v>1409</v>
      </c>
      <c r="O1087" s="23"/>
      <c r="P1087" s="21"/>
      <c r="Q1087" s="23" t="s">
        <v>108</v>
      </c>
      <c r="R1087" s="85" t="s">
        <v>1782</v>
      </c>
      <c r="S1087" s="23" t="s">
        <v>370</v>
      </c>
      <c r="T1087" s="25" t="s">
        <v>371</v>
      </c>
      <c r="U1087" s="25"/>
      <c r="V1087" s="25" t="s">
        <v>364</v>
      </c>
      <c r="W1087" s="25"/>
      <c r="X1087" s="25"/>
      <c r="Y1087" s="31">
        <v>9319804</v>
      </c>
      <c r="Z1087" s="16">
        <v>17523</v>
      </c>
      <c r="AA1087" s="85" t="s">
        <v>33</v>
      </c>
      <c r="AB1087" s="85">
        <v>65610</v>
      </c>
      <c r="AC1087" s="23" t="s">
        <v>535</v>
      </c>
      <c r="AD1087" s="16"/>
      <c r="AE1087" s="16"/>
      <c r="AF1087" s="27">
        <v>925</v>
      </c>
      <c r="AG1087" s="85" t="s">
        <v>1412</v>
      </c>
      <c r="AH1087" s="85" t="s">
        <v>1413</v>
      </c>
      <c r="AI1087" s="85" t="s">
        <v>33</v>
      </c>
      <c r="AJ1087" s="16"/>
      <c r="AK1087" s="85" t="s">
        <v>33</v>
      </c>
      <c r="AL1087" s="16"/>
      <c r="AM1087" s="16"/>
      <c r="AN1087" s="16"/>
      <c r="AO1087" s="16"/>
      <c r="AP1087" s="22" t="s">
        <v>240</v>
      </c>
      <c r="AQ1087" s="6" t="str">
        <f>CONCATENATE("REG-",BDEGENER[[#This Row],[FECHA DE SERVICIO]],"-",BDEGENER[[#This Row],[SERIE]],"-",BDEGENER[[#This Row],[HORAS]])</f>
        <v>REG-43375-9319804-925</v>
      </c>
      <c r="AR1087" s="5" t="str">
        <f>CONCATENATE("MARCA: ",BDEGENER[[#This Row],[MARCA]],"
 MODELO: ",BDEGENER[[#This Row],[MODELO]])</f>
        <v>MARCA: GENERAC
 MODELO: 65610</v>
      </c>
      <c r="AS1087" s="5" t="str">
        <f>CONCATENATE("MARCA: ",BDEGENER[[#This Row],[MARCA DE MOTOR]],"
SERIE: ",BDEGENER[[#This Row],[SERIE DE MOTOR]])</f>
        <v xml:space="preserve">MARCA: GENERAC
SERIE: </v>
      </c>
      <c r="AT1087" s="5" t="str">
        <f>CONCATENATE("MARCA: ",BDEGENER[[#This Row],[MARCA ALTERNADOR ]],"
SERIE: ",BDEGENER[[#This Row],[SERIE DE ALTERNADOR]])</f>
        <v xml:space="preserve">MARCA: GENERAC
SERIE: </v>
      </c>
      <c r="AU1087" s="5" t="str">
        <f>CONCATENATE("HORAS: ",BDEGENER[[#This Row],[HORAS]],"
KW-HR: ",BDEGENER[[#This Row],[KW-HORA]],"
VOLT.BATERIA: ",BDEGENER[[#This Row],[VOLTAJE DE BATERIA]],"
TEMPERATURA: ",BDEGENER[[#This Row],[TEMPERATURA DE AGUA]],"
PRES. ACEITE: ",BDEGENER[[#This Row],[PRESION DE ACEITE]])</f>
        <v xml:space="preserve">HORAS: 925
KW-HR: 
VOLT.BATERIA: 
TEMPERATURA: 
PRES. ACEITE: </v>
      </c>
      <c r="AV1087" s="761">
        <f>COUNTIFS(Q1087:Q3087,"MANTENIMIENTO CORRECTIVO",Y1087:Y3087,BDEGENER[[#This Row],[SERIE]])</f>
        <v>6</v>
      </c>
      <c r="AW1087" s="761">
        <f>COUNTIFS(Q1087:Q3087,"MANTENIMIENTO PREVENTIVO",Y1087:Y3087,BDEGENER[[#This Row],[SERIE]])</f>
        <v>2</v>
      </c>
      <c r="AX108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087" s="29">
        <f>COUNTIFS(BDEGENER[SERIE],BDEGENER[[#This Row],[SERIE]],BDEGENER[TIPO DE SERVICIO],"MANTENIMIENTO PREVENTIVO")</f>
        <v>2</v>
      </c>
      <c r="AZ1087" s="29" t="str">
        <f>CONCATENATE("MANTENIMIENTO PREVENTIVO N°",BDEGENER[[#This Row],[GA1]])</f>
        <v>MANTENIMIENTO PREVENTIVO N°2</v>
      </c>
      <c r="BA1087" s="325" t="str">
        <f>IF(BDEGENER[[#This Row],[SERVICIO]]=BDEGENER[[#This Row],[GA2]],BDEGENER[[#This Row],[HORAS]],"0")</f>
        <v>0</v>
      </c>
      <c r="BB1087" s="325">
        <f>SUMIF(BDEGENER[SERIE],BDEGENER[[#This Row],[SERIE]],BDEGENER[GA3])</f>
        <v>872.68</v>
      </c>
      <c r="BC1087" s="761" t="str">
        <f>CONCATENATE("MANT",COUNTIF($Y$7:Y1087,Y1087))</f>
        <v>MANT2</v>
      </c>
      <c r="BD1087" s="29" t="str">
        <f>CONCATENATE(BDEGENER[[#This Row],[SERIE]],BDEGENER[[#This Row],[GA5]])</f>
        <v>9319804MANT2</v>
      </c>
      <c r="BE1087" s="29" t="str">
        <f>CONCATENATE(BDEGENER[[#This Row],[CODIGO PATRIMONIAL]],BDEGENER[[#This Row],[GA5]])</f>
        <v>17523MANT2</v>
      </c>
      <c r="BF1087" s="16">
        <f>COUNTIF(BDEGENER[SERIE],BDEGENER[[#This Row],[SERIE]])</f>
        <v>10</v>
      </c>
      <c r="BG1087" s="761" t="str">
        <f>CONCATENATE("F",COUNTIF($K$7:K1087,K1087))</f>
        <v>F4</v>
      </c>
      <c r="BH1087" s="325" t="str">
        <f>CONCATENATE(BDEGENER[[#This Row],[FECHA DE SERVICIO]],BDEGENER[[#This Row],[N° DE REGISTROS DEL DIA]])</f>
        <v>43375F4</v>
      </c>
      <c r="BI1087" s="324"/>
      <c r="BJ1087" s="325"/>
      <c r="BK1087" s="326"/>
    </row>
    <row r="1088" spans="2:63" ht="69" hidden="1" x14ac:dyDescent="0.3">
      <c r="B1088" s="33"/>
      <c r="C1088" s="33"/>
      <c r="D1088" s="33"/>
      <c r="E1088" s="33"/>
      <c r="F1088" s="33"/>
      <c r="G1088" s="33"/>
      <c r="H1088" s="33"/>
      <c r="I1088" s="33"/>
      <c r="J1088" s="33"/>
      <c r="K1088" s="38">
        <v>43369</v>
      </c>
      <c r="L1088" s="18" t="s">
        <v>248</v>
      </c>
      <c r="M1088" s="23" t="s">
        <v>253</v>
      </c>
      <c r="N1088" s="23" t="s">
        <v>254</v>
      </c>
      <c r="O1088" s="23"/>
      <c r="P1088" s="21"/>
      <c r="Q1088" s="23" t="s">
        <v>107</v>
      </c>
      <c r="R1088" s="85" t="s">
        <v>1782</v>
      </c>
      <c r="S1088" s="25" t="s">
        <v>372</v>
      </c>
      <c r="T1088" s="25" t="s">
        <v>373</v>
      </c>
      <c r="U1088" s="25"/>
      <c r="V1088" s="25" t="s">
        <v>364</v>
      </c>
      <c r="W1088" s="25"/>
      <c r="X1088" s="25"/>
      <c r="Y1088" s="31">
        <v>9301206</v>
      </c>
      <c r="Z1088" s="16">
        <v>17525</v>
      </c>
      <c r="AA1088" s="16"/>
      <c r="AB1088" s="16" t="s">
        <v>509</v>
      </c>
      <c r="AC1088" s="23" t="s">
        <v>534</v>
      </c>
      <c r="AD1088" s="16"/>
      <c r="AE1088" s="16"/>
      <c r="AF1088" s="27" t="s">
        <v>537</v>
      </c>
      <c r="AG1088" s="16"/>
      <c r="AH1088" s="16"/>
      <c r="AI1088" s="16"/>
      <c r="AJ1088" s="16"/>
      <c r="AK1088" s="16"/>
      <c r="AL1088" s="16"/>
      <c r="AM1088" s="16"/>
      <c r="AN1088" s="16"/>
      <c r="AO1088" s="16"/>
      <c r="AP1088" s="22" t="s">
        <v>240</v>
      </c>
      <c r="AQ1088" s="6" t="str">
        <f>CONCATENATE("REG-",BDEGENER[[#This Row],[FECHA DE SERVICIO]],"-",BDEGENER[[#This Row],[SERIE]],"-",BDEGENER[[#This Row],[HORAS]])</f>
        <v>REG-43369-9301206-2365,07</v>
      </c>
      <c r="AR1088" s="5" t="str">
        <f>CONCATENATE("MARCA: ",BDEGENER[[#This Row],[MARCA]],"
 MODELO: ",BDEGENER[[#This Row],[MODELO]])</f>
        <v>MARCA: 
 MODELO: G006841</v>
      </c>
      <c r="AS1088" s="5" t="str">
        <f>CONCATENATE("MARCA: ",BDEGENER[[#This Row],[MARCA DE MOTOR]],"
SERIE: ",BDEGENER[[#This Row],[SERIE DE MOTOR]])</f>
        <v xml:space="preserve">MARCA: 
SERIE: </v>
      </c>
      <c r="AT1088" s="5" t="str">
        <f>CONCATENATE("MARCA: ",BDEGENER[[#This Row],[MARCA ALTERNADOR ]],"
SERIE: ",BDEGENER[[#This Row],[SERIE DE ALTERNADOR]])</f>
        <v xml:space="preserve">MARCA: 
SERIE: </v>
      </c>
      <c r="AU1088" s="5" t="str">
        <f>CONCATENATE("HORAS: ",BDEGENER[[#This Row],[HORAS]],"
KW-HR: ",BDEGENER[[#This Row],[KW-HORA]],"
VOLT.BATERIA: ",BDEGENER[[#This Row],[VOLTAJE DE BATERIA]],"
TEMPERATURA: ",BDEGENER[[#This Row],[TEMPERATURA DE AGUA]],"
PRES. ACEITE: ",BDEGENER[[#This Row],[PRESION DE ACEITE]])</f>
        <v xml:space="preserve">HORAS: 2365,07
KW-HR: 
VOLT.BATERIA: 
TEMPERATURA: 
PRES. ACEITE: </v>
      </c>
      <c r="AV1088" s="683">
        <f>COUNTIFS(Q1088:Q3088,"MANTENIMIENTO CORRECTIVO",Y1088:Y3088,BDEGENER[[#This Row],[SERIE]])</f>
        <v>2</v>
      </c>
      <c r="AW1088" s="683">
        <f>COUNTIFS(Q1088:Q3088,"MANTENIMIENTO PREVENTIVO",Y1088:Y3088,BDEGENER[[#This Row],[SERIE]])</f>
        <v>3</v>
      </c>
      <c r="AX108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088" s="29">
        <f>COUNTIFS(BDEGENER[SERIE],BDEGENER[[#This Row],[SERIE]],BDEGENER[TIPO DE SERVICIO],"MANTENIMIENTO PREVENTIVO")</f>
        <v>4</v>
      </c>
      <c r="AZ1088" s="29" t="str">
        <f>CONCATENATE("MANTENIMIENTO PREVENTIVO N°",BDEGENER[[#This Row],[GA1]])</f>
        <v>MANTENIMIENTO PREVENTIVO N°4</v>
      </c>
      <c r="BA1088" s="325" t="str">
        <f>IF(BDEGENER[[#This Row],[SERVICIO]]=BDEGENER[[#This Row],[GA2]],BDEGENER[[#This Row],[HORAS]],"0")</f>
        <v>0</v>
      </c>
      <c r="BB1088" s="325">
        <f>SUMIF(BDEGENER[SERIE],BDEGENER[[#This Row],[SERIE]],BDEGENER[GA3])</f>
        <v>2784</v>
      </c>
      <c r="BC1088" s="683" t="str">
        <f>CONCATENATE("MANT",COUNTIF($Y$7:Y1088,Y1088))</f>
        <v>MANT2</v>
      </c>
      <c r="BD1088" s="29" t="str">
        <f>CONCATENATE(BDEGENER[[#This Row],[SERIE]],BDEGENER[[#This Row],[GA5]])</f>
        <v>9301206MANT2</v>
      </c>
      <c r="BE1088" s="29" t="str">
        <f>CONCATENATE(BDEGENER[[#This Row],[CODIGO PATRIMONIAL]],BDEGENER[[#This Row],[GA5]])</f>
        <v>17525MANT2</v>
      </c>
      <c r="BF1088" s="16">
        <f>COUNTIF(BDEGENER[SERIE],BDEGENER[[#This Row],[SERIE]])</f>
        <v>6</v>
      </c>
      <c r="BG1088" s="683" t="str">
        <f>CONCATENATE("F",COUNTIF($K$7:K1088,K1088))</f>
        <v>F1</v>
      </c>
      <c r="BH1088" s="325" t="str">
        <f>CONCATENATE(BDEGENER[[#This Row],[FECHA DE SERVICIO]],BDEGENER[[#This Row],[N° DE REGISTROS DEL DIA]])</f>
        <v>43369F1</v>
      </c>
      <c r="BI1088" s="324"/>
      <c r="BJ1088" s="325"/>
      <c r="BK1088" s="326"/>
    </row>
    <row r="1089" spans="2:63" ht="69" hidden="1" x14ac:dyDescent="0.3">
      <c r="B1089" s="33"/>
      <c r="C1089" s="33"/>
      <c r="D1089" s="33"/>
      <c r="E1089" s="33"/>
      <c r="F1089" s="33"/>
      <c r="G1089" s="33"/>
      <c r="H1089" s="33"/>
      <c r="I1089" s="33"/>
      <c r="J1089" s="33"/>
      <c r="K1089" s="38">
        <v>43365</v>
      </c>
      <c r="L1089" s="18" t="s">
        <v>248</v>
      </c>
      <c r="M1089" s="23" t="s">
        <v>268</v>
      </c>
      <c r="N1089" s="23" t="s">
        <v>269</v>
      </c>
      <c r="O1089" s="23"/>
      <c r="P1089" s="21"/>
      <c r="Q1089" s="22" t="s">
        <v>37</v>
      </c>
      <c r="R1089" s="85" t="s">
        <v>1782</v>
      </c>
      <c r="S1089" s="23" t="s">
        <v>374</v>
      </c>
      <c r="T1089" s="85" t="s">
        <v>1782</v>
      </c>
      <c r="U1089" s="23" t="s">
        <v>375</v>
      </c>
      <c r="V1089" s="23" t="s">
        <v>349</v>
      </c>
      <c r="W1089" s="85" t="s">
        <v>914</v>
      </c>
      <c r="X1089" s="85" t="s">
        <v>917</v>
      </c>
      <c r="Y1089" s="31">
        <v>3002933971</v>
      </c>
      <c r="Z1089" s="16"/>
      <c r="AA1089" s="16" t="s">
        <v>33</v>
      </c>
      <c r="AB1089" s="85" t="s">
        <v>1446</v>
      </c>
      <c r="AC1089" s="22" t="s">
        <v>1445</v>
      </c>
      <c r="AD1089" s="16"/>
      <c r="AE1089" s="16"/>
      <c r="AF1089" s="27">
        <v>33.6</v>
      </c>
      <c r="AG1089" s="16"/>
      <c r="AH1089" s="16"/>
      <c r="AI1089" s="16" t="s">
        <v>844</v>
      </c>
      <c r="AJ1089" s="16"/>
      <c r="AK1089" s="16" t="s">
        <v>1448</v>
      </c>
      <c r="AL1089" s="16"/>
      <c r="AM1089" s="16"/>
      <c r="AN1089" s="16"/>
      <c r="AO1089" s="16"/>
      <c r="AP1089" s="22" t="s">
        <v>240</v>
      </c>
      <c r="AQ1089" s="6" t="str">
        <f>CONCATENATE("REG-",BDEGENER[[#This Row],[FECHA DE SERVICIO]],"-",BDEGENER[[#This Row],[SERIE]],"-",BDEGENER[[#This Row],[HORAS]])</f>
        <v>REG-43365-3002933971-33,6</v>
      </c>
      <c r="AR1089" s="6" t="str">
        <f>CONCATENATE("MARCA: ",BDEGENER[[#This Row],[MARCA]],"
 MODELO: ",BDEGENER[[#This Row],[MODELO]])</f>
        <v>MARCA: GENERAC
 MODELO: PLY125</v>
      </c>
      <c r="AS1089" s="5" t="str">
        <f>CONCATENATE("MARCA: ",BDEGENER[[#This Row],[MARCA DE MOTOR]],"
SERIE: ",BDEGENER[[#This Row],[SERIE DE MOTOR]])</f>
        <v xml:space="preserve">MARCA: PERKINS
SERIE: </v>
      </c>
      <c r="AT1089" s="5" t="str">
        <f>CONCATENATE("MARCA: ",BDEGENER[[#This Row],[MARCA ALTERNADOR ]],"
SERIE: ",BDEGENER[[#This Row],[SERIE DE ALTERNADOR]])</f>
        <v xml:space="preserve">MARCA: LEROY SOMER
SERIE: </v>
      </c>
      <c r="AU1089" s="5" t="str">
        <f>CONCATENATE("HORAS: ",BDEGENER[[#This Row],[HORAS]],"
KW-HR: ",BDEGENER[[#This Row],[KW-HORA]],"
VOLT.BATERIA: ",BDEGENER[[#This Row],[VOLTAJE DE BATERIA]],"
TEMPERATURA: ",BDEGENER[[#This Row],[TEMPERATURA DE AGUA]],"
PRES. ACEITE: ",BDEGENER[[#This Row],[PRESION DE ACEITE]])</f>
        <v xml:space="preserve">HORAS: 33,6
KW-HR: 
VOLT.BATERIA: 
TEMPERATURA: 
PRES. ACEITE: </v>
      </c>
      <c r="AV1089" s="683">
        <f>COUNTIFS(Q1089:Q3089,"MANTENIMIENTO CORRECTIVO",Y1089:Y3089,BDEGENER[[#This Row],[SERIE]])</f>
        <v>0</v>
      </c>
      <c r="AW1089" s="683">
        <f>COUNTIFS(Q1089:Q3089,"MANTENIMIENTO PREVENTIVO",Y1089:Y3089,BDEGENER[[#This Row],[SERIE]])</f>
        <v>1</v>
      </c>
      <c r="AX108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89" s="29">
        <f>COUNTIFS(BDEGENER[SERIE],BDEGENER[[#This Row],[SERIE]],BDEGENER[TIPO DE SERVICIO],"MANTENIMIENTO PREVENTIVO")</f>
        <v>3</v>
      </c>
      <c r="AZ1089" s="29" t="str">
        <f>CONCATENATE("MANTENIMIENTO PREVENTIVO N°",BDEGENER[[#This Row],[GA1]])</f>
        <v>MANTENIMIENTO PREVENTIVO N°3</v>
      </c>
      <c r="BA1089" s="325" t="str">
        <f>IF(BDEGENER[[#This Row],[SERVICIO]]=BDEGENER[[#This Row],[GA2]],BDEGENER[[#This Row],[HORAS]],"0")</f>
        <v>0</v>
      </c>
      <c r="BB1089" s="325">
        <f>SUMIF(BDEGENER[SERIE],BDEGENER[[#This Row],[SERIE]],BDEGENER[GA3])</f>
        <v>1681</v>
      </c>
      <c r="BC1089" s="683" t="str">
        <f>CONCATENATE("MANT",COUNTIF($Y$7:Y1089,Y1089))</f>
        <v>MANT3</v>
      </c>
      <c r="BD1089" s="29" t="str">
        <f>CONCATENATE(BDEGENER[[#This Row],[SERIE]],BDEGENER[[#This Row],[GA5]])</f>
        <v>3002933971MANT3</v>
      </c>
      <c r="BE1089" s="29" t="str">
        <f>CONCATENATE(BDEGENER[[#This Row],[CODIGO PATRIMONIAL]],BDEGENER[[#This Row],[GA5]])</f>
        <v>MANT3</v>
      </c>
      <c r="BF1089" s="16">
        <f>COUNTIF(BDEGENER[SERIE],BDEGENER[[#This Row],[SERIE]])</f>
        <v>3</v>
      </c>
      <c r="BG1089" s="683" t="str">
        <f>CONCATENATE("F",COUNTIF($K$7:K1089,K1089))</f>
        <v>F1</v>
      </c>
      <c r="BH1089" s="325" t="str">
        <f>CONCATENATE(BDEGENER[[#This Row],[FECHA DE SERVICIO]],BDEGENER[[#This Row],[N° DE REGISTROS DEL DIA]])</f>
        <v>43365F1</v>
      </c>
      <c r="BI1089" s="324"/>
      <c r="BJ1089" s="325"/>
      <c r="BK1089" s="326"/>
    </row>
    <row r="1090" spans="2:63" ht="69" hidden="1" x14ac:dyDescent="0.3">
      <c r="B1090" s="33"/>
      <c r="C1090" s="33"/>
      <c r="D1090" s="33"/>
      <c r="E1090" s="33"/>
      <c r="F1090" s="33"/>
      <c r="G1090" s="33"/>
      <c r="H1090" s="33"/>
      <c r="I1090" s="33"/>
      <c r="J1090" s="33"/>
      <c r="K1090" s="38">
        <v>43365</v>
      </c>
      <c r="L1090" s="18" t="s">
        <v>248</v>
      </c>
      <c r="M1090" s="23" t="s">
        <v>267</v>
      </c>
      <c r="N1090" s="23" t="s">
        <v>278</v>
      </c>
      <c r="O1090" s="23"/>
      <c r="P1090" s="21"/>
      <c r="Q1090" s="22" t="s">
        <v>37</v>
      </c>
      <c r="R1090" s="85" t="s">
        <v>1782</v>
      </c>
      <c r="S1090" s="25" t="s">
        <v>376</v>
      </c>
      <c r="T1090" s="25" t="s">
        <v>377</v>
      </c>
      <c r="U1090" s="25" t="s">
        <v>378</v>
      </c>
      <c r="V1090" s="25" t="s">
        <v>349</v>
      </c>
      <c r="W1090" s="85" t="s">
        <v>913</v>
      </c>
      <c r="X1090" s="85" t="s">
        <v>917</v>
      </c>
      <c r="Y1090" s="31">
        <v>3002933961</v>
      </c>
      <c r="Z1090" s="16"/>
      <c r="AA1090" s="85" t="s">
        <v>33</v>
      </c>
      <c r="AB1090" s="85" t="s">
        <v>500</v>
      </c>
      <c r="AC1090" s="23" t="s">
        <v>530</v>
      </c>
      <c r="AD1090" s="16"/>
      <c r="AE1090" s="16"/>
      <c r="AF1090" s="27" t="s">
        <v>538</v>
      </c>
      <c r="AG1090" s="85" t="s">
        <v>243</v>
      </c>
      <c r="AH1090" s="85" t="s">
        <v>1236</v>
      </c>
      <c r="AI1090" s="85" t="s">
        <v>844</v>
      </c>
      <c r="AJ1090" s="16"/>
      <c r="AK1090" s="85" t="s">
        <v>1235</v>
      </c>
      <c r="AL1090" s="16"/>
      <c r="AM1090" s="16"/>
      <c r="AN1090" s="16"/>
      <c r="AO1090" s="16"/>
      <c r="AP1090" s="22" t="s">
        <v>240</v>
      </c>
      <c r="AQ1090" s="6" t="str">
        <f>CONCATENATE("REG-",BDEGENER[[#This Row],[FECHA DE SERVICIO]],"-",BDEGENER[[#This Row],[SERIE]],"-",BDEGENER[[#This Row],[HORAS]])</f>
        <v>REG-43365-3002933961-49,25</v>
      </c>
      <c r="AR1090" s="5" t="str">
        <f>CONCATENATE("MARCA: ",BDEGENER[[#This Row],[MARCA]],"
 MODELO: ",BDEGENER[[#This Row],[MODELO]])</f>
        <v>MARCA: GENERAC
 MODELO: PMY20B</v>
      </c>
      <c r="AS1090" s="5" t="str">
        <f>CONCATENATE("MARCA: ",BDEGENER[[#This Row],[MARCA DE MOTOR]],"
SERIE: ",BDEGENER[[#This Row],[SERIE DE MOTOR]])</f>
        <v xml:space="preserve">MARCA: PERKINS
SERIE: </v>
      </c>
      <c r="AT1090" s="5" t="str">
        <f>CONCATENATE("MARCA: ",BDEGENER[[#This Row],[MARCA ALTERNADOR ]],"
SERIE: ",BDEGENER[[#This Row],[SERIE DE ALTERNADOR]])</f>
        <v xml:space="preserve">MARCA: MECC ALTE
SERIE: </v>
      </c>
      <c r="AU1090" s="5" t="str">
        <f>CONCATENATE("HORAS: ",BDEGENER[[#This Row],[HORAS]],"
KW-HR: ",BDEGENER[[#This Row],[KW-HORA]],"
VOLT.BATERIA: ",BDEGENER[[#This Row],[VOLTAJE DE BATERIA]],"
TEMPERATURA: ",BDEGENER[[#This Row],[TEMPERATURA DE AGUA]],"
PRES. ACEITE: ",BDEGENER[[#This Row],[PRESION DE ACEITE]])</f>
        <v xml:space="preserve">HORAS: 49,25
KW-HR: 
VOLT.BATERIA: 
TEMPERATURA: 
PRES. ACEITE: </v>
      </c>
      <c r="AV1090" s="761">
        <f>COUNTIFS(Q1090:Q3090,"MANTENIMIENTO CORRECTIVO",Y1090:Y3090,BDEGENER[[#This Row],[SERIE]])</f>
        <v>0</v>
      </c>
      <c r="AW1090" s="761">
        <f>COUNTIFS(Q1090:Q3090,"MANTENIMIENTO PREVENTIVO",Y1090:Y3090,BDEGENER[[#This Row],[SERIE]])</f>
        <v>1</v>
      </c>
      <c r="AX109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90" s="29">
        <f>COUNTIFS(BDEGENER[SERIE],BDEGENER[[#This Row],[SERIE]],BDEGENER[TIPO DE SERVICIO],"MANTENIMIENTO PREVENTIVO")</f>
        <v>2</v>
      </c>
      <c r="AZ1090" s="29" t="str">
        <f>CONCATENATE("MANTENIMIENTO PREVENTIVO N°",BDEGENER[[#This Row],[GA1]])</f>
        <v>MANTENIMIENTO PREVENTIVO N°2</v>
      </c>
      <c r="BA1090" s="325" t="str">
        <f>IF(BDEGENER[[#This Row],[SERVICIO]]=BDEGENER[[#This Row],[GA2]],BDEGENER[[#This Row],[HORAS]],"0")</f>
        <v>0</v>
      </c>
      <c r="BB1090" s="325">
        <f>SUMIF(BDEGENER[SERIE],BDEGENER[[#This Row],[SERIE]],BDEGENER[GA3])</f>
        <v>1025.51</v>
      </c>
      <c r="BC1090" s="761" t="str">
        <f>CONCATENATE("MANT",COUNTIF($Y$7:Y1090,Y1090))</f>
        <v>MANT2</v>
      </c>
      <c r="BD1090" s="29" t="str">
        <f>CONCATENATE(BDEGENER[[#This Row],[SERIE]],BDEGENER[[#This Row],[GA5]])</f>
        <v>3002933961MANT2</v>
      </c>
      <c r="BE1090" s="29" t="str">
        <f>CONCATENATE(BDEGENER[[#This Row],[CODIGO PATRIMONIAL]],BDEGENER[[#This Row],[GA5]])</f>
        <v>MANT2</v>
      </c>
      <c r="BF1090" s="16">
        <f>COUNTIF(BDEGENER[SERIE],BDEGENER[[#This Row],[SERIE]])</f>
        <v>2</v>
      </c>
      <c r="BG1090" s="761" t="str">
        <f>CONCATENATE("F",COUNTIF($K$7:K1090,K1090))</f>
        <v>F2</v>
      </c>
      <c r="BH1090" s="325" t="str">
        <f>CONCATENATE(BDEGENER[[#This Row],[FECHA DE SERVICIO]],BDEGENER[[#This Row],[N° DE REGISTROS DEL DIA]])</f>
        <v>43365F2</v>
      </c>
      <c r="BI1090" s="324"/>
      <c r="BJ1090" s="325"/>
      <c r="BK1090" s="326"/>
    </row>
    <row r="1091" spans="2:63" ht="69" hidden="1" x14ac:dyDescent="0.3">
      <c r="B1091" s="33"/>
      <c r="C1091" s="33"/>
      <c r="D1091" s="33"/>
      <c r="E1091" s="33"/>
      <c r="F1091" s="33"/>
      <c r="G1091" s="33"/>
      <c r="H1091" s="33"/>
      <c r="I1091" s="33"/>
      <c r="J1091" s="33"/>
      <c r="K1091" s="38">
        <v>43365</v>
      </c>
      <c r="L1091" s="18" t="s">
        <v>248</v>
      </c>
      <c r="M1091" s="23" t="s">
        <v>276</v>
      </c>
      <c r="N1091" s="23" t="s">
        <v>277</v>
      </c>
      <c r="O1091" s="23"/>
      <c r="P1091" s="21"/>
      <c r="Q1091" s="22" t="s">
        <v>37</v>
      </c>
      <c r="R1091" s="85" t="s">
        <v>1782</v>
      </c>
      <c r="S1091" s="25" t="s">
        <v>376</v>
      </c>
      <c r="T1091" s="85" t="s">
        <v>1782</v>
      </c>
      <c r="U1091" s="25" t="s">
        <v>378</v>
      </c>
      <c r="V1091" s="25" t="s">
        <v>349</v>
      </c>
      <c r="W1091" s="25"/>
      <c r="X1091" s="25"/>
      <c r="Y1091" s="31">
        <v>3002933962</v>
      </c>
      <c r="Z1091" s="16"/>
      <c r="AA1091" s="16"/>
      <c r="AB1091" s="16"/>
      <c r="AC1091" s="23" t="s">
        <v>235</v>
      </c>
      <c r="AD1091" s="16"/>
      <c r="AE1091" s="16"/>
      <c r="AF1091" s="27" t="s">
        <v>539</v>
      </c>
      <c r="AG1091" s="16"/>
      <c r="AH1091" s="16"/>
      <c r="AI1091" s="16"/>
      <c r="AJ1091" s="16"/>
      <c r="AK1091" s="16"/>
      <c r="AL1091" s="16"/>
      <c r="AM1091" s="16"/>
      <c r="AN1091" s="16"/>
      <c r="AO1091" s="16"/>
      <c r="AP1091" s="22" t="s">
        <v>240</v>
      </c>
      <c r="AQ1091" s="6" t="str">
        <f>CONCATENATE("REG-",BDEGENER[[#This Row],[FECHA DE SERVICIO]],"-",BDEGENER[[#This Row],[SERIE]],"-",BDEGENER[[#This Row],[HORAS]])</f>
        <v>REG-43365-3002933962-33,3</v>
      </c>
      <c r="AR1091" s="5" t="str">
        <f>CONCATENATE("MARCA: ",BDEGENER[[#This Row],[MARCA]],"
 MODELO: ",BDEGENER[[#This Row],[MODELO]])</f>
        <v xml:space="preserve">MARCA: 
 MODELO: </v>
      </c>
      <c r="AS1091" s="5" t="str">
        <f>CONCATENATE("MARCA: ",BDEGENER[[#This Row],[MARCA DE MOTOR]],"
SERIE: ",BDEGENER[[#This Row],[SERIE DE MOTOR]])</f>
        <v xml:space="preserve">MARCA: 
SERIE: </v>
      </c>
      <c r="AT1091" s="5" t="str">
        <f>CONCATENATE("MARCA: ",BDEGENER[[#This Row],[MARCA ALTERNADOR ]],"
SERIE: ",BDEGENER[[#This Row],[SERIE DE ALTERNADOR]])</f>
        <v xml:space="preserve">MARCA: 
SERIE: </v>
      </c>
      <c r="AU1091" s="5" t="str">
        <f>CONCATENATE("HORAS: ",BDEGENER[[#This Row],[HORAS]],"
KW-HR: ",BDEGENER[[#This Row],[KW-HORA]],"
VOLT.BATERIA: ",BDEGENER[[#This Row],[VOLTAJE DE BATERIA]],"
TEMPERATURA: ",BDEGENER[[#This Row],[TEMPERATURA DE AGUA]],"
PRES. ACEITE: ",BDEGENER[[#This Row],[PRESION DE ACEITE]])</f>
        <v xml:space="preserve">HORAS: 33,3
KW-HR: 
VOLT.BATERIA: 
TEMPERATURA: 
PRES. ACEITE: </v>
      </c>
      <c r="AV1091" s="683">
        <f>COUNTIFS(Q1091:Q3091,"MANTENIMIENTO CORRECTIVO",Y1091:Y3091,BDEGENER[[#This Row],[SERIE]])</f>
        <v>0</v>
      </c>
      <c r="AW1091" s="683">
        <f>COUNTIFS(Q1091:Q3091,"MANTENIMIENTO PREVENTIVO",Y1091:Y3091,BDEGENER[[#This Row],[SERIE]])</f>
        <v>1</v>
      </c>
      <c r="AX109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91" s="29">
        <f>COUNTIFS(BDEGENER[SERIE],BDEGENER[[#This Row],[SERIE]],BDEGENER[TIPO DE SERVICIO],"MANTENIMIENTO PREVENTIVO")</f>
        <v>2</v>
      </c>
      <c r="AZ1091" s="29" t="str">
        <f>CONCATENATE("MANTENIMIENTO PREVENTIVO N°",BDEGENER[[#This Row],[GA1]])</f>
        <v>MANTENIMIENTO PREVENTIVO N°2</v>
      </c>
      <c r="BA1091" s="325" t="str">
        <f>IF(BDEGENER[[#This Row],[SERVICIO]]=BDEGENER[[#This Row],[GA2]],BDEGENER[[#This Row],[HORAS]],"0")</f>
        <v>0</v>
      </c>
      <c r="BB1091" s="325">
        <f>SUMIF(BDEGENER[SERIE],BDEGENER[[#This Row],[SERIE]],BDEGENER[GA3])</f>
        <v>744.4</v>
      </c>
      <c r="BC1091" s="683" t="str">
        <f>CONCATENATE("MANT",COUNTIF($Y$7:Y1091,Y1091))</f>
        <v>MANT2</v>
      </c>
      <c r="BD1091" s="29" t="str">
        <f>CONCATENATE(BDEGENER[[#This Row],[SERIE]],BDEGENER[[#This Row],[GA5]])</f>
        <v>3002933962MANT2</v>
      </c>
      <c r="BE1091" s="29" t="str">
        <f>CONCATENATE(BDEGENER[[#This Row],[CODIGO PATRIMONIAL]],BDEGENER[[#This Row],[GA5]])</f>
        <v>MANT2</v>
      </c>
      <c r="BF1091" s="16">
        <f>COUNTIF(BDEGENER[SERIE],BDEGENER[[#This Row],[SERIE]])</f>
        <v>2</v>
      </c>
      <c r="BG1091" s="683" t="str">
        <f>CONCATENATE("F",COUNTIF($K$7:K1091,K1091))</f>
        <v>F3</v>
      </c>
      <c r="BH1091" s="325" t="str">
        <f>CONCATENATE(BDEGENER[[#This Row],[FECHA DE SERVICIO]],BDEGENER[[#This Row],[N° DE REGISTROS DEL DIA]])</f>
        <v>43365F3</v>
      </c>
      <c r="BI1091" s="324"/>
      <c r="BJ1091" s="325"/>
      <c r="BK1091" s="326"/>
    </row>
    <row r="1092" spans="2:63" ht="69" hidden="1" x14ac:dyDescent="0.3">
      <c r="B1092" s="33"/>
      <c r="C1092" s="33"/>
      <c r="D1092" s="33"/>
      <c r="E1092" s="33"/>
      <c r="F1092" s="33"/>
      <c r="G1092" s="33"/>
      <c r="H1092" s="33"/>
      <c r="I1092" s="33"/>
      <c r="J1092" s="33"/>
      <c r="K1092" s="38">
        <v>43365</v>
      </c>
      <c r="L1092" s="18" t="s">
        <v>248</v>
      </c>
      <c r="M1092" s="23" t="s">
        <v>292</v>
      </c>
      <c r="N1092" s="23" t="s">
        <v>293</v>
      </c>
      <c r="O1092" s="23"/>
      <c r="P1092" s="21"/>
      <c r="Q1092" s="22" t="s">
        <v>37</v>
      </c>
      <c r="R1092" s="85" t="s">
        <v>1782</v>
      </c>
      <c r="S1092" s="25" t="s">
        <v>379</v>
      </c>
      <c r="T1092" s="25" t="s">
        <v>380</v>
      </c>
      <c r="U1092" s="25" t="s">
        <v>381</v>
      </c>
      <c r="V1092" s="25" t="s">
        <v>349</v>
      </c>
      <c r="W1092" s="85" t="s">
        <v>913</v>
      </c>
      <c r="X1092" s="85" t="s">
        <v>917</v>
      </c>
      <c r="Y1092" s="31">
        <v>3002933955</v>
      </c>
      <c r="Z1092" s="16"/>
      <c r="AA1092" s="16" t="s">
        <v>33</v>
      </c>
      <c r="AB1092" s="85">
        <v>60720</v>
      </c>
      <c r="AC1092" s="22" t="s">
        <v>235</v>
      </c>
      <c r="AD1092" s="16"/>
      <c r="AE1092" s="16"/>
      <c r="AF1092" s="27">
        <v>56.22</v>
      </c>
      <c r="AG1092" s="16" t="s">
        <v>243</v>
      </c>
      <c r="AH1092" s="16" t="s">
        <v>220</v>
      </c>
      <c r="AI1092" s="16"/>
      <c r="AJ1092" s="16"/>
      <c r="AK1092" s="16"/>
      <c r="AL1092" s="16"/>
      <c r="AM1092" s="16"/>
      <c r="AN1092" s="16"/>
      <c r="AO1092" s="16"/>
      <c r="AP1092" s="22" t="s">
        <v>240</v>
      </c>
      <c r="AQ1092" s="6" t="str">
        <f>CONCATENATE("REG-",BDEGENER[[#This Row],[FECHA DE SERVICIO]],"-",BDEGENER[[#This Row],[SERIE]],"-",BDEGENER[[#This Row],[HORAS]])</f>
        <v>REG-43365-3002933955-56,22</v>
      </c>
      <c r="AR1092" s="5" t="str">
        <f>CONCATENATE("MARCA: ",BDEGENER[[#This Row],[MARCA]],"
 MODELO: ",BDEGENER[[#This Row],[MODELO]])</f>
        <v>MARCA: GENERAC
 MODELO: 60720</v>
      </c>
      <c r="AS1092" s="5" t="str">
        <f>CONCATENATE("MARCA: ",BDEGENER[[#This Row],[MARCA DE MOTOR]],"
SERIE: ",BDEGENER[[#This Row],[SERIE DE MOTOR]])</f>
        <v xml:space="preserve">MARCA: 
SERIE: </v>
      </c>
      <c r="AT1092" s="5" t="str">
        <f>CONCATENATE("MARCA: ",BDEGENER[[#This Row],[MARCA ALTERNADOR ]],"
SERIE: ",BDEGENER[[#This Row],[SERIE DE ALTERNADOR]])</f>
        <v xml:space="preserve">MARCA: 
SERIE: </v>
      </c>
      <c r="AU1092" s="5" t="str">
        <f>CONCATENATE("HORAS: ",BDEGENER[[#This Row],[HORAS]],"
KW-HR: ",BDEGENER[[#This Row],[KW-HORA]],"
VOLT.BATERIA: ",BDEGENER[[#This Row],[VOLTAJE DE BATERIA]],"
TEMPERATURA: ",BDEGENER[[#This Row],[TEMPERATURA DE AGUA]],"
PRES. ACEITE: ",BDEGENER[[#This Row],[PRESION DE ACEITE]])</f>
        <v xml:space="preserve">HORAS: 56,22
KW-HR: 
VOLT.BATERIA: 
TEMPERATURA: 
PRES. ACEITE: </v>
      </c>
      <c r="AV1092" s="683">
        <f>COUNTIFS(Q1092:Q3092,"MANTENIMIENTO CORRECTIVO",Y1092:Y3092,BDEGENER[[#This Row],[SERIE]])</f>
        <v>0</v>
      </c>
      <c r="AW1092" s="683">
        <f>COUNTIFS(Q1092:Q3092,"MANTENIMIENTO PREVENTIVO",Y1092:Y3092,BDEGENER[[#This Row],[SERIE]])</f>
        <v>1</v>
      </c>
      <c r="AX109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92" s="29">
        <f>COUNTIFS(BDEGENER[SERIE],BDEGENER[[#This Row],[SERIE]],BDEGENER[TIPO DE SERVICIO],"MANTENIMIENTO PREVENTIVO")</f>
        <v>3</v>
      </c>
      <c r="AZ1092" s="29" t="str">
        <f>CONCATENATE("MANTENIMIENTO PREVENTIVO N°",BDEGENER[[#This Row],[GA1]])</f>
        <v>MANTENIMIENTO PREVENTIVO N°3</v>
      </c>
      <c r="BA1092" s="325" t="str">
        <f>IF(BDEGENER[[#This Row],[SERVICIO]]=BDEGENER[[#This Row],[GA2]],BDEGENER[[#This Row],[HORAS]],"0")</f>
        <v>0</v>
      </c>
      <c r="BB1092" s="325">
        <f>SUMIF(BDEGENER[SERIE],BDEGENER[[#This Row],[SERIE]],BDEGENER[GA3])</f>
        <v>994</v>
      </c>
      <c r="BC1092" s="683" t="str">
        <f>CONCATENATE("MANT",COUNTIF($Y$7:Y1092,Y1092))</f>
        <v>MANT4</v>
      </c>
      <c r="BD1092" s="29" t="str">
        <f>CONCATENATE(BDEGENER[[#This Row],[SERIE]],BDEGENER[[#This Row],[GA5]])</f>
        <v>3002933955MANT4</v>
      </c>
      <c r="BE1092" s="29" t="str">
        <f>CONCATENATE(BDEGENER[[#This Row],[CODIGO PATRIMONIAL]],BDEGENER[[#This Row],[GA5]])</f>
        <v>MANT4</v>
      </c>
      <c r="BF1092" s="16">
        <f>COUNTIF(BDEGENER[SERIE],BDEGENER[[#This Row],[SERIE]])</f>
        <v>4</v>
      </c>
      <c r="BG1092" s="683" t="str">
        <f>CONCATENATE("F",COUNTIF($K$7:K1092,K1092))</f>
        <v>F4</v>
      </c>
      <c r="BH1092" s="325" t="str">
        <f>CONCATENATE(BDEGENER[[#This Row],[FECHA DE SERVICIO]],BDEGENER[[#This Row],[N° DE REGISTROS DEL DIA]])</f>
        <v>43365F4</v>
      </c>
      <c r="BI1092" s="324"/>
      <c r="BJ1092" s="325"/>
      <c r="BK1092" s="326"/>
    </row>
    <row r="1093" spans="2:63" ht="96.6" hidden="1" x14ac:dyDescent="0.3">
      <c r="B1093" s="33"/>
      <c r="C1093" s="33"/>
      <c r="D1093" s="33"/>
      <c r="E1093" s="33"/>
      <c r="F1093" s="33"/>
      <c r="G1093" s="33"/>
      <c r="H1093" s="33"/>
      <c r="I1093" s="33"/>
      <c r="J1093" s="33"/>
      <c r="K1093" s="38">
        <v>43362</v>
      </c>
      <c r="L1093" s="18" t="s">
        <v>248</v>
      </c>
      <c r="M1093" s="23" t="s">
        <v>253</v>
      </c>
      <c r="N1093" s="23" t="s">
        <v>254</v>
      </c>
      <c r="O1093" s="23"/>
      <c r="P1093" s="21"/>
      <c r="Q1093" s="22" t="s">
        <v>37</v>
      </c>
      <c r="R1093" s="85" t="s">
        <v>1782</v>
      </c>
      <c r="S1093" s="25" t="s">
        <v>382</v>
      </c>
      <c r="T1093" s="25" t="s">
        <v>383</v>
      </c>
      <c r="U1093" s="25" t="s">
        <v>384</v>
      </c>
      <c r="V1093" s="25" t="s">
        <v>349</v>
      </c>
      <c r="W1093" s="25"/>
      <c r="X1093" s="25"/>
      <c r="Y1093" s="31">
        <v>9301206</v>
      </c>
      <c r="Z1093" s="16">
        <v>17525</v>
      </c>
      <c r="AA1093" s="16"/>
      <c r="AB1093" s="16" t="s">
        <v>509</v>
      </c>
      <c r="AC1093" s="23" t="s">
        <v>534</v>
      </c>
      <c r="AD1093" s="16"/>
      <c r="AE1093" s="16"/>
      <c r="AF1093" s="27">
        <v>2317.48</v>
      </c>
      <c r="AG1093" s="16"/>
      <c r="AH1093" s="16"/>
      <c r="AI1093" s="16"/>
      <c r="AJ1093" s="16"/>
      <c r="AK1093" s="16"/>
      <c r="AL1093" s="16"/>
      <c r="AM1093" s="16"/>
      <c r="AN1093" s="16"/>
      <c r="AO1093" s="16"/>
      <c r="AP1093" s="22" t="s">
        <v>240</v>
      </c>
      <c r="AQ1093" s="6" t="str">
        <f>CONCATENATE("REG-",BDEGENER[[#This Row],[FECHA DE SERVICIO]],"-",BDEGENER[[#This Row],[SERIE]],"-",BDEGENER[[#This Row],[HORAS]])</f>
        <v>REG-43362-9301206-2317,48</v>
      </c>
      <c r="AR1093" s="5" t="str">
        <f>CONCATENATE("MARCA: ",BDEGENER[[#This Row],[MARCA]],"
 MODELO: ",BDEGENER[[#This Row],[MODELO]])</f>
        <v>MARCA: 
 MODELO: G006841</v>
      </c>
      <c r="AS1093" s="5" t="str">
        <f>CONCATENATE("MARCA: ",BDEGENER[[#This Row],[MARCA DE MOTOR]],"
SERIE: ",BDEGENER[[#This Row],[SERIE DE MOTOR]])</f>
        <v xml:space="preserve">MARCA: 
SERIE: </v>
      </c>
      <c r="AT1093" s="5" t="str">
        <f>CONCATENATE("MARCA: ",BDEGENER[[#This Row],[MARCA ALTERNADOR ]],"
SERIE: ",BDEGENER[[#This Row],[SERIE DE ALTERNADOR]])</f>
        <v xml:space="preserve">MARCA: 
SERIE: </v>
      </c>
      <c r="AU1093" s="5" t="str">
        <f>CONCATENATE("HORAS: ",BDEGENER[[#This Row],[HORAS]],"
KW-HR: ",BDEGENER[[#This Row],[KW-HORA]],"
VOLT.BATERIA: ",BDEGENER[[#This Row],[VOLTAJE DE BATERIA]],"
TEMPERATURA: ",BDEGENER[[#This Row],[TEMPERATURA DE AGUA]],"
PRES. ACEITE: ",BDEGENER[[#This Row],[PRESION DE ACEITE]])</f>
        <v xml:space="preserve">HORAS: 2317,48
KW-HR: 
VOLT.BATERIA: 
TEMPERATURA: 
PRES. ACEITE: </v>
      </c>
      <c r="AV1093" s="761">
        <f>COUNTIFS(Q1093:Q3093,"MANTENIMIENTO CORRECTIVO",Y1093:Y3093,BDEGENER[[#This Row],[SERIE]])</f>
        <v>1</v>
      </c>
      <c r="AW1093" s="761">
        <f>COUNTIFS(Q1093:Q3093,"MANTENIMIENTO PREVENTIVO",Y1093:Y3093,BDEGENER[[#This Row],[SERIE]])</f>
        <v>3</v>
      </c>
      <c r="AX109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093" s="29">
        <f>COUNTIFS(BDEGENER[SERIE],BDEGENER[[#This Row],[SERIE]],BDEGENER[TIPO DE SERVICIO],"MANTENIMIENTO PREVENTIVO")</f>
        <v>4</v>
      </c>
      <c r="AZ1093" s="29" t="str">
        <f>CONCATENATE("MANTENIMIENTO PREVENTIVO N°",BDEGENER[[#This Row],[GA1]])</f>
        <v>MANTENIMIENTO PREVENTIVO N°4</v>
      </c>
      <c r="BA1093" s="325" t="str">
        <f>IF(BDEGENER[[#This Row],[SERVICIO]]=BDEGENER[[#This Row],[GA2]],BDEGENER[[#This Row],[HORAS]],"0")</f>
        <v>0</v>
      </c>
      <c r="BB1093" s="325">
        <f>SUMIF(BDEGENER[SERIE],BDEGENER[[#This Row],[SERIE]],BDEGENER[GA3])</f>
        <v>2784</v>
      </c>
      <c r="BC1093" s="761" t="str">
        <f>CONCATENATE("MANT",COUNTIF($Y$7:Y1093,Y1093))</f>
        <v>MANT3</v>
      </c>
      <c r="BD1093" s="29" t="str">
        <f>CONCATENATE(BDEGENER[[#This Row],[SERIE]],BDEGENER[[#This Row],[GA5]])</f>
        <v>9301206MANT3</v>
      </c>
      <c r="BE1093" s="29" t="str">
        <f>CONCATENATE(BDEGENER[[#This Row],[CODIGO PATRIMONIAL]],BDEGENER[[#This Row],[GA5]])</f>
        <v>17525MANT3</v>
      </c>
      <c r="BF1093" s="16">
        <f>COUNTIF(BDEGENER[SERIE],BDEGENER[[#This Row],[SERIE]])</f>
        <v>6</v>
      </c>
      <c r="BG1093" s="761" t="str">
        <f>CONCATENATE("F",COUNTIF($K$7:K1093,K1093))</f>
        <v>F1</v>
      </c>
      <c r="BH1093" s="325" t="str">
        <f>CONCATENATE(BDEGENER[[#This Row],[FECHA DE SERVICIO]],BDEGENER[[#This Row],[N° DE REGISTROS DEL DIA]])</f>
        <v>43362F1</v>
      </c>
      <c r="BI1093" s="324"/>
      <c r="BJ1093" s="325"/>
      <c r="BK1093" s="326"/>
    </row>
    <row r="1094" spans="2:63" ht="69" hidden="1" x14ac:dyDescent="0.3">
      <c r="B1094" s="33"/>
      <c r="C1094" s="33"/>
      <c r="D1094" s="33"/>
      <c r="E1094" s="33"/>
      <c r="F1094" s="33"/>
      <c r="G1094" s="33"/>
      <c r="H1094" s="33"/>
      <c r="I1094" s="33"/>
      <c r="J1094" s="33"/>
      <c r="K1094" s="38">
        <v>43362</v>
      </c>
      <c r="L1094" s="18" t="s">
        <v>248</v>
      </c>
      <c r="M1094" s="23" t="s">
        <v>294</v>
      </c>
      <c r="N1094" s="23" t="s">
        <v>256</v>
      </c>
      <c r="O1094" s="23"/>
      <c r="P1094" s="21"/>
      <c r="Q1094" s="22" t="s">
        <v>37</v>
      </c>
      <c r="R1094" s="85" t="s">
        <v>1782</v>
      </c>
      <c r="S1094" s="25" t="s">
        <v>385</v>
      </c>
      <c r="T1094" s="25" t="s">
        <v>386</v>
      </c>
      <c r="U1094" s="25" t="s">
        <v>387</v>
      </c>
      <c r="V1094" s="25" t="s">
        <v>349</v>
      </c>
      <c r="W1094" s="25"/>
      <c r="X1094" s="25"/>
      <c r="Y1094" s="31">
        <v>9301202</v>
      </c>
      <c r="Z1094" s="16">
        <v>21028</v>
      </c>
      <c r="AA1094" s="16"/>
      <c r="AB1094" s="16"/>
      <c r="AC1094" s="23"/>
      <c r="AD1094" s="16"/>
      <c r="AE1094" s="16"/>
      <c r="AF1094" s="27">
        <v>158.08000000000001</v>
      </c>
      <c r="AG1094" s="16"/>
      <c r="AH1094" s="16"/>
      <c r="AI1094" s="16"/>
      <c r="AJ1094" s="16"/>
      <c r="AK1094" s="16"/>
      <c r="AL1094" s="16"/>
      <c r="AM1094" s="16"/>
      <c r="AN1094" s="16"/>
      <c r="AO1094" s="16"/>
      <c r="AP1094" s="22" t="s">
        <v>240</v>
      </c>
      <c r="AQ1094" s="6" t="str">
        <f>CONCATENATE("REG-",BDEGENER[[#This Row],[FECHA DE SERVICIO]],"-",BDEGENER[[#This Row],[SERIE]],"-",BDEGENER[[#This Row],[HORAS]])</f>
        <v>REG-43362-9301202-158,08</v>
      </c>
      <c r="AR1094" s="5" t="str">
        <f>CONCATENATE("MARCA: ",BDEGENER[[#This Row],[MARCA]],"
 MODELO: ",BDEGENER[[#This Row],[MODELO]])</f>
        <v xml:space="preserve">MARCA: 
 MODELO: </v>
      </c>
      <c r="AS1094" s="5" t="str">
        <f>CONCATENATE("MARCA: ",BDEGENER[[#This Row],[MARCA DE MOTOR]],"
SERIE: ",BDEGENER[[#This Row],[SERIE DE MOTOR]])</f>
        <v xml:space="preserve">MARCA: 
SERIE: </v>
      </c>
      <c r="AT1094" s="5" t="str">
        <f>CONCATENATE("MARCA: ",BDEGENER[[#This Row],[MARCA ALTERNADOR ]],"
SERIE: ",BDEGENER[[#This Row],[SERIE DE ALTERNADOR]])</f>
        <v xml:space="preserve">MARCA: 
SERIE: </v>
      </c>
      <c r="AU1094" s="5" t="str">
        <f>CONCATENATE("HORAS: ",BDEGENER[[#This Row],[HORAS]],"
KW-HR: ",BDEGENER[[#This Row],[KW-HORA]],"
VOLT.BATERIA: ",BDEGENER[[#This Row],[VOLTAJE DE BATERIA]],"
TEMPERATURA: ",BDEGENER[[#This Row],[TEMPERATURA DE AGUA]],"
PRES. ACEITE: ",BDEGENER[[#This Row],[PRESION DE ACEITE]])</f>
        <v xml:space="preserve">HORAS: 158,08
KW-HR: 
VOLT.BATERIA: 
TEMPERATURA: 
PRES. ACEITE: </v>
      </c>
      <c r="AV1094" s="683">
        <f>COUNTIFS(Q1094:Q3094,"MANTENIMIENTO CORRECTIVO",Y1094:Y3094,BDEGENER[[#This Row],[SERIE]])</f>
        <v>0</v>
      </c>
      <c r="AW1094" s="683">
        <f>COUNTIFS(Q1094:Q3094,"MANTENIMIENTO PREVENTIVO",Y1094:Y3094,BDEGENER[[#This Row],[SERIE]])</f>
        <v>1</v>
      </c>
      <c r="AX109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94" s="29">
        <f>COUNTIFS(BDEGENER[SERIE],BDEGENER[[#This Row],[SERIE]],BDEGENER[TIPO DE SERVICIO],"MANTENIMIENTO PREVENTIVO")</f>
        <v>1</v>
      </c>
      <c r="AZ1094" s="29" t="str">
        <f>CONCATENATE("MANTENIMIENTO PREVENTIVO N°",BDEGENER[[#This Row],[GA1]])</f>
        <v>MANTENIMIENTO PREVENTIVO N°1</v>
      </c>
      <c r="BA1094" s="325">
        <f>IF(BDEGENER[[#This Row],[SERVICIO]]=BDEGENER[[#This Row],[GA2]],BDEGENER[[#This Row],[HORAS]],"0")</f>
        <v>158.08000000000001</v>
      </c>
      <c r="BB1094" s="325">
        <f>SUMIF(BDEGENER[SERIE],BDEGENER[[#This Row],[SERIE]],BDEGENER[GA3])</f>
        <v>158.08000000000001</v>
      </c>
      <c r="BC1094" s="683" t="str">
        <f>CONCATENATE("MANT",COUNTIF($Y$7:Y1094,Y1094))</f>
        <v>MANT1</v>
      </c>
      <c r="BD1094" s="29" t="str">
        <f>CONCATENATE(BDEGENER[[#This Row],[SERIE]],BDEGENER[[#This Row],[GA5]])</f>
        <v>9301202MANT1</v>
      </c>
      <c r="BE1094" s="29" t="str">
        <f>CONCATENATE(BDEGENER[[#This Row],[CODIGO PATRIMONIAL]],BDEGENER[[#This Row],[GA5]])</f>
        <v>21028MANT1</v>
      </c>
      <c r="BF1094" s="16">
        <f>COUNTIF(BDEGENER[SERIE],BDEGENER[[#This Row],[SERIE]])</f>
        <v>2</v>
      </c>
      <c r="BG1094" s="683" t="str">
        <f>CONCATENATE("F",COUNTIF($K$7:K1094,K1094))</f>
        <v>F2</v>
      </c>
      <c r="BH1094" s="325" t="str">
        <f>CONCATENATE(BDEGENER[[#This Row],[FECHA DE SERVICIO]],BDEGENER[[#This Row],[N° DE REGISTROS DEL DIA]])</f>
        <v>43362F2</v>
      </c>
      <c r="BI1094" s="324"/>
      <c r="BJ1094" s="325"/>
      <c r="BK1094" s="326"/>
    </row>
    <row r="1095" spans="2:63" ht="110.4" hidden="1" x14ac:dyDescent="0.3">
      <c r="B1095" s="33"/>
      <c r="C1095" s="33"/>
      <c r="D1095" s="33"/>
      <c r="E1095" s="33"/>
      <c r="F1095" s="33"/>
      <c r="G1095" s="33"/>
      <c r="H1095" s="33"/>
      <c r="I1095" s="33"/>
      <c r="J1095" s="33"/>
      <c r="K1095" s="38">
        <v>43362</v>
      </c>
      <c r="L1095" s="18" t="s">
        <v>248</v>
      </c>
      <c r="M1095" s="23" t="s">
        <v>265</v>
      </c>
      <c r="N1095" s="23" t="s">
        <v>266</v>
      </c>
      <c r="O1095" s="23"/>
      <c r="P1095" s="21"/>
      <c r="Q1095" s="22" t="s">
        <v>37</v>
      </c>
      <c r="R1095" s="85" t="s">
        <v>1782</v>
      </c>
      <c r="S1095" s="23" t="s">
        <v>388</v>
      </c>
      <c r="T1095" s="85" t="s">
        <v>1782</v>
      </c>
      <c r="U1095" s="23" t="s">
        <v>389</v>
      </c>
      <c r="V1095" s="23" t="s">
        <v>349</v>
      </c>
      <c r="W1095" s="85" t="s">
        <v>913</v>
      </c>
      <c r="X1095" s="23"/>
      <c r="Y1095" s="31" t="s">
        <v>515</v>
      </c>
      <c r="Z1095" s="16">
        <v>18324</v>
      </c>
      <c r="AA1095" s="85" t="s">
        <v>33</v>
      </c>
      <c r="AB1095" s="85" t="s">
        <v>500</v>
      </c>
      <c r="AC1095" s="23" t="s">
        <v>533</v>
      </c>
      <c r="AD1095" s="16"/>
      <c r="AE1095" s="16"/>
      <c r="AF1095" s="27" t="s">
        <v>540</v>
      </c>
      <c r="AG1095" s="85" t="s">
        <v>243</v>
      </c>
      <c r="AH1095" s="85" t="s">
        <v>1236</v>
      </c>
      <c r="AI1095" s="85" t="s">
        <v>844</v>
      </c>
      <c r="AJ1095" s="16"/>
      <c r="AK1095" s="85" t="s">
        <v>1235</v>
      </c>
      <c r="AL1095" s="16"/>
      <c r="AM1095" s="16"/>
      <c r="AN1095" s="16"/>
      <c r="AO1095" s="16"/>
      <c r="AP1095" s="22" t="s">
        <v>240</v>
      </c>
      <c r="AQ1095" s="6" t="str">
        <f>CONCATENATE("REG-",BDEGENER[[#This Row],[FECHA DE SERVICIO]],"-",BDEGENER[[#This Row],[SERIE]],"-",BDEGENER[[#This Row],[HORAS]])</f>
        <v>REG-43362-PEE2613304-1466,6</v>
      </c>
      <c r="AR1095" s="5" t="str">
        <f>CONCATENATE("MARCA: ",BDEGENER[[#This Row],[MARCA]],"
 MODELO: ",BDEGENER[[#This Row],[MODELO]])</f>
        <v>MARCA: GENERAC
 MODELO: PMY20B</v>
      </c>
      <c r="AS1095" s="5" t="str">
        <f>CONCATENATE("MARCA: ",BDEGENER[[#This Row],[MARCA DE MOTOR]],"
SERIE: ",BDEGENER[[#This Row],[SERIE DE MOTOR]])</f>
        <v xml:space="preserve">MARCA: PERKINS
SERIE: </v>
      </c>
      <c r="AT1095" s="5" t="str">
        <f>CONCATENATE("MARCA: ",BDEGENER[[#This Row],[MARCA ALTERNADOR ]],"
SERIE: ",BDEGENER[[#This Row],[SERIE DE ALTERNADOR]])</f>
        <v xml:space="preserve">MARCA: MECC ALTE
SERIE: </v>
      </c>
      <c r="AU1095" s="5" t="str">
        <f>CONCATENATE("HORAS: ",BDEGENER[[#This Row],[HORAS]],"
KW-HR: ",BDEGENER[[#This Row],[KW-HORA]],"
VOLT.BATERIA: ",BDEGENER[[#This Row],[VOLTAJE DE BATERIA]],"
TEMPERATURA: ",BDEGENER[[#This Row],[TEMPERATURA DE AGUA]],"
PRES. ACEITE: ",BDEGENER[[#This Row],[PRESION DE ACEITE]])</f>
        <v xml:space="preserve">HORAS: 1466,6
KW-HR: 
VOLT.BATERIA: 
TEMPERATURA: 
PRES. ACEITE: </v>
      </c>
      <c r="AV1095" s="683">
        <f>COUNTIFS(Q1095:Q3095,"MANTENIMIENTO CORRECTIVO",Y1095:Y3095,BDEGENER[[#This Row],[SERIE]])</f>
        <v>0</v>
      </c>
      <c r="AW1095" s="683">
        <f>COUNTIFS(Q1095:Q3095,"MANTENIMIENTO PREVENTIVO",Y1095:Y3095,BDEGENER[[#This Row],[SERIE]])</f>
        <v>1</v>
      </c>
      <c r="AX109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95" s="29">
        <f>COUNTIFS(BDEGENER[SERIE],BDEGENER[[#This Row],[SERIE]],BDEGENER[TIPO DE SERVICIO],"MANTENIMIENTO PREVENTIVO")</f>
        <v>1</v>
      </c>
      <c r="AZ1095" s="29" t="str">
        <f>CONCATENATE("MANTENIMIENTO PREVENTIVO N°",BDEGENER[[#This Row],[GA1]])</f>
        <v>MANTENIMIENTO PREVENTIVO N°1</v>
      </c>
      <c r="BA1095" s="325" t="str">
        <f>IF(BDEGENER[[#This Row],[SERVICIO]]=BDEGENER[[#This Row],[GA2]],BDEGENER[[#This Row],[HORAS]],"0")</f>
        <v>1466,6</v>
      </c>
      <c r="BB1095" s="325">
        <f>SUMIF(BDEGENER[SERIE],BDEGENER[[#This Row],[SERIE]],BDEGENER[GA3])</f>
        <v>0</v>
      </c>
      <c r="BC1095" s="683" t="str">
        <f>CONCATENATE("MANT",COUNTIF($Y$7:Y1095,Y1095))</f>
        <v>MANT1</v>
      </c>
      <c r="BD1095" s="29" t="str">
        <f>CONCATENATE(BDEGENER[[#This Row],[SERIE]],BDEGENER[[#This Row],[GA5]])</f>
        <v>PEE2613304MANT1</v>
      </c>
      <c r="BE1095" s="29" t="str">
        <f>CONCATENATE(BDEGENER[[#This Row],[CODIGO PATRIMONIAL]],BDEGENER[[#This Row],[GA5]])</f>
        <v>18324MANT1</v>
      </c>
      <c r="BF1095" s="16">
        <f>COUNTIF(BDEGENER[SERIE],BDEGENER[[#This Row],[SERIE]])</f>
        <v>1</v>
      </c>
      <c r="BG1095" s="683" t="str">
        <f>CONCATENATE("F",COUNTIF($K$7:K1095,K1095))</f>
        <v>F3</v>
      </c>
      <c r="BH1095" s="325" t="str">
        <f>CONCATENATE(BDEGENER[[#This Row],[FECHA DE SERVICIO]],BDEGENER[[#This Row],[N° DE REGISTROS DEL DIA]])</f>
        <v>43362F3</v>
      </c>
      <c r="BI1095" s="324"/>
      <c r="BJ1095" s="325"/>
      <c r="BK1095" s="326"/>
    </row>
    <row r="1096" spans="2:63" ht="69" hidden="1" x14ac:dyDescent="0.3">
      <c r="B1096" s="33"/>
      <c r="C1096" s="33"/>
      <c r="D1096" s="33"/>
      <c r="E1096" s="33"/>
      <c r="F1096" s="33"/>
      <c r="G1096" s="33"/>
      <c r="H1096" s="33"/>
      <c r="I1096" s="33"/>
      <c r="J1096" s="33"/>
      <c r="K1096" s="38">
        <v>43362</v>
      </c>
      <c r="L1096" s="18" t="s">
        <v>248</v>
      </c>
      <c r="M1096" s="23" t="s">
        <v>291</v>
      </c>
      <c r="N1096" s="85" t="s">
        <v>1409</v>
      </c>
      <c r="O1096" s="23"/>
      <c r="P1096" s="21"/>
      <c r="Q1096" s="22" t="s">
        <v>37</v>
      </c>
      <c r="R1096" s="85" t="s">
        <v>1782</v>
      </c>
      <c r="S1096" s="25" t="s">
        <v>390</v>
      </c>
      <c r="T1096" s="25" t="s">
        <v>391</v>
      </c>
      <c r="U1096" s="25" t="s">
        <v>392</v>
      </c>
      <c r="V1096" s="25" t="s">
        <v>349</v>
      </c>
      <c r="W1096" s="25"/>
      <c r="X1096" s="25"/>
      <c r="Y1096" s="31">
        <v>9319804</v>
      </c>
      <c r="Z1096" s="16">
        <v>17523</v>
      </c>
      <c r="AA1096" s="85" t="s">
        <v>33</v>
      </c>
      <c r="AB1096" s="85">
        <v>65610</v>
      </c>
      <c r="AC1096" s="23" t="s">
        <v>535</v>
      </c>
      <c r="AD1096" s="16"/>
      <c r="AE1096" s="16"/>
      <c r="AF1096" s="27">
        <v>872.68</v>
      </c>
      <c r="AG1096" s="85" t="s">
        <v>1412</v>
      </c>
      <c r="AH1096" s="85" t="s">
        <v>1413</v>
      </c>
      <c r="AI1096" s="85" t="s">
        <v>33</v>
      </c>
      <c r="AJ1096" s="16"/>
      <c r="AK1096" s="85" t="s">
        <v>33</v>
      </c>
      <c r="AL1096" s="16"/>
      <c r="AM1096" s="16"/>
      <c r="AN1096" s="16"/>
      <c r="AO1096" s="16"/>
      <c r="AP1096" s="22" t="s">
        <v>240</v>
      </c>
      <c r="AQ1096" s="6" t="str">
        <f>CONCATENATE("REG-",BDEGENER[[#This Row],[FECHA DE SERVICIO]],"-",BDEGENER[[#This Row],[SERIE]],"-",BDEGENER[[#This Row],[HORAS]])</f>
        <v>REG-43362-9319804-872,68</v>
      </c>
      <c r="AR1096" s="5" t="str">
        <f>CONCATENATE("MARCA: ",BDEGENER[[#This Row],[MARCA]],"
 MODELO: ",BDEGENER[[#This Row],[MODELO]])</f>
        <v>MARCA: GENERAC
 MODELO: 65610</v>
      </c>
      <c r="AS1096" s="5" t="str">
        <f>CONCATENATE("MARCA: ",BDEGENER[[#This Row],[MARCA DE MOTOR]],"
SERIE: ",BDEGENER[[#This Row],[SERIE DE MOTOR]])</f>
        <v xml:space="preserve">MARCA: GENERAC
SERIE: </v>
      </c>
      <c r="AT1096" s="5" t="str">
        <f>CONCATENATE("MARCA: ",BDEGENER[[#This Row],[MARCA ALTERNADOR ]],"
SERIE: ",BDEGENER[[#This Row],[SERIE DE ALTERNADOR]])</f>
        <v xml:space="preserve">MARCA: GENERAC
SERIE: </v>
      </c>
      <c r="AU1096" s="5" t="str">
        <f>CONCATENATE("HORAS: ",BDEGENER[[#This Row],[HORAS]],"
KW-HR: ",BDEGENER[[#This Row],[KW-HORA]],"
VOLT.BATERIA: ",BDEGENER[[#This Row],[VOLTAJE DE BATERIA]],"
TEMPERATURA: ",BDEGENER[[#This Row],[TEMPERATURA DE AGUA]],"
PRES. ACEITE: ",BDEGENER[[#This Row],[PRESION DE ACEITE]])</f>
        <v xml:space="preserve">HORAS: 872,68
KW-HR: 
VOLT.BATERIA: 
TEMPERATURA: 
PRES. ACEITE: </v>
      </c>
      <c r="AV1096" s="761">
        <f>COUNTIFS(Q1096:Q3096,"MANTENIMIENTO CORRECTIVO",Y1096:Y3096,BDEGENER[[#This Row],[SERIE]])</f>
        <v>6</v>
      </c>
      <c r="AW1096" s="761">
        <f>COUNTIFS(Q1096:Q3096,"MANTENIMIENTO PREVENTIVO",Y1096:Y3096,BDEGENER[[#This Row],[SERIE]])</f>
        <v>2</v>
      </c>
      <c r="AX109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096" s="29">
        <f>COUNTIFS(BDEGENER[SERIE],BDEGENER[[#This Row],[SERIE]],BDEGENER[TIPO DE SERVICIO],"MANTENIMIENTO PREVENTIVO")</f>
        <v>2</v>
      </c>
      <c r="AZ1096" s="29" t="str">
        <f>CONCATENATE("MANTENIMIENTO PREVENTIVO N°",BDEGENER[[#This Row],[GA1]])</f>
        <v>MANTENIMIENTO PREVENTIVO N°2</v>
      </c>
      <c r="BA1096" s="325">
        <f>IF(BDEGENER[[#This Row],[SERVICIO]]=BDEGENER[[#This Row],[GA2]],BDEGENER[[#This Row],[HORAS]],"0")</f>
        <v>872.68</v>
      </c>
      <c r="BB1096" s="325">
        <f>SUMIF(BDEGENER[SERIE],BDEGENER[[#This Row],[SERIE]],BDEGENER[GA3])</f>
        <v>872.68</v>
      </c>
      <c r="BC1096" s="761" t="str">
        <f>CONCATENATE("MANT",COUNTIF($Y$7:Y1096,Y1096))</f>
        <v>MANT3</v>
      </c>
      <c r="BD1096" s="29" t="str">
        <f>CONCATENATE(BDEGENER[[#This Row],[SERIE]],BDEGENER[[#This Row],[GA5]])</f>
        <v>9319804MANT3</v>
      </c>
      <c r="BE1096" s="29" t="str">
        <f>CONCATENATE(BDEGENER[[#This Row],[CODIGO PATRIMONIAL]],BDEGENER[[#This Row],[GA5]])</f>
        <v>17523MANT3</v>
      </c>
      <c r="BF1096" s="16">
        <f>COUNTIF(BDEGENER[SERIE],BDEGENER[[#This Row],[SERIE]])</f>
        <v>10</v>
      </c>
      <c r="BG1096" s="761" t="str">
        <f>CONCATENATE("F",COUNTIF($K$7:K1096,K1096))</f>
        <v>F4</v>
      </c>
      <c r="BH1096" s="325" t="str">
        <f>CONCATENATE(BDEGENER[[#This Row],[FECHA DE SERVICIO]],BDEGENER[[#This Row],[N° DE REGISTROS DEL DIA]])</f>
        <v>43362F4</v>
      </c>
      <c r="BI1096" s="324"/>
      <c r="BJ1096" s="325"/>
      <c r="BK1096" s="326"/>
    </row>
    <row r="1097" spans="2:63" ht="82.8" hidden="1" x14ac:dyDescent="0.3">
      <c r="B1097" s="33"/>
      <c r="C1097" s="33"/>
      <c r="D1097" s="33"/>
      <c r="E1097" s="33"/>
      <c r="F1097" s="33"/>
      <c r="G1097" s="33"/>
      <c r="H1097" s="33"/>
      <c r="I1097" s="33"/>
      <c r="J1097" s="33"/>
      <c r="K1097" s="38">
        <v>43361</v>
      </c>
      <c r="L1097" s="18" t="s">
        <v>248</v>
      </c>
      <c r="M1097" s="23" t="s">
        <v>265</v>
      </c>
      <c r="N1097" s="23" t="s">
        <v>266</v>
      </c>
      <c r="O1097" s="23"/>
      <c r="P1097" s="21"/>
      <c r="Q1097" s="22" t="s">
        <v>37</v>
      </c>
      <c r="R1097" s="85" t="s">
        <v>1782</v>
      </c>
      <c r="S1097" s="25" t="s">
        <v>393</v>
      </c>
      <c r="T1097" s="85" t="s">
        <v>1782</v>
      </c>
      <c r="U1097" s="25" t="s">
        <v>394</v>
      </c>
      <c r="V1097" s="25" t="s">
        <v>349</v>
      </c>
      <c r="W1097" s="25"/>
      <c r="X1097" s="25" t="s">
        <v>917</v>
      </c>
      <c r="Y1097" s="31" t="s">
        <v>516</v>
      </c>
      <c r="Z1097" s="16">
        <v>21011</v>
      </c>
      <c r="AA1097" s="16" t="s">
        <v>33</v>
      </c>
      <c r="AB1097" s="16" t="s">
        <v>498</v>
      </c>
      <c r="AC1097" s="23" t="s">
        <v>533</v>
      </c>
      <c r="AD1097" s="16"/>
      <c r="AE1097" s="16"/>
      <c r="AF1097" s="27" t="s">
        <v>541</v>
      </c>
      <c r="AG1097" s="16"/>
      <c r="AH1097" s="16"/>
      <c r="AI1097" s="16"/>
      <c r="AJ1097" s="16"/>
      <c r="AK1097" s="16"/>
      <c r="AL1097" s="16"/>
      <c r="AM1097" s="16"/>
      <c r="AN1097" s="16"/>
      <c r="AO1097" s="16"/>
      <c r="AP1097" s="22" t="s">
        <v>240</v>
      </c>
      <c r="AQ1097" s="6" t="str">
        <f>CONCATENATE("REG-",BDEGENER[[#This Row],[FECHA DE SERVICIO]],"-",BDEGENER[[#This Row],[SERIE]],"-",BDEGENER[[#This Row],[HORAS]])</f>
        <v>REG-43361-PEE2616962-791,6</v>
      </c>
      <c r="AR1097" s="5" t="str">
        <f>CONCATENATE("MARCA: ",BDEGENER[[#This Row],[MARCA]],"
 MODELO: ",BDEGENER[[#This Row],[MODELO]])</f>
        <v>MARCA: GENERAC
 MODELO: GOO68640</v>
      </c>
      <c r="AS1097" s="5" t="str">
        <f>CONCATENATE("MARCA: ",BDEGENER[[#This Row],[MARCA DE MOTOR]],"
SERIE: ",BDEGENER[[#This Row],[SERIE DE MOTOR]])</f>
        <v xml:space="preserve">MARCA: 
SERIE: </v>
      </c>
      <c r="AT1097" s="5" t="str">
        <f>CONCATENATE("MARCA: ",BDEGENER[[#This Row],[MARCA ALTERNADOR ]],"
SERIE: ",BDEGENER[[#This Row],[SERIE DE ALTERNADOR]])</f>
        <v xml:space="preserve">MARCA: 
SERIE: </v>
      </c>
      <c r="AU1097" s="5" t="str">
        <f>CONCATENATE("HORAS: ",BDEGENER[[#This Row],[HORAS]],"
KW-HR: ",BDEGENER[[#This Row],[KW-HORA]],"
VOLT.BATERIA: ",BDEGENER[[#This Row],[VOLTAJE DE BATERIA]],"
TEMPERATURA: ",BDEGENER[[#This Row],[TEMPERATURA DE AGUA]],"
PRES. ACEITE: ",BDEGENER[[#This Row],[PRESION DE ACEITE]])</f>
        <v xml:space="preserve">HORAS: 791,6
KW-HR: 
VOLT.BATERIA: 
TEMPERATURA: 
PRES. ACEITE: </v>
      </c>
      <c r="AV1097" s="683">
        <f>COUNTIFS(Q1097:Q3097,"MANTENIMIENTO CORRECTIVO",Y1097:Y3097,BDEGENER[[#This Row],[SERIE]])</f>
        <v>0</v>
      </c>
      <c r="AW1097" s="683">
        <f>COUNTIFS(Q1097:Q3097,"MANTENIMIENTO PREVENTIVO",Y1097:Y3097,BDEGENER[[#This Row],[SERIE]])</f>
        <v>1</v>
      </c>
      <c r="AX109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097" s="29">
        <f>COUNTIFS(BDEGENER[SERIE],BDEGENER[[#This Row],[SERIE]],BDEGENER[TIPO DE SERVICIO],"MANTENIMIENTO PREVENTIVO")</f>
        <v>1</v>
      </c>
      <c r="AZ1097" s="29" t="str">
        <f>CONCATENATE("MANTENIMIENTO PREVENTIVO N°",BDEGENER[[#This Row],[GA1]])</f>
        <v>MANTENIMIENTO PREVENTIVO N°1</v>
      </c>
      <c r="BA1097" s="325" t="str">
        <f>IF(BDEGENER[[#This Row],[SERVICIO]]=BDEGENER[[#This Row],[GA2]],BDEGENER[[#This Row],[HORAS]],"0")</f>
        <v>791,6</v>
      </c>
      <c r="BB1097" s="325">
        <f>SUMIF(BDEGENER[SERIE],BDEGENER[[#This Row],[SERIE]],BDEGENER[GA3])</f>
        <v>0</v>
      </c>
      <c r="BC1097" s="683" t="str">
        <f>CONCATENATE("MANT",COUNTIF($Y$7:Y1097,Y1097))</f>
        <v>MANT1</v>
      </c>
      <c r="BD1097" s="29" t="str">
        <f>CONCATENATE(BDEGENER[[#This Row],[SERIE]],BDEGENER[[#This Row],[GA5]])</f>
        <v>PEE2616962MANT1</v>
      </c>
      <c r="BE1097" s="29" t="str">
        <f>CONCATENATE(BDEGENER[[#This Row],[CODIGO PATRIMONIAL]],BDEGENER[[#This Row],[GA5]])</f>
        <v>21011MANT1</v>
      </c>
      <c r="BF1097" s="16">
        <f>COUNTIF(BDEGENER[SERIE],BDEGENER[[#This Row],[SERIE]])</f>
        <v>1</v>
      </c>
      <c r="BG1097" s="683" t="str">
        <f>CONCATENATE("F",COUNTIF($K$7:K1097,K1097))</f>
        <v>F1</v>
      </c>
      <c r="BH1097" s="325" t="str">
        <f>CONCATENATE(BDEGENER[[#This Row],[FECHA DE SERVICIO]],BDEGENER[[#This Row],[N° DE REGISTROS DEL DIA]])</f>
        <v>43361F1</v>
      </c>
      <c r="BI1097" s="324"/>
      <c r="BJ1097" s="325"/>
      <c r="BK1097" s="326"/>
    </row>
    <row r="1098" spans="2:63" ht="69" hidden="1" x14ac:dyDescent="0.3">
      <c r="B1098" s="33"/>
      <c r="C1098" s="33"/>
      <c r="D1098" s="33"/>
      <c r="E1098" s="33"/>
      <c r="F1098" s="33"/>
      <c r="G1098" s="33"/>
      <c r="H1098" s="33"/>
      <c r="I1098" s="33"/>
      <c r="J1098" s="33"/>
      <c r="K1098" s="38">
        <v>43354</v>
      </c>
      <c r="L1098" s="18" t="s">
        <v>248</v>
      </c>
      <c r="M1098" s="23" t="s">
        <v>285</v>
      </c>
      <c r="N1098" s="23" t="s">
        <v>286</v>
      </c>
      <c r="O1098" s="23"/>
      <c r="P1098" s="21"/>
      <c r="Q1098" s="23" t="s">
        <v>107</v>
      </c>
      <c r="R1098" s="85" t="s">
        <v>1782</v>
      </c>
      <c r="S1098" s="25" t="s">
        <v>395</v>
      </c>
      <c r="T1098" s="25" t="s">
        <v>396</v>
      </c>
      <c r="U1098" s="25"/>
      <c r="V1098" s="25" t="s">
        <v>349</v>
      </c>
      <c r="W1098" s="25"/>
      <c r="X1098" s="25"/>
      <c r="Y1098" s="31">
        <v>9301207</v>
      </c>
      <c r="Z1098" s="16">
        <v>17524</v>
      </c>
      <c r="AA1098" s="16"/>
      <c r="AB1098" s="16" t="s">
        <v>512</v>
      </c>
      <c r="AC1098" s="23" t="s">
        <v>535</v>
      </c>
      <c r="AD1098" s="16"/>
      <c r="AE1098" s="16"/>
      <c r="AF1098" s="27" t="s">
        <v>542</v>
      </c>
      <c r="AG1098" s="16"/>
      <c r="AH1098" s="16"/>
      <c r="AI1098" s="16"/>
      <c r="AJ1098" s="16"/>
      <c r="AK1098" s="16"/>
      <c r="AL1098" s="16"/>
      <c r="AM1098" s="16"/>
      <c r="AN1098" s="16"/>
      <c r="AO1098" s="16"/>
      <c r="AP1098" s="22" t="s">
        <v>240</v>
      </c>
      <c r="AQ1098" s="6" t="str">
        <f>CONCATENATE("REG-",BDEGENER[[#This Row],[FECHA DE SERVICIO]],"-",BDEGENER[[#This Row],[SERIE]],"-",BDEGENER[[#This Row],[HORAS]])</f>
        <v>REG-43354-9301207-1165,74</v>
      </c>
      <c r="AR1098" s="5" t="str">
        <f>CONCATENATE("MARCA: ",BDEGENER[[#This Row],[MARCA]],"
 MODELO: ",BDEGENER[[#This Row],[MODELO]])</f>
        <v xml:space="preserve">MARCA: 
 MODELO: POWER PACT </v>
      </c>
      <c r="AS1098" s="5" t="str">
        <f>CONCATENATE("MARCA: ",BDEGENER[[#This Row],[MARCA DE MOTOR]],"
SERIE: ",BDEGENER[[#This Row],[SERIE DE MOTOR]])</f>
        <v xml:space="preserve">MARCA: 
SERIE: </v>
      </c>
      <c r="AT1098" s="5" t="str">
        <f>CONCATENATE("MARCA: ",BDEGENER[[#This Row],[MARCA ALTERNADOR ]],"
SERIE: ",BDEGENER[[#This Row],[SERIE DE ALTERNADOR]])</f>
        <v xml:space="preserve">MARCA: 
SERIE: </v>
      </c>
      <c r="AU1098" s="5" t="str">
        <f>CONCATENATE("HORAS: ",BDEGENER[[#This Row],[HORAS]],"
KW-HR: ",BDEGENER[[#This Row],[KW-HORA]],"
VOLT.BATERIA: ",BDEGENER[[#This Row],[VOLTAJE DE BATERIA]],"
TEMPERATURA: ",BDEGENER[[#This Row],[TEMPERATURA DE AGUA]],"
PRES. ACEITE: ",BDEGENER[[#This Row],[PRESION DE ACEITE]])</f>
        <v xml:space="preserve">HORAS: 1165,74
KW-HR: 
VOLT.BATERIA: 
TEMPERATURA: 
PRES. ACEITE: </v>
      </c>
      <c r="AV1098" s="683">
        <f>COUNTIFS(Q1098:Q3098,"MANTENIMIENTO CORRECTIVO",Y1098:Y3098,BDEGENER[[#This Row],[SERIE]])</f>
        <v>4</v>
      </c>
      <c r="AW1098" s="683">
        <f>COUNTIFS(Q1098:Q3098,"MANTENIMIENTO PREVENTIVO",Y1098:Y3098,BDEGENER[[#This Row],[SERIE]])</f>
        <v>3</v>
      </c>
      <c r="AX109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1098" s="29">
        <f>COUNTIFS(BDEGENER[SERIE],BDEGENER[[#This Row],[SERIE]],BDEGENER[TIPO DE SERVICIO],"MANTENIMIENTO PREVENTIVO")</f>
        <v>3</v>
      </c>
      <c r="AZ1098" s="29" t="str">
        <f>CONCATENATE("MANTENIMIENTO PREVENTIVO N°",BDEGENER[[#This Row],[GA1]])</f>
        <v>MANTENIMIENTO PREVENTIVO N°3</v>
      </c>
      <c r="BA1098" s="325" t="str">
        <f>IF(BDEGENER[[#This Row],[SERVICIO]]=BDEGENER[[#This Row],[GA2]],BDEGENER[[#This Row],[HORAS]],"0")</f>
        <v>0</v>
      </c>
      <c r="BB1098" s="325">
        <f>SUMIF(BDEGENER[SERIE],BDEGENER[[#This Row],[SERIE]],BDEGENER[GA3])</f>
        <v>0</v>
      </c>
      <c r="BC1098" s="683" t="str">
        <f>CONCATENATE("MANT",COUNTIF($Y$7:Y1098,Y1098))</f>
        <v>MANT2</v>
      </c>
      <c r="BD1098" s="29" t="str">
        <f>CONCATENATE(BDEGENER[[#This Row],[SERIE]],BDEGENER[[#This Row],[GA5]])</f>
        <v>9301207MANT2</v>
      </c>
      <c r="BE1098" s="29" t="str">
        <f>CONCATENATE(BDEGENER[[#This Row],[CODIGO PATRIMONIAL]],BDEGENER[[#This Row],[GA5]])</f>
        <v>17524MANT2</v>
      </c>
      <c r="BF1098" s="16">
        <f>COUNTIF(BDEGENER[SERIE],BDEGENER[[#This Row],[SERIE]])</f>
        <v>8</v>
      </c>
      <c r="BG1098" s="683" t="str">
        <f>CONCATENATE("F",COUNTIF($K$7:K1098,K1098))</f>
        <v>F1</v>
      </c>
      <c r="BH1098" s="325" t="str">
        <f>CONCATENATE(BDEGENER[[#This Row],[FECHA DE SERVICIO]],BDEGENER[[#This Row],[N° DE REGISTROS DEL DIA]])</f>
        <v>43354F1</v>
      </c>
      <c r="BI1098" s="324"/>
      <c r="BJ1098" s="325"/>
      <c r="BK1098" s="326"/>
    </row>
    <row r="1099" spans="2:63" ht="82.8" hidden="1" x14ac:dyDescent="0.3">
      <c r="B1099" s="33"/>
      <c r="C1099" s="33"/>
      <c r="D1099" s="33"/>
      <c r="E1099" s="33"/>
      <c r="F1099" s="33"/>
      <c r="G1099" s="33"/>
      <c r="H1099" s="33"/>
      <c r="I1099" s="33"/>
      <c r="J1099" s="33"/>
      <c r="K1099" s="38">
        <v>43354</v>
      </c>
      <c r="L1099" s="18" t="s">
        <v>248</v>
      </c>
      <c r="M1099" s="23" t="s">
        <v>265</v>
      </c>
      <c r="N1099" s="23" t="s">
        <v>266</v>
      </c>
      <c r="O1099" s="23"/>
      <c r="P1099" s="21"/>
      <c r="Q1099" s="23" t="s">
        <v>37</v>
      </c>
      <c r="R1099" s="85" t="s">
        <v>1782</v>
      </c>
      <c r="S1099" s="25" t="s">
        <v>397</v>
      </c>
      <c r="T1099" s="85" t="s">
        <v>1782</v>
      </c>
      <c r="U1099" s="25" t="s">
        <v>398</v>
      </c>
      <c r="V1099" s="25" t="s">
        <v>349</v>
      </c>
      <c r="W1099" s="25"/>
      <c r="X1099" s="25" t="s">
        <v>917</v>
      </c>
      <c r="Y1099" s="31" t="s">
        <v>517</v>
      </c>
      <c r="Z1099" s="16">
        <v>21011</v>
      </c>
      <c r="AA1099" s="16" t="s">
        <v>33</v>
      </c>
      <c r="AB1099" s="16" t="s">
        <v>498</v>
      </c>
      <c r="AC1099" s="23" t="s">
        <v>533</v>
      </c>
      <c r="AD1099" s="16"/>
      <c r="AE1099" s="16"/>
      <c r="AF1099" s="27" t="s">
        <v>543</v>
      </c>
      <c r="AG1099" s="16"/>
      <c r="AH1099" s="16"/>
      <c r="AI1099" s="16"/>
      <c r="AJ1099" s="16"/>
      <c r="AK1099" s="16"/>
      <c r="AL1099" s="16"/>
      <c r="AM1099" s="16"/>
      <c r="AN1099" s="16"/>
      <c r="AO1099" s="16"/>
      <c r="AP1099" s="22" t="s">
        <v>240</v>
      </c>
      <c r="AQ1099" s="6" t="str">
        <f>CONCATENATE("REG-",BDEGENER[[#This Row],[FECHA DE SERVICIO]],"-",BDEGENER[[#This Row],[SERIE]],"-",BDEGENER[[#This Row],[HORAS]])</f>
        <v>REG-43354-PEE2613893-666,1</v>
      </c>
      <c r="AR1099" s="5" t="str">
        <f>CONCATENATE("MARCA: ",BDEGENER[[#This Row],[MARCA]],"
 MODELO: ",BDEGENER[[#This Row],[MODELO]])</f>
        <v>MARCA: GENERAC
 MODELO: GOO68640</v>
      </c>
      <c r="AS1099" s="5" t="str">
        <f>CONCATENATE("MARCA: ",BDEGENER[[#This Row],[MARCA DE MOTOR]],"
SERIE: ",BDEGENER[[#This Row],[SERIE DE MOTOR]])</f>
        <v xml:space="preserve">MARCA: 
SERIE: </v>
      </c>
      <c r="AT1099" s="5" t="str">
        <f>CONCATENATE("MARCA: ",BDEGENER[[#This Row],[MARCA ALTERNADOR ]],"
SERIE: ",BDEGENER[[#This Row],[SERIE DE ALTERNADOR]])</f>
        <v xml:space="preserve">MARCA: 
SERIE: </v>
      </c>
      <c r="AU1099" s="5" t="str">
        <f>CONCATENATE("HORAS: ",BDEGENER[[#This Row],[HORAS]],"
KW-HR: ",BDEGENER[[#This Row],[KW-HORA]],"
VOLT.BATERIA: ",BDEGENER[[#This Row],[VOLTAJE DE BATERIA]],"
TEMPERATURA: ",BDEGENER[[#This Row],[TEMPERATURA DE AGUA]],"
PRES. ACEITE: ",BDEGENER[[#This Row],[PRESION DE ACEITE]])</f>
        <v xml:space="preserve">HORAS: 666,1
KW-HR: 
VOLT.BATERIA: 
TEMPERATURA: 
PRES. ACEITE: </v>
      </c>
      <c r="AV1099" s="761">
        <f>COUNTIFS(Q1099:Q3099,"MANTENIMIENTO CORRECTIVO",Y1099:Y3099,BDEGENER[[#This Row],[SERIE]])</f>
        <v>0</v>
      </c>
      <c r="AW1099" s="761">
        <f>COUNTIFS(Q1099:Q3099,"MANTENIMIENTO PREVENTIVO",Y1099:Y3099,BDEGENER[[#This Row],[SERIE]])</f>
        <v>3</v>
      </c>
      <c r="AX109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099" s="29">
        <f>COUNTIFS(BDEGENER[SERIE],BDEGENER[[#This Row],[SERIE]],BDEGENER[TIPO DE SERVICIO],"MANTENIMIENTO PREVENTIVO")</f>
        <v>3</v>
      </c>
      <c r="AZ1099" s="29" t="str">
        <f>CONCATENATE("MANTENIMIENTO PREVENTIVO N°",BDEGENER[[#This Row],[GA1]])</f>
        <v>MANTENIMIENTO PREVENTIVO N°3</v>
      </c>
      <c r="BA1099" s="325" t="str">
        <f>IF(BDEGENER[[#This Row],[SERVICIO]]=BDEGENER[[#This Row],[GA2]],BDEGENER[[#This Row],[HORAS]],"0")</f>
        <v>666,1</v>
      </c>
      <c r="BB1099" s="325">
        <f>SUMIF(BDEGENER[SERIE],BDEGENER[[#This Row],[SERIE]],BDEGENER[GA3])</f>
        <v>0</v>
      </c>
      <c r="BC1099" s="761" t="str">
        <f>CONCATENATE("MANT",COUNTIF($Y$7:Y1099,Y1099))</f>
        <v>MANT1</v>
      </c>
      <c r="BD1099" s="29" t="str">
        <f>CONCATENATE(BDEGENER[[#This Row],[SERIE]],BDEGENER[[#This Row],[GA5]])</f>
        <v>PEE2613893MANT1</v>
      </c>
      <c r="BE1099" s="29" t="str">
        <f>CONCATENATE(BDEGENER[[#This Row],[CODIGO PATRIMONIAL]],BDEGENER[[#This Row],[GA5]])</f>
        <v>21011MANT1</v>
      </c>
      <c r="BF1099" s="16">
        <f>COUNTIF(BDEGENER[SERIE],BDEGENER[[#This Row],[SERIE]])</f>
        <v>3</v>
      </c>
      <c r="BG1099" s="761" t="str">
        <f>CONCATENATE("F",COUNTIF($K$7:K1099,K1099))</f>
        <v>F2</v>
      </c>
      <c r="BH1099" s="325" t="str">
        <f>CONCATENATE(BDEGENER[[#This Row],[FECHA DE SERVICIO]],BDEGENER[[#This Row],[N° DE REGISTROS DEL DIA]])</f>
        <v>43354F2</v>
      </c>
      <c r="BI1099" s="324"/>
      <c r="BJ1099" s="325"/>
      <c r="BK1099" s="326"/>
    </row>
    <row r="1100" spans="2:63" ht="69" hidden="1" x14ac:dyDescent="0.3">
      <c r="B1100" s="33"/>
      <c r="C1100" s="33"/>
      <c r="D1100" s="33"/>
      <c r="E1100" s="33"/>
      <c r="F1100" s="33"/>
      <c r="G1100" s="33"/>
      <c r="H1100" s="33"/>
      <c r="I1100" s="33"/>
      <c r="J1100" s="33"/>
      <c r="K1100" s="38">
        <v>43342</v>
      </c>
      <c r="L1100" s="18" t="s">
        <v>248</v>
      </c>
      <c r="M1100" s="23" t="s">
        <v>295</v>
      </c>
      <c r="N1100" s="23" t="s">
        <v>256</v>
      </c>
      <c r="O1100" s="23"/>
      <c r="P1100" s="21"/>
      <c r="Q1100" s="22" t="s">
        <v>109</v>
      </c>
      <c r="R1100" s="85" t="s">
        <v>1782</v>
      </c>
      <c r="S1100" s="25" t="s">
        <v>399</v>
      </c>
      <c r="T1100" s="25" t="s">
        <v>400</v>
      </c>
      <c r="U1100" s="25"/>
      <c r="V1100" s="25" t="s">
        <v>349</v>
      </c>
      <c r="W1100" s="25"/>
      <c r="X1100" s="25"/>
      <c r="Y1100" s="31">
        <v>9319845</v>
      </c>
      <c r="Z1100" s="16">
        <v>21026</v>
      </c>
      <c r="AA1100" s="16"/>
      <c r="AB1100" s="16"/>
      <c r="AC1100" s="23" t="s">
        <v>534</v>
      </c>
      <c r="AD1100" s="16"/>
      <c r="AE1100" s="16"/>
      <c r="AF1100" s="27">
        <v>0</v>
      </c>
      <c r="AG1100" s="16"/>
      <c r="AH1100" s="16"/>
      <c r="AI1100" s="16"/>
      <c r="AJ1100" s="16"/>
      <c r="AK1100" s="16"/>
      <c r="AL1100" s="16"/>
      <c r="AM1100" s="16"/>
      <c r="AN1100" s="16"/>
      <c r="AO1100" s="16"/>
      <c r="AP1100" s="22" t="s">
        <v>240</v>
      </c>
      <c r="AQ1100" s="6" t="str">
        <f>CONCATENATE("REG-",BDEGENER[[#This Row],[FECHA DE SERVICIO]],"-",BDEGENER[[#This Row],[SERIE]],"-",BDEGENER[[#This Row],[HORAS]])</f>
        <v>REG-43342-9319845-0</v>
      </c>
      <c r="AR1100" s="5" t="str">
        <f>CONCATENATE("MARCA: ",BDEGENER[[#This Row],[MARCA]],"
 MODELO: ",BDEGENER[[#This Row],[MODELO]])</f>
        <v xml:space="preserve">MARCA: 
 MODELO: </v>
      </c>
      <c r="AS1100" s="5" t="str">
        <f>CONCATENATE("MARCA: ",BDEGENER[[#This Row],[MARCA DE MOTOR]],"
SERIE: ",BDEGENER[[#This Row],[SERIE DE MOTOR]])</f>
        <v xml:space="preserve">MARCA: 
SERIE: </v>
      </c>
      <c r="AT1100" s="5" t="str">
        <f>CONCATENATE("MARCA: ",BDEGENER[[#This Row],[MARCA ALTERNADOR ]],"
SERIE: ",BDEGENER[[#This Row],[SERIE DE ALTERNADOR]])</f>
        <v xml:space="preserve">MARCA: 
SERIE: </v>
      </c>
      <c r="AU1100" s="5" t="str">
        <f>CONCATENATE("HORAS: ",BDEGENER[[#This Row],[HORAS]],"
KW-HR: ",BDEGENER[[#This Row],[KW-HORA]],"
VOLT.BATERIA: ",BDEGENER[[#This Row],[VOLTAJE DE BATERIA]],"
TEMPERATURA: ",BDEGENER[[#This Row],[TEMPERATURA DE AGUA]],"
PRES. ACEITE: ",BDEGENER[[#This Row],[PRESION DE ACEITE]])</f>
        <v xml:space="preserve">HORAS: 0
KW-HR: 
VOLT.BATERIA: 
TEMPERATURA: 
PRES. ACEITE: </v>
      </c>
      <c r="AV1100" s="683">
        <f>COUNTIFS(Q1100:Q3100,"MANTENIMIENTO CORRECTIVO",Y1100:Y3100,BDEGENER[[#This Row],[SERIE]])</f>
        <v>0</v>
      </c>
      <c r="AW1100" s="683">
        <f>COUNTIFS(Q1100:Q3100,"MANTENIMIENTO PREVENTIVO",Y1100:Y3100,BDEGENER[[#This Row],[SERIE]])</f>
        <v>0</v>
      </c>
      <c r="AX110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100" s="29">
        <f>COUNTIFS(BDEGENER[SERIE],BDEGENER[[#This Row],[SERIE]],BDEGENER[TIPO DE SERVICIO],"MANTENIMIENTO PREVENTIVO")</f>
        <v>1</v>
      </c>
      <c r="AZ1100" s="29" t="str">
        <f>CONCATENATE("MANTENIMIENTO PREVENTIVO N°",BDEGENER[[#This Row],[GA1]])</f>
        <v>MANTENIMIENTO PREVENTIVO N°1</v>
      </c>
      <c r="BA1100" s="325" t="str">
        <f>IF(BDEGENER[[#This Row],[SERVICIO]]=BDEGENER[[#This Row],[GA2]],BDEGENER[[#This Row],[HORAS]],"0")</f>
        <v>0</v>
      </c>
      <c r="BB1100" s="325">
        <f>SUMIF(BDEGENER[SERIE],BDEGENER[[#This Row],[SERIE]],BDEGENER[GA3])</f>
        <v>385.21</v>
      </c>
      <c r="BC1100" s="683" t="str">
        <f>CONCATENATE("MANT",COUNTIF($Y$7:Y1100,Y1100))</f>
        <v>MANT2</v>
      </c>
      <c r="BD1100" s="29" t="str">
        <f>CONCATENATE(BDEGENER[[#This Row],[SERIE]],BDEGENER[[#This Row],[GA5]])</f>
        <v>9319845MANT2</v>
      </c>
      <c r="BE1100" s="29" t="str">
        <f>CONCATENATE(BDEGENER[[#This Row],[CODIGO PATRIMONIAL]],BDEGENER[[#This Row],[GA5]])</f>
        <v>21026MANT2</v>
      </c>
      <c r="BF1100" s="16">
        <f>COUNTIF(BDEGENER[SERIE],BDEGENER[[#This Row],[SERIE]])</f>
        <v>2</v>
      </c>
      <c r="BG1100" s="683" t="str">
        <f>CONCATENATE("F",COUNTIF($K$7:K1100,K1100))</f>
        <v>F1</v>
      </c>
      <c r="BH1100" s="325" t="str">
        <f>CONCATENATE(BDEGENER[[#This Row],[FECHA DE SERVICIO]],BDEGENER[[#This Row],[N° DE REGISTROS DEL DIA]])</f>
        <v>43342F1</v>
      </c>
      <c r="BI1100" s="324"/>
      <c r="BJ1100" s="325"/>
      <c r="BK1100" s="326"/>
    </row>
    <row r="1101" spans="2:63" ht="69" hidden="1" x14ac:dyDescent="0.3">
      <c r="B1101" s="33"/>
      <c r="C1101" s="33"/>
      <c r="D1101" s="33"/>
      <c r="E1101" s="33"/>
      <c r="F1101" s="33"/>
      <c r="G1101" s="33"/>
      <c r="H1101" s="33"/>
      <c r="I1101" s="33"/>
      <c r="J1101" s="33"/>
      <c r="K1101" s="38">
        <v>43342</v>
      </c>
      <c r="L1101" s="18" t="s">
        <v>248</v>
      </c>
      <c r="M1101" s="23" t="s">
        <v>295</v>
      </c>
      <c r="N1101" s="23" t="s">
        <v>256</v>
      </c>
      <c r="O1101" s="23"/>
      <c r="P1101" s="21"/>
      <c r="Q1101" s="22" t="s">
        <v>109</v>
      </c>
      <c r="R1101" s="85" t="s">
        <v>1782</v>
      </c>
      <c r="S1101" s="25" t="s">
        <v>401</v>
      </c>
      <c r="T1101" s="85" t="s">
        <v>1782</v>
      </c>
      <c r="U1101" s="25"/>
      <c r="V1101" s="25" t="s">
        <v>349</v>
      </c>
      <c r="W1101" s="25"/>
      <c r="X1101" s="25"/>
      <c r="Y1101" s="31">
        <v>9301202</v>
      </c>
      <c r="Z1101" s="16">
        <v>21028</v>
      </c>
      <c r="AA1101" s="16"/>
      <c r="AB1101" s="16"/>
      <c r="AC1101" s="23"/>
      <c r="AD1101" s="16"/>
      <c r="AE1101" s="16"/>
      <c r="AF1101" s="27">
        <v>0</v>
      </c>
      <c r="AG1101" s="16"/>
      <c r="AH1101" s="16"/>
      <c r="AI1101" s="16"/>
      <c r="AJ1101" s="16"/>
      <c r="AK1101" s="16"/>
      <c r="AL1101" s="16"/>
      <c r="AM1101" s="16"/>
      <c r="AN1101" s="16"/>
      <c r="AO1101" s="16"/>
      <c r="AP1101" s="22" t="s">
        <v>240</v>
      </c>
      <c r="AQ1101" s="6" t="str">
        <f>CONCATENATE("REG-",BDEGENER[[#This Row],[FECHA DE SERVICIO]],"-",BDEGENER[[#This Row],[SERIE]],"-",BDEGENER[[#This Row],[HORAS]])</f>
        <v>REG-43342-9301202-0</v>
      </c>
      <c r="AR1101" s="5" t="str">
        <f>CONCATENATE("MARCA: ",BDEGENER[[#This Row],[MARCA]],"
 MODELO: ",BDEGENER[[#This Row],[MODELO]])</f>
        <v xml:space="preserve">MARCA: 
 MODELO: </v>
      </c>
      <c r="AS1101" s="5" t="str">
        <f>CONCATENATE("MARCA: ",BDEGENER[[#This Row],[MARCA DE MOTOR]],"
SERIE: ",BDEGENER[[#This Row],[SERIE DE MOTOR]])</f>
        <v xml:space="preserve">MARCA: 
SERIE: </v>
      </c>
      <c r="AT1101" s="5" t="str">
        <f>CONCATENATE("MARCA: ",BDEGENER[[#This Row],[MARCA ALTERNADOR ]],"
SERIE: ",BDEGENER[[#This Row],[SERIE DE ALTERNADOR]])</f>
        <v xml:space="preserve">MARCA: 
SERIE: </v>
      </c>
      <c r="AU1101" s="5" t="str">
        <f>CONCATENATE("HORAS: ",BDEGENER[[#This Row],[HORAS]],"
KW-HR: ",BDEGENER[[#This Row],[KW-HORA]],"
VOLT.BATERIA: ",BDEGENER[[#This Row],[VOLTAJE DE BATERIA]],"
TEMPERATURA: ",BDEGENER[[#This Row],[TEMPERATURA DE AGUA]],"
PRES. ACEITE: ",BDEGENER[[#This Row],[PRESION DE ACEITE]])</f>
        <v xml:space="preserve">HORAS: 0
KW-HR: 
VOLT.BATERIA: 
TEMPERATURA: 
PRES. ACEITE: </v>
      </c>
      <c r="AV1101" s="683">
        <f>COUNTIFS(Q1101:Q3101,"MANTENIMIENTO CORRECTIVO",Y1101:Y3101,BDEGENER[[#This Row],[SERIE]])</f>
        <v>0</v>
      </c>
      <c r="AW1101" s="683">
        <f>COUNTIFS(Q1101:Q3101,"MANTENIMIENTO PREVENTIVO",Y1101:Y3101,BDEGENER[[#This Row],[SERIE]])</f>
        <v>0</v>
      </c>
      <c r="AX110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101" s="29">
        <f>COUNTIFS(BDEGENER[SERIE],BDEGENER[[#This Row],[SERIE]],BDEGENER[TIPO DE SERVICIO],"MANTENIMIENTO PREVENTIVO")</f>
        <v>1</v>
      </c>
      <c r="AZ1101" s="29" t="str">
        <f>CONCATENATE("MANTENIMIENTO PREVENTIVO N°",BDEGENER[[#This Row],[GA1]])</f>
        <v>MANTENIMIENTO PREVENTIVO N°1</v>
      </c>
      <c r="BA1101" s="325" t="str">
        <f>IF(BDEGENER[[#This Row],[SERVICIO]]=BDEGENER[[#This Row],[GA2]],BDEGENER[[#This Row],[HORAS]],"0")</f>
        <v>0</v>
      </c>
      <c r="BB1101" s="325">
        <f>SUMIF(BDEGENER[SERIE],BDEGENER[[#This Row],[SERIE]],BDEGENER[GA3])</f>
        <v>158.08000000000001</v>
      </c>
      <c r="BC1101" s="683" t="str">
        <f>CONCATENATE("MANT",COUNTIF($Y$7:Y1101,Y1101))</f>
        <v>MANT2</v>
      </c>
      <c r="BD1101" s="29" t="str">
        <f>CONCATENATE(BDEGENER[[#This Row],[SERIE]],BDEGENER[[#This Row],[GA5]])</f>
        <v>9301202MANT2</v>
      </c>
      <c r="BE1101" s="29" t="str">
        <f>CONCATENATE(BDEGENER[[#This Row],[CODIGO PATRIMONIAL]],BDEGENER[[#This Row],[GA5]])</f>
        <v>21028MANT2</v>
      </c>
      <c r="BF1101" s="16">
        <f>COUNTIF(BDEGENER[SERIE],BDEGENER[[#This Row],[SERIE]])</f>
        <v>2</v>
      </c>
      <c r="BG1101" s="683" t="str">
        <f>CONCATENATE("F",COUNTIF($K$7:K1101,K1101))</f>
        <v>F2</v>
      </c>
      <c r="BH1101" s="325" t="str">
        <f>CONCATENATE(BDEGENER[[#This Row],[FECHA DE SERVICIO]],BDEGENER[[#This Row],[N° DE REGISTROS DEL DIA]])</f>
        <v>43342F2</v>
      </c>
      <c r="BI1101" s="324"/>
      <c r="BJ1101" s="325"/>
      <c r="BK1101" s="326"/>
    </row>
    <row r="1102" spans="2:63" ht="69" hidden="1" x14ac:dyDescent="0.3">
      <c r="B1102" s="33"/>
      <c r="C1102" s="33"/>
      <c r="D1102" s="33"/>
      <c r="E1102" s="33"/>
      <c r="F1102" s="33"/>
      <c r="G1102" s="33"/>
      <c r="H1102" s="33"/>
      <c r="I1102" s="33"/>
      <c r="J1102" s="33"/>
      <c r="K1102" s="38">
        <v>43340</v>
      </c>
      <c r="L1102" s="18" t="s">
        <v>248</v>
      </c>
      <c r="M1102" s="23" t="s">
        <v>279</v>
      </c>
      <c r="N1102" s="23" t="s">
        <v>1402</v>
      </c>
      <c r="O1102" s="23"/>
      <c r="P1102" s="21"/>
      <c r="Q1102" s="23" t="s">
        <v>108</v>
      </c>
      <c r="R1102" s="85" t="s">
        <v>1782</v>
      </c>
      <c r="S1102" s="23" t="s">
        <v>402</v>
      </c>
      <c r="T1102" s="23" t="s">
        <v>403</v>
      </c>
      <c r="U1102" s="23"/>
      <c r="V1102" s="23" t="s">
        <v>364</v>
      </c>
      <c r="W1102" s="85" t="s">
        <v>914</v>
      </c>
      <c r="X1102" s="85" t="s">
        <v>918</v>
      </c>
      <c r="Y1102" s="31">
        <v>3000172178</v>
      </c>
      <c r="Z1102" s="16"/>
      <c r="AA1102" s="16" t="s">
        <v>33</v>
      </c>
      <c r="AB1102" s="16" t="s">
        <v>1447</v>
      </c>
      <c r="AC1102" s="23" t="s">
        <v>532</v>
      </c>
      <c r="AD1102" s="16"/>
      <c r="AE1102" s="16"/>
      <c r="AF1102" s="27" t="s">
        <v>544</v>
      </c>
      <c r="AG1102" s="16" t="s">
        <v>243</v>
      </c>
      <c r="AH1102" s="16" t="s">
        <v>220</v>
      </c>
      <c r="AI1102" s="16" t="s">
        <v>33</v>
      </c>
      <c r="AJ1102" s="16"/>
      <c r="AK1102" s="16"/>
      <c r="AL1102" s="16"/>
      <c r="AM1102" s="16"/>
      <c r="AN1102" s="16"/>
      <c r="AO1102" s="16"/>
      <c r="AP1102" s="23" t="s">
        <v>557</v>
      </c>
      <c r="AQ1102" s="6" t="str">
        <f>CONCATENATE("REG-",BDEGENER[[#This Row],[FECHA DE SERVICIO]],"-",BDEGENER[[#This Row],[SERIE]],"-",BDEGENER[[#This Row],[HORAS]])</f>
        <v>REG-43340-3000172178-2244,7</v>
      </c>
      <c r="AR1102" s="5" t="str">
        <f>CONCATENATE("MARCA: ",BDEGENER[[#This Row],[MARCA]],"
 MODELO: ",BDEGENER[[#This Row],[MODELO]])</f>
        <v>MARCA: GENERAC
 MODELO: SG100</v>
      </c>
      <c r="AS1102" s="5" t="str">
        <f>CONCATENATE("MARCA: ",BDEGENER[[#This Row],[MARCA DE MOTOR]],"
SERIE: ",BDEGENER[[#This Row],[SERIE DE MOTOR]])</f>
        <v xml:space="preserve">MARCA: GENERAC
SERIE: </v>
      </c>
      <c r="AT1102" s="5" t="str">
        <f>CONCATENATE("MARCA: ",BDEGENER[[#This Row],[MARCA ALTERNADOR ]],"
SERIE: ",BDEGENER[[#This Row],[SERIE DE ALTERNADOR]])</f>
        <v xml:space="preserve">MARCA: 
SERIE: </v>
      </c>
      <c r="AU1102" s="5" t="str">
        <f>CONCATENATE("HORAS: ",BDEGENER[[#This Row],[HORAS]],"
KW-HR: ",BDEGENER[[#This Row],[KW-HORA]],"
VOLT.BATERIA: ",BDEGENER[[#This Row],[VOLTAJE DE BATERIA]],"
TEMPERATURA: ",BDEGENER[[#This Row],[TEMPERATURA DE AGUA]],"
PRES. ACEITE: ",BDEGENER[[#This Row],[PRESION DE ACEITE]])</f>
        <v xml:space="preserve">HORAS: 2244,7
KW-HR: 
VOLT.BATERIA: 
TEMPERATURA: 
PRES. ACEITE: </v>
      </c>
      <c r="AV1102" s="761">
        <f>COUNTIFS(Q1102:Q3102,"MANTENIMIENTO CORRECTIVO",Y1102:Y3102,BDEGENER[[#This Row],[SERIE]])</f>
        <v>0</v>
      </c>
      <c r="AW1102" s="761">
        <f>COUNTIFS(Q1102:Q3102,"MANTENIMIENTO PREVENTIVO",Y1102:Y3102,BDEGENER[[#This Row],[SERIE]])</f>
        <v>1</v>
      </c>
      <c r="AX110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INSPECCION</v>
      </c>
      <c r="AY1102" s="29">
        <f>COUNTIFS(BDEGENER[SERIE],BDEGENER[[#This Row],[SERIE]],BDEGENER[TIPO DE SERVICIO],"MANTENIMIENTO PREVENTIVO")</f>
        <v>2</v>
      </c>
      <c r="AZ1102" s="29" t="str">
        <f>CONCATENATE("MANTENIMIENTO PREVENTIVO N°",BDEGENER[[#This Row],[GA1]])</f>
        <v>MANTENIMIENTO PREVENTIVO N°2</v>
      </c>
      <c r="BA1102" s="325" t="str">
        <f>IF(BDEGENER[[#This Row],[SERVICIO]]=BDEGENER[[#This Row],[GA2]],BDEGENER[[#This Row],[HORAS]],"0")</f>
        <v>0</v>
      </c>
      <c r="BB1102" s="325">
        <f>SUMIF(BDEGENER[SERIE],BDEGENER[[#This Row],[SERIE]],BDEGENER[GA3])</f>
        <v>2824.4</v>
      </c>
      <c r="BC1102" s="761" t="str">
        <f>CONCATENATE("MANT",COUNTIF($Y$7:Y1102,Y1102))</f>
        <v>MANT2</v>
      </c>
      <c r="BD1102" s="29" t="str">
        <f>CONCATENATE(BDEGENER[[#This Row],[SERIE]],BDEGENER[[#This Row],[GA5]])</f>
        <v>3000172178MANT2</v>
      </c>
      <c r="BE1102" s="29" t="str">
        <f>CONCATENATE(BDEGENER[[#This Row],[CODIGO PATRIMONIAL]],BDEGENER[[#This Row],[GA5]])</f>
        <v>MANT2</v>
      </c>
      <c r="BF1102" s="16">
        <f>COUNTIF(BDEGENER[SERIE],BDEGENER[[#This Row],[SERIE]])</f>
        <v>3</v>
      </c>
      <c r="BG1102" s="761" t="str">
        <f>CONCATENATE("F",COUNTIF($K$7:K1102,K1102))</f>
        <v>F1</v>
      </c>
      <c r="BH1102" s="325" t="str">
        <f>CONCATENATE(BDEGENER[[#This Row],[FECHA DE SERVICIO]],BDEGENER[[#This Row],[N° DE REGISTROS DEL DIA]])</f>
        <v>43340F1</v>
      </c>
      <c r="BI1102" s="324"/>
      <c r="BJ1102" s="325"/>
      <c r="BK1102" s="326"/>
    </row>
    <row r="1103" spans="2:63" ht="69" hidden="1" x14ac:dyDescent="0.3">
      <c r="B1103" s="33"/>
      <c r="C1103" s="33"/>
      <c r="D1103" s="33"/>
      <c r="E1103" s="33"/>
      <c r="F1103" s="33"/>
      <c r="G1103" s="33"/>
      <c r="H1103" s="33"/>
      <c r="I1103" s="33"/>
      <c r="J1103" s="33"/>
      <c r="K1103" s="38">
        <v>43333</v>
      </c>
      <c r="L1103" s="18" t="s">
        <v>248</v>
      </c>
      <c r="M1103" s="23" t="s">
        <v>296</v>
      </c>
      <c r="N1103" s="23" t="s">
        <v>286</v>
      </c>
      <c r="O1103" s="23"/>
      <c r="P1103" s="21"/>
      <c r="Q1103" s="23" t="s">
        <v>107</v>
      </c>
      <c r="R1103" s="85" t="s">
        <v>1782</v>
      </c>
      <c r="S1103" s="25" t="s">
        <v>404</v>
      </c>
      <c r="T1103" s="85" t="s">
        <v>1782</v>
      </c>
      <c r="U1103" s="25" t="s">
        <v>405</v>
      </c>
      <c r="V1103" s="25" t="s">
        <v>349</v>
      </c>
      <c r="W1103" s="25"/>
      <c r="X1103" s="25"/>
      <c r="Y1103" s="31">
        <v>9301205</v>
      </c>
      <c r="Z1103" s="16">
        <v>17522</v>
      </c>
      <c r="AA1103" s="16"/>
      <c r="AB1103" s="16"/>
      <c r="AC1103" s="23"/>
      <c r="AD1103" s="16"/>
      <c r="AE1103" s="16"/>
      <c r="AF1103" s="27" t="s">
        <v>545</v>
      </c>
      <c r="AG1103" s="16"/>
      <c r="AH1103" s="16"/>
      <c r="AI1103" s="16"/>
      <c r="AJ1103" s="16"/>
      <c r="AK1103" s="16"/>
      <c r="AL1103" s="16"/>
      <c r="AM1103" s="16"/>
      <c r="AN1103" s="16"/>
      <c r="AO1103" s="16"/>
      <c r="AP1103" s="22" t="s">
        <v>240</v>
      </c>
      <c r="AQ1103" s="6" t="str">
        <f>CONCATENATE("REG-",BDEGENER[[#This Row],[FECHA DE SERVICIO]],"-",BDEGENER[[#This Row],[SERIE]],"-",BDEGENER[[#This Row],[HORAS]])</f>
        <v>REG-43333-9301205-1051,19</v>
      </c>
      <c r="AR1103" s="5" t="str">
        <f>CONCATENATE("MARCA: ",BDEGENER[[#This Row],[MARCA]],"
 MODELO: ",BDEGENER[[#This Row],[MODELO]])</f>
        <v xml:space="preserve">MARCA: 
 MODELO: </v>
      </c>
      <c r="AS1103" s="5" t="str">
        <f>CONCATENATE("MARCA: ",BDEGENER[[#This Row],[MARCA DE MOTOR]],"
SERIE: ",BDEGENER[[#This Row],[SERIE DE MOTOR]])</f>
        <v xml:space="preserve">MARCA: 
SERIE: </v>
      </c>
      <c r="AT1103" s="5" t="str">
        <f>CONCATENATE("MARCA: ",BDEGENER[[#This Row],[MARCA ALTERNADOR ]],"
SERIE: ",BDEGENER[[#This Row],[SERIE DE ALTERNADOR]])</f>
        <v xml:space="preserve">MARCA: 
SERIE: </v>
      </c>
      <c r="AU1103" s="5" t="str">
        <f>CONCATENATE("HORAS: ",BDEGENER[[#This Row],[HORAS]],"
KW-HR: ",BDEGENER[[#This Row],[KW-HORA]],"
VOLT.BATERIA: ",BDEGENER[[#This Row],[VOLTAJE DE BATERIA]],"
TEMPERATURA: ",BDEGENER[[#This Row],[TEMPERATURA DE AGUA]],"
PRES. ACEITE: ",BDEGENER[[#This Row],[PRESION DE ACEITE]])</f>
        <v xml:space="preserve">HORAS: 1051,19
KW-HR: 
VOLT.BATERIA: 
TEMPERATURA: 
PRES. ACEITE: </v>
      </c>
      <c r="AV1103" s="683">
        <f>COUNTIFS(Q1103:Q3103,"MANTENIMIENTO CORRECTIVO",Y1103:Y3103,BDEGENER[[#This Row],[SERIE]])</f>
        <v>4</v>
      </c>
      <c r="AW1103" s="683">
        <f>COUNTIFS(Q1103:Q3103,"MANTENIMIENTO PREVENTIVO",Y1103:Y3103,BDEGENER[[#This Row],[SERIE]])</f>
        <v>2</v>
      </c>
      <c r="AX110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1103" s="29">
        <f>COUNTIFS(BDEGENER[SERIE],BDEGENER[[#This Row],[SERIE]],BDEGENER[TIPO DE SERVICIO],"MANTENIMIENTO PREVENTIVO")</f>
        <v>2</v>
      </c>
      <c r="AZ1103" s="29" t="str">
        <f>CONCATENATE("MANTENIMIENTO PREVENTIVO N°",BDEGENER[[#This Row],[GA1]])</f>
        <v>MANTENIMIENTO PREVENTIVO N°2</v>
      </c>
      <c r="BA1103" s="325" t="str">
        <f>IF(BDEGENER[[#This Row],[SERVICIO]]=BDEGENER[[#This Row],[GA2]],BDEGENER[[#This Row],[HORAS]],"0")</f>
        <v>0</v>
      </c>
      <c r="BB1103" s="325">
        <f>SUMIF(BDEGENER[SERIE],BDEGENER[[#This Row],[SERIE]],BDEGENER[GA3])</f>
        <v>0</v>
      </c>
      <c r="BC1103" s="683" t="str">
        <f>CONCATENATE("MANT",COUNTIF($Y$7:Y1103,Y1103))</f>
        <v>MANT1</v>
      </c>
      <c r="BD1103" s="29" t="str">
        <f>CONCATENATE(BDEGENER[[#This Row],[SERIE]],BDEGENER[[#This Row],[GA5]])</f>
        <v>9301205MANT1</v>
      </c>
      <c r="BE1103" s="29" t="str">
        <f>CONCATENATE(BDEGENER[[#This Row],[CODIGO PATRIMONIAL]],BDEGENER[[#This Row],[GA5]])</f>
        <v>17522MANT1</v>
      </c>
      <c r="BF1103" s="16">
        <f>COUNTIF(BDEGENER[SERIE],BDEGENER[[#This Row],[SERIE]])</f>
        <v>6</v>
      </c>
      <c r="BG1103" s="683" t="str">
        <f>CONCATENATE("F",COUNTIF($K$7:K1103,K1103))</f>
        <v>F1</v>
      </c>
      <c r="BH1103" s="325" t="str">
        <f>CONCATENATE(BDEGENER[[#This Row],[FECHA DE SERVICIO]],BDEGENER[[#This Row],[N° DE REGISTROS DEL DIA]])</f>
        <v>43333F1</v>
      </c>
      <c r="BI1103" s="324"/>
      <c r="BJ1103" s="325"/>
      <c r="BK1103" s="326"/>
    </row>
    <row r="1104" spans="2:63" ht="69" hidden="1" x14ac:dyDescent="0.3">
      <c r="B1104" s="33"/>
      <c r="C1104" s="33"/>
      <c r="D1104" s="33"/>
      <c r="E1104" s="33"/>
      <c r="F1104" s="33"/>
      <c r="G1104" s="33"/>
      <c r="H1104" s="33"/>
      <c r="I1104" s="33"/>
      <c r="J1104" s="33"/>
      <c r="K1104" s="38">
        <v>43333</v>
      </c>
      <c r="L1104" s="18" t="s">
        <v>248</v>
      </c>
      <c r="M1104" s="23" t="s">
        <v>291</v>
      </c>
      <c r="N1104" s="85" t="s">
        <v>1409</v>
      </c>
      <c r="O1104" s="23"/>
      <c r="P1104" s="21"/>
      <c r="Q1104" s="23" t="s">
        <v>107</v>
      </c>
      <c r="R1104" s="85" t="s">
        <v>1782</v>
      </c>
      <c r="S1104" s="25" t="s">
        <v>406</v>
      </c>
      <c r="T1104" s="85" t="s">
        <v>1782</v>
      </c>
      <c r="U1104" s="25" t="s">
        <v>407</v>
      </c>
      <c r="V1104" s="25" t="s">
        <v>349</v>
      </c>
      <c r="W1104" s="25"/>
      <c r="X1104" s="25"/>
      <c r="Y1104" s="31">
        <v>9319804</v>
      </c>
      <c r="Z1104" s="16">
        <v>17523</v>
      </c>
      <c r="AA1104" s="85" t="s">
        <v>33</v>
      </c>
      <c r="AB1104" s="85">
        <v>65610</v>
      </c>
      <c r="AC1104" s="23" t="s">
        <v>535</v>
      </c>
      <c r="AD1104" s="16"/>
      <c r="AE1104" s="16"/>
      <c r="AF1104" s="27" t="s">
        <v>546</v>
      </c>
      <c r="AG1104" s="85" t="s">
        <v>1412</v>
      </c>
      <c r="AH1104" s="85" t="s">
        <v>1413</v>
      </c>
      <c r="AI1104" s="85" t="s">
        <v>33</v>
      </c>
      <c r="AJ1104" s="16"/>
      <c r="AK1104" s="85" t="s">
        <v>33</v>
      </c>
      <c r="AL1104" s="16"/>
      <c r="AM1104" s="16"/>
      <c r="AN1104" s="16"/>
      <c r="AO1104" s="16"/>
      <c r="AP1104" s="22" t="s">
        <v>240</v>
      </c>
      <c r="AQ1104" s="6" t="str">
        <f>CONCATENATE("REG-",BDEGENER[[#This Row],[FECHA DE SERVICIO]],"-",BDEGENER[[#This Row],[SERIE]],"-",BDEGENER[[#This Row],[HORAS]])</f>
        <v>REG-43333-9319804-732,12</v>
      </c>
      <c r="AR1104" s="5" t="str">
        <f>CONCATENATE("MARCA: ",BDEGENER[[#This Row],[MARCA]],"
 MODELO: ",BDEGENER[[#This Row],[MODELO]])</f>
        <v>MARCA: GENERAC
 MODELO: 65610</v>
      </c>
      <c r="AS1104" s="5" t="str">
        <f>CONCATENATE("MARCA: ",BDEGENER[[#This Row],[MARCA DE MOTOR]],"
SERIE: ",BDEGENER[[#This Row],[SERIE DE MOTOR]])</f>
        <v xml:space="preserve">MARCA: GENERAC
SERIE: </v>
      </c>
      <c r="AT1104" s="5" t="str">
        <f>CONCATENATE("MARCA: ",BDEGENER[[#This Row],[MARCA ALTERNADOR ]],"
SERIE: ",BDEGENER[[#This Row],[SERIE DE ALTERNADOR]])</f>
        <v xml:space="preserve">MARCA: GENERAC
SERIE: </v>
      </c>
      <c r="AU1104" s="5" t="str">
        <f>CONCATENATE("HORAS: ",BDEGENER[[#This Row],[HORAS]],"
KW-HR: ",BDEGENER[[#This Row],[KW-HORA]],"
VOLT.BATERIA: ",BDEGENER[[#This Row],[VOLTAJE DE BATERIA]],"
TEMPERATURA: ",BDEGENER[[#This Row],[TEMPERATURA DE AGUA]],"
PRES. ACEITE: ",BDEGENER[[#This Row],[PRESION DE ACEITE]])</f>
        <v xml:space="preserve">HORAS: 732,12
KW-HR: 
VOLT.BATERIA: 
TEMPERATURA: 
PRES. ACEITE: </v>
      </c>
      <c r="AV1104" s="683">
        <f>COUNTIFS(Q1104:Q3104,"MANTENIMIENTO CORRECTIVO",Y1104:Y3104,BDEGENER[[#This Row],[SERIE]])</f>
        <v>6</v>
      </c>
      <c r="AW1104" s="683">
        <f>COUNTIFS(Q1104:Q3104,"MANTENIMIENTO PREVENTIVO",Y1104:Y3104,BDEGENER[[#This Row],[SERIE]])</f>
        <v>1</v>
      </c>
      <c r="AX110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N°6</v>
      </c>
      <c r="AY1104" s="29">
        <f>COUNTIFS(BDEGENER[SERIE],BDEGENER[[#This Row],[SERIE]],BDEGENER[TIPO DE SERVICIO],"MANTENIMIENTO PREVENTIVO")</f>
        <v>2</v>
      </c>
      <c r="AZ1104" s="29" t="str">
        <f>CONCATENATE("MANTENIMIENTO PREVENTIVO N°",BDEGENER[[#This Row],[GA1]])</f>
        <v>MANTENIMIENTO PREVENTIVO N°2</v>
      </c>
      <c r="BA1104" s="325" t="str">
        <f>IF(BDEGENER[[#This Row],[SERVICIO]]=BDEGENER[[#This Row],[GA2]],BDEGENER[[#This Row],[HORAS]],"0")</f>
        <v>0</v>
      </c>
      <c r="BB1104" s="325">
        <f>SUMIF(BDEGENER[SERIE],BDEGENER[[#This Row],[SERIE]],BDEGENER[GA3])</f>
        <v>872.68</v>
      </c>
      <c r="BC1104" s="683" t="str">
        <f>CONCATENATE("MANT",COUNTIF($Y$7:Y1104,Y1104))</f>
        <v>MANT4</v>
      </c>
      <c r="BD1104" s="29" t="str">
        <f>CONCATENATE(BDEGENER[[#This Row],[SERIE]],BDEGENER[[#This Row],[GA5]])</f>
        <v>9319804MANT4</v>
      </c>
      <c r="BE1104" s="29" t="str">
        <f>CONCATENATE(BDEGENER[[#This Row],[CODIGO PATRIMONIAL]],BDEGENER[[#This Row],[GA5]])</f>
        <v>17523MANT4</v>
      </c>
      <c r="BF1104" s="16">
        <f>COUNTIF(BDEGENER[SERIE],BDEGENER[[#This Row],[SERIE]])</f>
        <v>10</v>
      </c>
      <c r="BG1104" s="683" t="str">
        <f>CONCATENATE("F",COUNTIF($K$7:K1104,K1104))</f>
        <v>F2</v>
      </c>
      <c r="BH1104" s="325" t="str">
        <f>CONCATENATE(BDEGENER[[#This Row],[FECHA DE SERVICIO]],BDEGENER[[#This Row],[N° DE REGISTROS DEL DIA]])</f>
        <v>43333F2</v>
      </c>
      <c r="BI1104" s="324"/>
      <c r="BJ1104" s="325"/>
      <c r="BK1104" s="326"/>
    </row>
    <row r="1105" spans="2:63" ht="69" hidden="1" x14ac:dyDescent="0.3">
      <c r="B1105" s="33"/>
      <c r="C1105" s="33"/>
      <c r="D1105" s="33"/>
      <c r="E1105" s="33"/>
      <c r="F1105" s="33"/>
      <c r="G1105" s="33"/>
      <c r="H1105" s="33"/>
      <c r="I1105" s="33"/>
      <c r="J1105" s="33"/>
      <c r="K1105" s="38">
        <v>43333</v>
      </c>
      <c r="L1105" s="18" t="s">
        <v>248</v>
      </c>
      <c r="M1105" s="23" t="s">
        <v>253</v>
      </c>
      <c r="N1105" s="23" t="s">
        <v>254</v>
      </c>
      <c r="O1105" s="23"/>
      <c r="P1105" s="21"/>
      <c r="Q1105" s="23" t="s">
        <v>37</v>
      </c>
      <c r="R1105" s="85" t="s">
        <v>1782</v>
      </c>
      <c r="S1105" s="25" t="s">
        <v>408</v>
      </c>
      <c r="T1105" s="25" t="s">
        <v>409</v>
      </c>
      <c r="U1105" s="25" t="s">
        <v>410</v>
      </c>
      <c r="V1105" s="25" t="s">
        <v>349</v>
      </c>
      <c r="W1105" s="25"/>
      <c r="X1105" s="25"/>
      <c r="Y1105" s="31">
        <v>9304206</v>
      </c>
      <c r="Z1105" s="16">
        <v>17525</v>
      </c>
      <c r="AA1105" s="16"/>
      <c r="AB1105" s="16"/>
      <c r="AC1105" s="23"/>
      <c r="AD1105" s="16"/>
      <c r="AE1105" s="16"/>
      <c r="AF1105" s="27" t="s">
        <v>547</v>
      </c>
      <c r="AG1105" s="16"/>
      <c r="AH1105" s="16"/>
      <c r="AI1105" s="16"/>
      <c r="AJ1105" s="16"/>
      <c r="AK1105" s="16"/>
      <c r="AL1105" s="16"/>
      <c r="AM1105" s="16"/>
      <c r="AN1105" s="16"/>
      <c r="AO1105" s="16"/>
      <c r="AP1105" s="22" t="s">
        <v>240</v>
      </c>
      <c r="AQ1105" s="6" t="str">
        <f>CONCATENATE("REG-",BDEGENER[[#This Row],[FECHA DE SERVICIO]],"-",BDEGENER[[#This Row],[SERIE]],"-",BDEGENER[[#This Row],[HORAS]])</f>
        <v>REG-43333-9304206-2102,52</v>
      </c>
      <c r="AR1105" s="5" t="str">
        <f>CONCATENATE("MARCA: ",BDEGENER[[#This Row],[MARCA]],"
 MODELO: ",BDEGENER[[#This Row],[MODELO]])</f>
        <v xml:space="preserve">MARCA: 
 MODELO: </v>
      </c>
      <c r="AS1105" s="5" t="str">
        <f>CONCATENATE("MARCA: ",BDEGENER[[#This Row],[MARCA DE MOTOR]],"
SERIE: ",BDEGENER[[#This Row],[SERIE DE MOTOR]])</f>
        <v xml:space="preserve">MARCA: 
SERIE: </v>
      </c>
      <c r="AT1105" s="5" t="str">
        <f>CONCATENATE("MARCA: ",BDEGENER[[#This Row],[MARCA ALTERNADOR ]],"
SERIE: ",BDEGENER[[#This Row],[SERIE DE ALTERNADOR]])</f>
        <v xml:space="preserve">MARCA: 
SERIE: </v>
      </c>
      <c r="AU1105" s="5" t="str">
        <f>CONCATENATE("HORAS: ",BDEGENER[[#This Row],[HORAS]],"
KW-HR: ",BDEGENER[[#This Row],[KW-HORA]],"
VOLT.BATERIA: ",BDEGENER[[#This Row],[VOLTAJE DE BATERIA]],"
TEMPERATURA: ",BDEGENER[[#This Row],[TEMPERATURA DE AGUA]],"
PRES. ACEITE: ",BDEGENER[[#This Row],[PRESION DE ACEITE]])</f>
        <v xml:space="preserve">HORAS: 2102,52
KW-HR: 
VOLT.BATERIA: 
TEMPERATURA: 
PRES. ACEITE: </v>
      </c>
      <c r="AV1105" s="761">
        <f>COUNTIFS(Q1105:Q3105,"MANTENIMIENTO CORRECTIVO",Y1105:Y3105,BDEGENER[[#This Row],[SERIE]])</f>
        <v>0</v>
      </c>
      <c r="AW1105" s="761">
        <f>COUNTIFS(Q1105:Q3105,"MANTENIMIENTO PREVENTIVO",Y1105:Y3105,BDEGENER[[#This Row],[SERIE]])</f>
        <v>1</v>
      </c>
      <c r="AX110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05" s="29">
        <f>COUNTIFS(BDEGENER[SERIE],BDEGENER[[#This Row],[SERIE]],BDEGENER[TIPO DE SERVICIO],"MANTENIMIENTO PREVENTIVO")</f>
        <v>1</v>
      </c>
      <c r="AZ1105" s="29" t="str">
        <f>CONCATENATE("MANTENIMIENTO PREVENTIVO N°",BDEGENER[[#This Row],[GA1]])</f>
        <v>MANTENIMIENTO PREVENTIVO N°1</v>
      </c>
      <c r="BA1105" s="325" t="str">
        <f>IF(BDEGENER[[#This Row],[SERVICIO]]=BDEGENER[[#This Row],[GA2]],BDEGENER[[#This Row],[HORAS]],"0")</f>
        <v>2102,52</v>
      </c>
      <c r="BB1105" s="325">
        <f>SUMIF(BDEGENER[SERIE],BDEGENER[[#This Row],[SERIE]],BDEGENER[GA3])</f>
        <v>0</v>
      </c>
      <c r="BC1105" s="761" t="str">
        <f>CONCATENATE("MANT",COUNTIF($Y$7:Y1105,Y1105))</f>
        <v>MANT1</v>
      </c>
      <c r="BD1105" s="29" t="str">
        <f>CONCATENATE(BDEGENER[[#This Row],[SERIE]],BDEGENER[[#This Row],[GA5]])</f>
        <v>9304206MANT1</v>
      </c>
      <c r="BE1105" s="29" t="str">
        <f>CONCATENATE(BDEGENER[[#This Row],[CODIGO PATRIMONIAL]],BDEGENER[[#This Row],[GA5]])</f>
        <v>17525MANT1</v>
      </c>
      <c r="BF1105" s="16">
        <f>COUNTIF(BDEGENER[SERIE],BDEGENER[[#This Row],[SERIE]])</f>
        <v>1</v>
      </c>
      <c r="BG1105" s="761" t="str">
        <f>CONCATENATE("F",COUNTIF($K$7:K1105,K1105))</f>
        <v>F3</v>
      </c>
      <c r="BH1105" s="325" t="str">
        <f>CONCATENATE(BDEGENER[[#This Row],[FECHA DE SERVICIO]],BDEGENER[[#This Row],[N° DE REGISTROS DEL DIA]])</f>
        <v>43333F3</v>
      </c>
      <c r="BI1105" s="324"/>
      <c r="BJ1105" s="325"/>
      <c r="BK1105" s="326"/>
    </row>
    <row r="1106" spans="2:63" ht="69" hidden="1" x14ac:dyDescent="0.3">
      <c r="B1106" s="33"/>
      <c r="C1106" s="33"/>
      <c r="D1106" s="33"/>
      <c r="E1106" s="33"/>
      <c r="F1106" s="33"/>
      <c r="G1106" s="33"/>
      <c r="H1106" s="33"/>
      <c r="I1106" s="33"/>
      <c r="J1106" s="33"/>
      <c r="K1106" s="38">
        <v>43333</v>
      </c>
      <c r="L1106" s="18" t="s">
        <v>248</v>
      </c>
      <c r="M1106" s="23" t="s">
        <v>297</v>
      </c>
      <c r="N1106" s="23" t="s">
        <v>288</v>
      </c>
      <c r="O1106" s="23"/>
      <c r="P1106" s="21"/>
      <c r="Q1106" s="23" t="s">
        <v>37</v>
      </c>
      <c r="R1106" s="85" t="s">
        <v>1782</v>
      </c>
      <c r="S1106" s="25" t="s">
        <v>411</v>
      </c>
      <c r="T1106" s="85" t="s">
        <v>1782</v>
      </c>
      <c r="U1106" s="25" t="s">
        <v>412</v>
      </c>
      <c r="V1106" s="23" t="s">
        <v>349</v>
      </c>
      <c r="W1106" s="25"/>
      <c r="X1106" s="23"/>
      <c r="Y1106" s="31" t="s">
        <v>518</v>
      </c>
      <c r="Z1106" s="16">
        <v>18322</v>
      </c>
      <c r="AA1106" s="16"/>
      <c r="AB1106" s="16"/>
      <c r="AC1106" s="23"/>
      <c r="AD1106" s="16"/>
      <c r="AE1106" s="16"/>
      <c r="AF1106" s="27">
        <v>1041</v>
      </c>
      <c r="AG1106" s="16"/>
      <c r="AH1106" s="16"/>
      <c r="AI1106" s="16"/>
      <c r="AJ1106" s="16"/>
      <c r="AK1106" s="16"/>
      <c r="AL1106" s="16"/>
      <c r="AM1106" s="16"/>
      <c r="AN1106" s="16"/>
      <c r="AO1106" s="16"/>
      <c r="AP1106" s="22" t="s">
        <v>240</v>
      </c>
      <c r="AQ1106" s="6" t="str">
        <f>CONCATENATE("REG-",BDEGENER[[#This Row],[FECHA DE SERVICIO]],"-",BDEGENER[[#This Row],[SERIE]],"-",BDEGENER[[#This Row],[HORAS]])</f>
        <v>REG-43333-PEE2613303-1041</v>
      </c>
      <c r="AR1106" s="6" t="str">
        <f>CONCATENATE("MARCA: ",BDEGENER[[#This Row],[MARCA]],"
 MODELO: ",BDEGENER[[#This Row],[MODELO]])</f>
        <v xml:space="preserve">MARCA: 
 MODELO: </v>
      </c>
      <c r="AS1106" s="6" t="str">
        <f>CONCATENATE("MARCA: ",BDEGENER[[#This Row],[MARCA DE MOTOR]],"
SERIE: ",BDEGENER[[#This Row],[SERIE DE MOTOR]])</f>
        <v xml:space="preserve">MARCA: 
SERIE: </v>
      </c>
      <c r="AT1106" s="6" t="str">
        <f>CONCATENATE("MARCA: ",BDEGENER[[#This Row],[MARCA ALTERNADOR ]],"
SERIE: ",BDEGENER[[#This Row],[SERIE DE ALTERNADOR]])</f>
        <v xml:space="preserve">MARCA: 
SERIE: </v>
      </c>
      <c r="AU1106" s="6" t="str">
        <f>CONCATENATE("HORAS: ",BDEGENER[[#This Row],[HORAS]],"
KW-HR: ",BDEGENER[[#This Row],[KW-HORA]],"
VOLT.BATERIA: ",BDEGENER[[#This Row],[VOLTAJE DE BATERIA]],"
TEMPERATURA: ",BDEGENER[[#This Row],[TEMPERATURA DE AGUA]],"
PRES. ACEITE: ",BDEGENER[[#This Row],[PRESION DE ACEITE]])</f>
        <v xml:space="preserve">HORAS: 1041
KW-HR: 
VOLT.BATERIA: 
TEMPERATURA: 
PRES. ACEITE: </v>
      </c>
      <c r="AV1106" s="683">
        <f>COUNTIFS(Q1106:Q3106,"MANTENIMIENTO CORRECTIVO",Y1106:Y3106,BDEGENER[[#This Row],[SERIE]])</f>
        <v>0</v>
      </c>
      <c r="AW1106" s="683">
        <f>COUNTIFS(Q1106:Q3106,"MANTENIMIENTO PREVENTIVO",Y1106:Y3106,BDEGENER[[#This Row],[SERIE]])</f>
        <v>1</v>
      </c>
      <c r="AX1106" s="325"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06" s="325">
        <f>COUNTIFS(BDEGENER[SERIE],BDEGENER[[#This Row],[SERIE]],BDEGENER[TIPO DE SERVICIO],"MANTENIMIENTO PREVENTIVO")</f>
        <v>1</v>
      </c>
      <c r="AZ1106" s="325" t="str">
        <f>CONCATENATE("MANTENIMIENTO PREVENTIVO N°",BDEGENER[[#This Row],[GA1]])</f>
        <v>MANTENIMIENTO PREVENTIVO N°1</v>
      </c>
      <c r="BA1106" s="325">
        <f>IF(BDEGENER[[#This Row],[SERVICIO]]=BDEGENER[[#This Row],[GA2]],BDEGENER[[#This Row],[HORAS]],"0")</f>
        <v>1041</v>
      </c>
      <c r="BB1106" s="325">
        <f>SUMIF(BDEGENER[SERIE],BDEGENER[[#This Row],[SERIE]],BDEGENER[GA3])</f>
        <v>1041</v>
      </c>
      <c r="BC1106" s="683" t="str">
        <f>CONCATENATE("MANT",COUNTIF($Y$7:Y1106,Y1106))</f>
        <v>MANT1</v>
      </c>
      <c r="BD1106" s="325" t="str">
        <f>CONCATENATE(BDEGENER[[#This Row],[SERIE]],BDEGENER[[#This Row],[GA5]])</f>
        <v>PEE2613303MANT1</v>
      </c>
      <c r="BE1106" s="325" t="str">
        <f>CONCATENATE(BDEGENER[[#This Row],[CODIGO PATRIMONIAL]],BDEGENER[[#This Row],[GA5]])</f>
        <v>18322MANT1</v>
      </c>
      <c r="BF1106" s="16">
        <f>COUNTIF(BDEGENER[SERIE],BDEGENER[[#This Row],[SERIE]])</f>
        <v>1</v>
      </c>
      <c r="BG1106" s="683" t="str">
        <f>CONCATENATE("F",COUNTIF($K$7:K1106,K1106))</f>
        <v>F4</v>
      </c>
      <c r="BH1106" s="325" t="str">
        <f>CONCATENATE(BDEGENER[[#This Row],[FECHA DE SERVICIO]],BDEGENER[[#This Row],[N° DE REGISTROS DEL DIA]])</f>
        <v>43333F4</v>
      </c>
      <c r="BI1106" s="326"/>
      <c r="BJ1106" s="325"/>
      <c r="BK1106" s="326"/>
    </row>
    <row r="1107" spans="2:63" ht="69" hidden="1" x14ac:dyDescent="0.3">
      <c r="B1107" s="33"/>
      <c r="C1107" s="33"/>
      <c r="D1107" s="33"/>
      <c r="E1107" s="33"/>
      <c r="F1107" s="33"/>
      <c r="G1107" s="33"/>
      <c r="H1107" s="33"/>
      <c r="I1107" s="33"/>
      <c r="J1107" s="33"/>
      <c r="K1107" s="38">
        <v>43329</v>
      </c>
      <c r="L1107" s="18" t="s">
        <v>248</v>
      </c>
      <c r="M1107" s="23" t="s">
        <v>287</v>
      </c>
      <c r="N1107" s="23" t="s">
        <v>298</v>
      </c>
      <c r="O1107" s="23"/>
      <c r="P1107" s="21"/>
      <c r="Q1107" s="23" t="s">
        <v>107</v>
      </c>
      <c r="R1107" s="85" t="s">
        <v>1782</v>
      </c>
      <c r="S1107" s="25" t="s">
        <v>413</v>
      </c>
      <c r="T1107" s="85" t="s">
        <v>1782</v>
      </c>
      <c r="U1107" s="25"/>
      <c r="V1107" s="25" t="s">
        <v>349</v>
      </c>
      <c r="W1107" s="25"/>
      <c r="X1107" s="25"/>
      <c r="Y1107" s="31">
        <v>9319809</v>
      </c>
      <c r="Z1107" s="16">
        <v>17922</v>
      </c>
      <c r="AA1107" s="16"/>
      <c r="AB1107" s="16" t="s">
        <v>513</v>
      </c>
      <c r="AC1107" s="23"/>
      <c r="AD1107" s="16"/>
      <c r="AE1107" s="16"/>
      <c r="AF1107" s="27" t="s">
        <v>548</v>
      </c>
      <c r="AG1107" s="16"/>
      <c r="AH1107" s="16"/>
      <c r="AI1107" s="16"/>
      <c r="AJ1107" s="16"/>
      <c r="AK1107" s="16"/>
      <c r="AL1107" s="16"/>
      <c r="AM1107" s="16"/>
      <c r="AN1107" s="16"/>
      <c r="AO1107" s="16"/>
      <c r="AP1107" s="22" t="s">
        <v>240</v>
      </c>
      <c r="AQ1107" s="6" t="str">
        <f>CONCATENATE("REG-",BDEGENER[[#This Row],[FECHA DE SERVICIO]],"-",BDEGENER[[#This Row],[SERIE]],"-",BDEGENER[[#This Row],[HORAS]])</f>
        <v>REG-43329-9319809-29,73</v>
      </c>
      <c r="AR1107" s="5" t="str">
        <f>CONCATENATE("MARCA: ",BDEGENER[[#This Row],[MARCA]],"
 MODELO: ",BDEGENER[[#This Row],[MODELO]])</f>
        <v>MARCA: 
 MODELO: 0065610</v>
      </c>
      <c r="AS1107" s="5" t="str">
        <f>CONCATENATE("MARCA: ",BDEGENER[[#This Row],[MARCA DE MOTOR]],"
SERIE: ",BDEGENER[[#This Row],[SERIE DE MOTOR]])</f>
        <v xml:space="preserve">MARCA: 
SERIE: </v>
      </c>
      <c r="AT1107" s="5" t="str">
        <f>CONCATENATE("MARCA: ",BDEGENER[[#This Row],[MARCA ALTERNADOR ]],"
SERIE: ",BDEGENER[[#This Row],[SERIE DE ALTERNADOR]])</f>
        <v xml:space="preserve">MARCA: 
SERIE: </v>
      </c>
      <c r="AU1107" s="5" t="str">
        <f>CONCATENATE("HORAS: ",BDEGENER[[#This Row],[HORAS]],"
KW-HR: ",BDEGENER[[#This Row],[KW-HORA]],"
VOLT.BATERIA: ",BDEGENER[[#This Row],[VOLTAJE DE BATERIA]],"
TEMPERATURA: ",BDEGENER[[#This Row],[TEMPERATURA DE AGUA]],"
PRES. ACEITE: ",BDEGENER[[#This Row],[PRESION DE ACEITE]])</f>
        <v xml:space="preserve">HORAS: 29,73
KW-HR: 
VOLT.BATERIA: 
TEMPERATURA: 
PRES. ACEITE: </v>
      </c>
      <c r="AV1107" s="683">
        <f>COUNTIFS(Q1107:Q3107,"MANTENIMIENTO CORRECTIVO",Y1107:Y3107,BDEGENER[[#This Row],[SERIE]])</f>
        <v>3</v>
      </c>
      <c r="AW1107" s="683">
        <f>COUNTIFS(Q1107:Q3107,"MANTENIMIENTO PREVENTIVO",Y1107:Y3107,BDEGENER[[#This Row],[SERIE]])</f>
        <v>2</v>
      </c>
      <c r="AX110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1107" s="29">
        <f>COUNTIFS(BDEGENER[SERIE],BDEGENER[[#This Row],[SERIE]],BDEGENER[TIPO DE SERVICIO],"MANTENIMIENTO PREVENTIVO")</f>
        <v>2</v>
      </c>
      <c r="AZ1107" s="29" t="str">
        <f>CONCATENATE("MANTENIMIENTO PREVENTIVO N°",BDEGENER[[#This Row],[GA1]])</f>
        <v>MANTENIMIENTO PREVENTIVO N°2</v>
      </c>
      <c r="BA1107" s="325" t="str">
        <f>IF(BDEGENER[[#This Row],[SERVICIO]]=BDEGENER[[#This Row],[GA2]],BDEGENER[[#This Row],[HORAS]],"0")</f>
        <v>0</v>
      </c>
      <c r="BB1107" s="325">
        <f>SUMIF(BDEGENER[SERIE],BDEGENER[[#This Row],[SERIE]],BDEGENER[GA3])</f>
        <v>0</v>
      </c>
      <c r="BC1107" s="683" t="str">
        <f>CONCATENATE("MANT",COUNTIF($Y$7:Y1107,Y1107))</f>
        <v>MANT3</v>
      </c>
      <c r="BD1107" s="29" t="str">
        <f>CONCATENATE(BDEGENER[[#This Row],[SERIE]],BDEGENER[[#This Row],[GA5]])</f>
        <v>9319809MANT3</v>
      </c>
      <c r="BE1107" s="29" t="str">
        <f>CONCATENATE(BDEGENER[[#This Row],[CODIGO PATRIMONIAL]],BDEGENER[[#This Row],[GA5]])</f>
        <v>17922MANT3</v>
      </c>
      <c r="BF1107" s="16">
        <f>COUNTIF(BDEGENER[SERIE],BDEGENER[[#This Row],[SERIE]])</f>
        <v>8</v>
      </c>
      <c r="BG1107" s="683" t="str">
        <f>CONCATENATE("F",COUNTIF($K$7:K1107,K1107))</f>
        <v>F1</v>
      </c>
      <c r="BH1107" s="325" t="str">
        <f>CONCATENATE(BDEGENER[[#This Row],[FECHA DE SERVICIO]],BDEGENER[[#This Row],[N° DE REGISTROS DEL DIA]])</f>
        <v>43329F1</v>
      </c>
      <c r="BI1107" s="324"/>
      <c r="BJ1107" s="325"/>
      <c r="BK1107" s="326"/>
    </row>
    <row r="1108" spans="2:63" ht="69" hidden="1" x14ac:dyDescent="0.3">
      <c r="B1108" s="33"/>
      <c r="C1108" s="33"/>
      <c r="D1108" s="33"/>
      <c r="E1108" s="33"/>
      <c r="F1108" s="33"/>
      <c r="G1108" s="33"/>
      <c r="H1108" s="33"/>
      <c r="I1108" s="33"/>
      <c r="J1108" s="33"/>
      <c r="K1108" s="38">
        <v>43329</v>
      </c>
      <c r="L1108" s="18" t="s">
        <v>248</v>
      </c>
      <c r="M1108" s="23" t="s">
        <v>285</v>
      </c>
      <c r="N1108" s="23" t="s">
        <v>286</v>
      </c>
      <c r="O1108" s="23"/>
      <c r="P1108" s="21"/>
      <c r="Q1108" s="23" t="s">
        <v>107</v>
      </c>
      <c r="R1108" s="85" t="s">
        <v>1782</v>
      </c>
      <c r="S1108" s="25" t="s">
        <v>414</v>
      </c>
      <c r="T1108" s="85" t="s">
        <v>1782</v>
      </c>
      <c r="U1108" s="25"/>
      <c r="V1108" s="25" t="s">
        <v>349</v>
      </c>
      <c r="W1108" s="25"/>
      <c r="X1108" s="25"/>
      <c r="Y1108" s="31">
        <v>9301207</v>
      </c>
      <c r="Z1108" s="16">
        <v>17524</v>
      </c>
      <c r="AA1108" s="16"/>
      <c r="AB1108" s="16" t="s">
        <v>512</v>
      </c>
      <c r="AC1108" s="23" t="s">
        <v>536</v>
      </c>
      <c r="AD1108" s="16"/>
      <c r="AE1108" s="16"/>
      <c r="AF1108" s="27" t="s">
        <v>549</v>
      </c>
      <c r="AG1108" s="16"/>
      <c r="AH1108" s="16"/>
      <c r="AI1108" s="16"/>
      <c r="AJ1108" s="16"/>
      <c r="AK1108" s="16"/>
      <c r="AL1108" s="16"/>
      <c r="AM1108" s="16"/>
      <c r="AN1108" s="16"/>
      <c r="AO1108" s="16"/>
      <c r="AP1108" s="22" t="s">
        <v>240</v>
      </c>
      <c r="AQ1108" s="6" t="str">
        <f>CONCATENATE("REG-",BDEGENER[[#This Row],[FECHA DE SERVICIO]],"-",BDEGENER[[#This Row],[SERIE]],"-",BDEGENER[[#This Row],[HORAS]])</f>
        <v>REG-43329-9301207-1153,64</v>
      </c>
      <c r="AR1108" s="5" t="str">
        <f>CONCATENATE("MARCA: ",BDEGENER[[#This Row],[MARCA]],"
 MODELO: ",BDEGENER[[#This Row],[MODELO]])</f>
        <v xml:space="preserve">MARCA: 
 MODELO: POWER PACT </v>
      </c>
      <c r="AS1108" s="5" t="str">
        <f>CONCATENATE("MARCA: ",BDEGENER[[#This Row],[MARCA DE MOTOR]],"
SERIE: ",BDEGENER[[#This Row],[SERIE DE MOTOR]])</f>
        <v xml:space="preserve">MARCA: 
SERIE: </v>
      </c>
      <c r="AT1108" s="5" t="str">
        <f>CONCATENATE("MARCA: ",BDEGENER[[#This Row],[MARCA ALTERNADOR ]],"
SERIE: ",BDEGENER[[#This Row],[SERIE DE ALTERNADOR]])</f>
        <v xml:space="preserve">MARCA: 
SERIE: </v>
      </c>
      <c r="AU1108" s="5" t="str">
        <f>CONCATENATE("HORAS: ",BDEGENER[[#This Row],[HORAS]],"
KW-HR: ",BDEGENER[[#This Row],[KW-HORA]],"
VOLT.BATERIA: ",BDEGENER[[#This Row],[VOLTAJE DE BATERIA]],"
TEMPERATURA: ",BDEGENER[[#This Row],[TEMPERATURA DE AGUA]],"
PRES. ACEITE: ",BDEGENER[[#This Row],[PRESION DE ACEITE]])</f>
        <v xml:space="preserve">HORAS: 1153,64
KW-HR: 
VOLT.BATERIA: 
TEMPERATURA: 
PRES. ACEITE: </v>
      </c>
      <c r="AV1108" s="761">
        <f>COUNTIFS(Q1108:Q3108,"MANTENIMIENTO CORRECTIVO",Y1108:Y3108,BDEGENER[[#This Row],[SERIE]])</f>
        <v>3</v>
      </c>
      <c r="AW1108" s="761">
        <f>COUNTIFS(Q1108:Q3108,"MANTENIMIENTO PREVENTIVO",Y1108:Y3108,BDEGENER[[#This Row],[SERIE]])</f>
        <v>3</v>
      </c>
      <c r="AX110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1108" s="29">
        <f>COUNTIFS(BDEGENER[SERIE],BDEGENER[[#This Row],[SERIE]],BDEGENER[TIPO DE SERVICIO],"MANTENIMIENTO PREVENTIVO")</f>
        <v>3</v>
      </c>
      <c r="AZ1108" s="29" t="str">
        <f>CONCATENATE("MANTENIMIENTO PREVENTIVO N°",BDEGENER[[#This Row],[GA1]])</f>
        <v>MANTENIMIENTO PREVENTIVO N°3</v>
      </c>
      <c r="BA1108" s="325" t="str">
        <f>IF(BDEGENER[[#This Row],[SERVICIO]]=BDEGENER[[#This Row],[GA2]],BDEGENER[[#This Row],[HORAS]],"0")</f>
        <v>0</v>
      </c>
      <c r="BB1108" s="325">
        <f>SUMIF(BDEGENER[SERIE],BDEGENER[[#This Row],[SERIE]],BDEGENER[GA3])</f>
        <v>0</v>
      </c>
      <c r="BC1108" s="761" t="str">
        <f>CONCATENATE("MANT",COUNTIF($Y$7:Y1108,Y1108))</f>
        <v>MANT3</v>
      </c>
      <c r="BD1108" s="29" t="str">
        <f>CONCATENATE(BDEGENER[[#This Row],[SERIE]],BDEGENER[[#This Row],[GA5]])</f>
        <v>9301207MANT3</v>
      </c>
      <c r="BE1108" s="29" t="str">
        <f>CONCATENATE(BDEGENER[[#This Row],[CODIGO PATRIMONIAL]],BDEGENER[[#This Row],[GA5]])</f>
        <v>17524MANT3</v>
      </c>
      <c r="BF1108" s="16">
        <f>COUNTIF(BDEGENER[SERIE],BDEGENER[[#This Row],[SERIE]])</f>
        <v>8</v>
      </c>
      <c r="BG1108" s="761" t="str">
        <f>CONCATENATE("F",COUNTIF($K$7:K1108,K1108))</f>
        <v>F2</v>
      </c>
      <c r="BH1108" s="325" t="str">
        <f>CONCATENATE(BDEGENER[[#This Row],[FECHA DE SERVICIO]],BDEGENER[[#This Row],[N° DE REGISTROS DEL DIA]])</f>
        <v>43329F2</v>
      </c>
      <c r="BI1108" s="324"/>
      <c r="BJ1108" s="325"/>
      <c r="BK1108" s="326"/>
    </row>
    <row r="1109" spans="2:63" ht="69" hidden="1" x14ac:dyDescent="0.3">
      <c r="B1109" s="33"/>
      <c r="C1109" s="33"/>
      <c r="D1109" s="33"/>
      <c r="E1109" s="33"/>
      <c r="F1109" s="33"/>
      <c r="G1109" s="33"/>
      <c r="H1109" s="33"/>
      <c r="I1109" s="33"/>
      <c r="J1109" s="33"/>
      <c r="K1109" s="38">
        <v>43329</v>
      </c>
      <c r="L1109" s="18" t="s">
        <v>248</v>
      </c>
      <c r="M1109" s="23" t="s">
        <v>265</v>
      </c>
      <c r="N1109" s="23" t="s">
        <v>266</v>
      </c>
      <c r="O1109" s="23"/>
      <c r="P1109" s="21"/>
      <c r="Q1109" s="23" t="s">
        <v>37</v>
      </c>
      <c r="R1109" s="85" t="s">
        <v>1782</v>
      </c>
      <c r="S1109" s="25" t="s">
        <v>415</v>
      </c>
      <c r="T1109" s="85" t="s">
        <v>1782</v>
      </c>
      <c r="U1109" s="25" t="s">
        <v>416</v>
      </c>
      <c r="V1109" s="25" t="s">
        <v>349</v>
      </c>
      <c r="W1109" s="25"/>
      <c r="X1109" s="25" t="s">
        <v>917</v>
      </c>
      <c r="Y1109" s="31" t="s">
        <v>508</v>
      </c>
      <c r="Z1109" s="16">
        <v>21011</v>
      </c>
      <c r="AA1109" s="16" t="s">
        <v>33</v>
      </c>
      <c r="AB1109" s="16" t="s">
        <v>498</v>
      </c>
      <c r="AC1109" s="23" t="s">
        <v>533</v>
      </c>
      <c r="AD1109" s="16"/>
      <c r="AE1109" s="16"/>
      <c r="AF1109" s="27">
        <v>432.2</v>
      </c>
      <c r="AG1109" s="16"/>
      <c r="AH1109" s="16"/>
      <c r="AI1109" s="16"/>
      <c r="AJ1109" s="16"/>
      <c r="AK1109" s="16"/>
      <c r="AL1109" s="16"/>
      <c r="AM1109" s="16"/>
      <c r="AN1109" s="16"/>
      <c r="AO1109" s="16"/>
      <c r="AP1109" s="22" t="s">
        <v>240</v>
      </c>
      <c r="AQ1109" s="6" t="str">
        <f>CONCATENATE("REG-",BDEGENER[[#This Row],[FECHA DE SERVICIO]],"-",BDEGENER[[#This Row],[SERIE]],"-",BDEGENER[[#This Row],[HORAS]])</f>
        <v>REG-43329-PEE2613305-432,2</v>
      </c>
      <c r="AR1109" s="5" t="str">
        <f>CONCATENATE("MARCA: ",BDEGENER[[#This Row],[MARCA]],"
 MODELO: ",BDEGENER[[#This Row],[MODELO]])</f>
        <v>MARCA: GENERAC
 MODELO: GOO68640</v>
      </c>
      <c r="AS1109" s="5" t="str">
        <f>CONCATENATE("MARCA: ",BDEGENER[[#This Row],[MARCA DE MOTOR]],"
SERIE: ",BDEGENER[[#This Row],[SERIE DE MOTOR]])</f>
        <v xml:space="preserve">MARCA: 
SERIE: </v>
      </c>
      <c r="AT1109" s="5" t="str">
        <f>CONCATENATE("MARCA: ",BDEGENER[[#This Row],[MARCA ALTERNADOR ]],"
SERIE: ",BDEGENER[[#This Row],[SERIE DE ALTERNADOR]])</f>
        <v xml:space="preserve">MARCA: 
SERIE: </v>
      </c>
      <c r="AU1109" s="5" t="str">
        <f>CONCATENATE("HORAS: ",BDEGENER[[#This Row],[HORAS]],"
KW-HR: ",BDEGENER[[#This Row],[KW-HORA]],"
VOLT.BATERIA: ",BDEGENER[[#This Row],[VOLTAJE DE BATERIA]],"
TEMPERATURA: ",BDEGENER[[#This Row],[TEMPERATURA DE AGUA]],"
PRES. ACEITE: ",BDEGENER[[#This Row],[PRESION DE ACEITE]])</f>
        <v xml:space="preserve">HORAS: 432,2
KW-HR: 
VOLT.BATERIA: 
TEMPERATURA: 
PRES. ACEITE: </v>
      </c>
      <c r="AV1109" s="683">
        <f>COUNTIFS(Q1109:Q3109,"MANTENIMIENTO CORRECTIVO",Y1109:Y3109,BDEGENER[[#This Row],[SERIE]])</f>
        <v>0</v>
      </c>
      <c r="AW1109" s="683">
        <f>COUNTIFS(Q1109:Q3109,"MANTENIMIENTO PREVENTIVO",Y1109:Y3109,BDEGENER[[#This Row],[SERIE]])</f>
        <v>1</v>
      </c>
      <c r="AX110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09" s="29">
        <f>COUNTIFS(BDEGENER[SERIE],BDEGENER[[#This Row],[SERIE]],BDEGENER[TIPO DE SERVICIO],"MANTENIMIENTO PREVENTIVO")</f>
        <v>2</v>
      </c>
      <c r="AZ1109" s="29" t="str">
        <f>CONCATENATE("MANTENIMIENTO PREVENTIVO N°",BDEGENER[[#This Row],[GA1]])</f>
        <v>MANTENIMIENTO PREVENTIVO N°2</v>
      </c>
      <c r="BA1109" s="325" t="str">
        <f>IF(BDEGENER[[#This Row],[SERVICIO]]=BDEGENER[[#This Row],[GA2]],BDEGENER[[#This Row],[HORAS]],"0")</f>
        <v>0</v>
      </c>
      <c r="BB1109" s="325">
        <f>SUMIF(BDEGENER[SERIE],BDEGENER[[#This Row],[SERIE]],BDEGENER[GA3])</f>
        <v>1975</v>
      </c>
      <c r="BC1109" s="683" t="str">
        <f>CONCATENATE("MANT",COUNTIF($Y$7:Y1109,Y1109))</f>
        <v>MANT2</v>
      </c>
      <c r="BD1109" s="29" t="str">
        <f>CONCATENATE(BDEGENER[[#This Row],[SERIE]],BDEGENER[[#This Row],[GA5]])</f>
        <v>PEE2613305MANT2</v>
      </c>
      <c r="BE1109" s="29" t="str">
        <f>CONCATENATE(BDEGENER[[#This Row],[CODIGO PATRIMONIAL]],BDEGENER[[#This Row],[GA5]])</f>
        <v>21011MANT2</v>
      </c>
      <c r="BF1109" s="16">
        <f>COUNTIF(BDEGENER[SERIE],BDEGENER[[#This Row],[SERIE]])</f>
        <v>2</v>
      </c>
      <c r="BG1109" s="683" t="str">
        <f>CONCATENATE("F",COUNTIF($K$7:K1109,K1109))</f>
        <v>F3</v>
      </c>
      <c r="BH1109" s="325" t="str">
        <f>CONCATENATE(BDEGENER[[#This Row],[FECHA DE SERVICIO]],BDEGENER[[#This Row],[N° DE REGISTROS DEL DIA]])</f>
        <v>43329F3</v>
      </c>
      <c r="BI1109" s="324"/>
      <c r="BJ1109" s="325"/>
      <c r="BK1109" s="326"/>
    </row>
    <row r="1110" spans="2:63" ht="69" hidden="1" x14ac:dyDescent="0.3">
      <c r="B1110" s="33"/>
      <c r="C1110" s="33"/>
      <c r="D1110" s="33"/>
      <c r="E1110" s="33"/>
      <c r="F1110" s="33"/>
      <c r="G1110" s="33"/>
      <c r="H1110" s="33"/>
      <c r="I1110" s="33"/>
      <c r="J1110" s="33"/>
      <c r="K1110" s="38">
        <v>43329</v>
      </c>
      <c r="L1110" s="18" t="s">
        <v>248</v>
      </c>
      <c r="M1110" s="23" t="s">
        <v>265</v>
      </c>
      <c r="N1110" s="23" t="s">
        <v>266</v>
      </c>
      <c r="O1110" s="23"/>
      <c r="P1110" s="21"/>
      <c r="Q1110" s="23" t="s">
        <v>37</v>
      </c>
      <c r="R1110" s="85" t="s">
        <v>1782</v>
      </c>
      <c r="S1110" s="25" t="s">
        <v>415</v>
      </c>
      <c r="T1110" s="85" t="s">
        <v>1782</v>
      </c>
      <c r="U1110" s="25" t="s">
        <v>416</v>
      </c>
      <c r="V1110" s="25" t="s">
        <v>349</v>
      </c>
      <c r="W1110" s="25"/>
      <c r="X1110" s="25"/>
      <c r="Y1110" s="31" t="s">
        <v>517</v>
      </c>
      <c r="Z1110" s="16">
        <v>19994</v>
      </c>
      <c r="AA1110" s="16"/>
      <c r="AB1110" s="16"/>
      <c r="AC1110" s="23"/>
      <c r="AD1110" s="16"/>
      <c r="AE1110" s="16"/>
      <c r="AF1110" s="27" t="s">
        <v>550</v>
      </c>
      <c r="AG1110" s="16"/>
      <c r="AH1110" s="16"/>
      <c r="AI1110" s="16"/>
      <c r="AJ1110" s="16"/>
      <c r="AK1110" s="16"/>
      <c r="AL1110" s="16"/>
      <c r="AM1110" s="16"/>
      <c r="AN1110" s="16"/>
      <c r="AO1110" s="16"/>
      <c r="AP1110" s="22" t="s">
        <v>240</v>
      </c>
      <c r="AQ1110" s="6" t="str">
        <f>CONCATENATE("REG-",BDEGENER[[#This Row],[FECHA DE SERVICIO]],"-",BDEGENER[[#This Row],[SERIE]],"-",BDEGENER[[#This Row],[HORAS]])</f>
        <v>REG-43329-PEE2613893-530,6</v>
      </c>
      <c r="AR1110" s="5" t="str">
        <f>CONCATENATE("MARCA: ",BDEGENER[[#This Row],[MARCA]],"
 MODELO: ",BDEGENER[[#This Row],[MODELO]])</f>
        <v xml:space="preserve">MARCA: 
 MODELO: </v>
      </c>
      <c r="AS1110" s="5" t="str">
        <f>CONCATENATE("MARCA: ",BDEGENER[[#This Row],[MARCA DE MOTOR]],"
SERIE: ",BDEGENER[[#This Row],[SERIE DE MOTOR]])</f>
        <v xml:space="preserve">MARCA: 
SERIE: </v>
      </c>
      <c r="AT1110" s="5" t="str">
        <f>CONCATENATE("MARCA: ",BDEGENER[[#This Row],[MARCA ALTERNADOR ]],"
SERIE: ",BDEGENER[[#This Row],[SERIE DE ALTERNADOR]])</f>
        <v xml:space="preserve">MARCA: 
SERIE: </v>
      </c>
      <c r="AU1110" s="5" t="str">
        <f>CONCATENATE("HORAS: ",BDEGENER[[#This Row],[HORAS]],"
KW-HR: ",BDEGENER[[#This Row],[KW-HORA]],"
VOLT.BATERIA: ",BDEGENER[[#This Row],[VOLTAJE DE BATERIA]],"
TEMPERATURA: ",BDEGENER[[#This Row],[TEMPERATURA DE AGUA]],"
PRES. ACEITE: ",BDEGENER[[#This Row],[PRESION DE ACEITE]])</f>
        <v xml:space="preserve">HORAS: 530,6
KW-HR: 
VOLT.BATERIA: 
TEMPERATURA: 
PRES. ACEITE: </v>
      </c>
      <c r="AV1110" s="683">
        <f>COUNTIFS(Q1110:Q3110,"MANTENIMIENTO CORRECTIVO",Y1110:Y3110,BDEGENER[[#This Row],[SERIE]])</f>
        <v>0</v>
      </c>
      <c r="AW1110" s="683">
        <f>COUNTIFS(Q1110:Q3110,"MANTENIMIENTO PREVENTIVO",Y1110:Y3110,BDEGENER[[#This Row],[SERIE]])</f>
        <v>2</v>
      </c>
      <c r="AX111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110" s="29">
        <f>COUNTIFS(BDEGENER[SERIE],BDEGENER[[#This Row],[SERIE]],BDEGENER[TIPO DE SERVICIO],"MANTENIMIENTO PREVENTIVO")</f>
        <v>3</v>
      </c>
      <c r="AZ1110" s="29" t="str">
        <f>CONCATENATE("MANTENIMIENTO PREVENTIVO N°",BDEGENER[[#This Row],[GA1]])</f>
        <v>MANTENIMIENTO PREVENTIVO N°3</v>
      </c>
      <c r="BA1110" s="325" t="str">
        <f>IF(BDEGENER[[#This Row],[SERVICIO]]=BDEGENER[[#This Row],[GA2]],BDEGENER[[#This Row],[HORAS]],"0")</f>
        <v>0</v>
      </c>
      <c r="BB1110" s="325">
        <f>SUMIF(BDEGENER[SERIE],BDEGENER[[#This Row],[SERIE]],BDEGENER[GA3])</f>
        <v>0</v>
      </c>
      <c r="BC1110" s="683" t="str">
        <f>CONCATENATE("MANT",COUNTIF($Y$7:Y1110,Y1110))</f>
        <v>MANT2</v>
      </c>
      <c r="BD1110" s="29" t="str">
        <f>CONCATENATE(BDEGENER[[#This Row],[SERIE]],BDEGENER[[#This Row],[GA5]])</f>
        <v>PEE2613893MANT2</v>
      </c>
      <c r="BE1110" s="29" t="str">
        <f>CONCATENATE(BDEGENER[[#This Row],[CODIGO PATRIMONIAL]],BDEGENER[[#This Row],[GA5]])</f>
        <v>19994MANT2</v>
      </c>
      <c r="BF1110" s="16">
        <f>COUNTIF(BDEGENER[SERIE],BDEGENER[[#This Row],[SERIE]])</f>
        <v>3</v>
      </c>
      <c r="BG1110" s="683" t="str">
        <f>CONCATENATE("F",COUNTIF($K$7:K1110,K1110))</f>
        <v>F4</v>
      </c>
      <c r="BH1110" s="325" t="str">
        <f>CONCATENATE(BDEGENER[[#This Row],[FECHA DE SERVICIO]],BDEGENER[[#This Row],[N° DE REGISTROS DEL DIA]])</f>
        <v>43329F4</v>
      </c>
      <c r="BI1110" s="324"/>
      <c r="BJ1110" s="325"/>
      <c r="BK1110" s="326"/>
    </row>
    <row r="1111" spans="2:63" ht="124.2" hidden="1" x14ac:dyDescent="0.3">
      <c r="B1111" s="33"/>
      <c r="C1111" s="33"/>
      <c r="D1111" s="33"/>
      <c r="E1111" s="33"/>
      <c r="F1111" s="33"/>
      <c r="G1111" s="33"/>
      <c r="H1111" s="33"/>
      <c r="I1111" s="33"/>
      <c r="J1111" s="33"/>
      <c r="K1111" s="38">
        <v>43318</v>
      </c>
      <c r="L1111" s="18" t="s">
        <v>248</v>
      </c>
      <c r="M1111" s="23" t="s">
        <v>272</v>
      </c>
      <c r="N1111" s="23" t="s">
        <v>273</v>
      </c>
      <c r="O1111" s="23"/>
      <c r="P1111" s="21"/>
      <c r="Q1111" s="23" t="s">
        <v>37</v>
      </c>
      <c r="R1111" s="85" t="s">
        <v>1782</v>
      </c>
      <c r="S1111" s="25" t="s">
        <v>417</v>
      </c>
      <c r="T1111" s="25" t="s">
        <v>418</v>
      </c>
      <c r="U1111" s="25" t="s">
        <v>419</v>
      </c>
      <c r="V1111" s="25" t="s">
        <v>364</v>
      </c>
      <c r="W1111" s="85" t="s">
        <v>913</v>
      </c>
      <c r="X1111" s="85" t="s">
        <v>917</v>
      </c>
      <c r="Y1111" s="31" t="s">
        <v>507</v>
      </c>
      <c r="Z1111" s="16">
        <v>17571</v>
      </c>
      <c r="AA1111" s="85" t="s">
        <v>33</v>
      </c>
      <c r="AB1111" s="85" t="s">
        <v>500</v>
      </c>
      <c r="AC1111" s="23" t="s">
        <v>530</v>
      </c>
      <c r="AD1111" s="16"/>
      <c r="AE1111" s="16"/>
      <c r="AF1111" s="27">
        <v>2195</v>
      </c>
      <c r="AG1111" s="85" t="s">
        <v>243</v>
      </c>
      <c r="AH1111" s="85" t="s">
        <v>1236</v>
      </c>
      <c r="AI1111" s="85" t="s">
        <v>844</v>
      </c>
      <c r="AJ1111" s="16"/>
      <c r="AK1111" s="85" t="s">
        <v>1235</v>
      </c>
      <c r="AL1111" s="16"/>
      <c r="AM1111" s="16"/>
      <c r="AN1111" s="16"/>
      <c r="AO1111" s="16"/>
      <c r="AP1111" s="22" t="s">
        <v>240</v>
      </c>
      <c r="AQ1111" s="6" t="str">
        <f>CONCATENATE("REG-",BDEGENER[[#This Row],[FECHA DE SERVICIO]],"-",BDEGENER[[#This Row],[SERIE]],"-",BDEGENER[[#This Row],[HORAS]])</f>
        <v>REG-43318-PEE2599048-2195</v>
      </c>
      <c r="AR1111" s="5" t="str">
        <f>CONCATENATE("MARCA: ",BDEGENER[[#This Row],[MARCA]],"
 MODELO: ",BDEGENER[[#This Row],[MODELO]])</f>
        <v>MARCA: GENERAC
 MODELO: PMY20B</v>
      </c>
      <c r="AS1111" s="5" t="str">
        <f>CONCATENATE("MARCA: ",BDEGENER[[#This Row],[MARCA DE MOTOR]],"
SERIE: ",BDEGENER[[#This Row],[SERIE DE MOTOR]])</f>
        <v xml:space="preserve">MARCA: PERKINS
SERIE: </v>
      </c>
      <c r="AT1111" s="5" t="str">
        <f>CONCATENATE("MARCA: ",BDEGENER[[#This Row],[MARCA ALTERNADOR ]],"
SERIE: ",BDEGENER[[#This Row],[SERIE DE ALTERNADOR]])</f>
        <v xml:space="preserve">MARCA: MECC ALTE
SERIE: </v>
      </c>
      <c r="AU1111" s="5" t="str">
        <f>CONCATENATE("HORAS: ",BDEGENER[[#This Row],[HORAS]],"
KW-HR: ",BDEGENER[[#This Row],[KW-HORA]],"
VOLT.BATERIA: ",BDEGENER[[#This Row],[VOLTAJE DE BATERIA]],"
TEMPERATURA: ",BDEGENER[[#This Row],[TEMPERATURA DE AGUA]],"
PRES. ACEITE: ",BDEGENER[[#This Row],[PRESION DE ACEITE]])</f>
        <v xml:space="preserve">HORAS: 2195
KW-HR: 
VOLT.BATERIA: 
TEMPERATURA: 
PRES. ACEITE: </v>
      </c>
      <c r="AV1111" s="761">
        <f>COUNTIFS(Q1111:Q3111,"MANTENIMIENTO CORRECTIVO",Y1111:Y3111,BDEGENER[[#This Row],[SERIE]])</f>
        <v>0</v>
      </c>
      <c r="AW1111" s="761">
        <f>COUNTIFS(Q1111:Q3111,"MANTENIMIENTO PREVENTIVO",Y1111:Y3111,BDEGENER[[#This Row],[SERIE]])</f>
        <v>3</v>
      </c>
      <c r="AX111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111" s="29">
        <f>COUNTIFS(BDEGENER[SERIE],BDEGENER[[#This Row],[SERIE]],BDEGENER[TIPO DE SERVICIO],"MANTENIMIENTO PREVENTIVO")</f>
        <v>4</v>
      </c>
      <c r="AZ1111" s="29" t="str">
        <f>CONCATENATE("MANTENIMIENTO PREVENTIVO N°",BDEGENER[[#This Row],[GA1]])</f>
        <v>MANTENIMIENTO PREVENTIVO N°4</v>
      </c>
      <c r="BA1111" s="325" t="str">
        <f>IF(BDEGENER[[#This Row],[SERVICIO]]=BDEGENER[[#This Row],[GA2]],BDEGENER[[#This Row],[HORAS]],"0")</f>
        <v>0</v>
      </c>
      <c r="BB1111" s="325">
        <f>SUMIF(BDEGENER[SERIE],BDEGENER[[#This Row],[SERIE]],BDEGENER[GA3])</f>
        <v>2735.6</v>
      </c>
      <c r="BC1111" s="761" t="str">
        <f>CONCATENATE("MANT",COUNTIF($Y$7:Y1111,Y1111))</f>
        <v>MANT2</v>
      </c>
      <c r="BD1111" s="29" t="str">
        <f>CONCATENATE(BDEGENER[[#This Row],[SERIE]],BDEGENER[[#This Row],[GA5]])</f>
        <v>PEE2599048MANT2</v>
      </c>
      <c r="BE1111" s="29" t="str">
        <f>CONCATENATE(BDEGENER[[#This Row],[CODIGO PATRIMONIAL]],BDEGENER[[#This Row],[GA5]])</f>
        <v>17571MANT2</v>
      </c>
      <c r="BF1111" s="16">
        <f>COUNTIF(BDEGENER[SERIE],BDEGENER[[#This Row],[SERIE]])</f>
        <v>4</v>
      </c>
      <c r="BG1111" s="761" t="str">
        <f>CONCATENATE("F",COUNTIF($K$7:K1111,K1111))</f>
        <v>F1</v>
      </c>
      <c r="BH1111" s="325" t="str">
        <f>CONCATENATE(BDEGENER[[#This Row],[FECHA DE SERVICIO]],BDEGENER[[#This Row],[N° DE REGISTROS DEL DIA]])</f>
        <v>43318F1</v>
      </c>
      <c r="BI1111" s="324"/>
      <c r="BJ1111" s="325"/>
      <c r="BK1111" s="326"/>
    </row>
    <row r="1112" spans="2:63" ht="69" hidden="1" x14ac:dyDescent="0.3">
      <c r="B1112" s="33"/>
      <c r="C1112" s="33"/>
      <c r="D1112" s="33"/>
      <c r="E1112" s="33"/>
      <c r="F1112" s="33"/>
      <c r="G1112" s="33"/>
      <c r="H1112" s="33"/>
      <c r="I1112" s="33"/>
      <c r="J1112" s="33"/>
      <c r="K1112" s="38">
        <v>43318</v>
      </c>
      <c r="L1112" s="18" t="s">
        <v>248</v>
      </c>
      <c r="M1112" s="23" t="s">
        <v>291</v>
      </c>
      <c r="N1112" s="85" t="s">
        <v>1409</v>
      </c>
      <c r="O1112" s="23"/>
      <c r="P1112" s="21"/>
      <c r="Q1112" s="23" t="s">
        <v>107</v>
      </c>
      <c r="R1112" s="85" t="s">
        <v>1782</v>
      </c>
      <c r="S1112" s="25" t="s">
        <v>420</v>
      </c>
      <c r="T1112" s="85" t="s">
        <v>1782</v>
      </c>
      <c r="U1112" s="25" t="s">
        <v>421</v>
      </c>
      <c r="V1112" s="25" t="s">
        <v>364</v>
      </c>
      <c r="W1112" s="25"/>
      <c r="X1112" s="25"/>
      <c r="Y1112" s="31">
        <v>9319804</v>
      </c>
      <c r="Z1112" s="16">
        <v>17523</v>
      </c>
      <c r="AA1112" s="85" t="s">
        <v>33</v>
      </c>
      <c r="AB1112" s="85">
        <v>65610</v>
      </c>
      <c r="AC1112" s="23" t="s">
        <v>535</v>
      </c>
      <c r="AD1112" s="16"/>
      <c r="AE1112" s="16"/>
      <c r="AF1112" s="27" t="s">
        <v>551</v>
      </c>
      <c r="AG1112" s="85" t="s">
        <v>1412</v>
      </c>
      <c r="AH1112" s="85" t="s">
        <v>1413</v>
      </c>
      <c r="AI1112" s="85" t="s">
        <v>33</v>
      </c>
      <c r="AJ1112" s="16"/>
      <c r="AK1112" s="85" t="s">
        <v>33</v>
      </c>
      <c r="AL1112" s="16"/>
      <c r="AM1112" s="16"/>
      <c r="AN1112" s="16"/>
      <c r="AO1112" s="16"/>
      <c r="AP1112" s="22" t="s">
        <v>240</v>
      </c>
      <c r="AQ1112" s="6" t="str">
        <f>CONCATENATE("REG-",BDEGENER[[#This Row],[FECHA DE SERVICIO]],"-",BDEGENER[[#This Row],[SERIE]],"-",BDEGENER[[#This Row],[HORAS]])</f>
        <v>REG-43318-9319804-729,39</v>
      </c>
      <c r="AR1112" s="5" t="str">
        <f>CONCATENATE("MARCA: ",BDEGENER[[#This Row],[MARCA]],"
 MODELO: ",BDEGENER[[#This Row],[MODELO]])</f>
        <v>MARCA: GENERAC
 MODELO: 65610</v>
      </c>
      <c r="AS1112" s="5" t="str">
        <f>CONCATENATE("MARCA: ",BDEGENER[[#This Row],[MARCA DE MOTOR]],"
SERIE: ",BDEGENER[[#This Row],[SERIE DE MOTOR]])</f>
        <v xml:space="preserve">MARCA: GENERAC
SERIE: </v>
      </c>
      <c r="AT1112" s="5" t="str">
        <f>CONCATENATE("MARCA: ",BDEGENER[[#This Row],[MARCA ALTERNADOR ]],"
SERIE: ",BDEGENER[[#This Row],[SERIE DE ALTERNADOR]])</f>
        <v xml:space="preserve">MARCA: GENERAC
SERIE: </v>
      </c>
      <c r="AU1112" s="5" t="str">
        <f>CONCATENATE("HORAS: ",BDEGENER[[#This Row],[HORAS]],"
KW-HR: ",BDEGENER[[#This Row],[KW-HORA]],"
VOLT.BATERIA: ",BDEGENER[[#This Row],[VOLTAJE DE BATERIA]],"
TEMPERATURA: ",BDEGENER[[#This Row],[TEMPERATURA DE AGUA]],"
PRES. ACEITE: ",BDEGENER[[#This Row],[PRESION DE ACEITE]])</f>
        <v xml:space="preserve">HORAS: 729,39
KW-HR: 
VOLT.BATERIA: 
TEMPERATURA: 
PRES. ACEITE: </v>
      </c>
      <c r="AV1112" s="683">
        <f>COUNTIFS(Q1112:Q3112,"MANTENIMIENTO CORRECTIVO",Y1112:Y3112,BDEGENER[[#This Row],[SERIE]])</f>
        <v>5</v>
      </c>
      <c r="AW1112" s="683">
        <f>COUNTIFS(Q1112:Q3112,"MANTENIMIENTO PREVENTIVO",Y1112:Y3112,BDEGENER[[#This Row],[SERIE]])</f>
        <v>1</v>
      </c>
      <c r="AX111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N°5</v>
      </c>
      <c r="AY1112" s="29">
        <f>COUNTIFS(BDEGENER[SERIE],BDEGENER[[#This Row],[SERIE]],BDEGENER[TIPO DE SERVICIO],"MANTENIMIENTO PREVENTIVO")</f>
        <v>2</v>
      </c>
      <c r="AZ1112" s="29" t="str">
        <f>CONCATENATE("MANTENIMIENTO PREVENTIVO N°",BDEGENER[[#This Row],[GA1]])</f>
        <v>MANTENIMIENTO PREVENTIVO N°2</v>
      </c>
      <c r="BA1112" s="325" t="str">
        <f>IF(BDEGENER[[#This Row],[SERVICIO]]=BDEGENER[[#This Row],[GA2]],BDEGENER[[#This Row],[HORAS]],"0")</f>
        <v>0</v>
      </c>
      <c r="BB1112" s="325">
        <f>SUMIF(BDEGENER[SERIE],BDEGENER[[#This Row],[SERIE]],BDEGENER[GA3])</f>
        <v>872.68</v>
      </c>
      <c r="BC1112" s="683" t="str">
        <f>CONCATENATE("MANT",COUNTIF($Y$7:Y1112,Y1112))</f>
        <v>MANT5</v>
      </c>
      <c r="BD1112" s="29" t="str">
        <f>CONCATENATE(BDEGENER[[#This Row],[SERIE]],BDEGENER[[#This Row],[GA5]])</f>
        <v>9319804MANT5</v>
      </c>
      <c r="BE1112" s="29" t="str">
        <f>CONCATENATE(BDEGENER[[#This Row],[CODIGO PATRIMONIAL]],BDEGENER[[#This Row],[GA5]])</f>
        <v>17523MANT5</v>
      </c>
      <c r="BF1112" s="16">
        <f>COUNTIF(BDEGENER[SERIE],BDEGENER[[#This Row],[SERIE]])</f>
        <v>10</v>
      </c>
      <c r="BG1112" s="683" t="str">
        <f>CONCATENATE("F",COUNTIF($K$7:K1112,K1112))</f>
        <v>F2</v>
      </c>
      <c r="BH1112" s="325" t="str">
        <f>CONCATENATE(BDEGENER[[#This Row],[FECHA DE SERVICIO]],BDEGENER[[#This Row],[N° DE REGISTROS DEL DIA]])</f>
        <v>43318F2</v>
      </c>
      <c r="BI1112" s="324"/>
      <c r="BJ1112" s="325"/>
      <c r="BK1112" s="326"/>
    </row>
    <row r="1113" spans="2:63" ht="69" hidden="1" x14ac:dyDescent="0.3">
      <c r="B1113" s="33"/>
      <c r="C1113" s="33"/>
      <c r="D1113" s="33"/>
      <c r="E1113" s="33"/>
      <c r="F1113" s="33"/>
      <c r="G1113" s="33"/>
      <c r="H1113" s="33"/>
      <c r="I1113" s="33"/>
      <c r="J1113" s="33"/>
      <c r="K1113" s="38">
        <v>43318</v>
      </c>
      <c r="L1113" s="18" t="s">
        <v>248</v>
      </c>
      <c r="M1113" s="23" t="s">
        <v>296</v>
      </c>
      <c r="N1113" s="23" t="s">
        <v>286</v>
      </c>
      <c r="O1113" s="23"/>
      <c r="P1113" s="21"/>
      <c r="Q1113" s="23" t="s">
        <v>37</v>
      </c>
      <c r="R1113" s="85" t="s">
        <v>1782</v>
      </c>
      <c r="S1113" s="25" t="s">
        <v>422</v>
      </c>
      <c r="T1113" s="25" t="s">
        <v>423</v>
      </c>
      <c r="U1113" s="25" t="s">
        <v>424</v>
      </c>
      <c r="V1113" s="25" t="s">
        <v>364</v>
      </c>
      <c r="W1113" s="25"/>
      <c r="X1113" s="25"/>
      <c r="Y1113" s="31">
        <v>9301205</v>
      </c>
      <c r="Z1113" s="16">
        <v>17522</v>
      </c>
      <c r="AA1113" s="16"/>
      <c r="AB1113" s="16"/>
      <c r="AC1113" s="23"/>
      <c r="AD1113" s="16"/>
      <c r="AE1113" s="16"/>
      <c r="AF1113" s="27" t="s">
        <v>552</v>
      </c>
      <c r="AG1113" s="16"/>
      <c r="AH1113" s="16"/>
      <c r="AI1113" s="16"/>
      <c r="AJ1113" s="16"/>
      <c r="AK1113" s="16"/>
      <c r="AL1113" s="16"/>
      <c r="AM1113" s="16"/>
      <c r="AN1113" s="16"/>
      <c r="AO1113" s="16"/>
      <c r="AP1113" s="22" t="s">
        <v>240</v>
      </c>
      <c r="AQ1113" s="6" t="str">
        <f>CONCATENATE("REG-",BDEGENER[[#This Row],[FECHA DE SERVICIO]],"-",BDEGENER[[#This Row],[SERIE]],"-",BDEGENER[[#This Row],[HORAS]])</f>
        <v>REG-43318-9301205-1027,23</v>
      </c>
      <c r="AR1113" s="5" t="str">
        <f>CONCATENATE("MARCA: ",BDEGENER[[#This Row],[MARCA]],"
 MODELO: ",BDEGENER[[#This Row],[MODELO]])</f>
        <v xml:space="preserve">MARCA: 
 MODELO: </v>
      </c>
      <c r="AS1113" s="5" t="str">
        <f>CONCATENATE("MARCA: ",BDEGENER[[#This Row],[MARCA DE MOTOR]],"
SERIE: ",BDEGENER[[#This Row],[SERIE DE MOTOR]])</f>
        <v xml:space="preserve">MARCA: 
SERIE: </v>
      </c>
      <c r="AT1113" s="5" t="str">
        <f>CONCATENATE("MARCA: ",BDEGENER[[#This Row],[MARCA ALTERNADOR ]],"
SERIE: ",BDEGENER[[#This Row],[SERIE DE ALTERNADOR]])</f>
        <v xml:space="preserve">MARCA: 
SERIE: </v>
      </c>
      <c r="AU1113" s="5" t="str">
        <f>CONCATENATE("HORAS: ",BDEGENER[[#This Row],[HORAS]],"
KW-HR: ",BDEGENER[[#This Row],[KW-HORA]],"
VOLT.BATERIA: ",BDEGENER[[#This Row],[VOLTAJE DE BATERIA]],"
TEMPERATURA: ",BDEGENER[[#This Row],[TEMPERATURA DE AGUA]],"
PRES. ACEITE: ",BDEGENER[[#This Row],[PRESION DE ACEITE]])</f>
        <v xml:space="preserve">HORAS: 1027,23
KW-HR: 
VOLT.BATERIA: 
TEMPERATURA: 
PRES. ACEITE: </v>
      </c>
      <c r="AV1113" s="683">
        <f>COUNTIFS(Q1113:Q3113,"MANTENIMIENTO CORRECTIVO",Y1113:Y3113,BDEGENER[[#This Row],[SERIE]])</f>
        <v>3</v>
      </c>
      <c r="AW1113" s="683">
        <f>COUNTIFS(Q1113:Q3113,"MANTENIMIENTO PREVENTIVO",Y1113:Y3113,BDEGENER[[#This Row],[SERIE]])</f>
        <v>2</v>
      </c>
      <c r="AX111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113" s="29">
        <f>COUNTIFS(BDEGENER[SERIE],BDEGENER[[#This Row],[SERIE]],BDEGENER[TIPO DE SERVICIO],"MANTENIMIENTO PREVENTIVO")</f>
        <v>2</v>
      </c>
      <c r="AZ1113" s="29" t="str">
        <f>CONCATENATE("MANTENIMIENTO PREVENTIVO N°",BDEGENER[[#This Row],[GA1]])</f>
        <v>MANTENIMIENTO PREVENTIVO N°2</v>
      </c>
      <c r="BA1113" s="325" t="str">
        <f>IF(BDEGENER[[#This Row],[SERVICIO]]=BDEGENER[[#This Row],[GA2]],BDEGENER[[#This Row],[HORAS]],"0")</f>
        <v>1027,23</v>
      </c>
      <c r="BB1113" s="325">
        <f>SUMIF(BDEGENER[SERIE],BDEGENER[[#This Row],[SERIE]],BDEGENER[GA3])</f>
        <v>0</v>
      </c>
      <c r="BC1113" s="683" t="str">
        <f>CONCATENATE("MANT",COUNTIF($Y$7:Y1113,Y1113))</f>
        <v>MANT2</v>
      </c>
      <c r="BD1113" s="29" t="str">
        <f>CONCATENATE(BDEGENER[[#This Row],[SERIE]],BDEGENER[[#This Row],[GA5]])</f>
        <v>9301205MANT2</v>
      </c>
      <c r="BE1113" s="29" t="str">
        <f>CONCATENATE(BDEGENER[[#This Row],[CODIGO PATRIMONIAL]],BDEGENER[[#This Row],[GA5]])</f>
        <v>17522MANT2</v>
      </c>
      <c r="BF1113" s="16">
        <f>COUNTIF(BDEGENER[SERIE],BDEGENER[[#This Row],[SERIE]])</f>
        <v>6</v>
      </c>
      <c r="BG1113" s="683" t="str">
        <f>CONCATENATE("F",COUNTIF($K$7:K1113,K1113))</f>
        <v>F3</v>
      </c>
      <c r="BH1113" s="325" t="str">
        <f>CONCATENATE(BDEGENER[[#This Row],[FECHA DE SERVICIO]],BDEGENER[[#This Row],[N° DE REGISTROS DEL DIA]])</f>
        <v>43318F3</v>
      </c>
      <c r="BI1113" s="324"/>
      <c r="BJ1113" s="325"/>
      <c r="BK1113" s="326"/>
    </row>
    <row r="1114" spans="2:63" ht="69" hidden="1" x14ac:dyDescent="0.3">
      <c r="B1114" s="33"/>
      <c r="C1114" s="33"/>
      <c r="D1114" s="33"/>
      <c r="E1114" s="33"/>
      <c r="F1114" s="33"/>
      <c r="G1114" s="33"/>
      <c r="H1114" s="33"/>
      <c r="I1114" s="33"/>
      <c r="J1114" s="33"/>
      <c r="K1114" s="38">
        <v>43318</v>
      </c>
      <c r="L1114" s="18" t="s">
        <v>248</v>
      </c>
      <c r="M1114" s="23" t="s">
        <v>285</v>
      </c>
      <c r="N1114" s="23" t="s">
        <v>286</v>
      </c>
      <c r="O1114" s="23"/>
      <c r="P1114" s="21"/>
      <c r="Q1114" s="23" t="s">
        <v>37</v>
      </c>
      <c r="R1114" s="85" t="s">
        <v>1782</v>
      </c>
      <c r="S1114" s="25" t="s">
        <v>422</v>
      </c>
      <c r="T1114" s="85" t="s">
        <v>1782</v>
      </c>
      <c r="U1114" s="25" t="s">
        <v>424</v>
      </c>
      <c r="V1114" s="25" t="s">
        <v>364</v>
      </c>
      <c r="W1114" s="25"/>
      <c r="X1114" s="25"/>
      <c r="Y1114" s="31">
        <v>9301207</v>
      </c>
      <c r="Z1114" s="16">
        <v>17524</v>
      </c>
      <c r="AA1114" s="16"/>
      <c r="AB1114" s="16" t="s">
        <v>512</v>
      </c>
      <c r="AC1114" s="23" t="s">
        <v>536</v>
      </c>
      <c r="AD1114" s="16"/>
      <c r="AE1114" s="16"/>
      <c r="AF1114" s="27" t="s">
        <v>553</v>
      </c>
      <c r="AG1114" s="16"/>
      <c r="AH1114" s="16"/>
      <c r="AI1114" s="16"/>
      <c r="AJ1114" s="16"/>
      <c r="AK1114" s="16"/>
      <c r="AL1114" s="16"/>
      <c r="AM1114" s="16"/>
      <c r="AN1114" s="16"/>
      <c r="AO1114" s="16"/>
      <c r="AP1114" s="22" t="s">
        <v>240</v>
      </c>
      <c r="AQ1114" s="6" t="str">
        <f>CONCATENATE("REG-",BDEGENER[[#This Row],[FECHA DE SERVICIO]],"-",BDEGENER[[#This Row],[SERIE]],"-",BDEGENER[[#This Row],[HORAS]])</f>
        <v>REG-43318-9301207-1129,27</v>
      </c>
      <c r="AR1114" s="5" t="str">
        <f>CONCATENATE("MARCA: ",BDEGENER[[#This Row],[MARCA]],"
 MODELO: ",BDEGENER[[#This Row],[MODELO]])</f>
        <v xml:space="preserve">MARCA: 
 MODELO: POWER PACT </v>
      </c>
      <c r="AS1114" s="5" t="str">
        <f>CONCATENATE("MARCA: ",BDEGENER[[#This Row],[MARCA DE MOTOR]],"
SERIE: ",BDEGENER[[#This Row],[SERIE DE MOTOR]])</f>
        <v xml:space="preserve">MARCA: 
SERIE: </v>
      </c>
      <c r="AT1114" s="5" t="str">
        <f>CONCATENATE("MARCA: ",BDEGENER[[#This Row],[MARCA ALTERNADOR ]],"
SERIE: ",BDEGENER[[#This Row],[SERIE DE ALTERNADOR]])</f>
        <v xml:space="preserve">MARCA: 
SERIE: </v>
      </c>
      <c r="AU1114" s="5" t="str">
        <f>CONCATENATE("HORAS: ",BDEGENER[[#This Row],[HORAS]],"
KW-HR: ",BDEGENER[[#This Row],[KW-HORA]],"
VOLT.BATERIA: ",BDEGENER[[#This Row],[VOLTAJE DE BATERIA]],"
TEMPERATURA: ",BDEGENER[[#This Row],[TEMPERATURA DE AGUA]],"
PRES. ACEITE: ",BDEGENER[[#This Row],[PRESION DE ACEITE]])</f>
        <v xml:space="preserve">HORAS: 1129,27
KW-HR: 
VOLT.BATERIA: 
TEMPERATURA: 
PRES. ACEITE: </v>
      </c>
      <c r="AV1114" s="761">
        <f>COUNTIFS(Q1114:Q3114,"MANTENIMIENTO CORRECTIVO",Y1114:Y3114,BDEGENER[[#This Row],[SERIE]])</f>
        <v>2</v>
      </c>
      <c r="AW1114" s="761">
        <f>COUNTIFS(Q1114:Q3114,"MANTENIMIENTO PREVENTIVO",Y1114:Y3114,BDEGENER[[#This Row],[SERIE]])</f>
        <v>3</v>
      </c>
      <c r="AX111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114" s="29">
        <f>COUNTIFS(BDEGENER[SERIE],BDEGENER[[#This Row],[SERIE]],BDEGENER[TIPO DE SERVICIO],"MANTENIMIENTO PREVENTIVO")</f>
        <v>3</v>
      </c>
      <c r="AZ1114" s="29" t="str">
        <f>CONCATENATE("MANTENIMIENTO PREVENTIVO N°",BDEGENER[[#This Row],[GA1]])</f>
        <v>MANTENIMIENTO PREVENTIVO N°3</v>
      </c>
      <c r="BA1114" s="325" t="str">
        <f>IF(BDEGENER[[#This Row],[SERVICIO]]=BDEGENER[[#This Row],[GA2]],BDEGENER[[#This Row],[HORAS]],"0")</f>
        <v>1129,27</v>
      </c>
      <c r="BB1114" s="325">
        <f>SUMIF(BDEGENER[SERIE],BDEGENER[[#This Row],[SERIE]],BDEGENER[GA3])</f>
        <v>0</v>
      </c>
      <c r="BC1114" s="761" t="str">
        <f>CONCATENATE("MANT",COUNTIF($Y$7:Y1114,Y1114))</f>
        <v>MANT4</v>
      </c>
      <c r="BD1114" s="29" t="str">
        <f>CONCATENATE(BDEGENER[[#This Row],[SERIE]],BDEGENER[[#This Row],[GA5]])</f>
        <v>9301207MANT4</v>
      </c>
      <c r="BE1114" s="29" t="str">
        <f>CONCATENATE(BDEGENER[[#This Row],[CODIGO PATRIMONIAL]],BDEGENER[[#This Row],[GA5]])</f>
        <v>17524MANT4</v>
      </c>
      <c r="BF1114" s="16">
        <f>COUNTIF(BDEGENER[SERIE],BDEGENER[[#This Row],[SERIE]])</f>
        <v>8</v>
      </c>
      <c r="BG1114" s="761" t="str">
        <f>CONCATENATE("F",COUNTIF($K$7:K1114,K1114))</f>
        <v>F4</v>
      </c>
      <c r="BH1114" s="325" t="str">
        <f>CONCATENATE(BDEGENER[[#This Row],[FECHA DE SERVICIO]],BDEGENER[[#This Row],[N° DE REGISTROS DEL DIA]])</f>
        <v>43318F4</v>
      </c>
      <c r="BI1114" s="324"/>
      <c r="BJ1114" s="325"/>
      <c r="BK1114" s="326"/>
    </row>
    <row r="1115" spans="2:63" ht="69" hidden="1" x14ac:dyDescent="0.3">
      <c r="B1115" s="33"/>
      <c r="C1115" s="33"/>
      <c r="D1115" s="33"/>
      <c r="E1115" s="33"/>
      <c r="F1115" s="33"/>
      <c r="G1115" s="33"/>
      <c r="H1115" s="33"/>
      <c r="I1115" s="33"/>
      <c r="J1115" s="33"/>
      <c r="K1115" s="38">
        <v>43313</v>
      </c>
      <c r="L1115" s="18" t="s">
        <v>248</v>
      </c>
      <c r="M1115" s="23" t="s">
        <v>291</v>
      </c>
      <c r="N1115" s="85" t="s">
        <v>1409</v>
      </c>
      <c r="O1115" s="23"/>
      <c r="P1115" s="21"/>
      <c r="Q1115" s="23" t="s">
        <v>107</v>
      </c>
      <c r="R1115" s="85" t="s">
        <v>1782</v>
      </c>
      <c r="S1115" s="25" t="s">
        <v>425</v>
      </c>
      <c r="T1115" s="85" t="s">
        <v>1782</v>
      </c>
      <c r="U1115" s="25"/>
      <c r="V1115" s="25" t="s">
        <v>364</v>
      </c>
      <c r="W1115" s="25"/>
      <c r="X1115" s="25"/>
      <c r="Y1115" s="31">
        <v>9319804</v>
      </c>
      <c r="Z1115" s="16">
        <v>17523</v>
      </c>
      <c r="AA1115" s="85" t="s">
        <v>33</v>
      </c>
      <c r="AB1115" s="85">
        <v>65610</v>
      </c>
      <c r="AC1115" s="23" t="s">
        <v>535</v>
      </c>
      <c r="AD1115" s="16"/>
      <c r="AE1115" s="16"/>
      <c r="AF1115" s="27" t="s">
        <v>554</v>
      </c>
      <c r="AG1115" s="85" t="s">
        <v>1412</v>
      </c>
      <c r="AH1115" s="85" t="s">
        <v>1413</v>
      </c>
      <c r="AI1115" s="85" t="s">
        <v>33</v>
      </c>
      <c r="AJ1115" s="16"/>
      <c r="AK1115" s="85" t="s">
        <v>33</v>
      </c>
      <c r="AL1115" s="16"/>
      <c r="AM1115" s="16"/>
      <c r="AN1115" s="16"/>
      <c r="AO1115" s="16"/>
      <c r="AP1115" s="22" t="s">
        <v>240</v>
      </c>
      <c r="AQ1115" s="6" t="str">
        <f>CONCATENATE("REG-",BDEGENER[[#This Row],[FECHA DE SERVICIO]],"-",BDEGENER[[#This Row],[SERIE]],"-",BDEGENER[[#This Row],[HORAS]])</f>
        <v>REG-43313-9319804-739,25</v>
      </c>
      <c r="AR1115" s="5" t="str">
        <f>CONCATENATE("MARCA: ",BDEGENER[[#This Row],[MARCA]],"
 MODELO: ",BDEGENER[[#This Row],[MODELO]])</f>
        <v>MARCA: GENERAC
 MODELO: 65610</v>
      </c>
      <c r="AS1115" s="5" t="str">
        <f>CONCATENATE("MARCA: ",BDEGENER[[#This Row],[MARCA DE MOTOR]],"
SERIE: ",BDEGENER[[#This Row],[SERIE DE MOTOR]])</f>
        <v xml:space="preserve">MARCA: GENERAC
SERIE: </v>
      </c>
      <c r="AT1115" s="5" t="str">
        <f>CONCATENATE("MARCA: ",BDEGENER[[#This Row],[MARCA ALTERNADOR ]],"
SERIE: ",BDEGENER[[#This Row],[SERIE DE ALTERNADOR]])</f>
        <v xml:space="preserve">MARCA: GENERAC
SERIE: </v>
      </c>
      <c r="AU1115" s="5" t="str">
        <f>CONCATENATE("HORAS: ",BDEGENER[[#This Row],[HORAS]],"
KW-HR: ",BDEGENER[[#This Row],[KW-HORA]],"
VOLT.BATERIA: ",BDEGENER[[#This Row],[VOLTAJE DE BATERIA]],"
TEMPERATURA: ",BDEGENER[[#This Row],[TEMPERATURA DE AGUA]],"
PRES. ACEITE: ",BDEGENER[[#This Row],[PRESION DE ACEITE]])</f>
        <v xml:space="preserve">HORAS: 739,25
KW-HR: 
VOLT.BATERIA: 
TEMPERATURA: 
PRES. ACEITE: </v>
      </c>
      <c r="AV1115" s="683">
        <f>COUNTIFS(Q1115:Q3115,"MANTENIMIENTO CORRECTIVO",Y1115:Y3115,BDEGENER[[#This Row],[SERIE]])</f>
        <v>4</v>
      </c>
      <c r="AW1115" s="683">
        <f>COUNTIFS(Q1115:Q3115,"MANTENIMIENTO PREVENTIVO",Y1115:Y3115,BDEGENER[[#This Row],[SERIE]])</f>
        <v>1</v>
      </c>
      <c r="AX111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N°4</v>
      </c>
      <c r="AY1115" s="29">
        <f>COUNTIFS(BDEGENER[SERIE],BDEGENER[[#This Row],[SERIE]],BDEGENER[TIPO DE SERVICIO],"MANTENIMIENTO PREVENTIVO")</f>
        <v>2</v>
      </c>
      <c r="AZ1115" s="29" t="str">
        <f>CONCATENATE("MANTENIMIENTO PREVENTIVO N°",BDEGENER[[#This Row],[GA1]])</f>
        <v>MANTENIMIENTO PREVENTIVO N°2</v>
      </c>
      <c r="BA1115" s="325" t="str">
        <f>IF(BDEGENER[[#This Row],[SERVICIO]]=BDEGENER[[#This Row],[GA2]],BDEGENER[[#This Row],[HORAS]],"0")</f>
        <v>0</v>
      </c>
      <c r="BB1115" s="325">
        <f>SUMIF(BDEGENER[SERIE],BDEGENER[[#This Row],[SERIE]],BDEGENER[GA3])</f>
        <v>872.68</v>
      </c>
      <c r="BC1115" s="683" t="str">
        <f>CONCATENATE("MANT",COUNTIF($Y$7:Y1115,Y1115))</f>
        <v>MANT6</v>
      </c>
      <c r="BD1115" s="29" t="str">
        <f>CONCATENATE(BDEGENER[[#This Row],[SERIE]],BDEGENER[[#This Row],[GA5]])</f>
        <v>9319804MANT6</v>
      </c>
      <c r="BE1115" s="29" t="str">
        <f>CONCATENATE(BDEGENER[[#This Row],[CODIGO PATRIMONIAL]],BDEGENER[[#This Row],[GA5]])</f>
        <v>17523MANT6</v>
      </c>
      <c r="BF1115" s="16">
        <f>COUNTIF(BDEGENER[SERIE],BDEGENER[[#This Row],[SERIE]])</f>
        <v>10</v>
      </c>
      <c r="BG1115" s="683" t="str">
        <f>CONCATENATE("F",COUNTIF($K$7:K1115,K1115))</f>
        <v>F1</v>
      </c>
      <c r="BH1115" s="325" t="str">
        <f>CONCATENATE(BDEGENER[[#This Row],[FECHA DE SERVICIO]],BDEGENER[[#This Row],[N° DE REGISTROS DEL DIA]])</f>
        <v>43313F1</v>
      </c>
      <c r="BI1115" s="324"/>
      <c r="BJ1115" s="325"/>
      <c r="BK1115" s="326"/>
    </row>
    <row r="1116" spans="2:63" ht="69" hidden="1" x14ac:dyDescent="0.3">
      <c r="B1116" s="33"/>
      <c r="C1116" s="33"/>
      <c r="D1116" s="33"/>
      <c r="E1116" s="33"/>
      <c r="F1116" s="33"/>
      <c r="G1116" s="33"/>
      <c r="H1116" s="33"/>
      <c r="I1116" s="33"/>
      <c r="J1116" s="33"/>
      <c r="K1116" s="38">
        <v>43313</v>
      </c>
      <c r="L1116" s="18" t="s">
        <v>248</v>
      </c>
      <c r="M1116" s="23" t="s">
        <v>253</v>
      </c>
      <c r="N1116" s="23" t="s">
        <v>254</v>
      </c>
      <c r="O1116" s="23"/>
      <c r="P1116" s="21"/>
      <c r="Q1116" s="23" t="s">
        <v>107</v>
      </c>
      <c r="R1116" s="85" t="s">
        <v>1782</v>
      </c>
      <c r="S1116" s="25" t="s">
        <v>426</v>
      </c>
      <c r="T1116" s="85" t="s">
        <v>1782</v>
      </c>
      <c r="U1116" s="25" t="s">
        <v>427</v>
      </c>
      <c r="V1116" s="25" t="s">
        <v>364</v>
      </c>
      <c r="W1116" s="25"/>
      <c r="X1116" s="25"/>
      <c r="Y1116" s="31">
        <v>9301206</v>
      </c>
      <c r="Z1116" s="16">
        <v>17525</v>
      </c>
      <c r="AA1116" s="16"/>
      <c r="AB1116" s="16" t="s">
        <v>509</v>
      </c>
      <c r="AC1116" s="23" t="s">
        <v>534</v>
      </c>
      <c r="AD1116" s="16"/>
      <c r="AE1116" s="16"/>
      <c r="AF1116" s="27" t="s">
        <v>555</v>
      </c>
      <c r="AG1116" s="16"/>
      <c r="AH1116" s="16"/>
      <c r="AI1116" s="16"/>
      <c r="AJ1116" s="16"/>
      <c r="AK1116" s="16"/>
      <c r="AL1116" s="16"/>
      <c r="AM1116" s="16"/>
      <c r="AN1116" s="16"/>
      <c r="AO1116" s="16"/>
      <c r="AP1116" s="22" t="s">
        <v>240</v>
      </c>
      <c r="AQ1116" s="6" t="str">
        <f>CONCATENATE("REG-",BDEGENER[[#This Row],[FECHA DE SERVICIO]],"-",BDEGENER[[#This Row],[SERIE]],"-",BDEGENER[[#This Row],[HORAS]])</f>
        <v>REG-43313-9301206-1944,76</v>
      </c>
      <c r="AR1116" s="5" t="str">
        <f>CONCATENATE("MARCA: ",BDEGENER[[#This Row],[MARCA]],"
 MODELO: ",BDEGENER[[#This Row],[MODELO]])</f>
        <v>MARCA: 
 MODELO: G006841</v>
      </c>
      <c r="AS1116" s="5" t="str">
        <f>CONCATENATE("MARCA: ",BDEGENER[[#This Row],[MARCA DE MOTOR]],"
SERIE: ",BDEGENER[[#This Row],[SERIE DE MOTOR]])</f>
        <v xml:space="preserve">MARCA: 
SERIE: </v>
      </c>
      <c r="AT1116" s="5" t="str">
        <f>CONCATENATE("MARCA: ",BDEGENER[[#This Row],[MARCA ALTERNADOR ]],"
SERIE: ",BDEGENER[[#This Row],[SERIE DE ALTERNADOR]])</f>
        <v xml:space="preserve">MARCA: 
SERIE: </v>
      </c>
      <c r="AU1116" s="5" t="str">
        <f>CONCATENATE("HORAS: ",BDEGENER[[#This Row],[HORAS]],"
KW-HR: ",BDEGENER[[#This Row],[KW-HORA]],"
VOLT.BATERIA: ",BDEGENER[[#This Row],[VOLTAJE DE BATERIA]],"
TEMPERATURA: ",BDEGENER[[#This Row],[TEMPERATURA DE AGUA]],"
PRES. ACEITE: ",BDEGENER[[#This Row],[PRESION DE ACEITE]])</f>
        <v xml:space="preserve">HORAS: 1944,76
KW-HR: 
VOLT.BATERIA: 
TEMPERATURA: 
PRES. ACEITE: </v>
      </c>
      <c r="AV1116" s="683">
        <f>COUNTIFS(Q1116:Q3116,"MANTENIMIENTO CORRECTIVO",Y1116:Y3116,BDEGENER[[#This Row],[SERIE]])</f>
        <v>1</v>
      </c>
      <c r="AW1116" s="683">
        <f>COUNTIFS(Q1116:Q3116,"MANTENIMIENTO PREVENTIVO",Y1116:Y3116,BDEGENER[[#This Row],[SERIE]])</f>
        <v>2</v>
      </c>
      <c r="AX111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116" s="29">
        <f>COUNTIFS(BDEGENER[SERIE],BDEGENER[[#This Row],[SERIE]],BDEGENER[TIPO DE SERVICIO],"MANTENIMIENTO PREVENTIVO")</f>
        <v>4</v>
      </c>
      <c r="AZ1116" s="29" t="str">
        <f>CONCATENATE("MANTENIMIENTO PREVENTIVO N°",BDEGENER[[#This Row],[GA1]])</f>
        <v>MANTENIMIENTO PREVENTIVO N°4</v>
      </c>
      <c r="BA1116" s="325" t="str">
        <f>IF(BDEGENER[[#This Row],[SERVICIO]]=BDEGENER[[#This Row],[GA2]],BDEGENER[[#This Row],[HORAS]],"0")</f>
        <v>0</v>
      </c>
      <c r="BB1116" s="325">
        <f>SUMIF(BDEGENER[SERIE],BDEGENER[[#This Row],[SERIE]],BDEGENER[GA3])</f>
        <v>2784</v>
      </c>
      <c r="BC1116" s="683" t="str">
        <f>CONCATENATE("MANT",COUNTIF($Y$7:Y1116,Y1116))</f>
        <v>MANT4</v>
      </c>
      <c r="BD1116" s="29" t="str">
        <f>CONCATENATE(BDEGENER[[#This Row],[SERIE]],BDEGENER[[#This Row],[GA5]])</f>
        <v>9301206MANT4</v>
      </c>
      <c r="BE1116" s="29" t="str">
        <f>CONCATENATE(BDEGENER[[#This Row],[CODIGO PATRIMONIAL]],BDEGENER[[#This Row],[GA5]])</f>
        <v>17525MANT4</v>
      </c>
      <c r="BF1116" s="16">
        <f>COUNTIF(BDEGENER[SERIE],BDEGENER[[#This Row],[SERIE]])</f>
        <v>6</v>
      </c>
      <c r="BG1116" s="683" t="str">
        <f>CONCATENATE("F",COUNTIF($K$7:K1116,K1116))</f>
        <v>F2</v>
      </c>
      <c r="BH1116" s="325" t="str">
        <f>CONCATENATE(BDEGENER[[#This Row],[FECHA DE SERVICIO]],BDEGENER[[#This Row],[N° DE REGISTROS DEL DIA]])</f>
        <v>43313F2</v>
      </c>
      <c r="BI1116" s="324"/>
      <c r="BJ1116" s="325"/>
      <c r="BK1116" s="326"/>
    </row>
    <row r="1117" spans="2:63" ht="69" hidden="1" x14ac:dyDescent="0.3">
      <c r="B1117" s="33"/>
      <c r="C1117" s="33"/>
      <c r="D1117" s="33"/>
      <c r="E1117" s="33"/>
      <c r="F1117" s="33"/>
      <c r="G1117" s="33"/>
      <c r="H1117" s="33"/>
      <c r="I1117" s="33"/>
      <c r="J1117" s="33"/>
      <c r="K1117" s="38">
        <v>43313</v>
      </c>
      <c r="L1117" s="18" t="s">
        <v>248</v>
      </c>
      <c r="M1117" s="23" t="s">
        <v>264</v>
      </c>
      <c r="N1117" s="23" t="s">
        <v>261</v>
      </c>
      <c r="O1117" s="23"/>
      <c r="P1117" s="21"/>
      <c r="Q1117" s="23" t="s">
        <v>37</v>
      </c>
      <c r="R1117" s="85" t="s">
        <v>1782</v>
      </c>
      <c r="S1117" s="23" t="s">
        <v>428</v>
      </c>
      <c r="T1117" s="85" t="s">
        <v>1782</v>
      </c>
      <c r="U1117" s="23" t="s">
        <v>429</v>
      </c>
      <c r="V1117" s="23" t="s">
        <v>364</v>
      </c>
      <c r="W1117" s="85" t="s">
        <v>913</v>
      </c>
      <c r="X1117" s="85" t="s">
        <v>917</v>
      </c>
      <c r="Y1117" s="31" t="s">
        <v>510</v>
      </c>
      <c r="Z1117" s="16">
        <v>18324</v>
      </c>
      <c r="AA1117" s="85" t="s">
        <v>33</v>
      </c>
      <c r="AB1117" s="85" t="s">
        <v>500</v>
      </c>
      <c r="AC1117" s="23" t="s">
        <v>530</v>
      </c>
      <c r="AD1117" s="16"/>
      <c r="AE1117" s="16"/>
      <c r="AF1117" s="27">
        <v>1179.4000000000001</v>
      </c>
      <c r="AG1117" s="85" t="s">
        <v>243</v>
      </c>
      <c r="AH1117" s="85" t="s">
        <v>1236</v>
      </c>
      <c r="AI1117" s="85" t="s">
        <v>844</v>
      </c>
      <c r="AJ1117" s="16"/>
      <c r="AK1117" s="85" t="s">
        <v>1235</v>
      </c>
      <c r="AL1117" s="16"/>
      <c r="AM1117" s="16"/>
      <c r="AN1117" s="16"/>
      <c r="AO1117" s="16"/>
      <c r="AP1117" s="22" t="s">
        <v>240</v>
      </c>
      <c r="AQ1117" s="6" t="str">
        <f>CONCATENATE("REG-",BDEGENER[[#This Row],[FECHA DE SERVICIO]],"-",BDEGENER[[#This Row],[SERIE]],"-",BDEGENER[[#This Row],[HORAS]])</f>
        <v>REG-43313-PEE2615852-1179,4</v>
      </c>
      <c r="AR1117" s="5" t="str">
        <f>CONCATENATE("MARCA: ",BDEGENER[[#This Row],[MARCA]],"
 MODELO: ",BDEGENER[[#This Row],[MODELO]])</f>
        <v>MARCA: GENERAC
 MODELO: PMY20B</v>
      </c>
      <c r="AS1117" s="5" t="str">
        <f>CONCATENATE("MARCA: ",BDEGENER[[#This Row],[MARCA DE MOTOR]],"
SERIE: ",BDEGENER[[#This Row],[SERIE DE MOTOR]])</f>
        <v xml:space="preserve">MARCA: PERKINS
SERIE: </v>
      </c>
      <c r="AT1117" s="5" t="str">
        <f>CONCATENATE("MARCA: ",BDEGENER[[#This Row],[MARCA ALTERNADOR ]],"
SERIE: ",BDEGENER[[#This Row],[SERIE DE ALTERNADOR]])</f>
        <v xml:space="preserve">MARCA: MECC ALTE
SERIE: </v>
      </c>
      <c r="AU1117" s="5" t="str">
        <f>CONCATENATE("HORAS: ",BDEGENER[[#This Row],[HORAS]],"
KW-HR: ",BDEGENER[[#This Row],[KW-HORA]],"
VOLT.BATERIA: ",BDEGENER[[#This Row],[VOLTAJE DE BATERIA]],"
TEMPERATURA: ",BDEGENER[[#This Row],[TEMPERATURA DE AGUA]],"
PRES. ACEITE: ",BDEGENER[[#This Row],[PRESION DE ACEITE]])</f>
        <v xml:space="preserve">HORAS: 1179,4
KW-HR: 
VOLT.BATERIA: 
TEMPERATURA: 
PRES. ACEITE: </v>
      </c>
      <c r="AV1117" s="761">
        <f>COUNTIFS(Q1117:Q3117,"MANTENIMIENTO CORRECTIVO",Y1117:Y3117,BDEGENER[[#This Row],[SERIE]])</f>
        <v>0</v>
      </c>
      <c r="AW1117" s="761">
        <f>COUNTIFS(Q1117:Q3117,"MANTENIMIENTO PREVENTIVO",Y1117:Y3117,BDEGENER[[#This Row],[SERIE]])</f>
        <v>3</v>
      </c>
      <c r="AX111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117" s="29">
        <f>COUNTIFS(BDEGENER[SERIE],BDEGENER[[#This Row],[SERIE]],BDEGENER[TIPO DE SERVICIO],"MANTENIMIENTO PREVENTIVO")</f>
        <v>4</v>
      </c>
      <c r="AZ1117" s="29" t="str">
        <f>CONCATENATE("MANTENIMIENTO PREVENTIVO N°",BDEGENER[[#This Row],[GA1]])</f>
        <v>MANTENIMIENTO PREVENTIVO N°4</v>
      </c>
      <c r="BA1117" s="325" t="str">
        <f>IF(BDEGENER[[#This Row],[SERVICIO]]=BDEGENER[[#This Row],[GA2]],BDEGENER[[#This Row],[HORAS]],"0")</f>
        <v>0</v>
      </c>
      <c r="BB1117" s="325">
        <f>SUMIF(BDEGENER[SERIE],BDEGENER[[#This Row],[SERIE]],BDEGENER[GA3])</f>
        <v>2165.5</v>
      </c>
      <c r="BC1117" s="761" t="str">
        <f>CONCATENATE("MANT",COUNTIF($Y$7:Y1117,Y1117))</f>
        <v>MANT2</v>
      </c>
      <c r="BD1117" s="29" t="str">
        <f>CONCATENATE(BDEGENER[[#This Row],[SERIE]],BDEGENER[[#This Row],[GA5]])</f>
        <v>PEE2615852MANT2</v>
      </c>
      <c r="BE1117" s="29" t="str">
        <f>CONCATENATE(BDEGENER[[#This Row],[CODIGO PATRIMONIAL]],BDEGENER[[#This Row],[GA5]])</f>
        <v>18324MANT2</v>
      </c>
      <c r="BF1117" s="16">
        <f>COUNTIF(BDEGENER[SERIE],BDEGENER[[#This Row],[SERIE]])</f>
        <v>4</v>
      </c>
      <c r="BG1117" s="761" t="str">
        <f>CONCATENATE("F",COUNTIF($K$7:K1117,K1117))</f>
        <v>F3</v>
      </c>
      <c r="BH1117" s="325" t="str">
        <f>CONCATENATE(BDEGENER[[#This Row],[FECHA DE SERVICIO]],BDEGENER[[#This Row],[N° DE REGISTROS DEL DIA]])</f>
        <v>43313F3</v>
      </c>
      <c r="BI1117" s="324"/>
      <c r="BJ1117" s="325"/>
      <c r="BK1117" s="326"/>
    </row>
    <row r="1118" spans="2:63" ht="69" hidden="1" x14ac:dyDescent="0.3">
      <c r="B1118" s="33"/>
      <c r="C1118" s="33"/>
      <c r="D1118" s="33"/>
      <c r="E1118" s="33"/>
      <c r="F1118" s="33"/>
      <c r="G1118" s="33"/>
      <c r="H1118" s="33"/>
      <c r="I1118" s="33"/>
      <c r="J1118" s="33"/>
      <c r="K1118" s="38">
        <v>43313</v>
      </c>
      <c r="L1118" s="18" t="s">
        <v>248</v>
      </c>
      <c r="M1118" s="23" t="s">
        <v>287</v>
      </c>
      <c r="N1118" s="23" t="s">
        <v>298</v>
      </c>
      <c r="O1118" s="23"/>
      <c r="P1118" s="21"/>
      <c r="Q1118" s="23" t="s">
        <v>107</v>
      </c>
      <c r="R1118" s="85" t="s">
        <v>1782</v>
      </c>
      <c r="S1118" s="25" t="s">
        <v>430</v>
      </c>
      <c r="T1118" s="85" t="s">
        <v>1782</v>
      </c>
      <c r="U1118" s="25" t="s">
        <v>431</v>
      </c>
      <c r="V1118" s="25" t="s">
        <v>364</v>
      </c>
      <c r="W1118" s="25"/>
      <c r="X1118" s="25"/>
      <c r="Y1118" s="31">
        <v>9319809</v>
      </c>
      <c r="Z1118" s="16">
        <v>17922</v>
      </c>
      <c r="AA1118" s="16"/>
      <c r="AB1118" s="16" t="s">
        <v>513</v>
      </c>
      <c r="AC1118" s="23"/>
      <c r="AD1118" s="16"/>
      <c r="AE1118" s="16"/>
      <c r="AF1118" s="27">
        <v>0</v>
      </c>
      <c r="AG1118" s="16"/>
      <c r="AH1118" s="16"/>
      <c r="AI1118" s="16"/>
      <c r="AJ1118" s="16"/>
      <c r="AK1118" s="16"/>
      <c r="AL1118" s="16"/>
      <c r="AM1118" s="16"/>
      <c r="AN1118" s="16"/>
      <c r="AO1118" s="16"/>
      <c r="AP1118" s="22" t="s">
        <v>240</v>
      </c>
      <c r="AQ1118" s="6" t="str">
        <f>CONCATENATE("REG-",BDEGENER[[#This Row],[FECHA DE SERVICIO]],"-",BDEGENER[[#This Row],[SERIE]],"-",BDEGENER[[#This Row],[HORAS]])</f>
        <v>REG-43313-9319809-0</v>
      </c>
      <c r="AR1118" s="5" t="str">
        <f>CONCATENATE("MARCA: ",BDEGENER[[#This Row],[MARCA]],"
 MODELO: ",BDEGENER[[#This Row],[MODELO]])</f>
        <v>MARCA: 
 MODELO: 0065610</v>
      </c>
      <c r="AS1118" s="5" t="str">
        <f>CONCATENATE("MARCA: ",BDEGENER[[#This Row],[MARCA DE MOTOR]],"
SERIE: ",BDEGENER[[#This Row],[SERIE DE MOTOR]])</f>
        <v xml:space="preserve">MARCA: 
SERIE: </v>
      </c>
      <c r="AT1118" s="5" t="str">
        <f>CONCATENATE("MARCA: ",BDEGENER[[#This Row],[MARCA ALTERNADOR ]],"
SERIE: ",BDEGENER[[#This Row],[SERIE DE ALTERNADOR]])</f>
        <v xml:space="preserve">MARCA: 
SERIE: </v>
      </c>
      <c r="AU1118" s="5" t="str">
        <f>CONCATENATE("HORAS: ",BDEGENER[[#This Row],[HORAS]],"
KW-HR: ",BDEGENER[[#This Row],[KW-HORA]],"
VOLT.BATERIA: ",BDEGENER[[#This Row],[VOLTAJE DE BATERIA]],"
TEMPERATURA: ",BDEGENER[[#This Row],[TEMPERATURA DE AGUA]],"
PRES. ACEITE: ",BDEGENER[[#This Row],[PRESION DE ACEITE]])</f>
        <v xml:space="preserve">HORAS: 0
KW-HR: 
VOLT.BATERIA: 
TEMPERATURA: 
PRES. ACEITE: </v>
      </c>
      <c r="AV1118" s="683">
        <f>COUNTIFS(Q1118:Q3118,"MANTENIMIENTO CORRECTIVO",Y1118:Y3118,BDEGENER[[#This Row],[SERIE]])</f>
        <v>2</v>
      </c>
      <c r="AW1118" s="683">
        <f>COUNTIFS(Q1118:Q3118,"MANTENIMIENTO PREVENTIVO",Y1118:Y3118,BDEGENER[[#This Row],[SERIE]])</f>
        <v>2</v>
      </c>
      <c r="AX111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118" s="29">
        <f>COUNTIFS(BDEGENER[SERIE],BDEGENER[[#This Row],[SERIE]],BDEGENER[TIPO DE SERVICIO],"MANTENIMIENTO PREVENTIVO")</f>
        <v>2</v>
      </c>
      <c r="AZ1118" s="29" t="str">
        <f>CONCATENATE("MANTENIMIENTO PREVENTIVO N°",BDEGENER[[#This Row],[GA1]])</f>
        <v>MANTENIMIENTO PREVENTIVO N°2</v>
      </c>
      <c r="BA1118" s="325" t="str">
        <f>IF(BDEGENER[[#This Row],[SERVICIO]]=BDEGENER[[#This Row],[GA2]],BDEGENER[[#This Row],[HORAS]],"0")</f>
        <v>0</v>
      </c>
      <c r="BB1118" s="325">
        <f>SUMIF(BDEGENER[SERIE],BDEGENER[[#This Row],[SERIE]],BDEGENER[GA3])</f>
        <v>0</v>
      </c>
      <c r="BC1118" s="683" t="str">
        <f>CONCATENATE("MANT",COUNTIF($Y$7:Y1118,Y1118))</f>
        <v>MANT4</v>
      </c>
      <c r="BD1118" s="29" t="str">
        <f>CONCATENATE(BDEGENER[[#This Row],[SERIE]],BDEGENER[[#This Row],[GA5]])</f>
        <v>9319809MANT4</v>
      </c>
      <c r="BE1118" s="29" t="str">
        <f>CONCATENATE(BDEGENER[[#This Row],[CODIGO PATRIMONIAL]],BDEGENER[[#This Row],[GA5]])</f>
        <v>17922MANT4</v>
      </c>
      <c r="BF1118" s="16">
        <f>COUNTIF(BDEGENER[SERIE],BDEGENER[[#This Row],[SERIE]])</f>
        <v>8</v>
      </c>
      <c r="BG1118" s="683" t="str">
        <f>CONCATENATE("F",COUNTIF($K$7:K1118,K1118))</f>
        <v>F4</v>
      </c>
      <c r="BH1118" s="325" t="str">
        <f>CONCATENATE(BDEGENER[[#This Row],[FECHA DE SERVICIO]],BDEGENER[[#This Row],[N° DE REGISTROS DEL DIA]])</f>
        <v>43313F4</v>
      </c>
      <c r="BI1118" s="324"/>
      <c r="BJ1118" s="325"/>
      <c r="BK1118" s="326"/>
    </row>
    <row r="1119" spans="2:63" ht="69" hidden="1" x14ac:dyDescent="0.3">
      <c r="B1119" s="33"/>
      <c r="C1119" s="33"/>
      <c r="D1119" s="33"/>
      <c r="E1119" s="33"/>
      <c r="F1119" s="33"/>
      <c r="G1119" s="33"/>
      <c r="H1119" s="33"/>
      <c r="I1119" s="33"/>
      <c r="J1119" s="33"/>
      <c r="K1119" s="38">
        <v>43300</v>
      </c>
      <c r="L1119" s="18" t="s">
        <v>248</v>
      </c>
      <c r="M1119" s="23" t="s">
        <v>265</v>
      </c>
      <c r="N1119" s="23" t="s">
        <v>266</v>
      </c>
      <c r="O1119" s="23"/>
      <c r="P1119" s="21"/>
      <c r="Q1119" s="23" t="s">
        <v>37</v>
      </c>
      <c r="R1119" s="85" t="s">
        <v>1782</v>
      </c>
      <c r="S1119" s="25" t="s">
        <v>432</v>
      </c>
      <c r="T1119" s="25" t="s">
        <v>423</v>
      </c>
      <c r="U1119" s="25" t="s">
        <v>433</v>
      </c>
      <c r="V1119" s="25" t="s">
        <v>364</v>
      </c>
      <c r="W1119" s="25"/>
      <c r="X1119" s="25"/>
      <c r="Y1119" s="31" t="s">
        <v>519</v>
      </c>
      <c r="Z1119" s="16">
        <v>21010</v>
      </c>
      <c r="AA1119" s="16"/>
      <c r="AB1119" s="16"/>
      <c r="AC1119" s="23"/>
      <c r="AD1119" s="16"/>
      <c r="AE1119" s="16"/>
      <c r="AF1119" s="27">
        <v>51</v>
      </c>
      <c r="AG1119" s="16"/>
      <c r="AH1119" s="16"/>
      <c r="AI1119" s="16"/>
      <c r="AJ1119" s="16"/>
      <c r="AK1119" s="16"/>
      <c r="AL1119" s="16"/>
      <c r="AM1119" s="16"/>
      <c r="AN1119" s="16"/>
      <c r="AO1119" s="16"/>
      <c r="AP1119" s="22" t="s">
        <v>240</v>
      </c>
      <c r="AQ1119" s="6" t="str">
        <f>CONCATENATE("REG-",BDEGENER[[#This Row],[FECHA DE SERVICIO]],"-",BDEGENER[[#This Row],[SERIE]],"-",BDEGENER[[#This Row],[HORAS]])</f>
        <v>REG-43300-PEE2515962-51</v>
      </c>
      <c r="AR1119" s="5" t="str">
        <f>CONCATENATE("MARCA: ",BDEGENER[[#This Row],[MARCA]],"
 MODELO: ",BDEGENER[[#This Row],[MODELO]])</f>
        <v xml:space="preserve">MARCA: 
 MODELO: </v>
      </c>
      <c r="AS1119" s="5" t="str">
        <f>CONCATENATE("MARCA: ",BDEGENER[[#This Row],[MARCA DE MOTOR]],"
SERIE: ",BDEGENER[[#This Row],[SERIE DE MOTOR]])</f>
        <v xml:space="preserve">MARCA: 
SERIE: </v>
      </c>
      <c r="AT1119" s="5" t="str">
        <f>CONCATENATE("MARCA: ",BDEGENER[[#This Row],[MARCA ALTERNADOR ]],"
SERIE: ",BDEGENER[[#This Row],[SERIE DE ALTERNADOR]])</f>
        <v xml:space="preserve">MARCA: 
SERIE: </v>
      </c>
      <c r="AU1119" s="5" t="str">
        <f>CONCATENATE("HORAS: ",BDEGENER[[#This Row],[HORAS]],"
KW-HR: ",BDEGENER[[#This Row],[KW-HORA]],"
VOLT.BATERIA: ",BDEGENER[[#This Row],[VOLTAJE DE BATERIA]],"
TEMPERATURA: ",BDEGENER[[#This Row],[TEMPERATURA DE AGUA]],"
PRES. ACEITE: ",BDEGENER[[#This Row],[PRESION DE ACEITE]])</f>
        <v xml:space="preserve">HORAS: 51
KW-HR: 
VOLT.BATERIA: 
TEMPERATURA: 
PRES. ACEITE: </v>
      </c>
      <c r="AV1119" s="683">
        <f>COUNTIFS(Q1119:Q3119,"MANTENIMIENTO CORRECTIVO",Y1119:Y3119,BDEGENER[[#This Row],[SERIE]])</f>
        <v>0</v>
      </c>
      <c r="AW1119" s="683">
        <f>COUNTIFS(Q1119:Q3119,"MANTENIMIENTO PREVENTIVO",Y1119:Y3119,BDEGENER[[#This Row],[SERIE]])</f>
        <v>1</v>
      </c>
      <c r="AX111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19" s="29">
        <f>COUNTIFS(BDEGENER[SERIE],BDEGENER[[#This Row],[SERIE]],BDEGENER[TIPO DE SERVICIO],"MANTENIMIENTO PREVENTIVO")</f>
        <v>1</v>
      </c>
      <c r="AZ1119" s="29" t="str">
        <f>CONCATENATE("MANTENIMIENTO PREVENTIVO N°",BDEGENER[[#This Row],[GA1]])</f>
        <v>MANTENIMIENTO PREVENTIVO N°1</v>
      </c>
      <c r="BA1119" s="325">
        <f>IF(BDEGENER[[#This Row],[SERVICIO]]=BDEGENER[[#This Row],[GA2]],BDEGENER[[#This Row],[HORAS]],"0")</f>
        <v>51</v>
      </c>
      <c r="BB1119" s="325">
        <f>SUMIF(BDEGENER[SERIE],BDEGENER[[#This Row],[SERIE]],BDEGENER[GA3])</f>
        <v>51</v>
      </c>
      <c r="BC1119" s="683" t="str">
        <f>CONCATENATE("MANT",COUNTIF($Y$7:Y1119,Y1119))</f>
        <v>MANT1</v>
      </c>
      <c r="BD1119" s="29" t="str">
        <f>CONCATENATE(BDEGENER[[#This Row],[SERIE]],BDEGENER[[#This Row],[GA5]])</f>
        <v>PEE2515962MANT1</v>
      </c>
      <c r="BE1119" s="29" t="str">
        <f>CONCATENATE(BDEGENER[[#This Row],[CODIGO PATRIMONIAL]],BDEGENER[[#This Row],[GA5]])</f>
        <v>21010MANT1</v>
      </c>
      <c r="BF1119" s="16">
        <f>COUNTIF(BDEGENER[SERIE],BDEGENER[[#This Row],[SERIE]])</f>
        <v>1</v>
      </c>
      <c r="BG1119" s="683" t="str">
        <f>CONCATENATE("F",COUNTIF($K$7:K1119,K1119))</f>
        <v>F1</v>
      </c>
      <c r="BH1119" s="325" t="str">
        <f>CONCATENATE(BDEGENER[[#This Row],[FECHA DE SERVICIO]],BDEGENER[[#This Row],[N° DE REGISTROS DEL DIA]])</f>
        <v>43300F1</v>
      </c>
      <c r="BI1119" s="324"/>
      <c r="BJ1119" s="325"/>
      <c r="BK1119" s="326"/>
    </row>
    <row r="1120" spans="2:63" ht="69" hidden="1" x14ac:dyDescent="0.3">
      <c r="B1120" s="33"/>
      <c r="C1120" s="33"/>
      <c r="D1120" s="33"/>
      <c r="E1120" s="33"/>
      <c r="F1120" s="33"/>
      <c r="G1120" s="33"/>
      <c r="H1120" s="33"/>
      <c r="I1120" s="33"/>
      <c r="J1120" s="33"/>
      <c r="K1120" s="38">
        <v>43300</v>
      </c>
      <c r="L1120" s="18" t="s">
        <v>248</v>
      </c>
      <c r="M1120" s="23" t="s">
        <v>299</v>
      </c>
      <c r="N1120" s="23" t="s">
        <v>300</v>
      </c>
      <c r="O1120" s="23"/>
      <c r="P1120" s="21"/>
      <c r="Q1120" s="23" t="s">
        <v>37</v>
      </c>
      <c r="R1120" s="85" t="s">
        <v>1782</v>
      </c>
      <c r="S1120" s="25" t="s">
        <v>434</v>
      </c>
      <c r="T1120" s="25" t="s">
        <v>423</v>
      </c>
      <c r="U1120" s="25" t="s">
        <v>435</v>
      </c>
      <c r="V1120" s="25" t="s">
        <v>364</v>
      </c>
      <c r="W1120" s="25"/>
      <c r="X1120" s="25"/>
      <c r="Y1120" s="31">
        <v>9319843</v>
      </c>
      <c r="Z1120" s="16">
        <v>17521</v>
      </c>
      <c r="AA1120" s="16"/>
      <c r="AB1120" s="16"/>
      <c r="AC1120" s="23"/>
      <c r="AD1120" s="16"/>
      <c r="AE1120" s="16"/>
      <c r="AF1120" s="27">
        <v>1554.11</v>
      </c>
      <c r="AG1120" s="16"/>
      <c r="AH1120" s="16"/>
      <c r="AI1120" s="16"/>
      <c r="AJ1120" s="16"/>
      <c r="AK1120" s="16"/>
      <c r="AL1120" s="16"/>
      <c r="AM1120" s="16"/>
      <c r="AN1120" s="16"/>
      <c r="AO1120" s="16"/>
      <c r="AP1120" s="22" t="s">
        <v>240</v>
      </c>
      <c r="AQ1120" s="6" t="str">
        <f>CONCATENATE("REG-",BDEGENER[[#This Row],[FECHA DE SERVICIO]],"-",BDEGENER[[#This Row],[SERIE]],"-",BDEGENER[[#This Row],[HORAS]])</f>
        <v>REG-43300-9319843-1554,11</v>
      </c>
      <c r="AR1120" s="5" t="str">
        <f>CONCATENATE("MARCA: ",BDEGENER[[#This Row],[MARCA]],"
 MODELO: ",BDEGENER[[#This Row],[MODELO]])</f>
        <v xml:space="preserve">MARCA: 
 MODELO: </v>
      </c>
      <c r="AS1120" s="5" t="str">
        <f>CONCATENATE("MARCA: ",BDEGENER[[#This Row],[MARCA DE MOTOR]],"
SERIE: ",BDEGENER[[#This Row],[SERIE DE MOTOR]])</f>
        <v xml:space="preserve">MARCA: 
SERIE: </v>
      </c>
      <c r="AT1120" s="5" t="str">
        <f>CONCATENATE("MARCA: ",BDEGENER[[#This Row],[MARCA ALTERNADOR ]],"
SERIE: ",BDEGENER[[#This Row],[SERIE DE ALTERNADOR]])</f>
        <v xml:space="preserve">MARCA: 
SERIE: </v>
      </c>
      <c r="AU1120" s="5" t="str">
        <f>CONCATENATE("HORAS: ",BDEGENER[[#This Row],[HORAS]],"
KW-HR: ",BDEGENER[[#This Row],[KW-HORA]],"
VOLT.BATERIA: ",BDEGENER[[#This Row],[VOLTAJE DE BATERIA]],"
TEMPERATURA: ",BDEGENER[[#This Row],[TEMPERATURA DE AGUA]],"
PRES. ACEITE: ",BDEGENER[[#This Row],[PRESION DE ACEITE]])</f>
        <v xml:space="preserve">HORAS: 1554,11
KW-HR: 
VOLT.BATERIA: 
TEMPERATURA: 
PRES. ACEITE: </v>
      </c>
      <c r="AV1120" s="761">
        <f>COUNTIFS(Q1120:Q3120,"MANTENIMIENTO CORRECTIVO",Y1120:Y3120,BDEGENER[[#This Row],[SERIE]])</f>
        <v>1</v>
      </c>
      <c r="AW1120" s="761">
        <f>COUNTIFS(Q1120:Q3120,"MANTENIMIENTO PREVENTIVO",Y1120:Y3120,BDEGENER[[#This Row],[SERIE]])</f>
        <v>3</v>
      </c>
      <c r="AX112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N°3</v>
      </c>
      <c r="AY1120" s="29">
        <f>COUNTIFS(BDEGENER[SERIE],BDEGENER[[#This Row],[SERIE]],BDEGENER[TIPO DE SERVICIO],"MANTENIMIENTO PREVENTIVO")</f>
        <v>3</v>
      </c>
      <c r="AZ1120" s="29" t="str">
        <f>CONCATENATE("MANTENIMIENTO PREVENTIVO N°",BDEGENER[[#This Row],[GA1]])</f>
        <v>MANTENIMIENTO PREVENTIVO N°3</v>
      </c>
      <c r="BA1120" s="325">
        <f>IF(BDEGENER[[#This Row],[SERVICIO]]=BDEGENER[[#This Row],[GA2]],BDEGENER[[#This Row],[HORAS]],"0")</f>
        <v>1554.11</v>
      </c>
      <c r="BB1120" s="325">
        <f>SUMIF(BDEGENER[SERIE],BDEGENER[[#This Row],[SERIE]],BDEGENER[GA3])</f>
        <v>1554.11</v>
      </c>
      <c r="BC1120" s="761" t="str">
        <f>CONCATENATE("MANT",COUNTIF($Y$7:Y1120,Y1120))</f>
        <v>MANT1</v>
      </c>
      <c r="BD1120" s="29" t="str">
        <f>CONCATENATE(BDEGENER[[#This Row],[SERIE]],BDEGENER[[#This Row],[GA5]])</f>
        <v>9319843MANT1</v>
      </c>
      <c r="BE1120" s="29" t="str">
        <f>CONCATENATE(BDEGENER[[#This Row],[CODIGO PATRIMONIAL]],BDEGENER[[#This Row],[GA5]])</f>
        <v>17521MANT1</v>
      </c>
      <c r="BF1120" s="16">
        <f>COUNTIF(BDEGENER[SERIE],BDEGENER[[#This Row],[SERIE]])</f>
        <v>4</v>
      </c>
      <c r="BG1120" s="761" t="str">
        <f>CONCATENATE("F",COUNTIF($K$7:K1120,K1120))</f>
        <v>F2</v>
      </c>
      <c r="BH1120" s="325" t="str">
        <f>CONCATENATE(BDEGENER[[#This Row],[FECHA DE SERVICIO]],BDEGENER[[#This Row],[N° DE REGISTROS DEL DIA]])</f>
        <v>43300F2</v>
      </c>
      <c r="BI1120" s="324"/>
      <c r="BJ1120" s="325"/>
      <c r="BK1120" s="326"/>
    </row>
    <row r="1121" spans="2:63" ht="69" hidden="1" x14ac:dyDescent="0.3">
      <c r="B1121" s="33"/>
      <c r="C1121" s="33"/>
      <c r="D1121" s="33"/>
      <c r="E1121" s="33"/>
      <c r="F1121" s="33"/>
      <c r="G1121" s="33"/>
      <c r="H1121" s="33"/>
      <c r="I1121" s="33"/>
      <c r="J1121" s="33"/>
      <c r="K1121" s="38">
        <v>43300</v>
      </c>
      <c r="L1121" s="18" t="s">
        <v>248</v>
      </c>
      <c r="M1121" s="23" t="s">
        <v>301</v>
      </c>
      <c r="N1121" s="23" t="s">
        <v>265</v>
      </c>
      <c r="O1121" s="23"/>
      <c r="P1121" s="21"/>
      <c r="Q1121" s="23" t="s">
        <v>37</v>
      </c>
      <c r="R1121" s="85" t="s">
        <v>1782</v>
      </c>
      <c r="S1121" s="25" t="s">
        <v>432</v>
      </c>
      <c r="T1121" s="25" t="s">
        <v>423</v>
      </c>
      <c r="U1121" s="25" t="s">
        <v>436</v>
      </c>
      <c r="V1121" s="25" t="s">
        <v>364</v>
      </c>
      <c r="W1121" s="25"/>
      <c r="X1121" s="25"/>
      <c r="Y1121" s="31" t="s">
        <v>520</v>
      </c>
      <c r="Z1121" s="16">
        <v>17573</v>
      </c>
      <c r="AA1121" s="16"/>
      <c r="AB1121" s="16"/>
      <c r="AC1121" s="23"/>
      <c r="AD1121" s="16"/>
      <c r="AE1121" s="16"/>
      <c r="AF1121" s="27">
        <v>2252.6999999999998</v>
      </c>
      <c r="AG1121" s="16"/>
      <c r="AH1121" s="16"/>
      <c r="AI1121" s="16"/>
      <c r="AJ1121" s="16"/>
      <c r="AK1121" s="16"/>
      <c r="AL1121" s="16"/>
      <c r="AM1121" s="16"/>
      <c r="AN1121" s="16"/>
      <c r="AO1121" s="16"/>
      <c r="AP1121" s="22" t="s">
        <v>240</v>
      </c>
      <c r="AQ1121" s="6" t="str">
        <f>CONCATENATE("REG-",BDEGENER[[#This Row],[FECHA DE SERVICIO]],"-",BDEGENER[[#This Row],[SERIE]],"-",BDEGENER[[#This Row],[HORAS]])</f>
        <v>REG-43300-PEE2599049-2252,7</v>
      </c>
      <c r="AR1121" s="5" t="str">
        <f>CONCATENATE("MARCA: ",BDEGENER[[#This Row],[MARCA]],"
 MODELO: ",BDEGENER[[#This Row],[MODELO]])</f>
        <v xml:space="preserve">MARCA: 
 MODELO: </v>
      </c>
      <c r="AS1121" s="5" t="str">
        <f>CONCATENATE("MARCA: ",BDEGENER[[#This Row],[MARCA DE MOTOR]],"
SERIE: ",BDEGENER[[#This Row],[SERIE DE MOTOR]])</f>
        <v xml:space="preserve">MARCA: 
SERIE: </v>
      </c>
      <c r="AT1121" s="5" t="str">
        <f>CONCATENATE("MARCA: ",BDEGENER[[#This Row],[MARCA ALTERNADOR ]],"
SERIE: ",BDEGENER[[#This Row],[SERIE DE ALTERNADOR]])</f>
        <v xml:space="preserve">MARCA: 
SERIE: </v>
      </c>
      <c r="AU1121" s="5" t="str">
        <f>CONCATENATE("HORAS: ",BDEGENER[[#This Row],[HORAS]],"
KW-HR: ",BDEGENER[[#This Row],[KW-HORA]],"
VOLT.BATERIA: ",BDEGENER[[#This Row],[VOLTAJE DE BATERIA]],"
TEMPERATURA: ",BDEGENER[[#This Row],[TEMPERATURA DE AGUA]],"
PRES. ACEITE: ",BDEGENER[[#This Row],[PRESION DE ACEITE]])</f>
        <v xml:space="preserve">HORAS: 2252,7
KW-HR: 
VOLT.BATERIA: 
TEMPERATURA: 
PRES. ACEITE: </v>
      </c>
      <c r="AV1121" s="683">
        <f>COUNTIFS(Q1121:Q3121,"MANTENIMIENTO CORRECTIVO",Y1121:Y3121,BDEGENER[[#This Row],[SERIE]])</f>
        <v>0</v>
      </c>
      <c r="AW1121" s="683">
        <f>COUNTIFS(Q1121:Q3121,"MANTENIMIENTO PREVENTIVO",Y1121:Y3121,BDEGENER[[#This Row],[SERIE]])</f>
        <v>1</v>
      </c>
      <c r="AX112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21" s="29">
        <f>COUNTIFS(BDEGENER[SERIE],BDEGENER[[#This Row],[SERIE]],BDEGENER[TIPO DE SERVICIO],"MANTENIMIENTO PREVENTIVO")</f>
        <v>1</v>
      </c>
      <c r="AZ1121" s="29" t="str">
        <f>CONCATENATE("MANTENIMIENTO PREVENTIVO N°",BDEGENER[[#This Row],[GA1]])</f>
        <v>MANTENIMIENTO PREVENTIVO N°1</v>
      </c>
      <c r="BA1121" s="325">
        <f>IF(BDEGENER[[#This Row],[SERVICIO]]=BDEGENER[[#This Row],[GA2]],BDEGENER[[#This Row],[HORAS]],"0")</f>
        <v>2252.6999999999998</v>
      </c>
      <c r="BB1121" s="325">
        <f>SUMIF(BDEGENER[SERIE],BDEGENER[[#This Row],[SERIE]],BDEGENER[GA3])</f>
        <v>2252.6999999999998</v>
      </c>
      <c r="BC1121" s="683" t="str">
        <f>CONCATENATE("MANT",COUNTIF($Y$7:Y1121,Y1121))</f>
        <v>MANT1</v>
      </c>
      <c r="BD1121" s="29" t="str">
        <f>CONCATENATE(BDEGENER[[#This Row],[SERIE]],BDEGENER[[#This Row],[GA5]])</f>
        <v>PEE2599049MANT1</v>
      </c>
      <c r="BE1121" s="29" t="str">
        <f>CONCATENATE(BDEGENER[[#This Row],[CODIGO PATRIMONIAL]],BDEGENER[[#This Row],[GA5]])</f>
        <v>17573MANT1</v>
      </c>
      <c r="BF1121" s="16">
        <f>COUNTIF(BDEGENER[SERIE],BDEGENER[[#This Row],[SERIE]])</f>
        <v>1</v>
      </c>
      <c r="BG1121" s="683" t="str">
        <f>CONCATENATE("F",COUNTIF($K$7:K1121,K1121))</f>
        <v>F3</v>
      </c>
      <c r="BH1121" s="325" t="str">
        <f>CONCATENATE(BDEGENER[[#This Row],[FECHA DE SERVICIO]],BDEGENER[[#This Row],[N° DE REGISTROS DEL DIA]])</f>
        <v>43300F3</v>
      </c>
      <c r="BI1121" s="324"/>
      <c r="BJ1121" s="325"/>
      <c r="BK1121" s="326"/>
    </row>
    <row r="1122" spans="2:63" ht="69" hidden="1" x14ac:dyDescent="0.3">
      <c r="B1122" s="33"/>
      <c r="C1122" s="33"/>
      <c r="D1122" s="33"/>
      <c r="E1122" s="33"/>
      <c r="F1122" s="33"/>
      <c r="G1122" s="33"/>
      <c r="H1122" s="33"/>
      <c r="I1122" s="33"/>
      <c r="J1122" s="33"/>
      <c r="K1122" s="38">
        <v>43294</v>
      </c>
      <c r="L1122" s="18" t="s">
        <v>248</v>
      </c>
      <c r="M1122" s="23" t="s">
        <v>287</v>
      </c>
      <c r="N1122" s="23" t="s">
        <v>288</v>
      </c>
      <c r="O1122" s="23"/>
      <c r="P1122" s="21"/>
      <c r="Q1122" s="23" t="s">
        <v>37</v>
      </c>
      <c r="R1122" s="85" t="s">
        <v>1782</v>
      </c>
      <c r="S1122" s="25" t="s">
        <v>437</v>
      </c>
      <c r="T1122" s="25" t="s">
        <v>438</v>
      </c>
      <c r="U1122" s="25" t="s">
        <v>439</v>
      </c>
      <c r="V1122" s="25" t="s">
        <v>332</v>
      </c>
      <c r="W1122" s="25"/>
      <c r="X1122" s="25"/>
      <c r="Y1122" s="31">
        <v>9319809</v>
      </c>
      <c r="Z1122" s="16">
        <v>17922</v>
      </c>
      <c r="AA1122" s="16"/>
      <c r="AB1122" s="16" t="s">
        <v>513</v>
      </c>
      <c r="AC1122" s="23"/>
      <c r="AD1122" s="16"/>
      <c r="AE1122" s="16"/>
      <c r="AF1122" s="27"/>
      <c r="AG1122" s="16"/>
      <c r="AH1122" s="16"/>
      <c r="AI1122" s="16"/>
      <c r="AJ1122" s="16"/>
      <c r="AK1122" s="16"/>
      <c r="AL1122" s="16"/>
      <c r="AM1122" s="16"/>
      <c r="AN1122" s="16"/>
      <c r="AO1122" s="16"/>
      <c r="AP1122" s="22" t="s">
        <v>240</v>
      </c>
      <c r="AQ1122" s="6" t="str">
        <f>CONCATENATE("REG-",BDEGENER[[#This Row],[FECHA DE SERVICIO]],"-",BDEGENER[[#This Row],[SERIE]],"-",BDEGENER[[#This Row],[HORAS]])</f>
        <v>REG-43294-9319809-</v>
      </c>
      <c r="AR1122" s="5" t="str">
        <f>CONCATENATE("MARCA: ",BDEGENER[[#This Row],[MARCA]],"
 MODELO: ",BDEGENER[[#This Row],[MODELO]])</f>
        <v>MARCA: 
 MODELO: 0065610</v>
      </c>
      <c r="AS1122" s="5" t="str">
        <f>CONCATENATE("MARCA: ",BDEGENER[[#This Row],[MARCA DE MOTOR]],"
SERIE: ",BDEGENER[[#This Row],[SERIE DE MOTOR]])</f>
        <v xml:space="preserve">MARCA: 
SERIE: </v>
      </c>
      <c r="AT1122" s="5" t="str">
        <f>CONCATENATE("MARCA: ",BDEGENER[[#This Row],[MARCA ALTERNADOR ]],"
SERIE: ",BDEGENER[[#This Row],[SERIE DE ALTERNADOR]])</f>
        <v xml:space="preserve">MARCA: 
SERIE: </v>
      </c>
      <c r="AU1122" s="5" t="str">
        <f>CONCATENATE("HORAS: ",BDEGENER[[#This Row],[HORAS]],"
KW-HR: ",BDEGENER[[#This Row],[KW-HORA]],"
VOLT.BATERIA: ",BDEGENER[[#This Row],[VOLTAJE DE BATERIA]],"
TEMPERATURA: ",BDEGENER[[#This Row],[TEMPERATURA DE AGUA]],"
PRES. ACEITE: ",BDEGENER[[#This Row],[PRESION DE ACEITE]])</f>
        <v xml:space="preserve">HORAS: 
KW-HR: 
VOLT.BATERIA: 
TEMPERATURA: 
PRES. ACEITE: </v>
      </c>
      <c r="AV1122" s="683">
        <f>COUNTIFS(Q1122:Q3122,"MANTENIMIENTO CORRECTIVO",Y1122:Y3122,BDEGENER[[#This Row],[SERIE]])</f>
        <v>1</v>
      </c>
      <c r="AW1122" s="683">
        <f>COUNTIFS(Q1122:Q3122,"MANTENIMIENTO PREVENTIVO",Y1122:Y3122,BDEGENER[[#This Row],[SERIE]])</f>
        <v>2</v>
      </c>
      <c r="AX112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122" s="29">
        <f>COUNTIFS(BDEGENER[SERIE],BDEGENER[[#This Row],[SERIE]],BDEGENER[TIPO DE SERVICIO],"MANTENIMIENTO PREVENTIVO")</f>
        <v>2</v>
      </c>
      <c r="AZ1122" s="29" t="str">
        <f>CONCATENATE("MANTENIMIENTO PREVENTIVO N°",BDEGENER[[#This Row],[GA1]])</f>
        <v>MANTENIMIENTO PREVENTIVO N°2</v>
      </c>
      <c r="BA1122" s="325">
        <f>IF(BDEGENER[[#This Row],[SERVICIO]]=BDEGENER[[#This Row],[GA2]],BDEGENER[[#This Row],[HORAS]],"0")</f>
        <v>0</v>
      </c>
      <c r="BB1122" s="325">
        <f>SUMIF(BDEGENER[SERIE],BDEGENER[[#This Row],[SERIE]],BDEGENER[GA3])</f>
        <v>0</v>
      </c>
      <c r="BC1122" s="683" t="str">
        <f>CONCATENATE("MANT",COUNTIF($Y$7:Y1122,Y1122))</f>
        <v>MANT5</v>
      </c>
      <c r="BD1122" s="29" t="str">
        <f>CONCATENATE(BDEGENER[[#This Row],[SERIE]],BDEGENER[[#This Row],[GA5]])</f>
        <v>9319809MANT5</v>
      </c>
      <c r="BE1122" s="29" t="str">
        <f>CONCATENATE(BDEGENER[[#This Row],[CODIGO PATRIMONIAL]],BDEGENER[[#This Row],[GA5]])</f>
        <v>17922MANT5</v>
      </c>
      <c r="BF1122" s="16">
        <f>COUNTIF(BDEGENER[SERIE],BDEGENER[[#This Row],[SERIE]])</f>
        <v>8</v>
      </c>
      <c r="BG1122" s="683" t="str">
        <f>CONCATENATE("F",COUNTIF($K$7:K1122,K1122))</f>
        <v>F1</v>
      </c>
      <c r="BH1122" s="325" t="str">
        <f>CONCATENATE(BDEGENER[[#This Row],[FECHA DE SERVICIO]],BDEGENER[[#This Row],[N° DE REGISTROS DEL DIA]])</f>
        <v>43294F1</v>
      </c>
      <c r="BI1122" s="324"/>
      <c r="BJ1122" s="325"/>
      <c r="BK1122" s="326"/>
    </row>
    <row r="1123" spans="2:63" ht="69" hidden="1" x14ac:dyDescent="0.3">
      <c r="B1123" s="33"/>
      <c r="C1123" s="33"/>
      <c r="D1123" s="33"/>
      <c r="E1123" s="33"/>
      <c r="F1123" s="33"/>
      <c r="G1123" s="33"/>
      <c r="H1123" s="33"/>
      <c r="I1123" s="33"/>
      <c r="J1123" s="33"/>
      <c r="K1123" s="38">
        <v>43294</v>
      </c>
      <c r="L1123" s="18" t="s">
        <v>248</v>
      </c>
      <c r="M1123" s="23" t="s">
        <v>285</v>
      </c>
      <c r="N1123" s="23" t="s">
        <v>286</v>
      </c>
      <c r="O1123" s="23"/>
      <c r="P1123" s="21"/>
      <c r="Q1123" s="23" t="s">
        <v>107</v>
      </c>
      <c r="R1123" s="85" t="s">
        <v>1782</v>
      </c>
      <c r="S1123" s="25" t="s">
        <v>440</v>
      </c>
      <c r="T1123" s="25" t="s">
        <v>441</v>
      </c>
      <c r="U1123" s="25" t="s">
        <v>442</v>
      </c>
      <c r="V1123" s="25" t="s">
        <v>349</v>
      </c>
      <c r="W1123" s="25"/>
      <c r="X1123" s="25"/>
      <c r="Y1123" s="31" t="s">
        <v>501</v>
      </c>
      <c r="Z1123" s="16">
        <v>17524</v>
      </c>
      <c r="AA1123" s="16"/>
      <c r="AB1123" s="16" t="s">
        <v>512</v>
      </c>
      <c r="AC1123" s="23" t="s">
        <v>536</v>
      </c>
      <c r="AD1123" s="16"/>
      <c r="AE1123" s="16"/>
      <c r="AF1123" s="27">
        <v>1050.5</v>
      </c>
      <c r="AG1123" s="16"/>
      <c r="AH1123" s="16"/>
      <c r="AI1123" s="16"/>
      <c r="AJ1123" s="16"/>
      <c r="AK1123" s="16"/>
      <c r="AL1123" s="16"/>
      <c r="AM1123" s="16"/>
      <c r="AN1123" s="16"/>
      <c r="AO1123" s="16"/>
      <c r="AP1123" s="22" t="s">
        <v>240</v>
      </c>
      <c r="AQ1123" s="6" t="str">
        <f>CONCATENATE("REG-",BDEGENER[[#This Row],[FECHA DE SERVICIO]],"-",BDEGENER[[#This Row],[SERIE]],"-",BDEGENER[[#This Row],[HORAS]])</f>
        <v>REG-43294-no presenta-1050,5</v>
      </c>
      <c r="AR1123" s="5" t="str">
        <f>CONCATENATE("MARCA: ",BDEGENER[[#This Row],[MARCA]],"
 MODELO: ",BDEGENER[[#This Row],[MODELO]])</f>
        <v xml:space="preserve">MARCA: 
 MODELO: POWER PACT </v>
      </c>
      <c r="AS1123" s="5" t="str">
        <f>CONCATENATE("MARCA: ",BDEGENER[[#This Row],[MARCA DE MOTOR]],"
SERIE: ",BDEGENER[[#This Row],[SERIE DE MOTOR]])</f>
        <v xml:space="preserve">MARCA: 
SERIE: </v>
      </c>
      <c r="AT1123" s="5" t="str">
        <f>CONCATENATE("MARCA: ",BDEGENER[[#This Row],[MARCA ALTERNADOR ]],"
SERIE: ",BDEGENER[[#This Row],[SERIE DE ALTERNADOR]])</f>
        <v xml:space="preserve">MARCA: 
SERIE: </v>
      </c>
      <c r="AU1123" s="5" t="str">
        <f>CONCATENATE("HORAS: ",BDEGENER[[#This Row],[HORAS]],"
KW-HR: ",BDEGENER[[#This Row],[KW-HORA]],"
VOLT.BATERIA: ",BDEGENER[[#This Row],[VOLTAJE DE BATERIA]],"
TEMPERATURA: ",BDEGENER[[#This Row],[TEMPERATURA DE AGUA]],"
PRES. ACEITE: ",BDEGENER[[#This Row],[PRESION DE ACEITE]])</f>
        <v xml:space="preserve">HORAS: 1050,5
KW-HR: 
VOLT.BATERIA: 
TEMPERATURA: 
PRES. ACEITE: </v>
      </c>
      <c r="AV1123" s="761">
        <f>COUNTIFS(Q1123:Q3123,"MANTENIMIENTO CORRECTIVO",Y1123:Y3123,BDEGENER[[#This Row],[SERIE]])</f>
        <v>1</v>
      </c>
      <c r="AW1123" s="761">
        <f>COUNTIFS(Q1123:Q3123,"MANTENIMIENTO PREVENTIVO",Y1123:Y3123,BDEGENER[[#This Row],[SERIE]])</f>
        <v>0</v>
      </c>
      <c r="AX112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123" s="29">
        <f>COUNTIFS(BDEGENER[SERIE],BDEGENER[[#This Row],[SERIE]],BDEGENER[TIPO DE SERVICIO],"MANTENIMIENTO PREVENTIVO")</f>
        <v>0</v>
      </c>
      <c r="AZ1123" s="29" t="str">
        <f>CONCATENATE("MANTENIMIENTO PREVENTIVO N°",BDEGENER[[#This Row],[GA1]])</f>
        <v>MANTENIMIENTO PREVENTIVO N°0</v>
      </c>
      <c r="BA1123" s="325" t="str">
        <f>IF(BDEGENER[[#This Row],[SERVICIO]]=BDEGENER[[#This Row],[GA2]],BDEGENER[[#This Row],[HORAS]],"0")</f>
        <v>0</v>
      </c>
      <c r="BB1123" s="325">
        <f>SUMIF(BDEGENER[SERIE],BDEGENER[[#This Row],[SERIE]],BDEGENER[GA3])</f>
        <v>0</v>
      </c>
      <c r="BC1123" s="761" t="str">
        <f>CONCATENATE("MANT",COUNTIF($Y$7:Y1123,Y1123))</f>
        <v>MANT1</v>
      </c>
      <c r="BD1123" s="29" t="str">
        <f>CONCATENATE(BDEGENER[[#This Row],[SERIE]],BDEGENER[[#This Row],[GA5]])</f>
        <v>no presentaMANT1</v>
      </c>
      <c r="BE1123" s="29" t="str">
        <f>CONCATENATE(BDEGENER[[#This Row],[CODIGO PATRIMONIAL]],BDEGENER[[#This Row],[GA5]])</f>
        <v>17524MANT1</v>
      </c>
      <c r="BF1123" s="16">
        <f>COUNTIF(BDEGENER[SERIE],BDEGENER[[#This Row],[SERIE]])</f>
        <v>1</v>
      </c>
      <c r="BG1123" s="761" t="str">
        <f>CONCATENATE("F",COUNTIF($K$7:K1123,K1123))</f>
        <v>F2</v>
      </c>
      <c r="BH1123" s="325" t="str">
        <f>CONCATENATE(BDEGENER[[#This Row],[FECHA DE SERVICIO]],BDEGENER[[#This Row],[N° DE REGISTROS DEL DIA]])</f>
        <v>43294F2</v>
      </c>
      <c r="BI1123" s="324"/>
      <c r="BJ1123" s="325"/>
      <c r="BK1123" s="326"/>
    </row>
    <row r="1124" spans="2:63" ht="69" hidden="1" x14ac:dyDescent="0.3">
      <c r="B1124" s="33"/>
      <c r="C1124" s="33"/>
      <c r="D1124" s="33"/>
      <c r="E1124" s="33"/>
      <c r="F1124" s="33"/>
      <c r="G1124" s="33"/>
      <c r="H1124" s="33"/>
      <c r="I1124" s="33"/>
      <c r="J1124" s="33"/>
      <c r="K1124" s="38">
        <v>43294</v>
      </c>
      <c r="L1124" s="18" t="s">
        <v>248</v>
      </c>
      <c r="M1124" s="23" t="s">
        <v>302</v>
      </c>
      <c r="N1124" s="23" t="s">
        <v>290</v>
      </c>
      <c r="O1124" s="23"/>
      <c r="P1124" s="21"/>
      <c r="Q1124" s="23" t="s">
        <v>37</v>
      </c>
      <c r="R1124" s="85" t="s">
        <v>1782</v>
      </c>
      <c r="S1124" s="25" t="s">
        <v>443</v>
      </c>
      <c r="T1124" s="85" t="s">
        <v>1782</v>
      </c>
      <c r="U1124" s="25" t="s">
        <v>444</v>
      </c>
      <c r="V1124" s="25" t="s">
        <v>332</v>
      </c>
      <c r="W1124" s="25"/>
      <c r="X1124" s="25"/>
      <c r="Y1124" s="31" t="s">
        <v>517</v>
      </c>
      <c r="Z1124" s="16">
        <v>19994</v>
      </c>
      <c r="AA1124" s="16"/>
      <c r="AB1124" s="16"/>
      <c r="AC1124" s="23"/>
      <c r="AD1124" s="16"/>
      <c r="AE1124" s="16"/>
      <c r="AF1124" s="27">
        <v>357.4</v>
      </c>
      <c r="AG1124" s="16"/>
      <c r="AH1124" s="16"/>
      <c r="AI1124" s="16"/>
      <c r="AJ1124" s="16"/>
      <c r="AK1124" s="16"/>
      <c r="AL1124" s="16"/>
      <c r="AM1124" s="16"/>
      <c r="AN1124" s="16"/>
      <c r="AO1124" s="16"/>
      <c r="AP1124" s="22" t="s">
        <v>240</v>
      </c>
      <c r="AQ1124" s="6" t="str">
        <f>CONCATENATE("REG-",BDEGENER[[#This Row],[FECHA DE SERVICIO]],"-",BDEGENER[[#This Row],[SERIE]],"-",BDEGENER[[#This Row],[HORAS]])</f>
        <v>REG-43294-PEE2613893-357,4</v>
      </c>
      <c r="AR1124" s="5" t="str">
        <f>CONCATENATE("MARCA: ",BDEGENER[[#This Row],[MARCA]],"
 MODELO: ",BDEGENER[[#This Row],[MODELO]])</f>
        <v xml:space="preserve">MARCA: 
 MODELO: </v>
      </c>
      <c r="AS1124" s="5" t="str">
        <f>CONCATENATE("MARCA: ",BDEGENER[[#This Row],[MARCA DE MOTOR]],"
SERIE: ",BDEGENER[[#This Row],[SERIE DE MOTOR]])</f>
        <v xml:space="preserve">MARCA: 
SERIE: </v>
      </c>
      <c r="AT1124" s="5" t="str">
        <f>CONCATENATE("MARCA: ",BDEGENER[[#This Row],[MARCA ALTERNADOR ]],"
SERIE: ",BDEGENER[[#This Row],[SERIE DE ALTERNADOR]])</f>
        <v xml:space="preserve">MARCA: 
SERIE: </v>
      </c>
      <c r="AU1124" s="5" t="str">
        <f>CONCATENATE("HORAS: ",BDEGENER[[#This Row],[HORAS]],"
KW-HR: ",BDEGENER[[#This Row],[KW-HORA]],"
VOLT.BATERIA: ",BDEGENER[[#This Row],[VOLTAJE DE BATERIA]],"
TEMPERATURA: ",BDEGENER[[#This Row],[TEMPERATURA DE AGUA]],"
PRES. ACEITE: ",BDEGENER[[#This Row],[PRESION DE ACEITE]])</f>
        <v xml:space="preserve">HORAS: 357,4
KW-HR: 
VOLT.BATERIA: 
TEMPERATURA: 
PRES. ACEITE: </v>
      </c>
      <c r="AV1124" s="683">
        <f>COUNTIFS(Q1124:Q3124,"MANTENIMIENTO CORRECTIVO",Y1124:Y3124,BDEGENER[[#This Row],[SERIE]])</f>
        <v>0</v>
      </c>
      <c r="AW1124" s="683">
        <f>COUNTIFS(Q1124:Q3124,"MANTENIMIENTO PREVENTIVO",Y1124:Y3124,BDEGENER[[#This Row],[SERIE]])</f>
        <v>1</v>
      </c>
      <c r="AX112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24" s="29">
        <f>COUNTIFS(BDEGENER[SERIE],BDEGENER[[#This Row],[SERIE]],BDEGENER[TIPO DE SERVICIO],"MANTENIMIENTO PREVENTIVO")</f>
        <v>3</v>
      </c>
      <c r="AZ1124" s="29" t="str">
        <f>CONCATENATE("MANTENIMIENTO PREVENTIVO N°",BDEGENER[[#This Row],[GA1]])</f>
        <v>MANTENIMIENTO PREVENTIVO N°3</v>
      </c>
      <c r="BA1124" s="325" t="str">
        <f>IF(BDEGENER[[#This Row],[SERVICIO]]=BDEGENER[[#This Row],[GA2]],BDEGENER[[#This Row],[HORAS]],"0")</f>
        <v>0</v>
      </c>
      <c r="BB1124" s="325">
        <f>SUMIF(BDEGENER[SERIE],BDEGENER[[#This Row],[SERIE]],BDEGENER[GA3])</f>
        <v>0</v>
      </c>
      <c r="BC1124" s="683" t="str">
        <f>CONCATENATE("MANT",COUNTIF($Y$7:Y1124,Y1124))</f>
        <v>MANT3</v>
      </c>
      <c r="BD1124" s="29" t="str">
        <f>CONCATENATE(BDEGENER[[#This Row],[SERIE]],BDEGENER[[#This Row],[GA5]])</f>
        <v>PEE2613893MANT3</v>
      </c>
      <c r="BE1124" s="29" t="str">
        <f>CONCATENATE(BDEGENER[[#This Row],[CODIGO PATRIMONIAL]],BDEGENER[[#This Row],[GA5]])</f>
        <v>19994MANT3</v>
      </c>
      <c r="BF1124" s="16">
        <f>COUNTIF(BDEGENER[SERIE],BDEGENER[[#This Row],[SERIE]])</f>
        <v>3</v>
      </c>
      <c r="BG1124" s="683" t="str">
        <f>CONCATENATE("F",COUNTIF($K$7:K1124,K1124))</f>
        <v>F3</v>
      </c>
      <c r="BH1124" s="325" t="str">
        <f>CONCATENATE(BDEGENER[[#This Row],[FECHA DE SERVICIO]],BDEGENER[[#This Row],[N° DE REGISTROS DEL DIA]])</f>
        <v>43294F3</v>
      </c>
      <c r="BI1124" s="324"/>
      <c r="BJ1124" s="325"/>
      <c r="BK1124" s="326"/>
    </row>
    <row r="1125" spans="2:63" ht="69" hidden="1" x14ac:dyDescent="0.3">
      <c r="B1125" s="33"/>
      <c r="C1125" s="33"/>
      <c r="D1125" s="33"/>
      <c r="E1125" s="33"/>
      <c r="F1125" s="33"/>
      <c r="G1125" s="33"/>
      <c r="H1125" s="33"/>
      <c r="I1125" s="33"/>
      <c r="J1125" s="33"/>
      <c r="K1125" s="38">
        <v>43284</v>
      </c>
      <c r="L1125" s="18" t="s">
        <v>248</v>
      </c>
      <c r="M1125" s="23" t="s">
        <v>285</v>
      </c>
      <c r="N1125" s="23" t="s">
        <v>286</v>
      </c>
      <c r="O1125" s="23"/>
      <c r="P1125" s="21"/>
      <c r="Q1125" s="23" t="s">
        <v>107</v>
      </c>
      <c r="R1125" s="85" t="s">
        <v>1782</v>
      </c>
      <c r="S1125" s="25" t="s">
        <v>445</v>
      </c>
      <c r="T1125" s="85" t="s">
        <v>1782</v>
      </c>
      <c r="U1125" s="25"/>
      <c r="V1125" s="25" t="s">
        <v>364</v>
      </c>
      <c r="W1125" s="25"/>
      <c r="X1125" s="25"/>
      <c r="Y1125" s="31">
        <v>9301207</v>
      </c>
      <c r="Z1125" s="16">
        <v>17524</v>
      </c>
      <c r="AA1125" s="16"/>
      <c r="AB1125" s="16" t="s">
        <v>512</v>
      </c>
      <c r="AC1125" s="23" t="s">
        <v>536</v>
      </c>
      <c r="AD1125" s="16"/>
      <c r="AE1125" s="16"/>
      <c r="AF1125" s="27">
        <v>1050.49</v>
      </c>
      <c r="AG1125" s="16"/>
      <c r="AH1125" s="16"/>
      <c r="AI1125" s="16"/>
      <c r="AJ1125" s="16"/>
      <c r="AK1125" s="16"/>
      <c r="AL1125" s="16"/>
      <c r="AM1125" s="16"/>
      <c r="AN1125" s="16"/>
      <c r="AO1125" s="16"/>
      <c r="AP1125" s="22" t="s">
        <v>240</v>
      </c>
      <c r="AQ1125" s="6" t="str">
        <f>CONCATENATE("REG-",BDEGENER[[#This Row],[FECHA DE SERVICIO]],"-",BDEGENER[[#This Row],[SERIE]],"-",BDEGENER[[#This Row],[HORAS]])</f>
        <v>REG-43284-9301207-1050,49</v>
      </c>
      <c r="AR1125" s="5" t="str">
        <f>CONCATENATE("MARCA: ",BDEGENER[[#This Row],[MARCA]],"
 MODELO: ",BDEGENER[[#This Row],[MODELO]])</f>
        <v xml:space="preserve">MARCA: 
 MODELO: POWER PACT </v>
      </c>
      <c r="AS1125" s="5" t="str">
        <f>CONCATENATE("MARCA: ",BDEGENER[[#This Row],[MARCA DE MOTOR]],"
SERIE: ",BDEGENER[[#This Row],[SERIE DE MOTOR]])</f>
        <v xml:space="preserve">MARCA: 
SERIE: </v>
      </c>
      <c r="AT1125" s="5" t="str">
        <f>CONCATENATE("MARCA: ",BDEGENER[[#This Row],[MARCA ALTERNADOR ]],"
SERIE: ",BDEGENER[[#This Row],[SERIE DE ALTERNADOR]])</f>
        <v xml:space="preserve">MARCA: 
SERIE: </v>
      </c>
      <c r="AU1125" s="5" t="str">
        <f>CONCATENATE("HORAS: ",BDEGENER[[#This Row],[HORAS]],"
KW-HR: ",BDEGENER[[#This Row],[KW-HORA]],"
VOLT.BATERIA: ",BDEGENER[[#This Row],[VOLTAJE DE BATERIA]],"
TEMPERATURA: ",BDEGENER[[#This Row],[TEMPERATURA DE AGUA]],"
PRES. ACEITE: ",BDEGENER[[#This Row],[PRESION DE ACEITE]])</f>
        <v xml:space="preserve">HORAS: 1050,49
KW-HR: 
VOLT.BATERIA: 
TEMPERATURA: 
PRES. ACEITE: </v>
      </c>
      <c r="AV1125" s="683">
        <f>COUNTIFS(Q1125:Q3125,"MANTENIMIENTO CORRECTIVO",Y1125:Y3125,BDEGENER[[#This Row],[SERIE]])</f>
        <v>2</v>
      </c>
      <c r="AW1125" s="683">
        <f>COUNTIFS(Q1125:Q3125,"MANTENIMIENTO PREVENTIVO",Y1125:Y3125,BDEGENER[[#This Row],[SERIE]])</f>
        <v>2</v>
      </c>
      <c r="AX112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125" s="29">
        <f>COUNTIFS(BDEGENER[SERIE],BDEGENER[[#This Row],[SERIE]],BDEGENER[TIPO DE SERVICIO],"MANTENIMIENTO PREVENTIVO")</f>
        <v>3</v>
      </c>
      <c r="AZ1125" s="29" t="str">
        <f>CONCATENATE("MANTENIMIENTO PREVENTIVO N°",BDEGENER[[#This Row],[GA1]])</f>
        <v>MANTENIMIENTO PREVENTIVO N°3</v>
      </c>
      <c r="BA1125" s="325" t="str">
        <f>IF(BDEGENER[[#This Row],[SERVICIO]]=BDEGENER[[#This Row],[GA2]],BDEGENER[[#This Row],[HORAS]],"0")</f>
        <v>0</v>
      </c>
      <c r="BB1125" s="325">
        <f>SUMIF(BDEGENER[SERIE],BDEGENER[[#This Row],[SERIE]],BDEGENER[GA3])</f>
        <v>0</v>
      </c>
      <c r="BC1125" s="683" t="str">
        <f>CONCATENATE("MANT",COUNTIF($Y$7:Y1125,Y1125))</f>
        <v>MANT5</v>
      </c>
      <c r="BD1125" s="29" t="str">
        <f>CONCATENATE(BDEGENER[[#This Row],[SERIE]],BDEGENER[[#This Row],[GA5]])</f>
        <v>9301207MANT5</v>
      </c>
      <c r="BE1125" s="29" t="str">
        <f>CONCATENATE(BDEGENER[[#This Row],[CODIGO PATRIMONIAL]],BDEGENER[[#This Row],[GA5]])</f>
        <v>17524MANT5</v>
      </c>
      <c r="BF1125" s="16">
        <f>COUNTIF(BDEGENER[SERIE],BDEGENER[[#This Row],[SERIE]])</f>
        <v>8</v>
      </c>
      <c r="BG1125" s="683" t="str">
        <f>CONCATENATE("F",COUNTIF($K$7:K1125,K1125))</f>
        <v>F1</v>
      </c>
      <c r="BH1125" s="325" t="str">
        <f>CONCATENATE(BDEGENER[[#This Row],[FECHA DE SERVICIO]],BDEGENER[[#This Row],[N° DE REGISTROS DEL DIA]])</f>
        <v>43284F1</v>
      </c>
      <c r="BI1125" s="324"/>
      <c r="BJ1125" s="325"/>
      <c r="BK1125" s="326"/>
    </row>
    <row r="1126" spans="2:63" ht="69" hidden="1" x14ac:dyDescent="0.3">
      <c r="B1126" s="33"/>
      <c r="C1126" s="33"/>
      <c r="D1126" s="33"/>
      <c r="E1126" s="33"/>
      <c r="F1126" s="33"/>
      <c r="G1126" s="33"/>
      <c r="H1126" s="33"/>
      <c r="I1126" s="33"/>
      <c r="J1126" s="33"/>
      <c r="K1126" s="38">
        <v>43284</v>
      </c>
      <c r="L1126" s="18" t="s">
        <v>248</v>
      </c>
      <c r="M1126" s="23" t="s">
        <v>291</v>
      </c>
      <c r="N1126" s="85" t="s">
        <v>1409</v>
      </c>
      <c r="O1126" s="23"/>
      <c r="P1126" s="21"/>
      <c r="Q1126" s="23" t="s">
        <v>107</v>
      </c>
      <c r="R1126" s="85" t="s">
        <v>1782</v>
      </c>
      <c r="S1126" s="25" t="s">
        <v>446</v>
      </c>
      <c r="T1126" s="85" t="s">
        <v>1782</v>
      </c>
      <c r="U1126" s="25" t="s">
        <v>447</v>
      </c>
      <c r="V1126" s="25" t="s">
        <v>364</v>
      </c>
      <c r="W1126" s="25"/>
      <c r="X1126" s="25"/>
      <c r="Y1126" s="31">
        <v>9319804</v>
      </c>
      <c r="Z1126" s="16">
        <v>17523</v>
      </c>
      <c r="AA1126" s="85" t="s">
        <v>33</v>
      </c>
      <c r="AB1126" s="85">
        <v>65610</v>
      </c>
      <c r="AC1126" s="23" t="s">
        <v>535</v>
      </c>
      <c r="AD1126" s="16"/>
      <c r="AE1126" s="16"/>
      <c r="AF1126" s="27" t="s">
        <v>556</v>
      </c>
      <c r="AG1126" s="85" t="s">
        <v>1412</v>
      </c>
      <c r="AH1126" s="85" t="s">
        <v>1413</v>
      </c>
      <c r="AI1126" s="85" t="s">
        <v>33</v>
      </c>
      <c r="AJ1126" s="16"/>
      <c r="AK1126" s="85" t="s">
        <v>33</v>
      </c>
      <c r="AL1126" s="16"/>
      <c r="AM1126" s="16"/>
      <c r="AN1126" s="16"/>
      <c r="AO1126" s="16"/>
      <c r="AP1126" s="22" t="s">
        <v>240</v>
      </c>
      <c r="AQ1126" s="6" t="str">
        <f>CONCATENATE("REG-",BDEGENER[[#This Row],[FECHA DE SERVICIO]],"-",BDEGENER[[#This Row],[SERIE]],"-",BDEGENER[[#This Row],[HORAS]])</f>
        <v>REG-43284-9319804-726,38</v>
      </c>
      <c r="AR1126" s="5" t="str">
        <f>CONCATENATE("MARCA: ",BDEGENER[[#This Row],[MARCA]],"
 MODELO: ",BDEGENER[[#This Row],[MODELO]])</f>
        <v>MARCA: GENERAC
 MODELO: 65610</v>
      </c>
      <c r="AS1126" s="5" t="str">
        <f>CONCATENATE("MARCA: ",BDEGENER[[#This Row],[MARCA DE MOTOR]],"
SERIE: ",BDEGENER[[#This Row],[SERIE DE MOTOR]])</f>
        <v xml:space="preserve">MARCA: GENERAC
SERIE: </v>
      </c>
      <c r="AT1126" s="5" t="str">
        <f>CONCATENATE("MARCA: ",BDEGENER[[#This Row],[MARCA ALTERNADOR ]],"
SERIE: ",BDEGENER[[#This Row],[SERIE DE ALTERNADOR]])</f>
        <v xml:space="preserve">MARCA: GENERAC
SERIE: </v>
      </c>
      <c r="AU1126" s="5" t="str">
        <f>CONCATENATE("HORAS: ",BDEGENER[[#This Row],[HORAS]],"
KW-HR: ",BDEGENER[[#This Row],[KW-HORA]],"
VOLT.BATERIA: ",BDEGENER[[#This Row],[VOLTAJE DE BATERIA]],"
TEMPERATURA: ",BDEGENER[[#This Row],[TEMPERATURA DE AGUA]],"
PRES. ACEITE: ",BDEGENER[[#This Row],[PRESION DE ACEITE]])</f>
        <v xml:space="preserve">HORAS: 726,38
KW-HR: 
VOLT.BATERIA: 
TEMPERATURA: 
PRES. ACEITE: </v>
      </c>
      <c r="AV1126" s="761">
        <f>COUNTIFS(Q1126:Q3126,"MANTENIMIENTO CORRECTIVO",Y1126:Y3126,BDEGENER[[#This Row],[SERIE]])</f>
        <v>3</v>
      </c>
      <c r="AW1126" s="761">
        <f>COUNTIFS(Q1126:Q3126,"MANTENIMIENTO PREVENTIVO",Y1126:Y3126,BDEGENER[[#This Row],[SERIE]])</f>
        <v>1</v>
      </c>
      <c r="AX112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1126" s="29">
        <f>COUNTIFS(BDEGENER[SERIE],BDEGENER[[#This Row],[SERIE]],BDEGENER[TIPO DE SERVICIO],"MANTENIMIENTO PREVENTIVO")</f>
        <v>2</v>
      </c>
      <c r="AZ1126" s="29" t="str">
        <f>CONCATENATE("MANTENIMIENTO PREVENTIVO N°",BDEGENER[[#This Row],[GA1]])</f>
        <v>MANTENIMIENTO PREVENTIVO N°2</v>
      </c>
      <c r="BA1126" s="325" t="str">
        <f>IF(BDEGENER[[#This Row],[SERVICIO]]=BDEGENER[[#This Row],[GA2]],BDEGENER[[#This Row],[HORAS]],"0")</f>
        <v>0</v>
      </c>
      <c r="BB1126" s="325">
        <f>SUMIF(BDEGENER[SERIE],BDEGENER[[#This Row],[SERIE]],BDEGENER[GA3])</f>
        <v>872.68</v>
      </c>
      <c r="BC1126" s="761" t="str">
        <f>CONCATENATE("MANT",COUNTIF($Y$7:Y1126,Y1126))</f>
        <v>MANT7</v>
      </c>
      <c r="BD1126" s="29" t="str">
        <f>CONCATENATE(BDEGENER[[#This Row],[SERIE]],BDEGENER[[#This Row],[GA5]])</f>
        <v>9319804MANT7</v>
      </c>
      <c r="BE1126" s="29" t="str">
        <f>CONCATENATE(BDEGENER[[#This Row],[CODIGO PATRIMONIAL]],BDEGENER[[#This Row],[GA5]])</f>
        <v>17523MANT7</v>
      </c>
      <c r="BF1126" s="16">
        <f>COUNTIF(BDEGENER[SERIE],BDEGENER[[#This Row],[SERIE]])</f>
        <v>10</v>
      </c>
      <c r="BG1126" s="761" t="str">
        <f>CONCATENATE("F",COUNTIF($K$7:K1126,K1126))</f>
        <v>F2</v>
      </c>
      <c r="BH1126" s="325" t="str">
        <f>CONCATENATE(BDEGENER[[#This Row],[FECHA DE SERVICIO]],BDEGENER[[#This Row],[N° DE REGISTROS DEL DIA]])</f>
        <v>43284F2</v>
      </c>
      <c r="BI1126" s="324"/>
      <c r="BJ1126" s="325"/>
      <c r="BK1126" s="326"/>
    </row>
    <row r="1127" spans="2:63" ht="69" hidden="1" x14ac:dyDescent="0.3">
      <c r="B1127" s="33"/>
      <c r="C1127" s="33"/>
      <c r="D1127" s="33"/>
      <c r="E1127" s="33"/>
      <c r="F1127" s="33"/>
      <c r="G1127" s="33"/>
      <c r="H1127" s="33"/>
      <c r="I1127" s="33"/>
      <c r="J1127" s="33"/>
      <c r="K1127" s="38">
        <v>43284</v>
      </c>
      <c r="L1127" s="18" t="s">
        <v>248</v>
      </c>
      <c r="M1127" s="23" t="s">
        <v>296</v>
      </c>
      <c r="N1127" s="23" t="s">
        <v>303</v>
      </c>
      <c r="O1127" s="23"/>
      <c r="P1127" s="21"/>
      <c r="Q1127" s="23" t="s">
        <v>107</v>
      </c>
      <c r="R1127" s="85" t="s">
        <v>1782</v>
      </c>
      <c r="S1127" s="25" t="s">
        <v>448</v>
      </c>
      <c r="T1127" s="25" t="s">
        <v>449</v>
      </c>
      <c r="U1127" s="25"/>
      <c r="V1127" s="25" t="s">
        <v>364</v>
      </c>
      <c r="W1127" s="25"/>
      <c r="X1127" s="25"/>
      <c r="Y1127" s="31">
        <v>9301205</v>
      </c>
      <c r="Z1127" s="16">
        <v>17522</v>
      </c>
      <c r="AA1127" s="16"/>
      <c r="AB1127" s="16"/>
      <c r="AC1127" s="23"/>
      <c r="AD1127" s="16"/>
      <c r="AE1127" s="16"/>
      <c r="AF1127" s="27">
        <v>887</v>
      </c>
      <c r="AG1127" s="16"/>
      <c r="AH1127" s="16"/>
      <c r="AI1127" s="16"/>
      <c r="AJ1127" s="16"/>
      <c r="AK1127" s="16"/>
      <c r="AL1127" s="16"/>
      <c r="AM1127" s="16"/>
      <c r="AN1127" s="16"/>
      <c r="AO1127" s="16"/>
      <c r="AP1127" s="22" t="s">
        <v>240</v>
      </c>
      <c r="AQ1127" s="6" t="str">
        <f>CONCATENATE("REG-",BDEGENER[[#This Row],[FECHA DE SERVICIO]],"-",BDEGENER[[#This Row],[SERIE]],"-",BDEGENER[[#This Row],[HORAS]])</f>
        <v>REG-43284-9301205-887</v>
      </c>
      <c r="AR1127" s="5" t="str">
        <f>CONCATENATE("MARCA: ",BDEGENER[[#This Row],[MARCA]],"
 MODELO: ",BDEGENER[[#This Row],[MODELO]])</f>
        <v xml:space="preserve">MARCA: 
 MODELO: </v>
      </c>
      <c r="AS1127" s="5" t="str">
        <f>CONCATENATE("MARCA: ",BDEGENER[[#This Row],[MARCA DE MOTOR]],"
SERIE: ",BDEGENER[[#This Row],[SERIE DE MOTOR]])</f>
        <v xml:space="preserve">MARCA: 
SERIE: </v>
      </c>
      <c r="AT1127" s="5" t="str">
        <f>CONCATENATE("MARCA: ",BDEGENER[[#This Row],[MARCA ALTERNADOR ]],"
SERIE: ",BDEGENER[[#This Row],[SERIE DE ALTERNADOR]])</f>
        <v xml:space="preserve">MARCA: 
SERIE: </v>
      </c>
      <c r="AU1127" s="5" t="str">
        <f>CONCATENATE("HORAS: ",BDEGENER[[#This Row],[HORAS]],"
KW-HR: ",BDEGENER[[#This Row],[KW-HORA]],"
VOLT.BATERIA: ",BDEGENER[[#This Row],[VOLTAJE DE BATERIA]],"
TEMPERATURA: ",BDEGENER[[#This Row],[TEMPERATURA DE AGUA]],"
PRES. ACEITE: ",BDEGENER[[#This Row],[PRESION DE ACEITE]])</f>
        <v xml:space="preserve">HORAS: 887
KW-HR: 
VOLT.BATERIA: 
TEMPERATURA: 
PRES. ACEITE: </v>
      </c>
      <c r="AV1127" s="683">
        <f>COUNTIFS(Q1127:Q3127,"MANTENIMIENTO CORRECTIVO",Y1127:Y3127,BDEGENER[[#This Row],[SERIE]])</f>
        <v>3</v>
      </c>
      <c r="AW1127" s="683">
        <f>COUNTIFS(Q1127:Q3127,"MANTENIMIENTO PREVENTIVO",Y1127:Y3127,BDEGENER[[#This Row],[SERIE]])</f>
        <v>1</v>
      </c>
      <c r="AX112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N°3</v>
      </c>
      <c r="AY1127" s="29">
        <f>COUNTIFS(BDEGENER[SERIE],BDEGENER[[#This Row],[SERIE]],BDEGENER[TIPO DE SERVICIO],"MANTENIMIENTO PREVENTIVO")</f>
        <v>2</v>
      </c>
      <c r="AZ1127" s="29" t="str">
        <f>CONCATENATE("MANTENIMIENTO PREVENTIVO N°",BDEGENER[[#This Row],[GA1]])</f>
        <v>MANTENIMIENTO PREVENTIVO N°2</v>
      </c>
      <c r="BA1127" s="325" t="str">
        <f>IF(BDEGENER[[#This Row],[SERVICIO]]=BDEGENER[[#This Row],[GA2]],BDEGENER[[#This Row],[HORAS]],"0")</f>
        <v>0</v>
      </c>
      <c r="BB1127" s="325">
        <f>SUMIF(BDEGENER[SERIE],BDEGENER[[#This Row],[SERIE]],BDEGENER[GA3])</f>
        <v>0</v>
      </c>
      <c r="BC1127" s="683" t="str">
        <f>CONCATENATE("MANT",COUNTIF($Y$7:Y1127,Y1127))</f>
        <v>MANT3</v>
      </c>
      <c r="BD1127" s="29" t="str">
        <f>CONCATENATE(BDEGENER[[#This Row],[SERIE]],BDEGENER[[#This Row],[GA5]])</f>
        <v>9301205MANT3</v>
      </c>
      <c r="BE1127" s="29" t="str">
        <f>CONCATENATE(BDEGENER[[#This Row],[CODIGO PATRIMONIAL]],BDEGENER[[#This Row],[GA5]])</f>
        <v>17522MANT3</v>
      </c>
      <c r="BF1127" s="16">
        <f>COUNTIF(BDEGENER[SERIE],BDEGENER[[#This Row],[SERIE]])</f>
        <v>6</v>
      </c>
      <c r="BG1127" s="683" t="str">
        <f>CONCATENATE("F",COUNTIF($K$7:K1127,K1127))</f>
        <v>F3</v>
      </c>
      <c r="BH1127" s="325" t="str">
        <f>CONCATENATE(BDEGENER[[#This Row],[FECHA DE SERVICIO]],BDEGENER[[#This Row],[N° DE REGISTROS DEL DIA]])</f>
        <v>43284F3</v>
      </c>
      <c r="BI1127" s="324"/>
      <c r="BJ1127" s="325"/>
      <c r="BK1127" s="326"/>
    </row>
    <row r="1128" spans="2:63" ht="69" hidden="1" x14ac:dyDescent="0.3">
      <c r="B1128" s="33"/>
      <c r="C1128" s="33"/>
      <c r="D1128" s="33"/>
      <c r="E1128" s="33"/>
      <c r="F1128" s="33"/>
      <c r="G1128" s="33"/>
      <c r="H1128" s="33"/>
      <c r="I1128" s="33"/>
      <c r="J1128" s="33"/>
      <c r="K1128" s="38">
        <v>43270</v>
      </c>
      <c r="L1128" s="18" t="s">
        <v>248</v>
      </c>
      <c r="M1128" s="23" t="s">
        <v>297</v>
      </c>
      <c r="N1128" s="23" t="s">
        <v>288</v>
      </c>
      <c r="O1128" s="23"/>
      <c r="P1128" s="21"/>
      <c r="Q1128" s="23" t="s">
        <v>37</v>
      </c>
      <c r="R1128" s="85" t="s">
        <v>1782</v>
      </c>
      <c r="S1128" s="25" t="s">
        <v>450</v>
      </c>
      <c r="T1128" s="85" t="s">
        <v>1782</v>
      </c>
      <c r="U1128" s="25" t="s">
        <v>451</v>
      </c>
      <c r="V1128" s="25" t="s">
        <v>364</v>
      </c>
      <c r="W1128" s="25"/>
      <c r="X1128" s="25"/>
      <c r="Y1128" s="31" t="s">
        <v>521</v>
      </c>
      <c r="Z1128" s="16">
        <v>18322</v>
      </c>
      <c r="AA1128" s="16"/>
      <c r="AB1128" s="16"/>
      <c r="AC1128" s="23"/>
      <c r="AD1128" s="16"/>
      <c r="AE1128" s="16"/>
      <c r="AF1128" s="27">
        <v>744</v>
      </c>
      <c r="AG1128" s="16"/>
      <c r="AH1128" s="16"/>
      <c r="AI1128" s="16"/>
      <c r="AJ1128" s="16"/>
      <c r="AK1128" s="16"/>
      <c r="AL1128" s="16"/>
      <c r="AM1128" s="16"/>
      <c r="AN1128" s="16"/>
      <c r="AO1128" s="16"/>
      <c r="AP1128" s="22" t="s">
        <v>240</v>
      </c>
      <c r="AQ1128" s="6" t="str">
        <f>CONCATENATE("REG-",BDEGENER[[#This Row],[FECHA DE SERVICIO]],"-",BDEGENER[[#This Row],[SERIE]],"-",BDEGENER[[#This Row],[HORAS]])</f>
        <v>REG-43270-PEE2615851-744</v>
      </c>
      <c r="AR1128" s="5" t="str">
        <f>CONCATENATE("MARCA: ",BDEGENER[[#This Row],[MARCA]],"
 MODELO: ",BDEGENER[[#This Row],[MODELO]])</f>
        <v xml:space="preserve">MARCA: 
 MODELO: </v>
      </c>
      <c r="AS1128" s="5" t="str">
        <f>CONCATENATE("MARCA: ",BDEGENER[[#This Row],[MARCA DE MOTOR]],"
SERIE: ",BDEGENER[[#This Row],[SERIE DE MOTOR]])</f>
        <v xml:space="preserve">MARCA: 
SERIE: </v>
      </c>
      <c r="AT1128" s="5" t="str">
        <f>CONCATENATE("MARCA: ",BDEGENER[[#This Row],[MARCA ALTERNADOR ]],"
SERIE: ",BDEGENER[[#This Row],[SERIE DE ALTERNADOR]])</f>
        <v xml:space="preserve">MARCA: 
SERIE: </v>
      </c>
      <c r="AU1128" s="5" t="str">
        <f>CONCATENATE("HORAS: ",BDEGENER[[#This Row],[HORAS]],"
KW-HR: ",BDEGENER[[#This Row],[KW-HORA]],"
VOLT.BATERIA: ",BDEGENER[[#This Row],[VOLTAJE DE BATERIA]],"
TEMPERATURA: ",BDEGENER[[#This Row],[TEMPERATURA DE AGUA]],"
PRES. ACEITE: ",BDEGENER[[#This Row],[PRESION DE ACEITE]])</f>
        <v xml:space="preserve">HORAS: 744
KW-HR: 
VOLT.BATERIA: 
TEMPERATURA: 
PRES. ACEITE: </v>
      </c>
      <c r="AV1128" s="683">
        <f>COUNTIFS(Q1128:Q3128,"MANTENIMIENTO CORRECTIVO",Y1128:Y3128,BDEGENER[[#This Row],[SERIE]])</f>
        <v>0</v>
      </c>
      <c r="AW1128" s="683">
        <f>COUNTIFS(Q1128:Q3128,"MANTENIMIENTO PREVENTIVO",Y1128:Y3128,BDEGENER[[#This Row],[SERIE]])</f>
        <v>2</v>
      </c>
      <c r="AX112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128" s="29">
        <f>COUNTIFS(BDEGENER[SERIE],BDEGENER[[#This Row],[SERIE]],BDEGENER[TIPO DE SERVICIO],"MANTENIMIENTO PREVENTIVO")</f>
        <v>2</v>
      </c>
      <c r="AZ1128" s="29" t="str">
        <f>CONCATENATE("MANTENIMIENTO PREVENTIVO N°",BDEGENER[[#This Row],[GA1]])</f>
        <v>MANTENIMIENTO PREVENTIVO N°2</v>
      </c>
      <c r="BA1128" s="325">
        <f>IF(BDEGENER[[#This Row],[SERVICIO]]=BDEGENER[[#This Row],[GA2]],BDEGENER[[#This Row],[HORAS]],"0")</f>
        <v>744</v>
      </c>
      <c r="BB1128" s="325">
        <f>SUMIF(BDEGENER[SERIE],BDEGENER[[#This Row],[SERIE]],BDEGENER[GA3])</f>
        <v>744</v>
      </c>
      <c r="BC1128" s="683" t="str">
        <f>CONCATENATE("MANT",COUNTIF($Y$7:Y1128,Y1128))</f>
        <v>MANT1</v>
      </c>
      <c r="BD1128" s="29" t="str">
        <f>CONCATENATE(BDEGENER[[#This Row],[SERIE]],BDEGENER[[#This Row],[GA5]])</f>
        <v>PEE2615851MANT1</v>
      </c>
      <c r="BE1128" s="29" t="str">
        <f>CONCATENATE(BDEGENER[[#This Row],[CODIGO PATRIMONIAL]],BDEGENER[[#This Row],[GA5]])</f>
        <v>18322MANT1</v>
      </c>
      <c r="BF1128" s="16">
        <f>COUNTIF(BDEGENER[SERIE],BDEGENER[[#This Row],[SERIE]])</f>
        <v>2</v>
      </c>
      <c r="BG1128" s="683" t="str">
        <f>CONCATENATE("F",COUNTIF($K$7:K1128,K1128))</f>
        <v>F1</v>
      </c>
      <c r="BH1128" s="325" t="str">
        <f>CONCATENATE(BDEGENER[[#This Row],[FECHA DE SERVICIO]],BDEGENER[[#This Row],[N° DE REGISTROS DEL DIA]])</f>
        <v>43270F1</v>
      </c>
      <c r="BI1128" s="324"/>
      <c r="BJ1128" s="325"/>
      <c r="BK1128" s="326"/>
    </row>
    <row r="1129" spans="2:63" ht="69" hidden="1" x14ac:dyDescent="0.3">
      <c r="B1129" s="33"/>
      <c r="C1129" s="33"/>
      <c r="D1129" s="33"/>
      <c r="E1129" s="33"/>
      <c r="F1129" s="33"/>
      <c r="G1129" s="33"/>
      <c r="H1129" s="33"/>
      <c r="I1129" s="33"/>
      <c r="J1129" s="33"/>
      <c r="K1129" s="38">
        <v>43270</v>
      </c>
      <c r="L1129" s="18" t="s">
        <v>248</v>
      </c>
      <c r="M1129" s="23" t="s">
        <v>301</v>
      </c>
      <c r="N1129" s="23" t="s">
        <v>304</v>
      </c>
      <c r="O1129" s="23"/>
      <c r="P1129" s="21"/>
      <c r="Q1129" s="23" t="s">
        <v>37</v>
      </c>
      <c r="R1129" s="85" t="s">
        <v>1782</v>
      </c>
      <c r="S1129" s="23" t="s">
        <v>450</v>
      </c>
      <c r="T1129" s="85" t="s">
        <v>1782</v>
      </c>
      <c r="U1129" s="23" t="s">
        <v>452</v>
      </c>
      <c r="V1129" s="23" t="s">
        <v>364</v>
      </c>
      <c r="W1129" s="85" t="s">
        <v>913</v>
      </c>
      <c r="X1129" s="85" t="s">
        <v>917</v>
      </c>
      <c r="Y1129" s="31" t="s">
        <v>510</v>
      </c>
      <c r="Z1129" s="16">
        <v>18324</v>
      </c>
      <c r="AA1129" s="85" t="s">
        <v>33</v>
      </c>
      <c r="AB1129" s="85" t="s">
        <v>500</v>
      </c>
      <c r="AC1129" s="23" t="s">
        <v>530</v>
      </c>
      <c r="AD1129" s="16"/>
      <c r="AE1129" s="16"/>
      <c r="AF1129" s="27">
        <v>805</v>
      </c>
      <c r="AG1129" s="85" t="s">
        <v>243</v>
      </c>
      <c r="AH1129" s="85" t="s">
        <v>1236</v>
      </c>
      <c r="AI1129" s="85" t="s">
        <v>844</v>
      </c>
      <c r="AJ1129" s="16"/>
      <c r="AK1129" s="85" t="s">
        <v>1235</v>
      </c>
      <c r="AL1129" s="16"/>
      <c r="AM1129" s="16"/>
      <c r="AN1129" s="16"/>
      <c r="AO1129" s="16"/>
      <c r="AP1129" s="22" t="s">
        <v>240</v>
      </c>
      <c r="AQ1129" s="6" t="str">
        <f>CONCATENATE("REG-",BDEGENER[[#This Row],[FECHA DE SERVICIO]],"-",BDEGENER[[#This Row],[SERIE]],"-",BDEGENER[[#This Row],[HORAS]])</f>
        <v>REG-43270-PEE2615852-805</v>
      </c>
      <c r="AR1129" s="5" t="str">
        <f>CONCATENATE("MARCA: ",BDEGENER[[#This Row],[MARCA]],"
 MODELO: ",BDEGENER[[#This Row],[MODELO]])</f>
        <v>MARCA: GENERAC
 MODELO: PMY20B</v>
      </c>
      <c r="AS1129" s="5" t="str">
        <f>CONCATENATE("MARCA: ",BDEGENER[[#This Row],[MARCA DE MOTOR]],"
SERIE: ",BDEGENER[[#This Row],[SERIE DE MOTOR]])</f>
        <v xml:space="preserve">MARCA: PERKINS
SERIE: </v>
      </c>
      <c r="AT1129" s="5" t="str">
        <f>CONCATENATE("MARCA: ",BDEGENER[[#This Row],[MARCA ALTERNADOR ]],"
SERIE: ",BDEGENER[[#This Row],[SERIE DE ALTERNADOR]])</f>
        <v xml:space="preserve">MARCA: MECC ALTE
SERIE: </v>
      </c>
      <c r="AU1129" s="5" t="str">
        <f>CONCATENATE("HORAS: ",BDEGENER[[#This Row],[HORAS]],"
KW-HR: ",BDEGENER[[#This Row],[KW-HORA]],"
VOLT.BATERIA: ",BDEGENER[[#This Row],[VOLTAJE DE BATERIA]],"
TEMPERATURA: ",BDEGENER[[#This Row],[TEMPERATURA DE AGUA]],"
PRES. ACEITE: ",BDEGENER[[#This Row],[PRESION DE ACEITE]])</f>
        <v xml:space="preserve">HORAS: 805
KW-HR: 
VOLT.BATERIA: 
TEMPERATURA: 
PRES. ACEITE: </v>
      </c>
      <c r="AV1129" s="761">
        <f>COUNTIFS(Q1129:Q3129,"MANTENIMIENTO CORRECTIVO",Y1129:Y3129,BDEGENER[[#This Row],[SERIE]])</f>
        <v>0</v>
      </c>
      <c r="AW1129" s="761">
        <f>COUNTIFS(Q1129:Q3129,"MANTENIMIENTO PREVENTIVO",Y1129:Y3129,BDEGENER[[#This Row],[SERIE]])</f>
        <v>2</v>
      </c>
      <c r="AX112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129" s="29">
        <f>COUNTIFS(BDEGENER[SERIE],BDEGENER[[#This Row],[SERIE]],BDEGENER[TIPO DE SERVICIO],"MANTENIMIENTO PREVENTIVO")</f>
        <v>4</v>
      </c>
      <c r="AZ1129" s="29" t="str">
        <f>CONCATENATE("MANTENIMIENTO PREVENTIVO N°",BDEGENER[[#This Row],[GA1]])</f>
        <v>MANTENIMIENTO PREVENTIVO N°4</v>
      </c>
      <c r="BA1129" s="325" t="str">
        <f>IF(BDEGENER[[#This Row],[SERVICIO]]=BDEGENER[[#This Row],[GA2]],BDEGENER[[#This Row],[HORAS]],"0")</f>
        <v>0</v>
      </c>
      <c r="BB1129" s="325">
        <f>SUMIF(BDEGENER[SERIE],BDEGENER[[#This Row],[SERIE]],BDEGENER[GA3])</f>
        <v>2165.5</v>
      </c>
      <c r="BC1129" s="761" t="str">
        <f>CONCATENATE("MANT",COUNTIF($Y$7:Y1129,Y1129))</f>
        <v>MANT3</v>
      </c>
      <c r="BD1129" s="29" t="str">
        <f>CONCATENATE(BDEGENER[[#This Row],[SERIE]],BDEGENER[[#This Row],[GA5]])</f>
        <v>PEE2615852MANT3</v>
      </c>
      <c r="BE1129" s="29" t="str">
        <f>CONCATENATE(BDEGENER[[#This Row],[CODIGO PATRIMONIAL]],BDEGENER[[#This Row],[GA5]])</f>
        <v>18324MANT3</v>
      </c>
      <c r="BF1129" s="16">
        <f>COUNTIF(BDEGENER[SERIE],BDEGENER[[#This Row],[SERIE]])</f>
        <v>4</v>
      </c>
      <c r="BG1129" s="761" t="str">
        <f>CONCATENATE("F",COUNTIF($K$7:K1129,K1129))</f>
        <v>F2</v>
      </c>
      <c r="BH1129" s="325" t="str">
        <f>CONCATENATE(BDEGENER[[#This Row],[FECHA DE SERVICIO]],BDEGENER[[#This Row],[N° DE REGISTROS DEL DIA]])</f>
        <v>43270F2</v>
      </c>
      <c r="BI1129" s="324"/>
      <c r="BJ1129" s="325"/>
      <c r="BK1129" s="326"/>
    </row>
    <row r="1130" spans="2:63" ht="69" hidden="1" x14ac:dyDescent="0.3">
      <c r="B1130" s="33"/>
      <c r="C1130" s="33"/>
      <c r="D1130" s="33"/>
      <c r="E1130" s="33"/>
      <c r="F1130" s="33"/>
      <c r="G1130" s="33"/>
      <c r="H1130" s="33"/>
      <c r="I1130" s="33"/>
      <c r="J1130" s="33"/>
      <c r="K1130" s="38">
        <v>43270</v>
      </c>
      <c r="L1130" s="18" t="s">
        <v>248</v>
      </c>
      <c r="M1130" s="23" t="s">
        <v>299</v>
      </c>
      <c r="N1130" s="23" t="s">
        <v>300</v>
      </c>
      <c r="O1130" s="23"/>
      <c r="P1130" s="21"/>
      <c r="Q1130" s="23" t="s">
        <v>107</v>
      </c>
      <c r="R1130" s="85" t="s">
        <v>1782</v>
      </c>
      <c r="S1130" s="25" t="s">
        <v>453</v>
      </c>
      <c r="T1130" s="85" t="s">
        <v>1782</v>
      </c>
      <c r="U1130" s="25"/>
      <c r="V1130" s="25" t="s">
        <v>364</v>
      </c>
      <c r="W1130" s="25"/>
      <c r="X1130" s="25"/>
      <c r="Y1130" s="31">
        <v>9319843</v>
      </c>
      <c r="Z1130" s="16">
        <v>17521</v>
      </c>
      <c r="AA1130" s="16"/>
      <c r="AB1130" s="16"/>
      <c r="AC1130" s="23"/>
      <c r="AD1130" s="16"/>
      <c r="AE1130" s="16"/>
      <c r="AF1130" s="27">
        <v>1370.04</v>
      </c>
      <c r="AG1130" s="16"/>
      <c r="AH1130" s="16"/>
      <c r="AI1130" s="16"/>
      <c r="AJ1130" s="16"/>
      <c r="AK1130" s="16"/>
      <c r="AL1130" s="16"/>
      <c r="AM1130" s="16"/>
      <c r="AN1130" s="16"/>
      <c r="AO1130" s="16"/>
      <c r="AP1130" s="22" t="s">
        <v>240</v>
      </c>
      <c r="AQ1130" s="6" t="str">
        <f>CONCATENATE("REG-",BDEGENER[[#This Row],[FECHA DE SERVICIO]],"-",BDEGENER[[#This Row],[SERIE]],"-",BDEGENER[[#This Row],[HORAS]])</f>
        <v>REG-43270-9319843-1370,04</v>
      </c>
      <c r="AR1130" s="5" t="str">
        <f>CONCATENATE("MARCA: ",BDEGENER[[#This Row],[MARCA]],"
 MODELO: ",BDEGENER[[#This Row],[MODELO]])</f>
        <v xml:space="preserve">MARCA: 
 MODELO: </v>
      </c>
      <c r="AS1130" s="5" t="str">
        <f>CONCATENATE("MARCA: ",BDEGENER[[#This Row],[MARCA DE MOTOR]],"
SERIE: ",BDEGENER[[#This Row],[SERIE DE MOTOR]])</f>
        <v xml:space="preserve">MARCA: 
SERIE: </v>
      </c>
      <c r="AT1130" s="5" t="str">
        <f>CONCATENATE("MARCA: ",BDEGENER[[#This Row],[MARCA ALTERNADOR ]],"
SERIE: ",BDEGENER[[#This Row],[SERIE DE ALTERNADOR]])</f>
        <v xml:space="preserve">MARCA: 
SERIE: </v>
      </c>
      <c r="AU1130" s="5" t="str">
        <f>CONCATENATE("HORAS: ",BDEGENER[[#This Row],[HORAS]],"
KW-HR: ",BDEGENER[[#This Row],[KW-HORA]],"
VOLT.BATERIA: ",BDEGENER[[#This Row],[VOLTAJE DE BATERIA]],"
TEMPERATURA: ",BDEGENER[[#This Row],[TEMPERATURA DE AGUA]],"
PRES. ACEITE: ",BDEGENER[[#This Row],[PRESION DE ACEITE]])</f>
        <v xml:space="preserve">HORAS: 1370,04
KW-HR: 
VOLT.BATERIA: 
TEMPERATURA: 
PRES. ACEITE: </v>
      </c>
      <c r="AV1130" s="683">
        <f>COUNTIFS(Q1130:Q3130,"MANTENIMIENTO CORRECTIVO",Y1130:Y3130,BDEGENER[[#This Row],[SERIE]])</f>
        <v>1</v>
      </c>
      <c r="AW1130" s="683">
        <f>COUNTIFS(Q1130:Q3130,"MANTENIMIENTO PREVENTIVO",Y1130:Y3130,BDEGENER[[#This Row],[SERIE]])</f>
        <v>2</v>
      </c>
      <c r="AX113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130" s="29">
        <f>COUNTIFS(BDEGENER[SERIE],BDEGENER[[#This Row],[SERIE]],BDEGENER[TIPO DE SERVICIO],"MANTENIMIENTO PREVENTIVO")</f>
        <v>3</v>
      </c>
      <c r="AZ1130" s="29" t="str">
        <f>CONCATENATE("MANTENIMIENTO PREVENTIVO N°",BDEGENER[[#This Row],[GA1]])</f>
        <v>MANTENIMIENTO PREVENTIVO N°3</v>
      </c>
      <c r="BA1130" s="325" t="str">
        <f>IF(BDEGENER[[#This Row],[SERVICIO]]=BDEGENER[[#This Row],[GA2]],BDEGENER[[#This Row],[HORAS]],"0")</f>
        <v>0</v>
      </c>
      <c r="BB1130" s="325">
        <f>SUMIF(BDEGENER[SERIE],BDEGENER[[#This Row],[SERIE]],BDEGENER[GA3])</f>
        <v>1554.11</v>
      </c>
      <c r="BC1130" s="683" t="str">
        <f>CONCATENATE("MANT",COUNTIF($Y$7:Y1130,Y1130))</f>
        <v>MANT2</v>
      </c>
      <c r="BD1130" s="29" t="str">
        <f>CONCATENATE(BDEGENER[[#This Row],[SERIE]],BDEGENER[[#This Row],[GA5]])</f>
        <v>9319843MANT2</v>
      </c>
      <c r="BE1130" s="29" t="str">
        <f>CONCATENATE(BDEGENER[[#This Row],[CODIGO PATRIMONIAL]],BDEGENER[[#This Row],[GA5]])</f>
        <v>17521MANT2</v>
      </c>
      <c r="BF1130" s="16">
        <f>COUNTIF(BDEGENER[SERIE],BDEGENER[[#This Row],[SERIE]])</f>
        <v>4</v>
      </c>
      <c r="BG1130" s="683" t="str">
        <f>CONCATENATE("F",COUNTIF($K$7:K1130,K1130))</f>
        <v>F3</v>
      </c>
      <c r="BH1130" s="325" t="str">
        <f>CONCATENATE(BDEGENER[[#This Row],[FECHA DE SERVICIO]],BDEGENER[[#This Row],[N° DE REGISTROS DEL DIA]])</f>
        <v>43270F3</v>
      </c>
      <c r="BI1130" s="324"/>
      <c r="BJ1130" s="325"/>
      <c r="BK1130" s="326"/>
    </row>
    <row r="1131" spans="2:63" ht="69" hidden="1" x14ac:dyDescent="0.3">
      <c r="B1131" s="33"/>
      <c r="C1131" s="33"/>
      <c r="D1131" s="33"/>
      <c r="E1131" s="33"/>
      <c r="F1131" s="33"/>
      <c r="G1131" s="33"/>
      <c r="H1131" s="33"/>
      <c r="I1131" s="33"/>
      <c r="J1131" s="33"/>
      <c r="K1131" s="38">
        <v>43263</v>
      </c>
      <c r="L1131" s="18" t="s">
        <v>248</v>
      </c>
      <c r="M1131" s="23" t="s">
        <v>253</v>
      </c>
      <c r="N1131" s="23" t="s">
        <v>254</v>
      </c>
      <c r="O1131" s="23"/>
      <c r="P1131" s="21"/>
      <c r="Q1131" s="23" t="s">
        <v>37</v>
      </c>
      <c r="R1131" s="85" t="s">
        <v>1782</v>
      </c>
      <c r="S1131" s="25" t="s">
        <v>454</v>
      </c>
      <c r="T1131" s="25" t="s">
        <v>455</v>
      </c>
      <c r="U1131" s="25" t="s">
        <v>456</v>
      </c>
      <c r="V1131" s="25" t="s">
        <v>364</v>
      </c>
      <c r="W1131" s="25"/>
      <c r="X1131" s="25"/>
      <c r="Y1131" s="31">
        <v>9301206</v>
      </c>
      <c r="Z1131" s="16">
        <v>17525</v>
      </c>
      <c r="AA1131" s="16"/>
      <c r="AB1131" s="16" t="s">
        <v>509</v>
      </c>
      <c r="AC1131" s="23" t="s">
        <v>534</v>
      </c>
      <c r="AD1131" s="16"/>
      <c r="AE1131" s="16"/>
      <c r="AF1131" s="27">
        <v>1694</v>
      </c>
      <c r="AG1131" s="16"/>
      <c r="AH1131" s="16"/>
      <c r="AI1131" s="16"/>
      <c r="AJ1131" s="16"/>
      <c r="AK1131" s="16"/>
      <c r="AL1131" s="16"/>
      <c r="AM1131" s="16"/>
      <c r="AN1131" s="16"/>
      <c r="AO1131" s="16"/>
      <c r="AP1131" s="22" t="s">
        <v>240</v>
      </c>
      <c r="AQ1131" s="6" t="str">
        <f>CONCATENATE("REG-",BDEGENER[[#This Row],[FECHA DE SERVICIO]],"-",BDEGENER[[#This Row],[SERIE]],"-",BDEGENER[[#This Row],[HORAS]])</f>
        <v>REG-43263-9301206-1694</v>
      </c>
      <c r="AR1131" s="5" t="str">
        <f>CONCATENATE("MARCA: ",BDEGENER[[#This Row],[MARCA]],"
 MODELO: ",BDEGENER[[#This Row],[MODELO]])</f>
        <v>MARCA: 
 MODELO: G006841</v>
      </c>
      <c r="AS1131" s="5" t="str">
        <f>CONCATENATE("MARCA: ",BDEGENER[[#This Row],[MARCA DE MOTOR]],"
SERIE: ",BDEGENER[[#This Row],[SERIE DE MOTOR]])</f>
        <v xml:space="preserve">MARCA: 
SERIE: </v>
      </c>
      <c r="AT1131" s="5" t="str">
        <f>CONCATENATE("MARCA: ",BDEGENER[[#This Row],[MARCA ALTERNADOR ]],"
SERIE: ",BDEGENER[[#This Row],[SERIE DE ALTERNADOR]])</f>
        <v xml:space="preserve">MARCA: 
SERIE: </v>
      </c>
      <c r="AU1131" s="5" t="str">
        <f>CONCATENATE("HORAS: ",BDEGENER[[#This Row],[HORAS]],"
KW-HR: ",BDEGENER[[#This Row],[KW-HORA]],"
VOLT.BATERIA: ",BDEGENER[[#This Row],[VOLTAJE DE BATERIA]],"
TEMPERATURA: ",BDEGENER[[#This Row],[TEMPERATURA DE AGUA]],"
PRES. ACEITE: ",BDEGENER[[#This Row],[PRESION DE ACEITE]])</f>
        <v xml:space="preserve">HORAS: 1694
KW-HR: 
VOLT.BATERIA: 
TEMPERATURA: 
PRES. ACEITE: </v>
      </c>
      <c r="AV1131" s="683">
        <f>COUNTIFS(Q1131:Q3131,"MANTENIMIENTO CORRECTIVO",Y1131:Y3131,BDEGENER[[#This Row],[SERIE]])</f>
        <v>0</v>
      </c>
      <c r="AW1131" s="683">
        <f>COUNTIFS(Q1131:Q3131,"MANTENIMIENTO PREVENTIVO",Y1131:Y3131,BDEGENER[[#This Row],[SERIE]])</f>
        <v>2</v>
      </c>
      <c r="AX113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131" s="29">
        <f>COUNTIFS(BDEGENER[SERIE],BDEGENER[[#This Row],[SERIE]],BDEGENER[TIPO DE SERVICIO],"MANTENIMIENTO PREVENTIVO")</f>
        <v>4</v>
      </c>
      <c r="AZ1131" s="29" t="str">
        <f>CONCATENATE("MANTENIMIENTO PREVENTIVO N°",BDEGENER[[#This Row],[GA1]])</f>
        <v>MANTENIMIENTO PREVENTIVO N°4</v>
      </c>
      <c r="BA1131" s="325" t="str">
        <f>IF(BDEGENER[[#This Row],[SERVICIO]]=BDEGENER[[#This Row],[GA2]],BDEGENER[[#This Row],[HORAS]],"0")</f>
        <v>0</v>
      </c>
      <c r="BB1131" s="325">
        <f>SUMIF(BDEGENER[SERIE],BDEGENER[[#This Row],[SERIE]],BDEGENER[GA3])</f>
        <v>2784</v>
      </c>
      <c r="BC1131" s="683" t="str">
        <f>CONCATENATE("MANT",COUNTIF($Y$7:Y1131,Y1131))</f>
        <v>MANT5</v>
      </c>
      <c r="BD1131" s="29" t="str">
        <f>CONCATENATE(BDEGENER[[#This Row],[SERIE]],BDEGENER[[#This Row],[GA5]])</f>
        <v>9301206MANT5</v>
      </c>
      <c r="BE1131" s="29" t="str">
        <f>CONCATENATE(BDEGENER[[#This Row],[CODIGO PATRIMONIAL]],BDEGENER[[#This Row],[GA5]])</f>
        <v>17525MANT5</v>
      </c>
      <c r="BF1131" s="16">
        <f>COUNTIF(BDEGENER[SERIE],BDEGENER[[#This Row],[SERIE]])</f>
        <v>6</v>
      </c>
      <c r="BG1131" s="683" t="str">
        <f>CONCATENATE("F",COUNTIF($K$7:K1131,K1131))</f>
        <v>F1</v>
      </c>
      <c r="BH1131" s="325" t="str">
        <f>CONCATENATE(BDEGENER[[#This Row],[FECHA DE SERVICIO]],BDEGENER[[#This Row],[N° DE REGISTROS DEL DIA]])</f>
        <v>43263F1</v>
      </c>
      <c r="BI1131" s="324"/>
      <c r="BJ1131" s="325"/>
      <c r="BK1131" s="326"/>
    </row>
    <row r="1132" spans="2:63" ht="69" hidden="1" x14ac:dyDescent="0.3">
      <c r="B1132" s="33"/>
      <c r="C1132" s="33"/>
      <c r="D1132" s="33"/>
      <c r="E1132" s="33"/>
      <c r="F1132" s="33"/>
      <c r="G1132" s="33"/>
      <c r="H1132" s="33"/>
      <c r="I1132" s="33"/>
      <c r="J1132" s="33"/>
      <c r="K1132" s="38">
        <v>43262</v>
      </c>
      <c r="L1132" s="18" t="s">
        <v>248</v>
      </c>
      <c r="M1132" s="23" t="s">
        <v>296</v>
      </c>
      <c r="N1132" s="23" t="s">
        <v>303</v>
      </c>
      <c r="O1132" s="23"/>
      <c r="P1132" s="21"/>
      <c r="Q1132" s="23" t="s">
        <v>107</v>
      </c>
      <c r="R1132" s="85" t="s">
        <v>1782</v>
      </c>
      <c r="S1132" s="25" t="s">
        <v>457</v>
      </c>
      <c r="T1132" s="25" t="s">
        <v>458</v>
      </c>
      <c r="U1132" s="25"/>
      <c r="V1132" s="25" t="s">
        <v>364</v>
      </c>
      <c r="W1132" s="25"/>
      <c r="X1132" s="25"/>
      <c r="Y1132" s="31">
        <v>9301205</v>
      </c>
      <c r="Z1132" s="16">
        <v>17522</v>
      </c>
      <c r="AA1132" s="16"/>
      <c r="AB1132" s="16"/>
      <c r="AC1132" s="23"/>
      <c r="AD1132" s="16"/>
      <c r="AE1132" s="16"/>
      <c r="AF1132" s="27">
        <v>887</v>
      </c>
      <c r="AG1132" s="16"/>
      <c r="AH1132" s="16"/>
      <c r="AI1132" s="16"/>
      <c r="AJ1132" s="16"/>
      <c r="AK1132" s="16"/>
      <c r="AL1132" s="16"/>
      <c r="AM1132" s="16"/>
      <c r="AN1132" s="16"/>
      <c r="AO1132" s="16"/>
      <c r="AP1132" s="23"/>
      <c r="AQ1132" s="6" t="str">
        <f>CONCATENATE("REG-",BDEGENER[[#This Row],[FECHA DE SERVICIO]],"-",BDEGENER[[#This Row],[SERIE]],"-",BDEGENER[[#This Row],[HORAS]])</f>
        <v>REG-43262-9301205-887</v>
      </c>
      <c r="AR1132" s="5" t="str">
        <f>CONCATENATE("MARCA: ",BDEGENER[[#This Row],[MARCA]],"
 MODELO: ",BDEGENER[[#This Row],[MODELO]])</f>
        <v xml:space="preserve">MARCA: 
 MODELO: </v>
      </c>
      <c r="AS1132" s="5" t="str">
        <f>CONCATENATE("MARCA: ",BDEGENER[[#This Row],[MARCA DE MOTOR]],"
SERIE: ",BDEGENER[[#This Row],[SERIE DE MOTOR]])</f>
        <v xml:space="preserve">MARCA: 
SERIE: </v>
      </c>
      <c r="AT1132" s="5" t="str">
        <f>CONCATENATE("MARCA: ",BDEGENER[[#This Row],[MARCA ALTERNADOR ]],"
SERIE: ",BDEGENER[[#This Row],[SERIE DE ALTERNADOR]])</f>
        <v xml:space="preserve">MARCA: 
SERIE: </v>
      </c>
      <c r="AU1132" s="5" t="str">
        <f>CONCATENATE("HORAS: ",BDEGENER[[#This Row],[HORAS]],"
KW-HR: ",BDEGENER[[#This Row],[KW-HORA]],"
VOLT.BATERIA: ",BDEGENER[[#This Row],[VOLTAJE DE BATERIA]],"
TEMPERATURA: ",BDEGENER[[#This Row],[TEMPERATURA DE AGUA]],"
PRES. ACEITE: ",BDEGENER[[#This Row],[PRESION DE ACEITE]])</f>
        <v xml:space="preserve">HORAS: 887
KW-HR: 
VOLT.BATERIA: 
TEMPERATURA: 
PRES. ACEITE: </v>
      </c>
      <c r="AV1132" s="761">
        <f>COUNTIFS(Q1132:Q3132,"MANTENIMIENTO CORRECTIVO",Y1132:Y3132,BDEGENER[[#This Row],[SERIE]])</f>
        <v>2</v>
      </c>
      <c r="AW1132" s="761">
        <f>COUNTIFS(Q1132:Q3132,"MANTENIMIENTO PREVENTIVO",Y1132:Y3132,BDEGENER[[#This Row],[SERIE]])</f>
        <v>1</v>
      </c>
      <c r="AX113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132" s="29">
        <f>COUNTIFS(BDEGENER[SERIE],BDEGENER[[#This Row],[SERIE]],BDEGENER[TIPO DE SERVICIO],"MANTENIMIENTO PREVENTIVO")</f>
        <v>2</v>
      </c>
      <c r="AZ1132" s="29" t="str">
        <f>CONCATENATE("MANTENIMIENTO PREVENTIVO N°",BDEGENER[[#This Row],[GA1]])</f>
        <v>MANTENIMIENTO PREVENTIVO N°2</v>
      </c>
      <c r="BA1132" s="325" t="str">
        <f>IF(BDEGENER[[#This Row],[SERVICIO]]=BDEGENER[[#This Row],[GA2]],BDEGENER[[#This Row],[HORAS]],"0")</f>
        <v>0</v>
      </c>
      <c r="BB1132" s="325">
        <f>SUMIF(BDEGENER[SERIE],BDEGENER[[#This Row],[SERIE]],BDEGENER[GA3])</f>
        <v>0</v>
      </c>
      <c r="BC1132" s="761" t="str">
        <f>CONCATENATE("MANT",COUNTIF($Y$7:Y1132,Y1132))</f>
        <v>MANT4</v>
      </c>
      <c r="BD1132" s="29" t="str">
        <f>CONCATENATE(BDEGENER[[#This Row],[SERIE]],BDEGENER[[#This Row],[GA5]])</f>
        <v>9301205MANT4</v>
      </c>
      <c r="BE1132" s="29" t="str">
        <f>CONCATENATE(BDEGENER[[#This Row],[CODIGO PATRIMONIAL]],BDEGENER[[#This Row],[GA5]])</f>
        <v>17522MANT4</v>
      </c>
      <c r="BF1132" s="16">
        <f>COUNTIF(BDEGENER[SERIE],BDEGENER[[#This Row],[SERIE]])</f>
        <v>6</v>
      </c>
      <c r="BG1132" s="761" t="str">
        <f>CONCATENATE("F",COUNTIF($K$7:K1132,K1132))</f>
        <v>F1</v>
      </c>
      <c r="BH1132" s="325" t="str">
        <f>CONCATENATE(BDEGENER[[#This Row],[FECHA DE SERVICIO]],BDEGENER[[#This Row],[N° DE REGISTROS DEL DIA]])</f>
        <v>43262F1</v>
      </c>
      <c r="BI1132" s="324"/>
      <c r="BJ1132" s="325"/>
      <c r="BK1132" s="326"/>
    </row>
    <row r="1133" spans="2:63" ht="69" hidden="1" x14ac:dyDescent="0.3">
      <c r="B1133" s="33"/>
      <c r="C1133" s="33"/>
      <c r="D1133" s="33"/>
      <c r="E1133" s="33"/>
      <c r="F1133" s="33"/>
      <c r="G1133" s="33"/>
      <c r="H1133" s="33"/>
      <c r="I1133" s="33"/>
      <c r="J1133" s="33"/>
      <c r="K1133" s="38">
        <v>43262</v>
      </c>
      <c r="L1133" s="18" t="s">
        <v>248</v>
      </c>
      <c r="M1133" s="23" t="s">
        <v>285</v>
      </c>
      <c r="N1133" s="23" t="s">
        <v>286</v>
      </c>
      <c r="O1133" s="23"/>
      <c r="P1133" s="21"/>
      <c r="Q1133" s="23" t="s">
        <v>107</v>
      </c>
      <c r="R1133" s="85" t="s">
        <v>1782</v>
      </c>
      <c r="S1133" s="25" t="s">
        <v>459</v>
      </c>
      <c r="T1133" s="25" t="s">
        <v>460</v>
      </c>
      <c r="U1133" s="25"/>
      <c r="V1133" s="25" t="s">
        <v>364</v>
      </c>
      <c r="W1133" s="25"/>
      <c r="X1133" s="25"/>
      <c r="Y1133" s="31">
        <v>9301207</v>
      </c>
      <c r="Z1133" s="16">
        <v>17524</v>
      </c>
      <c r="AA1133" s="16"/>
      <c r="AB1133" s="16" t="s">
        <v>512</v>
      </c>
      <c r="AC1133" s="23" t="s">
        <v>536</v>
      </c>
      <c r="AD1133" s="16"/>
      <c r="AE1133" s="16"/>
      <c r="AF1133" s="27">
        <v>1033.9000000000001</v>
      </c>
      <c r="AG1133" s="16"/>
      <c r="AH1133" s="16"/>
      <c r="AI1133" s="16"/>
      <c r="AJ1133" s="16"/>
      <c r="AK1133" s="16"/>
      <c r="AL1133" s="16"/>
      <c r="AM1133" s="16"/>
      <c r="AN1133" s="16"/>
      <c r="AO1133" s="16"/>
      <c r="AP1133" s="22" t="s">
        <v>240</v>
      </c>
      <c r="AQ1133" s="6" t="str">
        <f>CONCATENATE("REG-",BDEGENER[[#This Row],[FECHA DE SERVICIO]],"-",BDEGENER[[#This Row],[SERIE]],"-",BDEGENER[[#This Row],[HORAS]])</f>
        <v>REG-43262-9301207-1033,9</v>
      </c>
      <c r="AR1133" s="5" t="str">
        <f>CONCATENATE("MARCA: ",BDEGENER[[#This Row],[MARCA]],"
 MODELO: ",BDEGENER[[#This Row],[MODELO]])</f>
        <v xml:space="preserve">MARCA: 
 MODELO: POWER PACT </v>
      </c>
      <c r="AS1133" s="5" t="str">
        <f>CONCATENATE("MARCA: ",BDEGENER[[#This Row],[MARCA DE MOTOR]],"
SERIE: ",BDEGENER[[#This Row],[SERIE DE MOTOR]])</f>
        <v xml:space="preserve">MARCA: 
SERIE: </v>
      </c>
      <c r="AT1133" s="5" t="str">
        <f>CONCATENATE("MARCA: ",BDEGENER[[#This Row],[MARCA ALTERNADOR ]],"
SERIE: ",BDEGENER[[#This Row],[SERIE DE ALTERNADOR]])</f>
        <v xml:space="preserve">MARCA: 
SERIE: </v>
      </c>
      <c r="AU1133" s="5" t="str">
        <f>CONCATENATE("HORAS: ",BDEGENER[[#This Row],[HORAS]],"
KW-HR: ",BDEGENER[[#This Row],[KW-HORA]],"
VOLT.BATERIA: ",BDEGENER[[#This Row],[VOLTAJE DE BATERIA]],"
TEMPERATURA: ",BDEGENER[[#This Row],[TEMPERATURA DE AGUA]],"
PRES. ACEITE: ",BDEGENER[[#This Row],[PRESION DE ACEITE]])</f>
        <v xml:space="preserve">HORAS: 1033,9
KW-HR: 
VOLT.BATERIA: 
TEMPERATURA: 
PRES. ACEITE: </v>
      </c>
      <c r="AV1133" s="683">
        <f>COUNTIFS(Q1133:Q3133,"MANTENIMIENTO CORRECTIVO",Y1133:Y3133,BDEGENER[[#This Row],[SERIE]])</f>
        <v>1</v>
      </c>
      <c r="AW1133" s="683">
        <f>COUNTIFS(Q1133:Q3133,"MANTENIMIENTO PREVENTIVO",Y1133:Y3133,BDEGENER[[#This Row],[SERIE]])</f>
        <v>2</v>
      </c>
      <c r="AX113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133" s="29">
        <f>COUNTIFS(BDEGENER[SERIE],BDEGENER[[#This Row],[SERIE]],BDEGENER[TIPO DE SERVICIO],"MANTENIMIENTO PREVENTIVO")</f>
        <v>3</v>
      </c>
      <c r="AZ1133" s="29" t="str">
        <f>CONCATENATE("MANTENIMIENTO PREVENTIVO N°",BDEGENER[[#This Row],[GA1]])</f>
        <v>MANTENIMIENTO PREVENTIVO N°3</v>
      </c>
      <c r="BA1133" s="325" t="str">
        <f>IF(BDEGENER[[#This Row],[SERVICIO]]=BDEGENER[[#This Row],[GA2]],BDEGENER[[#This Row],[HORAS]],"0")</f>
        <v>0</v>
      </c>
      <c r="BB1133" s="325">
        <f>SUMIF(BDEGENER[SERIE],BDEGENER[[#This Row],[SERIE]],BDEGENER[GA3])</f>
        <v>0</v>
      </c>
      <c r="BC1133" s="683" t="str">
        <f>CONCATENATE("MANT",COUNTIF($Y$7:Y1133,Y1133))</f>
        <v>MANT6</v>
      </c>
      <c r="BD1133" s="29" t="str">
        <f>CONCATENATE(BDEGENER[[#This Row],[SERIE]],BDEGENER[[#This Row],[GA5]])</f>
        <v>9301207MANT6</v>
      </c>
      <c r="BE1133" s="29" t="str">
        <f>CONCATENATE(BDEGENER[[#This Row],[CODIGO PATRIMONIAL]],BDEGENER[[#This Row],[GA5]])</f>
        <v>17524MANT6</v>
      </c>
      <c r="BF1133" s="16">
        <f>COUNTIF(BDEGENER[SERIE],BDEGENER[[#This Row],[SERIE]])</f>
        <v>8</v>
      </c>
      <c r="BG1133" s="683" t="str">
        <f>CONCATENATE("F",COUNTIF($K$7:K1133,K1133))</f>
        <v>F2</v>
      </c>
      <c r="BH1133" s="325" t="str">
        <f>CONCATENATE(BDEGENER[[#This Row],[FECHA DE SERVICIO]],BDEGENER[[#This Row],[N° DE REGISTROS DEL DIA]])</f>
        <v>43262F2</v>
      </c>
      <c r="BI1133" s="324"/>
      <c r="BJ1133" s="325"/>
      <c r="BK1133" s="326"/>
    </row>
    <row r="1134" spans="2:63" ht="69" hidden="1" x14ac:dyDescent="0.3">
      <c r="B1134" s="33"/>
      <c r="C1134" s="33"/>
      <c r="D1134" s="33"/>
      <c r="E1134" s="33"/>
      <c r="F1134" s="33"/>
      <c r="G1134" s="33"/>
      <c r="H1134" s="33"/>
      <c r="I1134" s="33"/>
      <c r="J1134" s="33"/>
      <c r="K1134" s="38">
        <v>43262</v>
      </c>
      <c r="L1134" s="18" t="s">
        <v>248</v>
      </c>
      <c r="M1134" s="23" t="s">
        <v>272</v>
      </c>
      <c r="N1134" s="23" t="s">
        <v>273</v>
      </c>
      <c r="O1134" s="23"/>
      <c r="P1134" s="21"/>
      <c r="Q1134" s="23" t="s">
        <v>37</v>
      </c>
      <c r="R1134" s="85" t="s">
        <v>1782</v>
      </c>
      <c r="S1134" s="25" t="s">
        <v>461</v>
      </c>
      <c r="T1134" s="25" t="s">
        <v>462</v>
      </c>
      <c r="U1134" s="25" t="s">
        <v>463</v>
      </c>
      <c r="V1134" s="25" t="s">
        <v>364</v>
      </c>
      <c r="W1134" s="85" t="s">
        <v>913</v>
      </c>
      <c r="X1134" s="85" t="s">
        <v>917</v>
      </c>
      <c r="Y1134" s="31" t="s">
        <v>507</v>
      </c>
      <c r="Z1134" s="16">
        <v>17571</v>
      </c>
      <c r="AA1134" s="85" t="s">
        <v>33</v>
      </c>
      <c r="AB1134" s="85" t="s">
        <v>500</v>
      </c>
      <c r="AC1134" s="23" t="s">
        <v>530</v>
      </c>
      <c r="AD1134" s="16"/>
      <c r="AE1134" s="16"/>
      <c r="AF1134" s="27">
        <v>1934.6</v>
      </c>
      <c r="AG1134" s="85" t="s">
        <v>243</v>
      </c>
      <c r="AH1134" s="85" t="s">
        <v>1236</v>
      </c>
      <c r="AI1134" s="85" t="s">
        <v>844</v>
      </c>
      <c r="AJ1134" s="16"/>
      <c r="AK1134" s="85" t="s">
        <v>1235</v>
      </c>
      <c r="AL1134" s="16"/>
      <c r="AM1134" s="16"/>
      <c r="AN1134" s="16"/>
      <c r="AO1134" s="16"/>
      <c r="AP1134" s="22" t="s">
        <v>240</v>
      </c>
      <c r="AQ1134" s="6" t="str">
        <f>CONCATENATE("REG-",BDEGENER[[#This Row],[FECHA DE SERVICIO]],"-",BDEGENER[[#This Row],[SERIE]],"-",BDEGENER[[#This Row],[HORAS]])</f>
        <v>REG-43262-PEE2599048-1934,6</v>
      </c>
      <c r="AR1134" s="5" t="str">
        <f>CONCATENATE("MARCA: ",BDEGENER[[#This Row],[MARCA]],"
 MODELO: ",BDEGENER[[#This Row],[MODELO]])</f>
        <v>MARCA: GENERAC
 MODELO: PMY20B</v>
      </c>
      <c r="AS1134" s="5" t="str">
        <f>CONCATENATE("MARCA: ",BDEGENER[[#This Row],[MARCA DE MOTOR]],"
SERIE: ",BDEGENER[[#This Row],[SERIE DE MOTOR]])</f>
        <v xml:space="preserve">MARCA: PERKINS
SERIE: </v>
      </c>
      <c r="AT1134" s="5" t="str">
        <f>CONCATENATE("MARCA: ",BDEGENER[[#This Row],[MARCA ALTERNADOR ]],"
SERIE: ",BDEGENER[[#This Row],[SERIE DE ALTERNADOR]])</f>
        <v xml:space="preserve">MARCA: MECC ALTE
SERIE: </v>
      </c>
      <c r="AU1134" s="5" t="str">
        <f>CONCATENATE("HORAS: ",BDEGENER[[#This Row],[HORAS]],"
KW-HR: ",BDEGENER[[#This Row],[KW-HORA]],"
VOLT.BATERIA: ",BDEGENER[[#This Row],[VOLTAJE DE BATERIA]],"
TEMPERATURA: ",BDEGENER[[#This Row],[TEMPERATURA DE AGUA]],"
PRES. ACEITE: ",BDEGENER[[#This Row],[PRESION DE ACEITE]])</f>
        <v xml:space="preserve">HORAS: 1934,6
KW-HR: 
VOLT.BATERIA: 
TEMPERATURA: 
PRES. ACEITE: </v>
      </c>
      <c r="AV1134" s="683">
        <f>COUNTIFS(Q1134:Q3134,"MANTENIMIENTO CORRECTIVO",Y1134:Y3134,BDEGENER[[#This Row],[SERIE]])</f>
        <v>0</v>
      </c>
      <c r="AW1134" s="683">
        <f>COUNTIFS(Q1134:Q3134,"MANTENIMIENTO PREVENTIVO",Y1134:Y3134,BDEGENER[[#This Row],[SERIE]])</f>
        <v>2</v>
      </c>
      <c r="AX113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134" s="29">
        <f>COUNTIFS(BDEGENER[SERIE],BDEGENER[[#This Row],[SERIE]],BDEGENER[TIPO DE SERVICIO],"MANTENIMIENTO PREVENTIVO")</f>
        <v>4</v>
      </c>
      <c r="AZ1134" s="29" t="str">
        <f>CONCATENATE("MANTENIMIENTO PREVENTIVO N°",BDEGENER[[#This Row],[GA1]])</f>
        <v>MANTENIMIENTO PREVENTIVO N°4</v>
      </c>
      <c r="BA1134" s="325" t="str">
        <f>IF(BDEGENER[[#This Row],[SERVICIO]]=BDEGENER[[#This Row],[GA2]],BDEGENER[[#This Row],[HORAS]],"0")</f>
        <v>0</v>
      </c>
      <c r="BB1134" s="325">
        <f>SUMIF(BDEGENER[SERIE],BDEGENER[[#This Row],[SERIE]],BDEGENER[GA3])</f>
        <v>2735.6</v>
      </c>
      <c r="BC1134" s="683" t="str">
        <f>CONCATENATE("MANT",COUNTIF($Y$7:Y1134,Y1134))</f>
        <v>MANT3</v>
      </c>
      <c r="BD1134" s="29" t="str">
        <f>CONCATENATE(BDEGENER[[#This Row],[SERIE]],BDEGENER[[#This Row],[GA5]])</f>
        <v>PEE2599048MANT3</v>
      </c>
      <c r="BE1134" s="29" t="str">
        <f>CONCATENATE(BDEGENER[[#This Row],[CODIGO PATRIMONIAL]],BDEGENER[[#This Row],[GA5]])</f>
        <v>17571MANT3</v>
      </c>
      <c r="BF1134" s="16">
        <f>COUNTIF(BDEGENER[SERIE],BDEGENER[[#This Row],[SERIE]])</f>
        <v>4</v>
      </c>
      <c r="BG1134" s="683" t="str">
        <f>CONCATENATE("F",COUNTIF($K$7:K1134,K1134))</f>
        <v>F3</v>
      </c>
      <c r="BH1134" s="325" t="str">
        <f>CONCATENATE(BDEGENER[[#This Row],[FECHA DE SERVICIO]],BDEGENER[[#This Row],[N° DE REGISTROS DEL DIA]])</f>
        <v>43262F3</v>
      </c>
      <c r="BI1134" s="324"/>
      <c r="BJ1134" s="325"/>
      <c r="BK1134" s="326"/>
    </row>
    <row r="1135" spans="2:63" ht="69" hidden="1" x14ac:dyDescent="0.3">
      <c r="B1135" s="33"/>
      <c r="C1135" s="33"/>
      <c r="D1135" s="33"/>
      <c r="E1135" s="33"/>
      <c r="F1135" s="33"/>
      <c r="G1135" s="33"/>
      <c r="H1135" s="33"/>
      <c r="I1135" s="33"/>
      <c r="J1135" s="33"/>
      <c r="K1135" s="38">
        <v>43262</v>
      </c>
      <c r="L1135" s="18" t="s">
        <v>248</v>
      </c>
      <c r="M1135" s="23" t="s">
        <v>291</v>
      </c>
      <c r="N1135" s="85" t="s">
        <v>1409</v>
      </c>
      <c r="O1135" s="23"/>
      <c r="P1135" s="21"/>
      <c r="Q1135" s="23" t="s">
        <v>107</v>
      </c>
      <c r="R1135" s="85" t="s">
        <v>1782</v>
      </c>
      <c r="S1135" s="25" t="s">
        <v>464</v>
      </c>
      <c r="T1135" s="85" t="s">
        <v>1782</v>
      </c>
      <c r="U1135" s="25"/>
      <c r="V1135" s="25" t="s">
        <v>364</v>
      </c>
      <c r="W1135" s="25"/>
      <c r="X1135" s="25"/>
      <c r="Y1135" s="31">
        <v>9319804</v>
      </c>
      <c r="Z1135" s="16">
        <v>17523</v>
      </c>
      <c r="AA1135" s="85" t="s">
        <v>33</v>
      </c>
      <c r="AB1135" s="85">
        <v>65610</v>
      </c>
      <c r="AC1135" s="23" t="s">
        <v>535</v>
      </c>
      <c r="AD1135" s="16"/>
      <c r="AE1135" s="16"/>
      <c r="AF1135" s="27">
        <v>725.84</v>
      </c>
      <c r="AG1135" s="85" t="s">
        <v>1412</v>
      </c>
      <c r="AH1135" s="85" t="s">
        <v>1413</v>
      </c>
      <c r="AI1135" s="85" t="s">
        <v>33</v>
      </c>
      <c r="AJ1135" s="16"/>
      <c r="AK1135" s="85" t="s">
        <v>33</v>
      </c>
      <c r="AL1135" s="16"/>
      <c r="AM1135" s="16"/>
      <c r="AN1135" s="16"/>
      <c r="AO1135" s="16"/>
      <c r="AP1135" s="23" t="s">
        <v>557</v>
      </c>
      <c r="AQ1135" s="6" t="str">
        <f>CONCATENATE("REG-",BDEGENER[[#This Row],[FECHA DE SERVICIO]],"-",BDEGENER[[#This Row],[SERIE]],"-",BDEGENER[[#This Row],[HORAS]])</f>
        <v>REG-43262-9319804-725,84</v>
      </c>
      <c r="AR1135" s="5" t="str">
        <f>CONCATENATE("MARCA: ",BDEGENER[[#This Row],[MARCA]],"
 MODELO: ",BDEGENER[[#This Row],[MODELO]])</f>
        <v>MARCA: GENERAC
 MODELO: 65610</v>
      </c>
      <c r="AS1135" s="5" t="str">
        <f>CONCATENATE("MARCA: ",BDEGENER[[#This Row],[MARCA DE MOTOR]],"
SERIE: ",BDEGENER[[#This Row],[SERIE DE MOTOR]])</f>
        <v xml:space="preserve">MARCA: GENERAC
SERIE: </v>
      </c>
      <c r="AT1135" s="5" t="str">
        <f>CONCATENATE("MARCA: ",BDEGENER[[#This Row],[MARCA ALTERNADOR ]],"
SERIE: ",BDEGENER[[#This Row],[SERIE DE ALTERNADOR]])</f>
        <v xml:space="preserve">MARCA: GENERAC
SERIE: </v>
      </c>
      <c r="AU1135" s="5" t="str">
        <f>CONCATENATE("HORAS: ",BDEGENER[[#This Row],[HORAS]],"
KW-HR: ",BDEGENER[[#This Row],[KW-HORA]],"
VOLT.BATERIA: ",BDEGENER[[#This Row],[VOLTAJE DE BATERIA]],"
TEMPERATURA: ",BDEGENER[[#This Row],[TEMPERATURA DE AGUA]],"
PRES. ACEITE: ",BDEGENER[[#This Row],[PRESION DE ACEITE]])</f>
        <v xml:space="preserve">HORAS: 725,84
KW-HR: 
VOLT.BATERIA: 
TEMPERATURA: 
PRES. ACEITE: </v>
      </c>
      <c r="AV1135" s="761">
        <f>COUNTIFS(Q1135:Q3135,"MANTENIMIENTO CORRECTIVO",Y1135:Y3135,BDEGENER[[#This Row],[SERIE]])</f>
        <v>2</v>
      </c>
      <c r="AW1135" s="761">
        <f>COUNTIFS(Q1135:Q3135,"MANTENIMIENTO PREVENTIVO",Y1135:Y3135,BDEGENER[[#This Row],[SERIE]])</f>
        <v>1</v>
      </c>
      <c r="AX113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N°2</v>
      </c>
      <c r="AY1135" s="29">
        <f>COUNTIFS(BDEGENER[SERIE],BDEGENER[[#This Row],[SERIE]],BDEGENER[TIPO DE SERVICIO],"MANTENIMIENTO PREVENTIVO")</f>
        <v>2</v>
      </c>
      <c r="AZ1135" s="29" t="str">
        <f>CONCATENATE("MANTENIMIENTO PREVENTIVO N°",BDEGENER[[#This Row],[GA1]])</f>
        <v>MANTENIMIENTO PREVENTIVO N°2</v>
      </c>
      <c r="BA1135" s="325" t="str">
        <f>IF(BDEGENER[[#This Row],[SERVICIO]]=BDEGENER[[#This Row],[GA2]],BDEGENER[[#This Row],[HORAS]],"0")</f>
        <v>0</v>
      </c>
      <c r="BB1135" s="325">
        <f>SUMIF(BDEGENER[SERIE],BDEGENER[[#This Row],[SERIE]],BDEGENER[GA3])</f>
        <v>872.68</v>
      </c>
      <c r="BC1135" s="761" t="str">
        <f>CONCATENATE("MANT",COUNTIF($Y$7:Y1135,Y1135))</f>
        <v>MANT8</v>
      </c>
      <c r="BD1135" s="29" t="str">
        <f>CONCATENATE(BDEGENER[[#This Row],[SERIE]],BDEGENER[[#This Row],[GA5]])</f>
        <v>9319804MANT8</v>
      </c>
      <c r="BE1135" s="29" t="str">
        <f>CONCATENATE(BDEGENER[[#This Row],[CODIGO PATRIMONIAL]],BDEGENER[[#This Row],[GA5]])</f>
        <v>17523MANT8</v>
      </c>
      <c r="BF1135" s="16">
        <f>COUNTIF(BDEGENER[SERIE],BDEGENER[[#This Row],[SERIE]])</f>
        <v>10</v>
      </c>
      <c r="BG1135" s="761" t="str">
        <f>CONCATENATE("F",COUNTIF($K$7:K1135,K1135))</f>
        <v>F4</v>
      </c>
      <c r="BH1135" s="325" t="str">
        <f>CONCATENATE(BDEGENER[[#This Row],[FECHA DE SERVICIO]],BDEGENER[[#This Row],[N° DE REGISTROS DEL DIA]])</f>
        <v>43262F4</v>
      </c>
      <c r="BI1135" s="324"/>
      <c r="BJ1135" s="325"/>
      <c r="BK1135" s="326"/>
    </row>
    <row r="1136" spans="2:63" ht="69" hidden="1" x14ac:dyDescent="0.3">
      <c r="B1136" s="33"/>
      <c r="C1136" s="33"/>
      <c r="D1136" s="33"/>
      <c r="E1136" s="33"/>
      <c r="F1136" s="33"/>
      <c r="G1136" s="33"/>
      <c r="H1136" s="33"/>
      <c r="I1136" s="33"/>
      <c r="J1136" s="33"/>
      <c r="K1136" s="38">
        <v>43262</v>
      </c>
      <c r="L1136" s="18" t="s">
        <v>248</v>
      </c>
      <c r="M1136" s="23" t="s">
        <v>299</v>
      </c>
      <c r="N1136" s="23" t="s">
        <v>300</v>
      </c>
      <c r="O1136" s="23"/>
      <c r="P1136" s="21"/>
      <c r="Q1136" s="23" t="s">
        <v>37</v>
      </c>
      <c r="R1136" s="85" t="s">
        <v>1782</v>
      </c>
      <c r="S1136" s="25" t="s">
        <v>434</v>
      </c>
      <c r="T1136" s="25" t="s">
        <v>462</v>
      </c>
      <c r="U1136" s="25" t="s">
        <v>424</v>
      </c>
      <c r="V1136" s="25" t="s">
        <v>364</v>
      </c>
      <c r="W1136" s="25"/>
      <c r="X1136" s="25"/>
      <c r="Y1136" s="31">
        <v>9319843</v>
      </c>
      <c r="Z1136" s="16">
        <v>17521</v>
      </c>
      <c r="AA1136" s="16"/>
      <c r="AB1136" s="16"/>
      <c r="AC1136" s="23"/>
      <c r="AD1136" s="16"/>
      <c r="AE1136" s="16"/>
      <c r="AF1136" s="27">
        <v>1369.9</v>
      </c>
      <c r="AG1136" s="16"/>
      <c r="AH1136" s="16"/>
      <c r="AI1136" s="16"/>
      <c r="AJ1136" s="16"/>
      <c r="AK1136" s="16"/>
      <c r="AL1136" s="16"/>
      <c r="AM1136" s="16"/>
      <c r="AN1136" s="16"/>
      <c r="AO1136" s="16"/>
      <c r="AP1136" s="22" t="s">
        <v>240</v>
      </c>
      <c r="AQ1136" s="6" t="str">
        <f>CONCATENATE("REG-",BDEGENER[[#This Row],[FECHA DE SERVICIO]],"-",BDEGENER[[#This Row],[SERIE]],"-",BDEGENER[[#This Row],[HORAS]])</f>
        <v>REG-43262-9319843-1369,9</v>
      </c>
      <c r="AR1136" s="5" t="str">
        <f>CONCATENATE("MARCA: ",BDEGENER[[#This Row],[MARCA]],"
 MODELO: ",BDEGENER[[#This Row],[MODELO]])</f>
        <v xml:space="preserve">MARCA: 
 MODELO: </v>
      </c>
      <c r="AS1136" s="5" t="str">
        <f>CONCATENATE("MARCA: ",BDEGENER[[#This Row],[MARCA DE MOTOR]],"
SERIE: ",BDEGENER[[#This Row],[SERIE DE MOTOR]])</f>
        <v xml:space="preserve">MARCA: 
SERIE: </v>
      </c>
      <c r="AT1136" s="5" t="str">
        <f>CONCATENATE("MARCA: ",BDEGENER[[#This Row],[MARCA ALTERNADOR ]],"
SERIE: ",BDEGENER[[#This Row],[SERIE DE ALTERNADOR]])</f>
        <v xml:space="preserve">MARCA: 
SERIE: </v>
      </c>
      <c r="AU1136" s="5" t="str">
        <f>CONCATENATE("HORAS: ",BDEGENER[[#This Row],[HORAS]],"
KW-HR: ",BDEGENER[[#This Row],[KW-HORA]],"
VOLT.BATERIA: ",BDEGENER[[#This Row],[VOLTAJE DE BATERIA]],"
TEMPERATURA: ",BDEGENER[[#This Row],[TEMPERATURA DE AGUA]],"
PRES. ACEITE: ",BDEGENER[[#This Row],[PRESION DE ACEITE]])</f>
        <v xml:space="preserve">HORAS: 1369,9
KW-HR: 
VOLT.BATERIA: 
TEMPERATURA: 
PRES. ACEITE: </v>
      </c>
      <c r="AV1136" s="683">
        <f>COUNTIFS(Q1136:Q3136,"MANTENIMIENTO CORRECTIVO",Y1136:Y3136,BDEGENER[[#This Row],[SERIE]])</f>
        <v>0</v>
      </c>
      <c r="AW1136" s="683">
        <f>COUNTIFS(Q1136:Q3136,"MANTENIMIENTO PREVENTIVO",Y1136:Y3136,BDEGENER[[#This Row],[SERIE]])</f>
        <v>2</v>
      </c>
      <c r="AX113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136" s="29">
        <f>COUNTIFS(BDEGENER[SERIE],BDEGENER[[#This Row],[SERIE]],BDEGENER[TIPO DE SERVICIO],"MANTENIMIENTO PREVENTIVO")</f>
        <v>3</v>
      </c>
      <c r="AZ1136" s="29" t="str">
        <f>CONCATENATE("MANTENIMIENTO PREVENTIVO N°",BDEGENER[[#This Row],[GA1]])</f>
        <v>MANTENIMIENTO PREVENTIVO N°3</v>
      </c>
      <c r="BA1136" s="325" t="str">
        <f>IF(BDEGENER[[#This Row],[SERVICIO]]=BDEGENER[[#This Row],[GA2]],BDEGENER[[#This Row],[HORAS]],"0")</f>
        <v>0</v>
      </c>
      <c r="BB1136" s="325">
        <f>SUMIF(BDEGENER[SERIE],BDEGENER[[#This Row],[SERIE]],BDEGENER[GA3])</f>
        <v>1554.11</v>
      </c>
      <c r="BC1136" s="683" t="str">
        <f>CONCATENATE("MANT",COUNTIF($Y$7:Y1136,Y1136))</f>
        <v>MANT3</v>
      </c>
      <c r="BD1136" s="29" t="str">
        <f>CONCATENATE(BDEGENER[[#This Row],[SERIE]],BDEGENER[[#This Row],[GA5]])</f>
        <v>9319843MANT3</v>
      </c>
      <c r="BE1136" s="29" t="str">
        <f>CONCATENATE(BDEGENER[[#This Row],[CODIGO PATRIMONIAL]],BDEGENER[[#This Row],[GA5]])</f>
        <v>17521MANT3</v>
      </c>
      <c r="BF1136" s="16">
        <f>COUNTIF(BDEGENER[SERIE],BDEGENER[[#This Row],[SERIE]])</f>
        <v>4</v>
      </c>
      <c r="BG1136" s="683" t="str">
        <f>CONCATENATE("F",COUNTIF($K$7:K1136,K1136))</f>
        <v>F5</v>
      </c>
      <c r="BH1136" s="325" t="str">
        <f>CONCATENATE(BDEGENER[[#This Row],[FECHA DE SERVICIO]],BDEGENER[[#This Row],[N° DE REGISTROS DEL DIA]])</f>
        <v>43262F5</v>
      </c>
      <c r="BI1136" s="324"/>
      <c r="BJ1136" s="325"/>
      <c r="BK1136" s="326"/>
    </row>
    <row r="1137" spans="2:63" ht="69" hidden="1" x14ac:dyDescent="0.3">
      <c r="B1137" s="33"/>
      <c r="C1137" s="33"/>
      <c r="D1137" s="33"/>
      <c r="E1137" s="33"/>
      <c r="F1137" s="33"/>
      <c r="G1137" s="33"/>
      <c r="H1137" s="33"/>
      <c r="I1137" s="33"/>
      <c r="J1137" s="33"/>
      <c r="K1137" s="38">
        <v>43250</v>
      </c>
      <c r="L1137" s="18" t="s">
        <v>248</v>
      </c>
      <c r="M1137" s="23" t="s">
        <v>285</v>
      </c>
      <c r="N1137" s="23" t="s">
        <v>286</v>
      </c>
      <c r="O1137" s="23"/>
      <c r="P1137" s="21"/>
      <c r="Q1137" s="23" t="s">
        <v>37</v>
      </c>
      <c r="R1137" s="85" t="s">
        <v>1782</v>
      </c>
      <c r="S1137" s="25" t="s">
        <v>465</v>
      </c>
      <c r="T1137" s="85" t="s">
        <v>1782</v>
      </c>
      <c r="U1137" s="25" t="s">
        <v>466</v>
      </c>
      <c r="V1137" s="25" t="s">
        <v>364</v>
      </c>
      <c r="W1137" s="25"/>
      <c r="X1137" s="25"/>
      <c r="Y1137" s="31">
        <v>9301207</v>
      </c>
      <c r="Z1137" s="16">
        <v>17524</v>
      </c>
      <c r="AA1137" s="16"/>
      <c r="AB1137" s="16" t="s">
        <v>512</v>
      </c>
      <c r="AC1137" s="23" t="s">
        <v>536</v>
      </c>
      <c r="AD1137" s="16"/>
      <c r="AE1137" s="16"/>
      <c r="AF1137" s="27">
        <v>968.54</v>
      </c>
      <c r="AG1137" s="16"/>
      <c r="AH1137" s="16"/>
      <c r="AI1137" s="16"/>
      <c r="AJ1137" s="16"/>
      <c r="AK1137" s="16"/>
      <c r="AL1137" s="16"/>
      <c r="AM1137" s="16"/>
      <c r="AN1137" s="16"/>
      <c r="AO1137" s="16"/>
      <c r="AP1137" s="22" t="s">
        <v>240</v>
      </c>
      <c r="AQ1137" s="6" t="str">
        <f>CONCATENATE("REG-",BDEGENER[[#This Row],[FECHA DE SERVICIO]],"-",BDEGENER[[#This Row],[SERIE]],"-",BDEGENER[[#This Row],[HORAS]])</f>
        <v>REG-43250-9301207-968,54</v>
      </c>
      <c r="AR1137" s="5" t="str">
        <f>CONCATENATE("MARCA: ",BDEGENER[[#This Row],[MARCA]],"
 MODELO: ",BDEGENER[[#This Row],[MODELO]])</f>
        <v xml:space="preserve">MARCA: 
 MODELO: POWER PACT </v>
      </c>
      <c r="AS1137" s="5" t="str">
        <f>CONCATENATE("MARCA: ",BDEGENER[[#This Row],[MARCA DE MOTOR]],"
SERIE: ",BDEGENER[[#This Row],[SERIE DE MOTOR]])</f>
        <v xml:space="preserve">MARCA: 
SERIE: </v>
      </c>
      <c r="AT1137" s="5" t="str">
        <f>CONCATENATE("MARCA: ",BDEGENER[[#This Row],[MARCA ALTERNADOR ]],"
SERIE: ",BDEGENER[[#This Row],[SERIE DE ALTERNADOR]])</f>
        <v xml:space="preserve">MARCA: 
SERIE: </v>
      </c>
      <c r="AU1137" s="5" t="str">
        <f>CONCATENATE("HORAS: ",BDEGENER[[#This Row],[HORAS]],"
KW-HR: ",BDEGENER[[#This Row],[KW-HORA]],"
VOLT.BATERIA: ",BDEGENER[[#This Row],[VOLTAJE DE BATERIA]],"
TEMPERATURA: ",BDEGENER[[#This Row],[TEMPERATURA DE AGUA]],"
PRES. ACEITE: ",BDEGENER[[#This Row],[PRESION DE ACEITE]])</f>
        <v xml:space="preserve">HORAS: 968,54
KW-HR: 
VOLT.BATERIA: 
TEMPERATURA: 
PRES. ACEITE: </v>
      </c>
      <c r="AV1137" s="683">
        <f>COUNTIFS(Q1137:Q3137,"MANTENIMIENTO CORRECTIVO",Y1137:Y3137,BDEGENER[[#This Row],[SERIE]])</f>
        <v>0</v>
      </c>
      <c r="AW1137" s="683">
        <f>COUNTIFS(Q1137:Q3137,"MANTENIMIENTO PREVENTIVO",Y1137:Y3137,BDEGENER[[#This Row],[SERIE]])</f>
        <v>2</v>
      </c>
      <c r="AX113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N°2</v>
      </c>
      <c r="AY1137" s="29">
        <f>COUNTIFS(BDEGENER[SERIE],BDEGENER[[#This Row],[SERIE]],BDEGENER[TIPO DE SERVICIO],"MANTENIMIENTO PREVENTIVO")</f>
        <v>3</v>
      </c>
      <c r="AZ1137" s="29" t="str">
        <f>CONCATENATE("MANTENIMIENTO PREVENTIVO N°",BDEGENER[[#This Row],[GA1]])</f>
        <v>MANTENIMIENTO PREVENTIVO N°3</v>
      </c>
      <c r="BA1137" s="325" t="str">
        <f>IF(BDEGENER[[#This Row],[SERVICIO]]=BDEGENER[[#This Row],[GA2]],BDEGENER[[#This Row],[HORAS]],"0")</f>
        <v>0</v>
      </c>
      <c r="BB1137" s="325">
        <f>SUMIF(BDEGENER[SERIE],BDEGENER[[#This Row],[SERIE]],BDEGENER[GA3])</f>
        <v>0</v>
      </c>
      <c r="BC1137" s="683" t="str">
        <f>CONCATENATE("MANT",COUNTIF($Y$7:Y1137,Y1137))</f>
        <v>MANT7</v>
      </c>
      <c r="BD1137" s="29" t="str">
        <f>CONCATENATE(BDEGENER[[#This Row],[SERIE]],BDEGENER[[#This Row],[GA5]])</f>
        <v>9301207MANT7</v>
      </c>
      <c r="BE1137" s="29" t="str">
        <f>CONCATENATE(BDEGENER[[#This Row],[CODIGO PATRIMONIAL]],BDEGENER[[#This Row],[GA5]])</f>
        <v>17524MANT7</v>
      </c>
      <c r="BF1137" s="16">
        <f>COUNTIF(BDEGENER[SERIE],BDEGENER[[#This Row],[SERIE]])</f>
        <v>8</v>
      </c>
      <c r="BG1137" s="683" t="str">
        <f>CONCATENATE("F",COUNTIF($K$7:K1137,K1137))</f>
        <v>F1</v>
      </c>
      <c r="BH1137" s="325" t="str">
        <f>CONCATENATE(BDEGENER[[#This Row],[FECHA DE SERVICIO]],BDEGENER[[#This Row],[N° DE REGISTROS DEL DIA]])</f>
        <v>43250F1</v>
      </c>
      <c r="BI1137" s="324"/>
      <c r="BJ1137" s="325"/>
      <c r="BK1137" s="326"/>
    </row>
    <row r="1138" spans="2:63" ht="69" hidden="1" x14ac:dyDescent="0.3">
      <c r="B1138" s="33"/>
      <c r="C1138" s="33"/>
      <c r="D1138" s="33"/>
      <c r="E1138" s="33"/>
      <c r="F1138" s="33"/>
      <c r="G1138" s="33"/>
      <c r="H1138" s="33"/>
      <c r="I1138" s="33"/>
      <c r="J1138" s="33"/>
      <c r="K1138" s="38">
        <v>43250</v>
      </c>
      <c r="L1138" s="18" t="s">
        <v>248</v>
      </c>
      <c r="M1138" s="23" t="s">
        <v>287</v>
      </c>
      <c r="N1138" s="23" t="s">
        <v>286</v>
      </c>
      <c r="O1138" s="23"/>
      <c r="P1138" s="21"/>
      <c r="Q1138" s="22" t="s">
        <v>109</v>
      </c>
      <c r="R1138" s="85" t="s">
        <v>1782</v>
      </c>
      <c r="S1138" s="25" t="s">
        <v>467</v>
      </c>
      <c r="T1138" s="85" t="s">
        <v>1782</v>
      </c>
      <c r="U1138" s="25"/>
      <c r="V1138" s="25" t="s">
        <v>349</v>
      </c>
      <c r="W1138" s="25"/>
      <c r="X1138" s="25"/>
      <c r="Y1138" s="31">
        <v>9319809</v>
      </c>
      <c r="Z1138" s="16">
        <v>17922</v>
      </c>
      <c r="AA1138" s="16"/>
      <c r="AB1138" s="16" t="s">
        <v>513</v>
      </c>
      <c r="AC1138" s="23"/>
      <c r="AD1138" s="16"/>
      <c r="AE1138" s="16"/>
      <c r="AF1138" s="27">
        <v>42.18</v>
      </c>
      <c r="AG1138" s="16"/>
      <c r="AH1138" s="16"/>
      <c r="AI1138" s="16"/>
      <c r="AJ1138" s="16"/>
      <c r="AK1138" s="16"/>
      <c r="AL1138" s="16"/>
      <c r="AM1138" s="16"/>
      <c r="AN1138" s="16"/>
      <c r="AO1138" s="16"/>
      <c r="AP1138" s="22" t="s">
        <v>240</v>
      </c>
      <c r="AQ1138" s="6" t="str">
        <f>CONCATENATE("REG-",BDEGENER[[#This Row],[FECHA DE SERVICIO]],"-",BDEGENER[[#This Row],[SERIE]],"-",BDEGENER[[#This Row],[HORAS]])</f>
        <v>REG-43250-9319809-42,18</v>
      </c>
      <c r="AR1138" s="5" t="str">
        <f>CONCATENATE("MARCA: ",BDEGENER[[#This Row],[MARCA]],"
 MODELO: ",BDEGENER[[#This Row],[MODELO]])</f>
        <v>MARCA: 
 MODELO: 0065610</v>
      </c>
      <c r="AS1138" s="5" t="str">
        <f>CONCATENATE("MARCA: ",BDEGENER[[#This Row],[MARCA DE MOTOR]],"
SERIE: ",BDEGENER[[#This Row],[SERIE DE MOTOR]])</f>
        <v xml:space="preserve">MARCA: 
SERIE: </v>
      </c>
      <c r="AT1138" s="5" t="str">
        <f>CONCATENATE("MARCA: ",BDEGENER[[#This Row],[MARCA ALTERNADOR ]],"
SERIE: ",BDEGENER[[#This Row],[SERIE DE ALTERNADOR]])</f>
        <v xml:space="preserve">MARCA: 
SERIE: </v>
      </c>
      <c r="AU1138" s="5" t="str">
        <f>CONCATENATE("HORAS: ",BDEGENER[[#This Row],[HORAS]],"
KW-HR: ",BDEGENER[[#This Row],[KW-HORA]],"
VOLT.BATERIA: ",BDEGENER[[#This Row],[VOLTAJE DE BATERIA]],"
TEMPERATURA: ",BDEGENER[[#This Row],[TEMPERATURA DE AGUA]],"
PRES. ACEITE: ",BDEGENER[[#This Row],[PRESION DE ACEITE]])</f>
        <v xml:space="preserve">HORAS: 42,18
KW-HR: 
VOLT.BATERIA: 
TEMPERATURA: 
PRES. ACEITE: </v>
      </c>
      <c r="AV1138" s="761">
        <f>COUNTIFS(Q1138:Q3138,"MANTENIMIENTO CORRECTIVO",Y1138:Y3138,BDEGENER[[#This Row],[SERIE]])</f>
        <v>1</v>
      </c>
      <c r="AW1138" s="761">
        <f>COUNTIFS(Q1138:Q3138,"MANTENIMIENTO PREVENTIVO",Y1138:Y3138,BDEGENER[[#This Row],[SERIE]])</f>
        <v>1</v>
      </c>
      <c r="AX113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PUESTA EN MARCHA</v>
      </c>
      <c r="AY1138" s="29">
        <f>COUNTIFS(BDEGENER[SERIE],BDEGENER[[#This Row],[SERIE]],BDEGENER[TIPO DE SERVICIO],"MANTENIMIENTO PREVENTIVO")</f>
        <v>2</v>
      </c>
      <c r="AZ1138" s="29" t="str">
        <f>CONCATENATE("MANTENIMIENTO PREVENTIVO N°",BDEGENER[[#This Row],[GA1]])</f>
        <v>MANTENIMIENTO PREVENTIVO N°2</v>
      </c>
      <c r="BA1138" s="325" t="str">
        <f>IF(BDEGENER[[#This Row],[SERVICIO]]=BDEGENER[[#This Row],[GA2]],BDEGENER[[#This Row],[HORAS]],"0")</f>
        <v>0</v>
      </c>
      <c r="BB1138" s="325">
        <f>SUMIF(BDEGENER[SERIE],BDEGENER[[#This Row],[SERIE]],BDEGENER[GA3])</f>
        <v>0</v>
      </c>
      <c r="BC1138" s="761" t="str">
        <f>CONCATENATE("MANT",COUNTIF($Y$7:Y1138,Y1138))</f>
        <v>MANT6</v>
      </c>
      <c r="BD1138" s="29" t="str">
        <f>CONCATENATE(BDEGENER[[#This Row],[SERIE]],BDEGENER[[#This Row],[GA5]])</f>
        <v>9319809MANT6</v>
      </c>
      <c r="BE1138" s="29" t="str">
        <f>CONCATENATE(BDEGENER[[#This Row],[CODIGO PATRIMONIAL]],BDEGENER[[#This Row],[GA5]])</f>
        <v>17922MANT6</v>
      </c>
      <c r="BF1138" s="16">
        <f>COUNTIF(BDEGENER[SERIE],BDEGENER[[#This Row],[SERIE]])</f>
        <v>8</v>
      </c>
      <c r="BG1138" s="761" t="str">
        <f>CONCATENATE("F",COUNTIF($K$7:K1138,K1138))</f>
        <v>F2</v>
      </c>
      <c r="BH1138" s="325" t="str">
        <f>CONCATENATE(BDEGENER[[#This Row],[FECHA DE SERVICIO]],BDEGENER[[#This Row],[N° DE REGISTROS DEL DIA]])</f>
        <v>43250F2</v>
      </c>
      <c r="BI1138" s="324"/>
      <c r="BJ1138" s="325"/>
      <c r="BK1138" s="326"/>
    </row>
    <row r="1139" spans="2:63" ht="69" hidden="1" x14ac:dyDescent="0.3">
      <c r="B1139" s="33"/>
      <c r="C1139" s="33"/>
      <c r="D1139" s="33"/>
      <c r="E1139" s="33"/>
      <c r="F1139" s="33"/>
      <c r="G1139" s="33"/>
      <c r="H1139" s="33"/>
      <c r="I1139" s="33"/>
      <c r="J1139" s="33"/>
      <c r="K1139" s="38">
        <v>43250</v>
      </c>
      <c r="L1139" s="18" t="s">
        <v>248</v>
      </c>
      <c r="M1139" s="23" t="s">
        <v>287</v>
      </c>
      <c r="N1139" s="23" t="s">
        <v>286</v>
      </c>
      <c r="O1139" s="23"/>
      <c r="P1139" s="21"/>
      <c r="Q1139" s="23" t="s">
        <v>37</v>
      </c>
      <c r="R1139" s="85" t="s">
        <v>1782</v>
      </c>
      <c r="S1139" s="25" t="s">
        <v>468</v>
      </c>
      <c r="T1139" s="85" t="s">
        <v>1782</v>
      </c>
      <c r="U1139" s="25" t="s">
        <v>469</v>
      </c>
      <c r="V1139" s="25" t="s">
        <v>349</v>
      </c>
      <c r="W1139" s="25"/>
      <c r="X1139" s="25"/>
      <c r="Y1139" s="31" t="s">
        <v>521</v>
      </c>
      <c r="Z1139" s="16">
        <v>18322</v>
      </c>
      <c r="AA1139" s="16"/>
      <c r="AB1139" s="16"/>
      <c r="AC1139" s="23"/>
      <c r="AD1139" s="16"/>
      <c r="AE1139" s="16"/>
      <c r="AF1139" s="27">
        <v>580</v>
      </c>
      <c r="AG1139" s="16"/>
      <c r="AH1139" s="16"/>
      <c r="AI1139" s="16"/>
      <c r="AJ1139" s="16"/>
      <c r="AK1139" s="16"/>
      <c r="AL1139" s="16"/>
      <c r="AM1139" s="16"/>
      <c r="AN1139" s="16"/>
      <c r="AO1139" s="16"/>
      <c r="AP1139" s="23"/>
      <c r="AQ1139" s="6" t="str">
        <f>CONCATENATE("REG-",BDEGENER[[#This Row],[FECHA DE SERVICIO]],"-",BDEGENER[[#This Row],[SERIE]],"-",BDEGENER[[#This Row],[HORAS]])</f>
        <v>REG-43250-PEE2615851-580</v>
      </c>
      <c r="AR1139" s="5" t="str">
        <f>CONCATENATE("MARCA: ",BDEGENER[[#This Row],[MARCA]],"
 MODELO: ",BDEGENER[[#This Row],[MODELO]])</f>
        <v xml:space="preserve">MARCA: 
 MODELO: </v>
      </c>
      <c r="AS1139" s="5" t="str">
        <f>CONCATENATE("MARCA: ",BDEGENER[[#This Row],[MARCA DE MOTOR]],"
SERIE: ",BDEGENER[[#This Row],[SERIE DE MOTOR]])</f>
        <v xml:space="preserve">MARCA: 
SERIE: </v>
      </c>
      <c r="AT1139" s="5" t="str">
        <f>CONCATENATE("MARCA: ",BDEGENER[[#This Row],[MARCA ALTERNADOR ]],"
SERIE: ",BDEGENER[[#This Row],[SERIE DE ALTERNADOR]])</f>
        <v xml:space="preserve">MARCA: 
SERIE: </v>
      </c>
      <c r="AU1139" s="5" t="str">
        <f>CONCATENATE("HORAS: ",BDEGENER[[#This Row],[HORAS]],"
KW-HR: ",BDEGENER[[#This Row],[KW-HORA]],"
VOLT.BATERIA: ",BDEGENER[[#This Row],[VOLTAJE DE BATERIA]],"
TEMPERATURA: ",BDEGENER[[#This Row],[TEMPERATURA DE AGUA]],"
PRES. ACEITE: ",BDEGENER[[#This Row],[PRESION DE ACEITE]])</f>
        <v xml:space="preserve">HORAS: 580
KW-HR: 
VOLT.BATERIA: 
TEMPERATURA: 
PRES. ACEITE: </v>
      </c>
      <c r="AV1139" s="683">
        <f>COUNTIFS(Q1139:Q3139,"MANTENIMIENTO CORRECTIVO",Y1139:Y3139,BDEGENER[[#This Row],[SERIE]])</f>
        <v>0</v>
      </c>
      <c r="AW1139" s="683">
        <f>COUNTIFS(Q1139:Q3139,"MANTENIMIENTO PREVENTIVO",Y1139:Y3139,BDEGENER[[#This Row],[SERIE]])</f>
        <v>1</v>
      </c>
      <c r="AX113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39" s="29">
        <f>COUNTIFS(BDEGENER[SERIE],BDEGENER[[#This Row],[SERIE]],BDEGENER[TIPO DE SERVICIO],"MANTENIMIENTO PREVENTIVO")</f>
        <v>2</v>
      </c>
      <c r="AZ1139" s="29" t="str">
        <f>CONCATENATE("MANTENIMIENTO PREVENTIVO N°",BDEGENER[[#This Row],[GA1]])</f>
        <v>MANTENIMIENTO PREVENTIVO N°2</v>
      </c>
      <c r="BA1139" s="325" t="str">
        <f>IF(BDEGENER[[#This Row],[SERVICIO]]=BDEGENER[[#This Row],[GA2]],BDEGENER[[#This Row],[HORAS]],"0")</f>
        <v>0</v>
      </c>
      <c r="BB1139" s="325">
        <f>SUMIF(BDEGENER[SERIE],BDEGENER[[#This Row],[SERIE]],BDEGENER[GA3])</f>
        <v>744</v>
      </c>
      <c r="BC1139" s="683" t="str">
        <f>CONCATENATE("MANT",COUNTIF($Y$7:Y1139,Y1139))</f>
        <v>MANT2</v>
      </c>
      <c r="BD1139" s="29" t="str">
        <f>CONCATENATE(BDEGENER[[#This Row],[SERIE]],BDEGENER[[#This Row],[GA5]])</f>
        <v>PEE2615851MANT2</v>
      </c>
      <c r="BE1139" s="29" t="str">
        <f>CONCATENATE(BDEGENER[[#This Row],[CODIGO PATRIMONIAL]],BDEGENER[[#This Row],[GA5]])</f>
        <v>18322MANT2</v>
      </c>
      <c r="BF1139" s="16">
        <f>COUNTIF(BDEGENER[SERIE],BDEGENER[[#This Row],[SERIE]])</f>
        <v>2</v>
      </c>
      <c r="BG1139" s="683" t="str">
        <f>CONCATENATE("F",COUNTIF($K$7:K1139,K1139))</f>
        <v>F3</v>
      </c>
      <c r="BH1139" s="325" t="str">
        <f>CONCATENATE(BDEGENER[[#This Row],[FECHA DE SERVICIO]],BDEGENER[[#This Row],[N° DE REGISTROS DEL DIA]])</f>
        <v>43250F3</v>
      </c>
      <c r="BI1139" s="324"/>
      <c r="BJ1139" s="325"/>
      <c r="BK1139" s="326"/>
    </row>
    <row r="1140" spans="2:63" ht="69" hidden="1" x14ac:dyDescent="0.3">
      <c r="B1140" s="33"/>
      <c r="C1140" s="33"/>
      <c r="D1140" s="33"/>
      <c r="E1140" s="33"/>
      <c r="F1140" s="33"/>
      <c r="G1140" s="33"/>
      <c r="H1140" s="33"/>
      <c r="I1140" s="33"/>
      <c r="J1140" s="33"/>
      <c r="K1140" s="38">
        <v>43234</v>
      </c>
      <c r="L1140" s="18" t="s">
        <v>248</v>
      </c>
      <c r="M1140" s="23" t="s">
        <v>296</v>
      </c>
      <c r="N1140" s="23" t="s">
        <v>303</v>
      </c>
      <c r="O1140" s="23"/>
      <c r="P1140" s="21"/>
      <c r="Q1140" s="23" t="s">
        <v>37</v>
      </c>
      <c r="R1140" s="85" t="s">
        <v>1782</v>
      </c>
      <c r="S1140" s="25" t="s">
        <v>470</v>
      </c>
      <c r="T1140" s="25" t="s">
        <v>462</v>
      </c>
      <c r="U1140" s="25" t="s">
        <v>471</v>
      </c>
      <c r="V1140" s="25" t="s">
        <v>364</v>
      </c>
      <c r="W1140" s="25"/>
      <c r="X1140" s="25"/>
      <c r="Y1140" s="31">
        <v>9301205</v>
      </c>
      <c r="Z1140" s="16">
        <v>17522</v>
      </c>
      <c r="AA1140" s="16"/>
      <c r="AB1140" s="16"/>
      <c r="AC1140" s="23"/>
      <c r="AD1140" s="16"/>
      <c r="AE1140" s="16"/>
      <c r="AF1140" s="27">
        <v>753.89</v>
      </c>
      <c r="AG1140" s="16"/>
      <c r="AH1140" s="16"/>
      <c r="AI1140" s="16"/>
      <c r="AJ1140" s="16"/>
      <c r="AK1140" s="16"/>
      <c r="AL1140" s="16"/>
      <c r="AM1140" s="16"/>
      <c r="AN1140" s="16"/>
      <c r="AO1140" s="16"/>
      <c r="AP1140" s="22" t="s">
        <v>240</v>
      </c>
      <c r="AQ1140" s="6" t="str">
        <f>CONCATENATE("REG-",BDEGENER[[#This Row],[FECHA DE SERVICIO]],"-",BDEGENER[[#This Row],[SERIE]],"-",BDEGENER[[#This Row],[HORAS]])</f>
        <v>REG-43234-9301205-753,89</v>
      </c>
      <c r="AR1140" s="5" t="str">
        <f>CONCATENATE("MARCA: ",BDEGENER[[#This Row],[MARCA]],"
 MODELO: ",BDEGENER[[#This Row],[MODELO]])</f>
        <v xml:space="preserve">MARCA: 
 MODELO: </v>
      </c>
      <c r="AS1140" s="5" t="str">
        <f>CONCATENATE("MARCA: ",BDEGENER[[#This Row],[MARCA DE MOTOR]],"
SERIE: ",BDEGENER[[#This Row],[SERIE DE MOTOR]])</f>
        <v xml:space="preserve">MARCA: 
SERIE: </v>
      </c>
      <c r="AT1140" s="5" t="str">
        <f>CONCATENATE("MARCA: ",BDEGENER[[#This Row],[MARCA ALTERNADOR ]],"
SERIE: ",BDEGENER[[#This Row],[SERIE DE ALTERNADOR]])</f>
        <v xml:space="preserve">MARCA: 
SERIE: </v>
      </c>
      <c r="AU1140" s="5" t="str">
        <f>CONCATENATE("HORAS: ",BDEGENER[[#This Row],[HORAS]],"
KW-HR: ",BDEGENER[[#This Row],[KW-HORA]],"
VOLT.BATERIA: ",BDEGENER[[#This Row],[VOLTAJE DE BATERIA]],"
TEMPERATURA: ",BDEGENER[[#This Row],[TEMPERATURA DE AGUA]],"
PRES. ACEITE: ",BDEGENER[[#This Row],[PRESION DE ACEITE]])</f>
        <v xml:space="preserve">HORAS: 753,89
KW-HR: 
VOLT.BATERIA: 
TEMPERATURA: 
PRES. ACEITE: </v>
      </c>
      <c r="AV1140" s="683">
        <f>COUNTIFS(Q1140:Q3140,"MANTENIMIENTO CORRECTIVO",Y1140:Y3140,BDEGENER[[#This Row],[SERIE]])</f>
        <v>1</v>
      </c>
      <c r="AW1140" s="683">
        <f>COUNTIFS(Q1140:Q3140,"MANTENIMIENTO PREVENTIVO",Y1140:Y3140,BDEGENER[[#This Row],[SERIE]])</f>
        <v>1</v>
      </c>
      <c r="AX114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40" s="29">
        <f>COUNTIFS(BDEGENER[SERIE],BDEGENER[[#This Row],[SERIE]],BDEGENER[TIPO DE SERVICIO],"MANTENIMIENTO PREVENTIVO")</f>
        <v>2</v>
      </c>
      <c r="AZ1140" s="29" t="str">
        <f>CONCATENATE("MANTENIMIENTO PREVENTIVO N°",BDEGENER[[#This Row],[GA1]])</f>
        <v>MANTENIMIENTO PREVENTIVO N°2</v>
      </c>
      <c r="BA1140" s="325" t="str">
        <f>IF(BDEGENER[[#This Row],[SERVICIO]]=BDEGENER[[#This Row],[GA2]],BDEGENER[[#This Row],[HORAS]],"0")</f>
        <v>0</v>
      </c>
      <c r="BB1140" s="325">
        <f>SUMIF(BDEGENER[SERIE],BDEGENER[[#This Row],[SERIE]],BDEGENER[GA3])</f>
        <v>0</v>
      </c>
      <c r="BC1140" s="683" t="str">
        <f>CONCATENATE("MANT",COUNTIF($Y$7:Y1140,Y1140))</f>
        <v>MANT5</v>
      </c>
      <c r="BD1140" s="29" t="str">
        <f>CONCATENATE(BDEGENER[[#This Row],[SERIE]],BDEGENER[[#This Row],[GA5]])</f>
        <v>9301205MANT5</v>
      </c>
      <c r="BE1140" s="29" t="str">
        <f>CONCATENATE(BDEGENER[[#This Row],[CODIGO PATRIMONIAL]],BDEGENER[[#This Row],[GA5]])</f>
        <v>17522MANT5</v>
      </c>
      <c r="BF1140" s="16">
        <f>COUNTIF(BDEGENER[SERIE],BDEGENER[[#This Row],[SERIE]])</f>
        <v>6</v>
      </c>
      <c r="BG1140" s="683" t="str">
        <f>CONCATENATE("F",COUNTIF($K$7:K1140,K1140))</f>
        <v>F1</v>
      </c>
      <c r="BH1140" s="325" t="str">
        <f>CONCATENATE(BDEGENER[[#This Row],[FECHA DE SERVICIO]],BDEGENER[[#This Row],[N° DE REGISTROS DEL DIA]])</f>
        <v>43234F1</v>
      </c>
      <c r="BI1140" s="324"/>
      <c r="BJ1140" s="325"/>
      <c r="BK1140" s="326"/>
    </row>
    <row r="1141" spans="2:63" ht="82.8" hidden="1" x14ac:dyDescent="0.3">
      <c r="B1141" s="33"/>
      <c r="C1141" s="33"/>
      <c r="D1141" s="33"/>
      <c r="E1141" s="33"/>
      <c r="F1141" s="33"/>
      <c r="G1141" s="33"/>
      <c r="H1141" s="33"/>
      <c r="I1141" s="33"/>
      <c r="J1141" s="33"/>
      <c r="K1141" s="38">
        <v>43234</v>
      </c>
      <c r="L1141" s="18" t="s">
        <v>248</v>
      </c>
      <c r="M1141" s="23" t="s">
        <v>301</v>
      </c>
      <c r="N1141" s="23" t="s">
        <v>290</v>
      </c>
      <c r="O1141" s="23"/>
      <c r="P1141" s="21"/>
      <c r="Q1141" s="23" t="s">
        <v>37</v>
      </c>
      <c r="R1141" s="85" t="s">
        <v>1782</v>
      </c>
      <c r="S1141" s="23" t="s">
        <v>472</v>
      </c>
      <c r="T1141" s="23" t="s">
        <v>473</v>
      </c>
      <c r="U1141" s="23" t="s">
        <v>474</v>
      </c>
      <c r="V1141" s="23" t="s">
        <v>364</v>
      </c>
      <c r="W1141" s="85" t="s">
        <v>913</v>
      </c>
      <c r="X1141" s="85" t="s">
        <v>917</v>
      </c>
      <c r="Y1141" s="31" t="s">
        <v>510</v>
      </c>
      <c r="Z1141" s="16">
        <v>18324</v>
      </c>
      <c r="AA1141" s="85" t="s">
        <v>33</v>
      </c>
      <c r="AB1141" s="85" t="s">
        <v>500</v>
      </c>
      <c r="AC1141" s="23" t="s">
        <v>530</v>
      </c>
      <c r="AD1141" s="16"/>
      <c r="AE1141" s="16"/>
      <c r="AF1141" s="27">
        <v>615.79999999999995</v>
      </c>
      <c r="AG1141" s="85" t="s">
        <v>243</v>
      </c>
      <c r="AH1141" s="85" t="s">
        <v>1236</v>
      </c>
      <c r="AI1141" s="85" t="s">
        <v>844</v>
      </c>
      <c r="AJ1141" s="16"/>
      <c r="AK1141" s="85" t="s">
        <v>1235</v>
      </c>
      <c r="AL1141" s="16"/>
      <c r="AM1141" s="16"/>
      <c r="AN1141" s="16"/>
      <c r="AO1141" s="16"/>
      <c r="AP1141" s="22" t="s">
        <v>240</v>
      </c>
      <c r="AQ1141" s="6" t="str">
        <f>CONCATENATE("REG-",BDEGENER[[#This Row],[FECHA DE SERVICIO]],"-",BDEGENER[[#This Row],[SERIE]],"-",BDEGENER[[#This Row],[HORAS]])</f>
        <v>REG-43234-PEE2615852-615,8</v>
      </c>
      <c r="AR1141" s="5" t="str">
        <f>CONCATENATE("MARCA: ",BDEGENER[[#This Row],[MARCA]],"
 MODELO: ",BDEGENER[[#This Row],[MODELO]])</f>
        <v>MARCA: GENERAC
 MODELO: PMY20B</v>
      </c>
      <c r="AS1141" s="5" t="str">
        <f>CONCATENATE("MARCA: ",BDEGENER[[#This Row],[MARCA DE MOTOR]],"
SERIE: ",BDEGENER[[#This Row],[SERIE DE MOTOR]])</f>
        <v xml:space="preserve">MARCA: PERKINS
SERIE: </v>
      </c>
      <c r="AT1141" s="5" t="str">
        <f>CONCATENATE("MARCA: ",BDEGENER[[#This Row],[MARCA ALTERNADOR ]],"
SERIE: ",BDEGENER[[#This Row],[SERIE DE ALTERNADOR]])</f>
        <v xml:space="preserve">MARCA: MECC ALTE
SERIE: </v>
      </c>
      <c r="AU1141" s="5" t="str">
        <f>CONCATENATE("HORAS: ",BDEGENER[[#This Row],[HORAS]],"
KW-HR: ",BDEGENER[[#This Row],[KW-HORA]],"
VOLT.BATERIA: ",BDEGENER[[#This Row],[VOLTAJE DE BATERIA]],"
TEMPERATURA: ",BDEGENER[[#This Row],[TEMPERATURA DE AGUA]],"
PRES. ACEITE: ",BDEGENER[[#This Row],[PRESION DE ACEITE]])</f>
        <v xml:space="preserve">HORAS: 615,8
KW-HR: 
VOLT.BATERIA: 
TEMPERATURA: 
PRES. ACEITE: </v>
      </c>
      <c r="AV1141" s="761">
        <f>COUNTIFS(Q1141:Q3141,"MANTENIMIENTO CORRECTIVO",Y1141:Y3141,BDEGENER[[#This Row],[SERIE]])</f>
        <v>0</v>
      </c>
      <c r="AW1141" s="761">
        <f>COUNTIFS(Q1141:Q3141,"MANTENIMIENTO PREVENTIVO",Y1141:Y3141,BDEGENER[[#This Row],[SERIE]])</f>
        <v>1</v>
      </c>
      <c r="AX114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41" s="29">
        <f>COUNTIFS(BDEGENER[SERIE],BDEGENER[[#This Row],[SERIE]],BDEGENER[TIPO DE SERVICIO],"MANTENIMIENTO PREVENTIVO")</f>
        <v>4</v>
      </c>
      <c r="AZ1141" s="29" t="str">
        <f>CONCATENATE("MANTENIMIENTO PREVENTIVO N°",BDEGENER[[#This Row],[GA1]])</f>
        <v>MANTENIMIENTO PREVENTIVO N°4</v>
      </c>
      <c r="BA1141" s="325" t="str">
        <f>IF(BDEGENER[[#This Row],[SERVICIO]]=BDEGENER[[#This Row],[GA2]],BDEGENER[[#This Row],[HORAS]],"0")</f>
        <v>0</v>
      </c>
      <c r="BB1141" s="325">
        <f>SUMIF(BDEGENER[SERIE],BDEGENER[[#This Row],[SERIE]],BDEGENER[GA3])</f>
        <v>2165.5</v>
      </c>
      <c r="BC1141" s="761" t="str">
        <f>CONCATENATE("MANT",COUNTIF($Y$7:Y1141,Y1141))</f>
        <v>MANT4</v>
      </c>
      <c r="BD1141" s="29" t="str">
        <f>CONCATENATE(BDEGENER[[#This Row],[SERIE]],BDEGENER[[#This Row],[GA5]])</f>
        <v>PEE2615852MANT4</v>
      </c>
      <c r="BE1141" s="29" t="str">
        <f>CONCATENATE(BDEGENER[[#This Row],[CODIGO PATRIMONIAL]],BDEGENER[[#This Row],[GA5]])</f>
        <v>18324MANT4</v>
      </c>
      <c r="BF1141" s="16">
        <f>COUNTIF(BDEGENER[SERIE],BDEGENER[[#This Row],[SERIE]])</f>
        <v>4</v>
      </c>
      <c r="BG1141" s="761" t="str">
        <f>CONCATENATE("F",COUNTIF($K$7:K1141,K1141))</f>
        <v>F2</v>
      </c>
      <c r="BH1141" s="325" t="str">
        <f>CONCATENATE(BDEGENER[[#This Row],[FECHA DE SERVICIO]],BDEGENER[[#This Row],[N° DE REGISTROS DEL DIA]])</f>
        <v>43234F2</v>
      </c>
      <c r="BI1141" s="324"/>
      <c r="BJ1141" s="325"/>
      <c r="BK1141" s="326"/>
    </row>
    <row r="1142" spans="2:63" ht="69" hidden="1" x14ac:dyDescent="0.3">
      <c r="B1142" s="33"/>
      <c r="C1142" s="33"/>
      <c r="D1142" s="33"/>
      <c r="E1142" s="33"/>
      <c r="F1142" s="33"/>
      <c r="G1142" s="33"/>
      <c r="H1142" s="33"/>
      <c r="I1142" s="33"/>
      <c r="J1142" s="33"/>
      <c r="K1142" s="38">
        <v>43234</v>
      </c>
      <c r="L1142" s="18" t="s">
        <v>248</v>
      </c>
      <c r="M1142" s="23" t="s">
        <v>299</v>
      </c>
      <c r="N1142" s="23" t="s">
        <v>300</v>
      </c>
      <c r="O1142" s="23"/>
      <c r="P1142" s="21"/>
      <c r="Q1142" s="23" t="s">
        <v>37</v>
      </c>
      <c r="R1142" s="85" t="s">
        <v>1782</v>
      </c>
      <c r="S1142" s="25" t="s">
        <v>470</v>
      </c>
      <c r="T1142" s="25" t="s">
        <v>462</v>
      </c>
      <c r="U1142" s="25" t="s">
        <v>471</v>
      </c>
      <c r="V1142" s="25" t="s">
        <v>364</v>
      </c>
      <c r="W1142" s="25"/>
      <c r="X1142" s="25"/>
      <c r="Y1142" s="31">
        <v>9319843</v>
      </c>
      <c r="Z1142" s="16">
        <v>17521</v>
      </c>
      <c r="AA1142" s="16"/>
      <c r="AB1142" s="16"/>
      <c r="AC1142" s="23"/>
      <c r="AD1142" s="16"/>
      <c r="AE1142" s="16"/>
      <c r="AF1142" s="27">
        <v>1228.5</v>
      </c>
      <c r="AG1142" s="16"/>
      <c r="AH1142" s="16"/>
      <c r="AI1142" s="16"/>
      <c r="AJ1142" s="16"/>
      <c r="AK1142" s="16"/>
      <c r="AL1142" s="16"/>
      <c r="AM1142" s="16"/>
      <c r="AN1142" s="16"/>
      <c r="AO1142" s="16"/>
      <c r="AP1142" s="22" t="s">
        <v>240</v>
      </c>
      <c r="AQ1142" s="6" t="str">
        <f>CONCATENATE("REG-",BDEGENER[[#This Row],[FECHA DE SERVICIO]],"-",BDEGENER[[#This Row],[SERIE]],"-",BDEGENER[[#This Row],[HORAS]])</f>
        <v>REG-43234-9319843-1228,5</v>
      </c>
      <c r="AR1142" s="5" t="str">
        <f>CONCATENATE("MARCA: ",BDEGENER[[#This Row],[MARCA]],"
 MODELO: ",BDEGENER[[#This Row],[MODELO]])</f>
        <v xml:space="preserve">MARCA: 
 MODELO: </v>
      </c>
      <c r="AS1142" s="5" t="str">
        <f>CONCATENATE("MARCA: ",BDEGENER[[#This Row],[MARCA DE MOTOR]],"
SERIE: ",BDEGENER[[#This Row],[SERIE DE MOTOR]])</f>
        <v xml:space="preserve">MARCA: 
SERIE: </v>
      </c>
      <c r="AT1142" s="5" t="str">
        <f>CONCATENATE("MARCA: ",BDEGENER[[#This Row],[MARCA ALTERNADOR ]],"
SERIE: ",BDEGENER[[#This Row],[SERIE DE ALTERNADOR]])</f>
        <v xml:space="preserve">MARCA: 
SERIE: </v>
      </c>
      <c r="AU1142" s="5" t="str">
        <f>CONCATENATE("HORAS: ",BDEGENER[[#This Row],[HORAS]],"
KW-HR: ",BDEGENER[[#This Row],[KW-HORA]],"
VOLT.BATERIA: ",BDEGENER[[#This Row],[VOLTAJE DE BATERIA]],"
TEMPERATURA: ",BDEGENER[[#This Row],[TEMPERATURA DE AGUA]],"
PRES. ACEITE: ",BDEGENER[[#This Row],[PRESION DE ACEITE]])</f>
        <v xml:space="preserve">HORAS: 1228,5
KW-HR: 
VOLT.BATERIA: 
TEMPERATURA: 
PRES. ACEITE: </v>
      </c>
      <c r="AV1142" s="683">
        <f>COUNTIFS(Q1142:Q3142,"MANTENIMIENTO CORRECTIVO",Y1142:Y3142,BDEGENER[[#This Row],[SERIE]])</f>
        <v>0</v>
      </c>
      <c r="AW1142" s="683">
        <f>COUNTIFS(Q1142:Q3142,"MANTENIMIENTO PREVENTIVO",Y1142:Y3142,BDEGENER[[#This Row],[SERIE]])</f>
        <v>1</v>
      </c>
      <c r="AX114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42" s="29">
        <f>COUNTIFS(BDEGENER[SERIE],BDEGENER[[#This Row],[SERIE]],BDEGENER[TIPO DE SERVICIO],"MANTENIMIENTO PREVENTIVO")</f>
        <v>3</v>
      </c>
      <c r="AZ1142" s="29" t="str">
        <f>CONCATENATE("MANTENIMIENTO PREVENTIVO N°",BDEGENER[[#This Row],[GA1]])</f>
        <v>MANTENIMIENTO PREVENTIVO N°3</v>
      </c>
      <c r="BA1142" s="325" t="str">
        <f>IF(BDEGENER[[#This Row],[SERVICIO]]=BDEGENER[[#This Row],[GA2]],BDEGENER[[#This Row],[HORAS]],"0")</f>
        <v>0</v>
      </c>
      <c r="BB1142" s="325">
        <f>SUMIF(BDEGENER[SERIE],BDEGENER[[#This Row],[SERIE]],BDEGENER[GA3])</f>
        <v>1554.11</v>
      </c>
      <c r="BC1142" s="683" t="str">
        <f>CONCATENATE("MANT",COUNTIF($Y$7:Y1142,Y1142))</f>
        <v>MANT4</v>
      </c>
      <c r="BD1142" s="29" t="str">
        <f>CONCATENATE(BDEGENER[[#This Row],[SERIE]],BDEGENER[[#This Row],[GA5]])</f>
        <v>9319843MANT4</v>
      </c>
      <c r="BE1142" s="29" t="str">
        <f>CONCATENATE(BDEGENER[[#This Row],[CODIGO PATRIMONIAL]],BDEGENER[[#This Row],[GA5]])</f>
        <v>17521MANT4</v>
      </c>
      <c r="BF1142" s="16">
        <f>COUNTIF(BDEGENER[SERIE],BDEGENER[[#This Row],[SERIE]])</f>
        <v>4</v>
      </c>
      <c r="BG1142" s="683" t="str">
        <f>CONCATENATE("F",COUNTIF($K$7:K1142,K1142))</f>
        <v>F3</v>
      </c>
      <c r="BH1142" s="325" t="str">
        <f>CONCATENATE(BDEGENER[[#This Row],[FECHA DE SERVICIO]],BDEGENER[[#This Row],[N° DE REGISTROS DEL DIA]])</f>
        <v>43234F3</v>
      </c>
      <c r="BI1142" s="324"/>
      <c r="BJ1142" s="325"/>
      <c r="BK1142" s="326"/>
    </row>
    <row r="1143" spans="2:63" ht="69" hidden="1" x14ac:dyDescent="0.3">
      <c r="B1143" s="33"/>
      <c r="C1143" s="33"/>
      <c r="D1143" s="33"/>
      <c r="E1143" s="33"/>
      <c r="F1143" s="33"/>
      <c r="G1143" s="33"/>
      <c r="H1143" s="33"/>
      <c r="I1143" s="33"/>
      <c r="J1143" s="33"/>
      <c r="K1143" s="38">
        <v>43234</v>
      </c>
      <c r="L1143" s="18" t="s">
        <v>248</v>
      </c>
      <c r="M1143" s="23" t="s">
        <v>291</v>
      </c>
      <c r="N1143" s="85" t="s">
        <v>1409</v>
      </c>
      <c r="O1143" s="23"/>
      <c r="P1143" s="21"/>
      <c r="Q1143" s="23" t="s">
        <v>37</v>
      </c>
      <c r="R1143" s="85" t="s">
        <v>1782</v>
      </c>
      <c r="S1143" s="25" t="s">
        <v>475</v>
      </c>
      <c r="T1143" s="25" t="s">
        <v>462</v>
      </c>
      <c r="U1143" s="25" t="s">
        <v>476</v>
      </c>
      <c r="V1143" s="25" t="s">
        <v>364</v>
      </c>
      <c r="W1143" s="25"/>
      <c r="X1143" s="25"/>
      <c r="Y1143" s="31">
        <v>9319804</v>
      </c>
      <c r="Z1143" s="16">
        <v>17523</v>
      </c>
      <c r="AA1143" s="85" t="s">
        <v>33</v>
      </c>
      <c r="AB1143" s="85">
        <v>65610</v>
      </c>
      <c r="AC1143" s="23" t="s">
        <v>535</v>
      </c>
      <c r="AD1143" s="16"/>
      <c r="AE1143" s="16"/>
      <c r="AF1143" s="27">
        <v>725.8</v>
      </c>
      <c r="AG1143" s="85" t="s">
        <v>1412</v>
      </c>
      <c r="AH1143" s="85" t="s">
        <v>1413</v>
      </c>
      <c r="AI1143" s="85" t="s">
        <v>33</v>
      </c>
      <c r="AJ1143" s="16"/>
      <c r="AK1143" s="85" t="s">
        <v>33</v>
      </c>
      <c r="AL1143" s="16"/>
      <c r="AM1143" s="16"/>
      <c r="AN1143" s="16"/>
      <c r="AO1143" s="16"/>
      <c r="AP1143" s="22" t="s">
        <v>240</v>
      </c>
      <c r="AQ1143" s="6" t="str">
        <f>CONCATENATE("REG-",BDEGENER[[#This Row],[FECHA DE SERVICIO]],"-",BDEGENER[[#This Row],[SERIE]],"-",BDEGENER[[#This Row],[HORAS]])</f>
        <v>REG-43234-9319804-725,8</v>
      </c>
      <c r="AR1143" s="5" t="str">
        <f>CONCATENATE("MARCA: ",BDEGENER[[#This Row],[MARCA]],"
 MODELO: ",BDEGENER[[#This Row],[MODELO]])</f>
        <v>MARCA: GENERAC
 MODELO: 65610</v>
      </c>
      <c r="AS1143" s="5" t="str">
        <f>CONCATENATE("MARCA: ",BDEGENER[[#This Row],[MARCA DE MOTOR]],"
SERIE: ",BDEGENER[[#This Row],[SERIE DE MOTOR]])</f>
        <v xml:space="preserve">MARCA: GENERAC
SERIE: </v>
      </c>
      <c r="AT1143" s="5" t="str">
        <f>CONCATENATE("MARCA: ",BDEGENER[[#This Row],[MARCA ALTERNADOR ]],"
SERIE: ",BDEGENER[[#This Row],[SERIE DE ALTERNADOR]])</f>
        <v xml:space="preserve">MARCA: GENERAC
SERIE: </v>
      </c>
      <c r="AU1143" s="5" t="str">
        <f>CONCATENATE("HORAS: ",BDEGENER[[#This Row],[HORAS]],"
KW-HR: ",BDEGENER[[#This Row],[KW-HORA]],"
VOLT.BATERIA: ",BDEGENER[[#This Row],[VOLTAJE DE BATERIA]],"
TEMPERATURA: ",BDEGENER[[#This Row],[TEMPERATURA DE AGUA]],"
PRES. ACEITE: ",BDEGENER[[#This Row],[PRESION DE ACEITE]])</f>
        <v xml:space="preserve">HORAS: 725,8
KW-HR: 
VOLT.BATERIA: 
TEMPERATURA: 
PRES. ACEITE: </v>
      </c>
      <c r="AV1143" s="683">
        <f>COUNTIFS(Q1143:Q3143,"MANTENIMIENTO CORRECTIVO",Y1143:Y3143,BDEGENER[[#This Row],[SERIE]])</f>
        <v>1</v>
      </c>
      <c r="AW1143" s="683">
        <f>COUNTIFS(Q1143:Q3143,"MANTENIMIENTO PREVENTIVO",Y1143:Y3143,BDEGENER[[#This Row],[SERIE]])</f>
        <v>1</v>
      </c>
      <c r="AX114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43" s="29">
        <f>COUNTIFS(BDEGENER[SERIE],BDEGENER[[#This Row],[SERIE]],BDEGENER[TIPO DE SERVICIO],"MANTENIMIENTO PREVENTIVO")</f>
        <v>2</v>
      </c>
      <c r="AZ1143" s="29" t="str">
        <f>CONCATENATE("MANTENIMIENTO PREVENTIVO N°",BDEGENER[[#This Row],[GA1]])</f>
        <v>MANTENIMIENTO PREVENTIVO N°2</v>
      </c>
      <c r="BA1143" s="325" t="str">
        <f>IF(BDEGENER[[#This Row],[SERVICIO]]=BDEGENER[[#This Row],[GA2]],BDEGENER[[#This Row],[HORAS]],"0")</f>
        <v>0</v>
      </c>
      <c r="BB1143" s="325">
        <f>SUMIF(BDEGENER[SERIE],BDEGENER[[#This Row],[SERIE]],BDEGENER[GA3])</f>
        <v>872.68</v>
      </c>
      <c r="BC1143" s="683" t="str">
        <f>CONCATENATE("MANT",COUNTIF($Y$7:Y1143,Y1143))</f>
        <v>MANT9</v>
      </c>
      <c r="BD1143" s="29" t="str">
        <f>CONCATENATE(BDEGENER[[#This Row],[SERIE]],BDEGENER[[#This Row],[GA5]])</f>
        <v>9319804MANT9</v>
      </c>
      <c r="BE1143" s="29" t="str">
        <f>CONCATENATE(BDEGENER[[#This Row],[CODIGO PATRIMONIAL]],BDEGENER[[#This Row],[GA5]])</f>
        <v>17523MANT9</v>
      </c>
      <c r="BF1143" s="16">
        <f>COUNTIF(BDEGENER[SERIE],BDEGENER[[#This Row],[SERIE]])</f>
        <v>10</v>
      </c>
      <c r="BG1143" s="683" t="str">
        <f>CONCATENATE("F",COUNTIF($K$7:K1143,K1143))</f>
        <v>F4</v>
      </c>
      <c r="BH1143" s="325" t="str">
        <f>CONCATENATE(BDEGENER[[#This Row],[FECHA DE SERVICIO]],BDEGENER[[#This Row],[N° DE REGISTROS DEL DIA]])</f>
        <v>43234F4</v>
      </c>
      <c r="BI1143" s="324"/>
      <c r="BJ1143" s="325"/>
      <c r="BK1143" s="326"/>
    </row>
    <row r="1144" spans="2:63" ht="69" hidden="1" x14ac:dyDescent="0.3">
      <c r="B1144" s="33"/>
      <c r="C1144" s="33"/>
      <c r="D1144" s="33"/>
      <c r="E1144" s="33"/>
      <c r="F1144" s="33"/>
      <c r="G1144" s="33"/>
      <c r="H1144" s="33"/>
      <c r="I1144" s="33"/>
      <c r="J1144" s="33"/>
      <c r="K1144" s="38">
        <v>43234</v>
      </c>
      <c r="L1144" s="18" t="s">
        <v>248</v>
      </c>
      <c r="M1144" s="23" t="s">
        <v>253</v>
      </c>
      <c r="N1144" s="23" t="s">
        <v>254</v>
      </c>
      <c r="O1144" s="23"/>
      <c r="P1144" s="21"/>
      <c r="Q1144" s="23" t="s">
        <v>37</v>
      </c>
      <c r="R1144" s="85" t="s">
        <v>1782</v>
      </c>
      <c r="S1144" s="25" t="s">
        <v>470</v>
      </c>
      <c r="T1144" s="25" t="s">
        <v>462</v>
      </c>
      <c r="U1144" s="25" t="s">
        <v>471</v>
      </c>
      <c r="V1144" s="25" t="s">
        <v>364</v>
      </c>
      <c r="W1144" s="25"/>
      <c r="X1144" s="25"/>
      <c r="Y1144" s="31">
        <v>9301206</v>
      </c>
      <c r="Z1144" s="16">
        <v>17525</v>
      </c>
      <c r="AA1144" s="16"/>
      <c r="AB1144" s="16" t="s">
        <v>509</v>
      </c>
      <c r="AC1144" s="23" t="s">
        <v>534</v>
      </c>
      <c r="AD1144" s="16"/>
      <c r="AE1144" s="16"/>
      <c r="AF1144" s="27">
        <v>1524.72</v>
      </c>
      <c r="AG1144" s="16"/>
      <c r="AH1144" s="16"/>
      <c r="AI1144" s="16"/>
      <c r="AJ1144" s="16"/>
      <c r="AK1144" s="16"/>
      <c r="AL1144" s="16"/>
      <c r="AM1144" s="16"/>
      <c r="AN1144" s="16"/>
      <c r="AO1144" s="16"/>
      <c r="AP1144" s="22" t="s">
        <v>240</v>
      </c>
      <c r="AQ1144" s="6" t="str">
        <f>CONCATENATE("REG-",BDEGENER[[#This Row],[FECHA DE SERVICIO]],"-",BDEGENER[[#This Row],[SERIE]],"-",BDEGENER[[#This Row],[HORAS]])</f>
        <v>REG-43234-9301206-1524,72</v>
      </c>
      <c r="AR1144" s="5" t="str">
        <f>CONCATENATE("MARCA: ",BDEGENER[[#This Row],[MARCA]],"
 MODELO: ",BDEGENER[[#This Row],[MODELO]])</f>
        <v>MARCA: 
 MODELO: G006841</v>
      </c>
      <c r="AS1144" s="5" t="str">
        <f>CONCATENATE("MARCA: ",BDEGENER[[#This Row],[MARCA DE MOTOR]],"
SERIE: ",BDEGENER[[#This Row],[SERIE DE MOTOR]])</f>
        <v xml:space="preserve">MARCA: 
SERIE: </v>
      </c>
      <c r="AT1144" s="5" t="str">
        <f>CONCATENATE("MARCA: ",BDEGENER[[#This Row],[MARCA ALTERNADOR ]],"
SERIE: ",BDEGENER[[#This Row],[SERIE DE ALTERNADOR]])</f>
        <v xml:space="preserve">MARCA: 
SERIE: </v>
      </c>
      <c r="AU1144" s="5" t="str">
        <f>CONCATENATE("HORAS: ",BDEGENER[[#This Row],[HORAS]],"
KW-HR: ",BDEGENER[[#This Row],[KW-HORA]],"
VOLT.BATERIA: ",BDEGENER[[#This Row],[VOLTAJE DE BATERIA]],"
TEMPERATURA: ",BDEGENER[[#This Row],[TEMPERATURA DE AGUA]],"
PRES. ACEITE: ",BDEGENER[[#This Row],[PRESION DE ACEITE]])</f>
        <v xml:space="preserve">HORAS: 1524,72
KW-HR: 
VOLT.BATERIA: 
TEMPERATURA: 
PRES. ACEITE: </v>
      </c>
      <c r="AV1144" s="761">
        <f>COUNTIFS(Q1144:Q3144,"MANTENIMIENTO CORRECTIVO",Y1144:Y3144,BDEGENER[[#This Row],[SERIE]])</f>
        <v>0</v>
      </c>
      <c r="AW1144" s="761">
        <f>COUNTIFS(Q1144:Q3144,"MANTENIMIENTO PREVENTIVO",Y1144:Y3144,BDEGENER[[#This Row],[SERIE]])</f>
        <v>1</v>
      </c>
      <c r="AX1144"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44" s="29">
        <f>COUNTIFS(BDEGENER[SERIE],BDEGENER[[#This Row],[SERIE]],BDEGENER[TIPO DE SERVICIO],"MANTENIMIENTO PREVENTIVO")</f>
        <v>4</v>
      </c>
      <c r="AZ1144" s="29" t="str">
        <f>CONCATENATE("MANTENIMIENTO PREVENTIVO N°",BDEGENER[[#This Row],[GA1]])</f>
        <v>MANTENIMIENTO PREVENTIVO N°4</v>
      </c>
      <c r="BA1144" s="325" t="str">
        <f>IF(BDEGENER[[#This Row],[SERVICIO]]=BDEGENER[[#This Row],[GA2]],BDEGENER[[#This Row],[HORAS]],"0")</f>
        <v>0</v>
      </c>
      <c r="BB1144" s="325">
        <f>SUMIF(BDEGENER[SERIE],BDEGENER[[#This Row],[SERIE]],BDEGENER[GA3])</f>
        <v>2784</v>
      </c>
      <c r="BC1144" s="761" t="str">
        <f>CONCATENATE("MANT",COUNTIF($Y$7:Y1144,Y1144))</f>
        <v>MANT6</v>
      </c>
      <c r="BD1144" s="29" t="str">
        <f>CONCATENATE(BDEGENER[[#This Row],[SERIE]],BDEGENER[[#This Row],[GA5]])</f>
        <v>9301206MANT6</v>
      </c>
      <c r="BE1144" s="29" t="str">
        <f>CONCATENATE(BDEGENER[[#This Row],[CODIGO PATRIMONIAL]],BDEGENER[[#This Row],[GA5]])</f>
        <v>17525MANT6</v>
      </c>
      <c r="BF1144" s="16">
        <f>COUNTIF(BDEGENER[SERIE],BDEGENER[[#This Row],[SERIE]])</f>
        <v>6</v>
      </c>
      <c r="BG1144" s="761" t="str">
        <f>CONCATENATE("F",COUNTIF($K$7:K1144,K1144))</f>
        <v>F5</v>
      </c>
      <c r="BH1144" s="325" t="str">
        <f>CONCATENATE(BDEGENER[[#This Row],[FECHA DE SERVICIO]],BDEGENER[[#This Row],[N° DE REGISTROS DEL DIA]])</f>
        <v>43234F5</v>
      </c>
      <c r="BI1144" s="324"/>
      <c r="BJ1144" s="325"/>
      <c r="BK1144" s="326"/>
    </row>
    <row r="1145" spans="2:63" ht="69" hidden="1" x14ac:dyDescent="0.3">
      <c r="B1145" s="33"/>
      <c r="C1145" s="33"/>
      <c r="D1145" s="33"/>
      <c r="E1145" s="33"/>
      <c r="F1145" s="33"/>
      <c r="G1145" s="33"/>
      <c r="H1145" s="33"/>
      <c r="I1145" s="33"/>
      <c r="J1145" s="33"/>
      <c r="K1145" s="38">
        <v>43223</v>
      </c>
      <c r="L1145" s="18" t="s">
        <v>248</v>
      </c>
      <c r="M1145" s="23" t="s">
        <v>296</v>
      </c>
      <c r="N1145" s="23" t="s">
        <v>303</v>
      </c>
      <c r="O1145" s="23"/>
      <c r="P1145" s="21"/>
      <c r="Q1145" s="23" t="s">
        <v>107</v>
      </c>
      <c r="R1145" s="85" t="s">
        <v>1782</v>
      </c>
      <c r="S1145" s="25" t="s">
        <v>477</v>
      </c>
      <c r="T1145" s="85" t="s">
        <v>1782</v>
      </c>
      <c r="U1145" s="25" t="s">
        <v>478</v>
      </c>
      <c r="V1145" s="25" t="s">
        <v>479</v>
      </c>
      <c r="W1145" s="25"/>
      <c r="X1145" s="25"/>
      <c r="Y1145" s="31">
        <v>9301205</v>
      </c>
      <c r="Z1145" s="16">
        <v>17522</v>
      </c>
      <c r="AA1145" s="16"/>
      <c r="AB1145" s="16"/>
      <c r="AC1145" s="23"/>
      <c r="AD1145" s="16"/>
      <c r="AE1145" s="16"/>
      <c r="AF1145" s="27">
        <v>711.05</v>
      </c>
      <c r="AG1145" s="16"/>
      <c r="AH1145" s="16"/>
      <c r="AI1145" s="16"/>
      <c r="AJ1145" s="16"/>
      <c r="AK1145" s="16"/>
      <c r="AL1145" s="16"/>
      <c r="AM1145" s="16"/>
      <c r="AN1145" s="16"/>
      <c r="AO1145" s="16"/>
      <c r="AP1145" s="22" t="s">
        <v>240</v>
      </c>
      <c r="AQ1145" s="6" t="str">
        <f>CONCATENATE("REG-",BDEGENER[[#This Row],[FECHA DE SERVICIO]],"-",BDEGENER[[#This Row],[SERIE]],"-",BDEGENER[[#This Row],[HORAS]])</f>
        <v>REG-43223-9301205-711,05</v>
      </c>
      <c r="AR1145" s="5" t="str">
        <f>CONCATENATE("MARCA: ",BDEGENER[[#This Row],[MARCA]],"
 MODELO: ",BDEGENER[[#This Row],[MODELO]])</f>
        <v xml:space="preserve">MARCA: 
 MODELO: </v>
      </c>
      <c r="AS1145" s="5" t="str">
        <f>CONCATENATE("MARCA: ",BDEGENER[[#This Row],[MARCA DE MOTOR]],"
SERIE: ",BDEGENER[[#This Row],[SERIE DE MOTOR]])</f>
        <v xml:space="preserve">MARCA: 
SERIE: </v>
      </c>
      <c r="AT1145" s="5" t="str">
        <f>CONCATENATE("MARCA: ",BDEGENER[[#This Row],[MARCA ALTERNADOR ]],"
SERIE: ",BDEGENER[[#This Row],[SERIE DE ALTERNADOR]])</f>
        <v xml:space="preserve">MARCA: 
SERIE: </v>
      </c>
      <c r="AU1145" s="5" t="str">
        <f>CONCATENATE("HORAS: ",BDEGENER[[#This Row],[HORAS]],"
KW-HR: ",BDEGENER[[#This Row],[KW-HORA]],"
VOLT.BATERIA: ",BDEGENER[[#This Row],[VOLTAJE DE BATERIA]],"
TEMPERATURA: ",BDEGENER[[#This Row],[TEMPERATURA DE AGUA]],"
PRES. ACEITE: ",BDEGENER[[#This Row],[PRESION DE ACEITE]])</f>
        <v xml:space="preserve">HORAS: 711,05
KW-HR: 
VOLT.BATERIA: 
TEMPERATURA: 
PRES. ACEITE: </v>
      </c>
      <c r="AV1145" s="683">
        <f>COUNTIFS(Q1145:Q3145,"MANTENIMIENTO CORRECTIVO",Y1145:Y3145,BDEGENER[[#This Row],[SERIE]])</f>
        <v>1</v>
      </c>
      <c r="AW1145" s="683">
        <f>COUNTIFS(Q1145:Q3145,"MANTENIMIENTO PREVENTIVO",Y1145:Y3145,BDEGENER[[#This Row],[SERIE]])</f>
        <v>0</v>
      </c>
      <c r="AX1145"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145" s="29">
        <f>COUNTIFS(BDEGENER[SERIE],BDEGENER[[#This Row],[SERIE]],BDEGENER[TIPO DE SERVICIO],"MANTENIMIENTO PREVENTIVO")</f>
        <v>2</v>
      </c>
      <c r="AZ1145" s="29" t="str">
        <f>CONCATENATE("MANTENIMIENTO PREVENTIVO N°",BDEGENER[[#This Row],[GA1]])</f>
        <v>MANTENIMIENTO PREVENTIVO N°2</v>
      </c>
      <c r="BA1145" s="325" t="str">
        <f>IF(BDEGENER[[#This Row],[SERVICIO]]=BDEGENER[[#This Row],[GA2]],BDEGENER[[#This Row],[HORAS]],"0")</f>
        <v>0</v>
      </c>
      <c r="BB1145" s="325">
        <f>SUMIF(BDEGENER[SERIE],BDEGENER[[#This Row],[SERIE]],BDEGENER[GA3])</f>
        <v>0</v>
      </c>
      <c r="BC1145" s="683" t="str">
        <f>CONCATENATE("MANT",COUNTIF($Y$7:Y1145,Y1145))</f>
        <v>MANT6</v>
      </c>
      <c r="BD1145" s="29" t="str">
        <f>CONCATENATE(BDEGENER[[#This Row],[SERIE]],BDEGENER[[#This Row],[GA5]])</f>
        <v>9301205MANT6</v>
      </c>
      <c r="BE1145" s="29" t="str">
        <f>CONCATENATE(BDEGENER[[#This Row],[CODIGO PATRIMONIAL]],BDEGENER[[#This Row],[GA5]])</f>
        <v>17522MANT6</v>
      </c>
      <c r="BF1145" s="16">
        <f>COUNTIF(BDEGENER[SERIE],BDEGENER[[#This Row],[SERIE]])</f>
        <v>6</v>
      </c>
      <c r="BG1145" s="683" t="str">
        <f>CONCATENATE("F",COUNTIF($K$7:K1145,K1145))</f>
        <v>F1</v>
      </c>
      <c r="BH1145" s="325" t="str">
        <f>CONCATENATE(BDEGENER[[#This Row],[FECHA DE SERVICIO]],BDEGENER[[#This Row],[N° DE REGISTROS DEL DIA]])</f>
        <v>43223F1</v>
      </c>
      <c r="BI1145" s="324"/>
      <c r="BJ1145" s="325"/>
      <c r="BK1145" s="326"/>
    </row>
    <row r="1146" spans="2:63" ht="69" hidden="1" x14ac:dyDescent="0.3">
      <c r="B1146" s="33"/>
      <c r="C1146" s="33"/>
      <c r="D1146" s="33"/>
      <c r="E1146" s="33"/>
      <c r="F1146" s="33"/>
      <c r="G1146" s="33"/>
      <c r="H1146" s="33"/>
      <c r="I1146" s="33"/>
      <c r="J1146" s="33"/>
      <c r="K1146" s="38">
        <v>43223</v>
      </c>
      <c r="L1146" s="18" t="s">
        <v>248</v>
      </c>
      <c r="M1146" s="23" t="s">
        <v>305</v>
      </c>
      <c r="N1146" s="23" t="s">
        <v>290</v>
      </c>
      <c r="O1146" s="23"/>
      <c r="P1146" s="21"/>
      <c r="Q1146" s="23" t="s">
        <v>37</v>
      </c>
      <c r="R1146" s="85" t="s">
        <v>1782</v>
      </c>
      <c r="S1146" s="25" t="s">
        <v>480</v>
      </c>
      <c r="T1146" s="25" t="s">
        <v>481</v>
      </c>
      <c r="U1146" s="25" t="s">
        <v>482</v>
      </c>
      <c r="V1146" s="25" t="s">
        <v>479</v>
      </c>
      <c r="W1146" s="25"/>
      <c r="X1146" s="25"/>
      <c r="Y1146" s="31" t="s">
        <v>522</v>
      </c>
      <c r="Z1146" s="16">
        <v>17573</v>
      </c>
      <c r="AA1146" s="16" t="s">
        <v>523</v>
      </c>
      <c r="AB1146" s="16" t="s">
        <v>524</v>
      </c>
      <c r="AC1146" s="23"/>
      <c r="AD1146" s="16"/>
      <c r="AE1146" s="16"/>
      <c r="AF1146" s="27">
        <v>1779</v>
      </c>
      <c r="AG1146" s="16"/>
      <c r="AH1146" s="16"/>
      <c r="AI1146" s="16"/>
      <c r="AJ1146" s="16"/>
      <c r="AK1146" s="16"/>
      <c r="AL1146" s="16"/>
      <c r="AM1146" s="16"/>
      <c r="AN1146" s="16"/>
      <c r="AO1146" s="16"/>
      <c r="AP1146" s="22" t="s">
        <v>240</v>
      </c>
      <c r="AQ1146" s="6" t="str">
        <f>CONCATENATE("REG-",BDEGENER[[#This Row],[FECHA DE SERVICIO]],"-",BDEGENER[[#This Row],[SERIE]],"-",BDEGENER[[#This Row],[HORAS]])</f>
        <v>REG-43223-PEE2699049-1779</v>
      </c>
      <c r="AR1146" s="5" t="str">
        <f>CONCATENATE("MARCA: ",BDEGENER[[#This Row],[MARCA]],"
 MODELO: ",BDEGENER[[#This Row],[MODELO]])</f>
        <v>MARCA: YANMAR
 MODELO: GSW25</v>
      </c>
      <c r="AS1146" s="5" t="str">
        <f>CONCATENATE("MARCA: ",BDEGENER[[#This Row],[MARCA DE MOTOR]],"
SERIE: ",BDEGENER[[#This Row],[SERIE DE MOTOR]])</f>
        <v xml:space="preserve">MARCA: 
SERIE: </v>
      </c>
      <c r="AT1146" s="5" t="str">
        <f>CONCATENATE("MARCA: ",BDEGENER[[#This Row],[MARCA ALTERNADOR ]],"
SERIE: ",BDEGENER[[#This Row],[SERIE DE ALTERNADOR]])</f>
        <v xml:space="preserve">MARCA: 
SERIE: </v>
      </c>
      <c r="AU1146" s="5" t="str">
        <f>CONCATENATE("HORAS: ",BDEGENER[[#This Row],[HORAS]],"
KW-HR: ",BDEGENER[[#This Row],[KW-HORA]],"
VOLT.BATERIA: ",BDEGENER[[#This Row],[VOLTAJE DE BATERIA]],"
TEMPERATURA: ",BDEGENER[[#This Row],[TEMPERATURA DE AGUA]],"
PRES. ACEITE: ",BDEGENER[[#This Row],[PRESION DE ACEITE]])</f>
        <v xml:space="preserve">HORAS: 1779
KW-HR: 
VOLT.BATERIA: 
TEMPERATURA: 
PRES. ACEITE: </v>
      </c>
      <c r="AV1146" s="683">
        <f>COUNTIFS(Q1146:Q3146,"MANTENIMIENTO CORRECTIVO",Y1146:Y3146,BDEGENER[[#This Row],[SERIE]])</f>
        <v>0</v>
      </c>
      <c r="AW1146" s="683">
        <f>COUNTIFS(Q1146:Q3146,"MANTENIMIENTO PREVENTIVO",Y1146:Y3146,BDEGENER[[#This Row],[SERIE]])</f>
        <v>1</v>
      </c>
      <c r="AX1146"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46" s="29">
        <f>COUNTIFS(BDEGENER[SERIE],BDEGENER[[#This Row],[SERIE]],BDEGENER[TIPO DE SERVICIO],"MANTENIMIENTO PREVENTIVO")</f>
        <v>1</v>
      </c>
      <c r="AZ1146" s="29" t="str">
        <f>CONCATENATE("MANTENIMIENTO PREVENTIVO N°",BDEGENER[[#This Row],[GA1]])</f>
        <v>MANTENIMIENTO PREVENTIVO N°1</v>
      </c>
      <c r="BA1146" s="325">
        <f>IF(BDEGENER[[#This Row],[SERVICIO]]=BDEGENER[[#This Row],[GA2]],BDEGENER[[#This Row],[HORAS]],"0")</f>
        <v>1779</v>
      </c>
      <c r="BB1146" s="325">
        <f>SUMIF(BDEGENER[SERIE],BDEGENER[[#This Row],[SERIE]],BDEGENER[GA3])</f>
        <v>1779</v>
      </c>
      <c r="BC1146" s="683" t="str">
        <f>CONCATENATE("MANT",COUNTIF($Y$7:Y1146,Y1146))</f>
        <v>MANT1</v>
      </c>
      <c r="BD1146" s="29" t="str">
        <f>CONCATENATE(BDEGENER[[#This Row],[SERIE]],BDEGENER[[#This Row],[GA5]])</f>
        <v>PEE2699049MANT1</v>
      </c>
      <c r="BE1146" s="29" t="str">
        <f>CONCATENATE(BDEGENER[[#This Row],[CODIGO PATRIMONIAL]],BDEGENER[[#This Row],[GA5]])</f>
        <v>17573MANT1</v>
      </c>
      <c r="BF1146" s="16">
        <f>COUNTIF(BDEGENER[SERIE],BDEGENER[[#This Row],[SERIE]])</f>
        <v>1</v>
      </c>
      <c r="BG1146" s="683" t="str">
        <f>CONCATENATE("F",COUNTIF($K$7:K1146,K1146))</f>
        <v>F2</v>
      </c>
      <c r="BH1146" s="325" t="str">
        <f>CONCATENATE(BDEGENER[[#This Row],[FECHA DE SERVICIO]],BDEGENER[[#This Row],[N° DE REGISTROS DEL DIA]])</f>
        <v>43223F2</v>
      </c>
      <c r="BI1146" s="324"/>
      <c r="BJ1146" s="325"/>
      <c r="BK1146" s="326"/>
    </row>
    <row r="1147" spans="2:63" ht="69" hidden="1" x14ac:dyDescent="0.3">
      <c r="B1147" s="33"/>
      <c r="C1147" s="33"/>
      <c r="D1147" s="33"/>
      <c r="E1147" s="33"/>
      <c r="F1147" s="33"/>
      <c r="G1147" s="33"/>
      <c r="H1147" s="33"/>
      <c r="I1147" s="33"/>
      <c r="J1147" s="33"/>
      <c r="K1147" s="38">
        <v>43223</v>
      </c>
      <c r="L1147" s="18" t="s">
        <v>248</v>
      </c>
      <c r="M1147" s="23" t="s">
        <v>287</v>
      </c>
      <c r="N1147" s="23" t="s">
        <v>286</v>
      </c>
      <c r="O1147" s="23"/>
      <c r="P1147" s="21"/>
      <c r="Q1147" s="23" t="s">
        <v>107</v>
      </c>
      <c r="R1147" s="85" t="s">
        <v>1782</v>
      </c>
      <c r="S1147" s="25" t="s">
        <v>483</v>
      </c>
      <c r="T1147" s="25" t="s">
        <v>484</v>
      </c>
      <c r="U1147" s="25"/>
      <c r="V1147" s="25" t="s">
        <v>479</v>
      </c>
      <c r="W1147" s="25"/>
      <c r="X1147" s="25"/>
      <c r="Y1147" s="31">
        <v>9319809</v>
      </c>
      <c r="Z1147" s="16">
        <v>17922</v>
      </c>
      <c r="AA1147" s="16"/>
      <c r="AB1147" s="16" t="s">
        <v>513</v>
      </c>
      <c r="AC1147" s="23"/>
      <c r="AD1147" s="16"/>
      <c r="AE1147" s="16"/>
      <c r="AF1147" s="27">
        <v>42.18</v>
      </c>
      <c r="AG1147" s="16"/>
      <c r="AH1147" s="16"/>
      <c r="AI1147" s="16"/>
      <c r="AJ1147" s="16"/>
      <c r="AK1147" s="16"/>
      <c r="AL1147" s="16"/>
      <c r="AM1147" s="16"/>
      <c r="AN1147" s="16"/>
      <c r="AO1147" s="16"/>
      <c r="AP1147" s="22" t="s">
        <v>240</v>
      </c>
      <c r="AQ1147" s="6" t="str">
        <f>CONCATENATE("REG-",BDEGENER[[#This Row],[FECHA DE SERVICIO]],"-",BDEGENER[[#This Row],[SERIE]],"-",BDEGENER[[#This Row],[HORAS]])</f>
        <v>REG-43223-9319809-42,18</v>
      </c>
      <c r="AR1147" s="5" t="str">
        <f>CONCATENATE("MARCA: ",BDEGENER[[#This Row],[MARCA]],"
 MODELO: ",BDEGENER[[#This Row],[MODELO]])</f>
        <v>MARCA: 
 MODELO: 0065610</v>
      </c>
      <c r="AS1147" s="5" t="str">
        <f>CONCATENATE("MARCA: ",BDEGENER[[#This Row],[MARCA DE MOTOR]],"
SERIE: ",BDEGENER[[#This Row],[SERIE DE MOTOR]])</f>
        <v xml:space="preserve">MARCA: 
SERIE: </v>
      </c>
      <c r="AT1147" s="5" t="str">
        <f>CONCATENATE("MARCA: ",BDEGENER[[#This Row],[MARCA ALTERNADOR ]],"
SERIE: ",BDEGENER[[#This Row],[SERIE DE ALTERNADOR]])</f>
        <v xml:space="preserve">MARCA: 
SERIE: </v>
      </c>
      <c r="AU1147" s="5" t="str">
        <f>CONCATENATE("HORAS: ",BDEGENER[[#This Row],[HORAS]],"
KW-HR: ",BDEGENER[[#This Row],[KW-HORA]],"
VOLT.BATERIA: ",BDEGENER[[#This Row],[VOLTAJE DE BATERIA]],"
TEMPERATURA: ",BDEGENER[[#This Row],[TEMPERATURA DE AGUA]],"
PRES. ACEITE: ",BDEGENER[[#This Row],[PRESION DE ACEITE]])</f>
        <v xml:space="preserve">HORAS: 42,18
KW-HR: 
VOLT.BATERIA: 
TEMPERATURA: 
PRES. ACEITE: </v>
      </c>
      <c r="AV1147" s="761">
        <f>COUNTIFS(Q1147:Q3147,"MANTENIMIENTO CORRECTIVO",Y1147:Y3147,BDEGENER[[#This Row],[SERIE]])</f>
        <v>1</v>
      </c>
      <c r="AW1147" s="761">
        <f>COUNTIFS(Q1147:Q3147,"MANTENIMIENTO PREVENTIVO",Y1147:Y3147,BDEGENER[[#This Row],[SERIE]])</f>
        <v>1</v>
      </c>
      <c r="AX1147"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147" s="29">
        <f>COUNTIFS(BDEGENER[SERIE],BDEGENER[[#This Row],[SERIE]],BDEGENER[TIPO DE SERVICIO],"MANTENIMIENTO PREVENTIVO")</f>
        <v>2</v>
      </c>
      <c r="AZ1147" s="29" t="str">
        <f>CONCATENATE("MANTENIMIENTO PREVENTIVO N°",BDEGENER[[#This Row],[GA1]])</f>
        <v>MANTENIMIENTO PREVENTIVO N°2</v>
      </c>
      <c r="BA1147" s="325" t="str">
        <f>IF(BDEGENER[[#This Row],[SERVICIO]]=BDEGENER[[#This Row],[GA2]],BDEGENER[[#This Row],[HORAS]],"0")</f>
        <v>0</v>
      </c>
      <c r="BB1147" s="325">
        <f>SUMIF(BDEGENER[SERIE],BDEGENER[[#This Row],[SERIE]],BDEGENER[GA3])</f>
        <v>0</v>
      </c>
      <c r="BC1147" s="761" t="str">
        <f>CONCATENATE("MANT",COUNTIF($Y$7:Y1147,Y1147))</f>
        <v>MANT7</v>
      </c>
      <c r="BD1147" s="29" t="str">
        <f>CONCATENATE(BDEGENER[[#This Row],[SERIE]],BDEGENER[[#This Row],[GA5]])</f>
        <v>9319809MANT7</v>
      </c>
      <c r="BE1147" s="29" t="str">
        <f>CONCATENATE(BDEGENER[[#This Row],[CODIGO PATRIMONIAL]],BDEGENER[[#This Row],[GA5]])</f>
        <v>17922MANT7</v>
      </c>
      <c r="BF1147" s="16">
        <f>COUNTIF(BDEGENER[SERIE],BDEGENER[[#This Row],[SERIE]])</f>
        <v>8</v>
      </c>
      <c r="BG1147" s="761" t="str">
        <f>CONCATENATE("F",COUNTIF($K$7:K1147,K1147))</f>
        <v>F3</v>
      </c>
      <c r="BH1147" s="325" t="str">
        <f>CONCATENATE(BDEGENER[[#This Row],[FECHA DE SERVICIO]],BDEGENER[[#This Row],[N° DE REGISTROS DEL DIA]])</f>
        <v>43223F3</v>
      </c>
      <c r="BI1147" s="324"/>
      <c r="BJ1147" s="325"/>
      <c r="BK1147" s="326"/>
    </row>
    <row r="1148" spans="2:63" ht="69" hidden="1" x14ac:dyDescent="0.3">
      <c r="B1148" s="33"/>
      <c r="C1148" s="33"/>
      <c r="D1148" s="33"/>
      <c r="E1148" s="33"/>
      <c r="F1148" s="33"/>
      <c r="G1148" s="33"/>
      <c r="H1148" s="33"/>
      <c r="I1148" s="33"/>
      <c r="J1148" s="33"/>
      <c r="K1148" s="38">
        <v>43216</v>
      </c>
      <c r="L1148" s="18" t="s">
        <v>248</v>
      </c>
      <c r="M1148" s="23" t="s">
        <v>279</v>
      </c>
      <c r="N1148" s="23" t="s">
        <v>1402</v>
      </c>
      <c r="O1148" s="23"/>
      <c r="P1148" s="21"/>
      <c r="Q1148" s="23" t="s">
        <v>107</v>
      </c>
      <c r="R1148" s="85" t="s">
        <v>1782</v>
      </c>
      <c r="S1148" s="25" t="s">
        <v>485</v>
      </c>
      <c r="T1148" s="25" t="s">
        <v>486</v>
      </c>
      <c r="U1148" s="25" t="s">
        <v>487</v>
      </c>
      <c r="V1148" s="25" t="s">
        <v>488</v>
      </c>
      <c r="W1148" s="25"/>
      <c r="X1148" s="25"/>
      <c r="Y1148" s="31" t="s">
        <v>525</v>
      </c>
      <c r="Z1148" s="16"/>
      <c r="AA1148" s="16" t="s">
        <v>526</v>
      </c>
      <c r="AB1148" s="16" t="s">
        <v>527</v>
      </c>
      <c r="AC1148" s="23" t="s">
        <v>235</v>
      </c>
      <c r="AD1148" s="16"/>
      <c r="AE1148" s="16"/>
      <c r="AF1148" s="27">
        <v>557</v>
      </c>
      <c r="AG1148" s="16"/>
      <c r="AH1148" s="16"/>
      <c r="AI1148" s="16"/>
      <c r="AJ1148" s="16"/>
      <c r="AK1148" s="16"/>
      <c r="AL1148" s="16"/>
      <c r="AM1148" s="16"/>
      <c r="AN1148" s="16"/>
      <c r="AO1148" s="16"/>
      <c r="AP1148" s="23"/>
      <c r="AQ1148" s="6" t="str">
        <f>CONCATENATE("REG-",BDEGENER[[#This Row],[FECHA DE SERVICIO]],"-",BDEGENER[[#This Row],[SERIE]],"-",BDEGENER[[#This Row],[HORAS]])</f>
        <v>REG-43216-04632 / H341112881-557</v>
      </c>
      <c r="AR1148" s="5" t="str">
        <f>CONCATENATE("MARCA: ",BDEGENER[[#This Row],[MARCA]],"
 MODELO: ",BDEGENER[[#This Row],[MODELO]])</f>
        <v>MARCA: G.E FORD MECALTE
 MODELO: W5G-1068</v>
      </c>
      <c r="AS1148" s="5" t="str">
        <f>CONCATENATE("MARCA: ",BDEGENER[[#This Row],[MARCA DE MOTOR]],"
SERIE: ",BDEGENER[[#This Row],[SERIE DE MOTOR]])</f>
        <v xml:space="preserve">MARCA: 
SERIE: </v>
      </c>
      <c r="AT1148" s="5" t="str">
        <f>CONCATENATE("MARCA: ",BDEGENER[[#This Row],[MARCA ALTERNADOR ]],"
SERIE: ",BDEGENER[[#This Row],[SERIE DE ALTERNADOR]])</f>
        <v xml:space="preserve">MARCA: 
SERIE: </v>
      </c>
      <c r="AU1148" s="5" t="str">
        <f>CONCATENATE("HORAS: ",BDEGENER[[#This Row],[HORAS]],"
KW-HR: ",BDEGENER[[#This Row],[KW-HORA]],"
VOLT.BATERIA: ",BDEGENER[[#This Row],[VOLTAJE DE BATERIA]],"
TEMPERATURA: ",BDEGENER[[#This Row],[TEMPERATURA DE AGUA]],"
PRES. ACEITE: ",BDEGENER[[#This Row],[PRESION DE ACEITE]])</f>
        <v xml:space="preserve">HORAS: 557
KW-HR: 
VOLT.BATERIA: 
TEMPERATURA: 
PRES. ACEITE: </v>
      </c>
      <c r="AV1148" s="683">
        <f>COUNTIFS(Q1148:Q3148,"MANTENIMIENTO CORRECTIVO",Y1148:Y3148,BDEGENER[[#This Row],[SERIE]])</f>
        <v>1</v>
      </c>
      <c r="AW1148" s="683">
        <f>COUNTIFS(Q1148:Q3148,"MANTENIMIENTO PREVENTIVO",Y1148:Y3148,BDEGENER[[#This Row],[SERIE]])</f>
        <v>0</v>
      </c>
      <c r="AX1148"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148" s="29">
        <f>COUNTIFS(BDEGENER[SERIE],BDEGENER[[#This Row],[SERIE]],BDEGENER[TIPO DE SERVICIO],"MANTENIMIENTO PREVENTIVO")</f>
        <v>0</v>
      </c>
      <c r="AZ1148" s="29" t="str">
        <f>CONCATENATE("MANTENIMIENTO PREVENTIVO N°",BDEGENER[[#This Row],[GA1]])</f>
        <v>MANTENIMIENTO PREVENTIVO N°0</v>
      </c>
      <c r="BA1148" s="325" t="str">
        <f>IF(BDEGENER[[#This Row],[SERVICIO]]=BDEGENER[[#This Row],[GA2]],BDEGENER[[#This Row],[HORAS]],"0")</f>
        <v>0</v>
      </c>
      <c r="BB1148" s="325">
        <f>SUMIF(BDEGENER[SERIE],BDEGENER[[#This Row],[SERIE]],BDEGENER[GA3])</f>
        <v>0</v>
      </c>
      <c r="BC1148" s="683" t="str">
        <f>CONCATENATE("MANT",COUNTIF($Y$7:Y1148,Y1148))</f>
        <v>MANT1</v>
      </c>
      <c r="BD1148" s="29" t="str">
        <f>CONCATENATE(BDEGENER[[#This Row],[SERIE]],BDEGENER[[#This Row],[GA5]])</f>
        <v>04632 / H341112881MANT1</v>
      </c>
      <c r="BE1148" s="29" t="str">
        <f>CONCATENATE(BDEGENER[[#This Row],[CODIGO PATRIMONIAL]],BDEGENER[[#This Row],[GA5]])</f>
        <v>MANT1</v>
      </c>
      <c r="BF1148" s="16">
        <f>COUNTIF(BDEGENER[SERIE],BDEGENER[[#This Row],[SERIE]])</f>
        <v>1</v>
      </c>
      <c r="BG1148" s="683" t="str">
        <f>CONCATENATE("F",COUNTIF($K$7:K1148,K1148))</f>
        <v>F1</v>
      </c>
      <c r="BH1148" s="325" t="str">
        <f>CONCATENATE(BDEGENER[[#This Row],[FECHA DE SERVICIO]],BDEGENER[[#This Row],[N° DE REGISTROS DEL DIA]])</f>
        <v>43216F1</v>
      </c>
      <c r="BI1148" s="324"/>
      <c r="BJ1148" s="325"/>
      <c r="BK1148" s="326"/>
    </row>
    <row r="1149" spans="2:63" ht="69" hidden="1" x14ac:dyDescent="0.3">
      <c r="B1149" s="33"/>
      <c r="C1149" s="33"/>
      <c r="D1149" s="33"/>
      <c r="E1149" s="33"/>
      <c r="F1149" s="33"/>
      <c r="G1149" s="33"/>
      <c r="H1149" s="33"/>
      <c r="I1149" s="33"/>
      <c r="J1149" s="33"/>
      <c r="K1149" s="38">
        <v>43214</v>
      </c>
      <c r="L1149" s="18" t="s">
        <v>248</v>
      </c>
      <c r="M1149" s="23" t="s">
        <v>291</v>
      </c>
      <c r="N1149" s="85" t="s">
        <v>1409</v>
      </c>
      <c r="O1149" s="23"/>
      <c r="P1149" s="21"/>
      <c r="Q1149" s="23" t="s">
        <v>107</v>
      </c>
      <c r="R1149" s="85" t="s">
        <v>1782</v>
      </c>
      <c r="S1149" s="25" t="s">
        <v>489</v>
      </c>
      <c r="T1149" s="85" t="s">
        <v>1782</v>
      </c>
      <c r="U1149" s="25"/>
      <c r="V1149" s="25" t="s">
        <v>349</v>
      </c>
      <c r="W1149" s="25"/>
      <c r="X1149" s="25"/>
      <c r="Y1149" s="31">
        <v>9319804</v>
      </c>
      <c r="Z1149" s="16">
        <v>17523</v>
      </c>
      <c r="AA1149" s="85" t="s">
        <v>33</v>
      </c>
      <c r="AB1149" s="85">
        <v>65610</v>
      </c>
      <c r="AC1149" s="23" t="s">
        <v>535</v>
      </c>
      <c r="AD1149" s="16"/>
      <c r="AE1149" s="16"/>
      <c r="AF1149" s="27">
        <v>725.8</v>
      </c>
      <c r="AG1149" s="85" t="s">
        <v>1412</v>
      </c>
      <c r="AH1149" s="85" t="s">
        <v>1413</v>
      </c>
      <c r="AI1149" s="85" t="s">
        <v>33</v>
      </c>
      <c r="AJ1149" s="16"/>
      <c r="AK1149" s="85" t="s">
        <v>33</v>
      </c>
      <c r="AL1149" s="16"/>
      <c r="AM1149" s="16"/>
      <c r="AN1149" s="16"/>
      <c r="AO1149" s="16"/>
      <c r="AP1149" s="22" t="s">
        <v>240</v>
      </c>
      <c r="AQ1149" s="6" t="str">
        <f>CONCATENATE("REG-",BDEGENER[[#This Row],[FECHA DE SERVICIO]],"-",BDEGENER[[#This Row],[SERIE]],"-",BDEGENER[[#This Row],[HORAS]])</f>
        <v>REG-43214-9319804-725,8</v>
      </c>
      <c r="AR1149" s="5" t="str">
        <f>CONCATENATE("MARCA: ",BDEGENER[[#This Row],[MARCA]],"
 MODELO: ",BDEGENER[[#This Row],[MODELO]])</f>
        <v>MARCA: GENERAC
 MODELO: 65610</v>
      </c>
      <c r="AS1149" s="5" t="str">
        <f>CONCATENATE("MARCA: ",BDEGENER[[#This Row],[MARCA DE MOTOR]],"
SERIE: ",BDEGENER[[#This Row],[SERIE DE MOTOR]])</f>
        <v xml:space="preserve">MARCA: GENERAC
SERIE: </v>
      </c>
      <c r="AT1149" s="5" t="str">
        <f>CONCATENATE("MARCA: ",BDEGENER[[#This Row],[MARCA ALTERNADOR ]],"
SERIE: ",BDEGENER[[#This Row],[SERIE DE ALTERNADOR]])</f>
        <v xml:space="preserve">MARCA: GENERAC
SERIE: </v>
      </c>
      <c r="AU1149" s="5" t="str">
        <f>CONCATENATE("HORAS: ",BDEGENER[[#This Row],[HORAS]],"
KW-HR: ",BDEGENER[[#This Row],[KW-HORA]],"
VOLT.BATERIA: ",BDEGENER[[#This Row],[VOLTAJE DE BATERIA]],"
TEMPERATURA: ",BDEGENER[[#This Row],[TEMPERATURA DE AGUA]],"
PRES. ACEITE: ",BDEGENER[[#This Row],[PRESION DE ACEITE]])</f>
        <v xml:space="preserve">HORAS: 725,8
KW-HR: 
VOLT.BATERIA: 
TEMPERATURA: 
PRES. ACEITE: </v>
      </c>
      <c r="AV1149" s="683">
        <f>COUNTIFS(Q1149:Q3149,"MANTENIMIENTO CORRECTIVO",Y1149:Y3149,BDEGENER[[#This Row],[SERIE]])</f>
        <v>1</v>
      </c>
      <c r="AW1149" s="683">
        <f>COUNTIFS(Q1149:Q3149,"MANTENIMIENTO PREVENTIVO",Y1149:Y3149,BDEGENER[[#This Row],[SERIE]])</f>
        <v>0</v>
      </c>
      <c r="AX1149"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CORRECTIVO N°1</v>
      </c>
      <c r="AY1149" s="29">
        <f>COUNTIFS(BDEGENER[SERIE],BDEGENER[[#This Row],[SERIE]],BDEGENER[TIPO DE SERVICIO],"MANTENIMIENTO PREVENTIVO")</f>
        <v>2</v>
      </c>
      <c r="AZ1149" s="29" t="str">
        <f>CONCATENATE("MANTENIMIENTO PREVENTIVO N°",BDEGENER[[#This Row],[GA1]])</f>
        <v>MANTENIMIENTO PREVENTIVO N°2</v>
      </c>
      <c r="BA1149" s="325" t="str">
        <f>IF(BDEGENER[[#This Row],[SERVICIO]]=BDEGENER[[#This Row],[GA2]],BDEGENER[[#This Row],[HORAS]],"0")</f>
        <v>0</v>
      </c>
      <c r="BB1149" s="325">
        <f>SUMIF(BDEGENER[SERIE],BDEGENER[[#This Row],[SERIE]],BDEGENER[GA3])</f>
        <v>872.68</v>
      </c>
      <c r="BC1149" s="683" t="str">
        <f>CONCATENATE("MANT",COUNTIF($Y$7:Y1149,Y1149))</f>
        <v>MANT10</v>
      </c>
      <c r="BD1149" s="29" t="str">
        <f>CONCATENATE(BDEGENER[[#This Row],[SERIE]],BDEGENER[[#This Row],[GA5]])</f>
        <v>9319804MANT10</v>
      </c>
      <c r="BE1149" s="29" t="str">
        <f>CONCATENATE(BDEGENER[[#This Row],[CODIGO PATRIMONIAL]],BDEGENER[[#This Row],[GA5]])</f>
        <v>17523MANT10</v>
      </c>
      <c r="BF1149" s="16">
        <f>COUNTIF(BDEGENER[SERIE],BDEGENER[[#This Row],[SERIE]])</f>
        <v>10</v>
      </c>
      <c r="BG1149" s="683" t="str">
        <f>CONCATENATE("F",COUNTIF($K$7:K1149,K1149))</f>
        <v>F1</v>
      </c>
      <c r="BH1149" s="325" t="str">
        <f>CONCATENATE(BDEGENER[[#This Row],[FECHA DE SERVICIO]],BDEGENER[[#This Row],[N° DE REGISTROS DEL DIA]])</f>
        <v>43214F1</v>
      </c>
      <c r="BI1149" s="324"/>
      <c r="BJ1149" s="325"/>
      <c r="BK1149" s="326"/>
    </row>
    <row r="1150" spans="2:63" ht="69" hidden="1" x14ac:dyDescent="0.3">
      <c r="B1150" s="33"/>
      <c r="C1150" s="33"/>
      <c r="D1150" s="33"/>
      <c r="E1150" s="33"/>
      <c r="F1150" s="33"/>
      <c r="G1150" s="33"/>
      <c r="H1150" s="33"/>
      <c r="I1150" s="33"/>
      <c r="J1150" s="33"/>
      <c r="K1150" s="38">
        <v>43214</v>
      </c>
      <c r="L1150" s="18" t="s">
        <v>248</v>
      </c>
      <c r="M1150" s="23" t="s">
        <v>287</v>
      </c>
      <c r="N1150" s="23" t="s">
        <v>286</v>
      </c>
      <c r="O1150" s="23"/>
      <c r="P1150" s="21"/>
      <c r="Q1150" s="23" t="s">
        <v>37</v>
      </c>
      <c r="R1150" s="85" t="s">
        <v>1782</v>
      </c>
      <c r="S1150" s="25" t="s">
        <v>490</v>
      </c>
      <c r="T1150" s="25" t="s">
        <v>391</v>
      </c>
      <c r="U1150" s="25" t="s">
        <v>491</v>
      </c>
      <c r="V1150" s="25" t="s">
        <v>349</v>
      </c>
      <c r="W1150" s="25"/>
      <c r="X1150" s="25"/>
      <c r="Y1150" s="31">
        <v>9319809</v>
      </c>
      <c r="Z1150" s="16">
        <v>17922</v>
      </c>
      <c r="AA1150" s="16"/>
      <c r="AB1150" s="16" t="s">
        <v>513</v>
      </c>
      <c r="AC1150" s="23"/>
      <c r="AD1150" s="16"/>
      <c r="AE1150" s="16"/>
      <c r="AF1150" s="27">
        <v>25.3</v>
      </c>
      <c r="AG1150" s="16"/>
      <c r="AH1150" s="16"/>
      <c r="AI1150" s="16"/>
      <c r="AJ1150" s="16"/>
      <c r="AK1150" s="16"/>
      <c r="AL1150" s="16"/>
      <c r="AM1150" s="16"/>
      <c r="AN1150" s="16"/>
      <c r="AO1150" s="16"/>
      <c r="AP1150" s="22" t="s">
        <v>240</v>
      </c>
      <c r="AQ1150" s="6" t="str">
        <f>CONCATENATE("REG-",BDEGENER[[#This Row],[FECHA DE SERVICIO]],"-",BDEGENER[[#This Row],[SERIE]],"-",BDEGENER[[#This Row],[HORAS]])</f>
        <v>REG-43214-9319809-25,3</v>
      </c>
      <c r="AR1150" s="5" t="str">
        <f>CONCATENATE("MARCA: ",BDEGENER[[#This Row],[MARCA]],"
 MODELO: ",BDEGENER[[#This Row],[MODELO]])</f>
        <v>MARCA: 
 MODELO: 0065610</v>
      </c>
      <c r="AS1150" s="5" t="str">
        <f>CONCATENATE("MARCA: ",BDEGENER[[#This Row],[MARCA DE MOTOR]],"
SERIE: ",BDEGENER[[#This Row],[SERIE DE MOTOR]])</f>
        <v xml:space="preserve">MARCA: 
SERIE: </v>
      </c>
      <c r="AT1150" s="5" t="str">
        <f>CONCATENATE("MARCA: ",BDEGENER[[#This Row],[MARCA ALTERNADOR ]],"
SERIE: ",BDEGENER[[#This Row],[SERIE DE ALTERNADOR]])</f>
        <v xml:space="preserve">MARCA: 
SERIE: </v>
      </c>
      <c r="AU1150" s="5" t="str">
        <f>CONCATENATE("HORAS: ",BDEGENER[[#This Row],[HORAS]],"
KW-HR: ",BDEGENER[[#This Row],[KW-HORA]],"
VOLT.BATERIA: ",BDEGENER[[#This Row],[VOLTAJE DE BATERIA]],"
TEMPERATURA: ",BDEGENER[[#This Row],[TEMPERATURA DE AGUA]],"
PRES. ACEITE: ",BDEGENER[[#This Row],[PRESION DE ACEITE]])</f>
        <v xml:space="preserve">HORAS: 25,3
KW-HR: 
VOLT.BATERIA: 
TEMPERATURA: 
PRES. ACEITE: </v>
      </c>
      <c r="AV1150" s="761">
        <f>COUNTIFS(Q1150:Q3150,"MANTENIMIENTO CORRECTIVO",Y1150:Y3150,BDEGENER[[#This Row],[SERIE]])</f>
        <v>0</v>
      </c>
      <c r="AW1150" s="761">
        <f>COUNTIFS(Q1150:Q3150,"MANTENIMIENTO PREVENTIVO",Y1150:Y3150,BDEGENER[[#This Row],[SERIE]])</f>
        <v>1</v>
      </c>
      <c r="AX1150"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50" s="29">
        <f>COUNTIFS(BDEGENER[SERIE],BDEGENER[[#This Row],[SERIE]],BDEGENER[TIPO DE SERVICIO],"MANTENIMIENTO PREVENTIVO")</f>
        <v>2</v>
      </c>
      <c r="AZ1150" s="29" t="str">
        <f>CONCATENATE("MANTENIMIENTO PREVENTIVO N°",BDEGENER[[#This Row],[GA1]])</f>
        <v>MANTENIMIENTO PREVENTIVO N°2</v>
      </c>
      <c r="BA1150" s="325" t="str">
        <f>IF(BDEGENER[[#This Row],[SERVICIO]]=BDEGENER[[#This Row],[GA2]],BDEGENER[[#This Row],[HORAS]],"0")</f>
        <v>0</v>
      </c>
      <c r="BB1150" s="325">
        <f>SUMIF(BDEGENER[SERIE],BDEGENER[[#This Row],[SERIE]],BDEGENER[GA3])</f>
        <v>0</v>
      </c>
      <c r="BC1150" s="761" t="str">
        <f>CONCATENATE("MANT",COUNTIF($Y$7:Y1150,Y1150))</f>
        <v>MANT8</v>
      </c>
      <c r="BD1150" s="29" t="str">
        <f>CONCATENATE(BDEGENER[[#This Row],[SERIE]],BDEGENER[[#This Row],[GA5]])</f>
        <v>9319809MANT8</v>
      </c>
      <c r="BE1150" s="29" t="str">
        <f>CONCATENATE(BDEGENER[[#This Row],[CODIGO PATRIMONIAL]],BDEGENER[[#This Row],[GA5]])</f>
        <v>17922MANT8</v>
      </c>
      <c r="BF1150" s="16">
        <f>COUNTIF(BDEGENER[SERIE],BDEGENER[[#This Row],[SERIE]])</f>
        <v>8</v>
      </c>
      <c r="BG1150" s="761" t="str">
        <f>CONCATENATE("F",COUNTIF($K$7:K1150,K1150))</f>
        <v>F2</v>
      </c>
      <c r="BH1150" s="325" t="str">
        <f>CONCATENATE(BDEGENER[[#This Row],[FECHA DE SERVICIO]],BDEGENER[[#This Row],[N° DE REGISTROS DEL DIA]])</f>
        <v>43214F2</v>
      </c>
      <c r="BI1150" s="324"/>
      <c r="BJ1150" s="325"/>
      <c r="BK1150" s="326"/>
    </row>
    <row r="1151" spans="2:63" ht="69" hidden="1" x14ac:dyDescent="0.3">
      <c r="B1151" s="33"/>
      <c r="C1151" s="33"/>
      <c r="D1151" s="33"/>
      <c r="E1151" s="33"/>
      <c r="F1151" s="33"/>
      <c r="G1151" s="33"/>
      <c r="H1151" s="33"/>
      <c r="I1151" s="33"/>
      <c r="J1151" s="33"/>
      <c r="K1151" s="38">
        <v>43214</v>
      </c>
      <c r="L1151" s="18" t="s">
        <v>248</v>
      </c>
      <c r="M1151" s="23" t="s">
        <v>272</v>
      </c>
      <c r="N1151" s="23" t="s">
        <v>273</v>
      </c>
      <c r="O1151" s="23"/>
      <c r="P1151" s="21"/>
      <c r="Q1151" s="23" t="s">
        <v>37</v>
      </c>
      <c r="R1151" s="85" t="s">
        <v>1782</v>
      </c>
      <c r="S1151" s="25" t="s">
        <v>1790</v>
      </c>
      <c r="T1151" s="85" t="s">
        <v>1782</v>
      </c>
      <c r="U1151" s="25" t="s">
        <v>492</v>
      </c>
      <c r="V1151" s="25" t="s">
        <v>349</v>
      </c>
      <c r="W1151" s="85" t="s">
        <v>913</v>
      </c>
      <c r="X1151" s="85" t="s">
        <v>917</v>
      </c>
      <c r="Y1151" s="31" t="s">
        <v>507</v>
      </c>
      <c r="Z1151" s="16">
        <v>17571</v>
      </c>
      <c r="AA1151" s="85" t="s">
        <v>33</v>
      </c>
      <c r="AB1151" s="85" t="s">
        <v>500</v>
      </c>
      <c r="AC1151" s="23" t="s">
        <v>530</v>
      </c>
      <c r="AD1151" s="16"/>
      <c r="AE1151" s="16"/>
      <c r="AF1151" s="27">
        <v>1643</v>
      </c>
      <c r="AG1151" s="85" t="s">
        <v>243</v>
      </c>
      <c r="AH1151" s="85" t="s">
        <v>1236</v>
      </c>
      <c r="AI1151" s="85" t="s">
        <v>844</v>
      </c>
      <c r="AJ1151" s="16"/>
      <c r="AK1151" s="85" t="s">
        <v>1235</v>
      </c>
      <c r="AL1151" s="16"/>
      <c r="AM1151" s="16"/>
      <c r="AN1151" s="16"/>
      <c r="AO1151" s="16"/>
      <c r="AP1151" s="22" t="s">
        <v>240</v>
      </c>
      <c r="AQ1151" s="6" t="str">
        <f>CONCATENATE("REG-",BDEGENER[[#This Row],[FECHA DE SERVICIO]],"-",BDEGENER[[#This Row],[SERIE]],"-",BDEGENER[[#This Row],[HORAS]])</f>
        <v>REG-43214-PEE2599048-1643</v>
      </c>
      <c r="AR1151" s="5" t="str">
        <f>CONCATENATE("MARCA: ",BDEGENER[[#This Row],[MARCA]],"
 MODELO: ",BDEGENER[[#This Row],[MODELO]])</f>
        <v>MARCA: GENERAC
 MODELO: PMY20B</v>
      </c>
      <c r="AS1151" s="5" t="str">
        <f>CONCATENATE("MARCA: ",BDEGENER[[#This Row],[MARCA DE MOTOR]],"
SERIE: ",BDEGENER[[#This Row],[SERIE DE MOTOR]])</f>
        <v xml:space="preserve">MARCA: PERKINS
SERIE: </v>
      </c>
      <c r="AT1151" s="5" t="str">
        <f>CONCATENATE("MARCA: ",BDEGENER[[#This Row],[MARCA ALTERNADOR ]],"
SERIE: ",BDEGENER[[#This Row],[SERIE DE ALTERNADOR]])</f>
        <v xml:space="preserve">MARCA: MECC ALTE
SERIE: </v>
      </c>
      <c r="AU1151" s="5" t="str">
        <f>CONCATENATE("HORAS: ",BDEGENER[[#This Row],[HORAS]],"
KW-HR: ",BDEGENER[[#This Row],[KW-HORA]],"
VOLT.BATERIA: ",BDEGENER[[#This Row],[VOLTAJE DE BATERIA]],"
TEMPERATURA: ",BDEGENER[[#This Row],[TEMPERATURA DE AGUA]],"
PRES. ACEITE: ",BDEGENER[[#This Row],[PRESION DE ACEITE]])</f>
        <v xml:space="preserve">HORAS: 1643
KW-HR: 
VOLT.BATERIA: 
TEMPERATURA: 
PRES. ACEITE: </v>
      </c>
      <c r="AV1151" s="683">
        <f>COUNTIFS(Q1151:Q3151,"MANTENIMIENTO CORRECTIVO",Y1151:Y3151,BDEGENER[[#This Row],[SERIE]])</f>
        <v>0</v>
      </c>
      <c r="AW1151" s="683">
        <f>COUNTIFS(Q1151:Q3151,"MANTENIMIENTO PREVENTIVO",Y1151:Y3151,BDEGENER[[#This Row],[SERIE]])</f>
        <v>1</v>
      </c>
      <c r="AX1151"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51" s="29">
        <f>COUNTIFS(BDEGENER[SERIE],BDEGENER[[#This Row],[SERIE]],BDEGENER[TIPO DE SERVICIO],"MANTENIMIENTO PREVENTIVO")</f>
        <v>4</v>
      </c>
      <c r="AZ1151" s="29" t="str">
        <f>CONCATENATE("MANTENIMIENTO PREVENTIVO N°",BDEGENER[[#This Row],[GA1]])</f>
        <v>MANTENIMIENTO PREVENTIVO N°4</v>
      </c>
      <c r="BA1151" s="325" t="str">
        <f>IF(BDEGENER[[#This Row],[SERVICIO]]=BDEGENER[[#This Row],[GA2]],BDEGENER[[#This Row],[HORAS]],"0")</f>
        <v>0</v>
      </c>
      <c r="BB1151" s="325">
        <f>SUMIF(BDEGENER[SERIE],BDEGENER[[#This Row],[SERIE]],BDEGENER[GA3])</f>
        <v>2735.6</v>
      </c>
      <c r="BC1151" s="683" t="str">
        <f>CONCATENATE("MANT",COUNTIF($Y$7:Y1151,Y1151))</f>
        <v>MANT4</v>
      </c>
      <c r="BD1151" s="29" t="str">
        <f>CONCATENATE(BDEGENER[[#This Row],[SERIE]],BDEGENER[[#This Row],[GA5]])</f>
        <v>PEE2599048MANT4</v>
      </c>
      <c r="BE1151" s="29" t="str">
        <f>CONCATENATE(BDEGENER[[#This Row],[CODIGO PATRIMONIAL]],BDEGENER[[#This Row],[GA5]])</f>
        <v>17571MANT4</v>
      </c>
      <c r="BF1151" s="16">
        <f>COUNTIF(BDEGENER[SERIE],BDEGENER[[#This Row],[SERIE]])</f>
        <v>4</v>
      </c>
      <c r="BG1151" s="683" t="str">
        <f>CONCATENATE("F",COUNTIF($K$7:K1151,K1151))</f>
        <v>F3</v>
      </c>
      <c r="BH1151" s="325" t="str">
        <f>CONCATENATE(BDEGENER[[#This Row],[FECHA DE SERVICIO]],BDEGENER[[#This Row],[N° DE REGISTROS DEL DIA]])</f>
        <v>43214F3</v>
      </c>
      <c r="BI1151" s="324"/>
      <c r="BJ1151" s="325"/>
      <c r="BK1151" s="326"/>
    </row>
    <row r="1152" spans="2:63" ht="69" hidden="1" x14ac:dyDescent="0.3">
      <c r="B1152" s="33"/>
      <c r="C1152" s="33"/>
      <c r="D1152" s="33"/>
      <c r="E1152" s="33"/>
      <c r="F1152" s="33"/>
      <c r="G1152" s="33"/>
      <c r="H1152" s="33"/>
      <c r="I1152" s="33"/>
      <c r="J1152" s="33"/>
      <c r="K1152" s="38">
        <v>43214</v>
      </c>
      <c r="L1152" s="18" t="s">
        <v>248</v>
      </c>
      <c r="M1152" s="23" t="s">
        <v>285</v>
      </c>
      <c r="N1152" s="23" t="s">
        <v>286</v>
      </c>
      <c r="O1152" s="23"/>
      <c r="P1152" s="21"/>
      <c r="Q1152" s="23" t="s">
        <v>37</v>
      </c>
      <c r="R1152" s="85" t="s">
        <v>1782</v>
      </c>
      <c r="S1152" s="25" t="s">
        <v>493</v>
      </c>
      <c r="T1152" s="25" t="s">
        <v>391</v>
      </c>
      <c r="U1152" s="25" t="s">
        <v>494</v>
      </c>
      <c r="V1152" s="25" t="s">
        <v>332</v>
      </c>
      <c r="W1152" s="25"/>
      <c r="X1152" s="25"/>
      <c r="Y1152" s="31">
        <v>9301207</v>
      </c>
      <c r="Z1152" s="16">
        <v>17524</v>
      </c>
      <c r="AA1152" s="16"/>
      <c r="AB1152" s="16" t="s">
        <v>512</v>
      </c>
      <c r="AC1152" s="23" t="s">
        <v>536</v>
      </c>
      <c r="AD1152" s="16"/>
      <c r="AE1152" s="16"/>
      <c r="AF1152" s="27">
        <v>804</v>
      </c>
      <c r="AG1152" s="16"/>
      <c r="AH1152" s="16"/>
      <c r="AI1152" s="16"/>
      <c r="AJ1152" s="16"/>
      <c r="AK1152" s="16"/>
      <c r="AL1152" s="16"/>
      <c r="AM1152" s="16"/>
      <c r="AN1152" s="16"/>
      <c r="AO1152" s="16"/>
      <c r="AP1152" s="22" t="s">
        <v>240</v>
      </c>
      <c r="AQ1152" s="6" t="str">
        <f>CONCATENATE("REG-",BDEGENER[[#This Row],[FECHA DE SERVICIO]],"-",BDEGENER[[#This Row],[SERIE]],"-",BDEGENER[[#This Row],[HORAS]])</f>
        <v>REG-43214-9301207-804</v>
      </c>
      <c r="AR1152" s="5" t="str">
        <f>CONCATENATE("MARCA: ",BDEGENER[[#This Row],[MARCA]],"
 MODELO: ",BDEGENER[[#This Row],[MODELO]])</f>
        <v xml:space="preserve">MARCA: 
 MODELO: POWER PACT </v>
      </c>
      <c r="AS1152" s="5" t="str">
        <f>CONCATENATE("MARCA: ",BDEGENER[[#This Row],[MARCA DE MOTOR]],"
SERIE: ",BDEGENER[[#This Row],[SERIE DE MOTOR]])</f>
        <v xml:space="preserve">MARCA: 
SERIE: </v>
      </c>
      <c r="AT1152" s="5" t="str">
        <f>CONCATENATE("MARCA: ",BDEGENER[[#This Row],[MARCA ALTERNADOR ]],"
SERIE: ",BDEGENER[[#This Row],[SERIE DE ALTERNADOR]])</f>
        <v xml:space="preserve">MARCA: 
SERIE: </v>
      </c>
      <c r="AU1152" s="5" t="str">
        <f>CONCATENATE("HORAS: ",BDEGENER[[#This Row],[HORAS]],"
KW-HR: ",BDEGENER[[#This Row],[KW-HORA]],"
VOLT.BATERIA: ",BDEGENER[[#This Row],[VOLTAJE DE BATERIA]],"
TEMPERATURA: ",BDEGENER[[#This Row],[TEMPERATURA DE AGUA]],"
PRES. ACEITE: ",BDEGENER[[#This Row],[PRESION DE ACEITE]])</f>
        <v xml:space="preserve">HORAS: 804
KW-HR: 
VOLT.BATERIA: 
TEMPERATURA: 
PRES. ACEITE: </v>
      </c>
      <c r="AV1152" s="683">
        <f>COUNTIFS(Q1152:Q3152,"MANTENIMIENTO CORRECTIVO",Y1152:Y3152,BDEGENER[[#This Row],[SERIE]])</f>
        <v>0</v>
      </c>
      <c r="AW1152" s="683">
        <f>COUNTIFS(Q1152:Q3152,"MANTENIMIENTO PREVENTIVO",Y1152:Y3152,BDEGENER[[#This Row],[SERIE]])</f>
        <v>1</v>
      </c>
      <c r="AX1152"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52" s="29">
        <f>COUNTIFS(BDEGENER[SERIE],BDEGENER[[#This Row],[SERIE]],BDEGENER[TIPO DE SERVICIO],"MANTENIMIENTO PREVENTIVO")</f>
        <v>3</v>
      </c>
      <c r="AZ1152" s="29" t="str">
        <f>CONCATENATE("MANTENIMIENTO PREVENTIVO N°",BDEGENER[[#This Row],[GA1]])</f>
        <v>MANTENIMIENTO PREVENTIVO N°3</v>
      </c>
      <c r="BA1152" s="325" t="str">
        <f>IF(BDEGENER[[#This Row],[SERVICIO]]=BDEGENER[[#This Row],[GA2]],BDEGENER[[#This Row],[HORAS]],"0")</f>
        <v>0</v>
      </c>
      <c r="BB1152" s="325">
        <f>SUMIF(BDEGENER[SERIE],BDEGENER[[#This Row],[SERIE]],BDEGENER[GA3])</f>
        <v>0</v>
      </c>
      <c r="BC1152" s="683" t="str">
        <f>CONCATENATE("MANT",COUNTIF($Y$7:Y1152,Y1152))</f>
        <v>MANT8</v>
      </c>
      <c r="BD1152" s="29" t="str">
        <f>CONCATENATE(BDEGENER[[#This Row],[SERIE]],BDEGENER[[#This Row],[GA5]])</f>
        <v>9301207MANT8</v>
      </c>
      <c r="BE1152" s="29" t="str">
        <f>CONCATENATE(BDEGENER[[#This Row],[CODIGO PATRIMONIAL]],BDEGENER[[#This Row],[GA5]])</f>
        <v>17524MANT8</v>
      </c>
      <c r="BF1152" s="16">
        <f>COUNTIF(BDEGENER[SERIE],BDEGENER[[#This Row],[SERIE]])</f>
        <v>8</v>
      </c>
      <c r="BG1152" s="683" t="str">
        <f>CONCATENATE("F",COUNTIF($K$7:K1152,K1152))</f>
        <v>F4</v>
      </c>
      <c r="BH1152" s="325" t="str">
        <f>CONCATENATE(BDEGENER[[#This Row],[FECHA DE SERVICIO]],BDEGENER[[#This Row],[N° DE REGISTROS DEL DIA]])</f>
        <v>43214F4</v>
      </c>
      <c r="BI1152" s="324"/>
      <c r="BJ1152" s="325"/>
      <c r="BK1152" s="326"/>
    </row>
    <row r="1153" spans="2:63" ht="69" hidden="1" x14ac:dyDescent="0.3">
      <c r="B1153" s="33"/>
      <c r="C1153" s="33"/>
      <c r="D1153" s="33"/>
      <c r="E1153" s="33"/>
      <c r="F1153" s="33"/>
      <c r="G1153" s="33"/>
      <c r="H1153" s="33"/>
      <c r="I1153" s="33"/>
      <c r="J1153" s="33"/>
      <c r="K1153" s="38">
        <v>43186</v>
      </c>
      <c r="L1153" s="18" t="s">
        <v>248</v>
      </c>
      <c r="M1153" s="23" t="s">
        <v>279</v>
      </c>
      <c r="N1153" s="23" t="s">
        <v>1402</v>
      </c>
      <c r="O1153" s="23"/>
      <c r="P1153" s="21"/>
      <c r="Q1153" s="23" t="s">
        <v>37</v>
      </c>
      <c r="R1153" s="85" t="s">
        <v>1782</v>
      </c>
      <c r="S1153" s="23" t="s">
        <v>495</v>
      </c>
      <c r="T1153" s="23" t="s">
        <v>496</v>
      </c>
      <c r="U1153" s="23" t="s">
        <v>497</v>
      </c>
      <c r="V1153" s="23" t="s">
        <v>364</v>
      </c>
      <c r="W1153" s="85" t="s">
        <v>914</v>
      </c>
      <c r="X1153" s="85" t="s">
        <v>918</v>
      </c>
      <c r="Y1153" s="31">
        <v>3000172178</v>
      </c>
      <c r="Z1153" s="16"/>
      <c r="AA1153" s="16" t="s">
        <v>33</v>
      </c>
      <c r="AB1153" s="16" t="s">
        <v>1447</v>
      </c>
      <c r="AC1153" s="23" t="s">
        <v>532</v>
      </c>
      <c r="AD1153" s="16"/>
      <c r="AE1153" s="16"/>
      <c r="AF1153" s="27" t="s">
        <v>177</v>
      </c>
      <c r="AG1153" s="16" t="s">
        <v>243</v>
      </c>
      <c r="AH1153" s="16" t="s">
        <v>220</v>
      </c>
      <c r="AI1153" s="16" t="s">
        <v>33</v>
      </c>
      <c r="AJ1153" s="16"/>
      <c r="AK1153" s="16"/>
      <c r="AL1153" s="16"/>
      <c r="AM1153" s="16"/>
      <c r="AN1153" s="16"/>
      <c r="AO1153" s="16"/>
      <c r="AP1153" s="22" t="s">
        <v>240</v>
      </c>
      <c r="AQ1153" s="6" t="str">
        <f>CONCATENATE("REG-",BDEGENER[[#This Row],[FECHA DE SERVICIO]],"-",BDEGENER[[#This Row],[SERIE]],"-",BDEGENER[[#This Row],[HORAS]])</f>
        <v>REG-43186-3000172178-NR</v>
      </c>
      <c r="AR1153" s="5" t="str">
        <f>CONCATENATE("MARCA: ",BDEGENER[[#This Row],[MARCA]],"
 MODELO: ",BDEGENER[[#This Row],[MODELO]])</f>
        <v>MARCA: GENERAC
 MODELO: SG100</v>
      </c>
      <c r="AS1153" s="5" t="str">
        <f>CONCATENATE("MARCA: ",BDEGENER[[#This Row],[MARCA DE MOTOR]],"
SERIE: ",BDEGENER[[#This Row],[SERIE DE MOTOR]])</f>
        <v xml:space="preserve">MARCA: GENERAC
SERIE: </v>
      </c>
      <c r="AT1153" s="5" t="str">
        <f>CONCATENATE("MARCA: ",BDEGENER[[#This Row],[MARCA ALTERNADOR ]],"
SERIE: ",BDEGENER[[#This Row],[SERIE DE ALTERNADOR]])</f>
        <v xml:space="preserve">MARCA: 
SERIE: </v>
      </c>
      <c r="AU1153" s="5" t="str">
        <f>CONCATENATE("HORAS: ",BDEGENER[[#This Row],[HORAS]],"
KW-HR: ",BDEGENER[[#This Row],[KW-HORA]],"
VOLT.BATERIA: ",BDEGENER[[#This Row],[VOLTAJE DE BATERIA]],"
TEMPERATURA: ",BDEGENER[[#This Row],[TEMPERATURA DE AGUA]],"
PRES. ACEITE: ",BDEGENER[[#This Row],[PRESION DE ACEITE]])</f>
        <v xml:space="preserve">HORAS: NR
KW-HR: 
VOLT.BATERIA: 
TEMPERATURA: 
PRES. ACEITE: </v>
      </c>
      <c r="AV1153" s="761">
        <f>COUNTIFS(Q1153:Q3153,"MANTENIMIENTO CORRECTIVO",Y1153:Y3153,BDEGENER[[#This Row],[SERIE]])</f>
        <v>0</v>
      </c>
      <c r="AW1153" s="761">
        <f>COUNTIFS(Q1153:Q3153,"MANTENIMIENTO PREVENTIVO",Y1153:Y3153,BDEGENER[[#This Row],[SERIE]])</f>
        <v>1</v>
      </c>
      <c r="AX1153" s="29" t="str">
        <f>IF(BDEGENER[[#This Row],[TIPO DE SERVICIO]]="MANTENIMIENTO PREVENTIVO",CONCATENATE(BDEGENER[[#This Row],[TIPO DE SERVICIO]]," N°",BDEGENER[[#This Row],[N° DE PREVENTIVOS]]),IF(BDEGENER[[#This Row],[TIPO DE SERVICIO]]="MANTENIMIENTO CORRECTIVO",CONCATENATE(BDEGENER[[#This Row],[TIPO DE SERVICIO]]," N°",BDEGENER[[#This Row],[N° DE  CORRECTIVOS]]),BDEGENER[[#This Row],[TIPO DE SERVICIO]]))</f>
        <v>MANTENIMIENTO PREVENTIVO N°1</v>
      </c>
      <c r="AY1153" s="29">
        <f>COUNTIFS(BDEGENER[SERIE],BDEGENER[[#This Row],[SERIE]],BDEGENER[TIPO DE SERVICIO],"MANTENIMIENTO PREVENTIVO")</f>
        <v>2</v>
      </c>
      <c r="AZ1153" s="29" t="str">
        <f>CONCATENATE("MANTENIMIENTO PREVENTIVO N°",BDEGENER[[#This Row],[GA1]])</f>
        <v>MANTENIMIENTO PREVENTIVO N°2</v>
      </c>
      <c r="BA1153" s="325" t="str">
        <f>IF(BDEGENER[[#This Row],[SERVICIO]]=BDEGENER[[#This Row],[GA2]],BDEGENER[[#This Row],[HORAS]],"0")</f>
        <v>0</v>
      </c>
      <c r="BB1153" s="325">
        <f>SUMIF(BDEGENER[SERIE],BDEGENER[[#This Row],[SERIE]],BDEGENER[GA3])</f>
        <v>2824.4</v>
      </c>
      <c r="BC1153" s="761" t="str">
        <f>CONCATENATE("MANT",COUNTIF($Y$7:Y1153,Y1153))</f>
        <v>MANT3</v>
      </c>
      <c r="BD1153" s="29" t="str">
        <f>CONCATENATE(BDEGENER[[#This Row],[SERIE]],BDEGENER[[#This Row],[GA5]])</f>
        <v>3000172178MANT3</v>
      </c>
      <c r="BE1153" s="29" t="str">
        <f>CONCATENATE(BDEGENER[[#This Row],[CODIGO PATRIMONIAL]],BDEGENER[[#This Row],[GA5]])</f>
        <v>MANT3</v>
      </c>
      <c r="BF1153" s="16">
        <f>COUNTIF(BDEGENER[SERIE],BDEGENER[[#This Row],[SERIE]])</f>
        <v>3</v>
      </c>
      <c r="BG1153" s="761" t="str">
        <f>CONCATENATE("F",COUNTIF($K$7:K1153,K1153))</f>
        <v>F1</v>
      </c>
      <c r="BH1153" s="325" t="str">
        <f>CONCATENATE(BDEGENER[[#This Row],[FECHA DE SERVICIO]],BDEGENER[[#This Row],[N° DE REGISTROS DEL DIA]])</f>
        <v>43186F1</v>
      </c>
      <c r="BI1153" s="324"/>
      <c r="BJ1153" s="325"/>
      <c r="BK1153" s="326"/>
    </row>
  </sheetData>
  <mergeCells count="11">
    <mergeCell ref="AR4:BK5"/>
    <mergeCell ref="AP4:AQ5"/>
    <mergeCell ref="B4:K5"/>
    <mergeCell ref="W5:AH5"/>
    <mergeCell ref="AI5:AJ5"/>
    <mergeCell ref="AK5:AL5"/>
    <mergeCell ref="W4:AO4"/>
    <mergeCell ref="O4:P5"/>
    <mergeCell ref="L4:N5"/>
    <mergeCell ref="Q4:V5"/>
    <mergeCell ref="AM5:AO5"/>
  </mergeCells>
  <hyperlinks>
    <hyperlink ref="P790" r:id="rId1" xr:uid="{00000000-0004-0000-0F00-000000000000}"/>
    <hyperlink ref="P791" r:id="rId2" xr:uid="{00000000-0004-0000-0F00-000001000000}"/>
    <hyperlink ref="P789" r:id="rId3" xr:uid="{00000000-0004-0000-0F00-000002000000}"/>
    <hyperlink ref="P751:P753" r:id="rId4" display="0003-001148" xr:uid="{00000000-0004-0000-0F00-000003000000}"/>
    <hyperlink ref="P799" r:id="rId5" xr:uid="{00000000-0004-0000-0F00-000004000000}"/>
    <hyperlink ref="AQ803" r:id="rId6" display="ACTAS DE CONFORMIDAD\AC-2019\10-2019\24-10-2019\REG-43762-3003963149-976.3.pdf" xr:uid="{00000000-0004-0000-0F00-000005000000}"/>
    <hyperlink ref="AQ814" r:id="rId7" display="ACTAS DE CONFORMIDAD\AC-2019\10-2019\18-10-2019\REG-43756-3004370193-1022.pdf" xr:uid="{00000000-0004-0000-0F00-000006000000}"/>
    <hyperlink ref="AQ828" r:id="rId8" display="ACTAS DE CONFORMIDAD\AC-2019\10-2019\10-10-2019\REG-43748-3004597775-485.pdf" xr:uid="{00000000-0004-0000-0F00-000007000000}"/>
    <hyperlink ref="AQ827" r:id="rId9" display="ACTAS DE CONFORMIDAD\AC-2019\10-2019\10-10-2019\REG-43748-3004555915-506.8.pdf" xr:uid="{00000000-0004-0000-0F00-000008000000}"/>
    <hyperlink ref="AQ826" r:id="rId10" display="ACTAS DE CONFORMIDAD\AC-2019\10-2019\10-10-2019\REG-43748-3004370203-707.pdf" xr:uid="{00000000-0004-0000-0F00-000009000000}"/>
    <hyperlink ref="AQ825" r:id="rId11" display="ACTAS DE CONFORMIDAD\AC-2019\10-2019\10-10-2019\REG-43748-3004555912-445.6.pdf" xr:uid="{00000000-0004-0000-0F00-00000A000000}"/>
    <hyperlink ref="AQ831" r:id="rId12" display="ACTAS DE CONFORMIDAD\AC-2019\10-2019\02-10-2019\REG-43740-3003415539-3215.4.pdf" xr:uid="{00000000-0004-0000-0F00-00000B000000}"/>
    <hyperlink ref="AQ830" r:id="rId13" display="ACTAS DE CONFORMIDAD\AC-2019\10-2019\02-10-2019\REG-43740-3003963149-666.pdf" xr:uid="{00000000-0004-0000-0F00-00000C000000}"/>
    <hyperlink ref="AQ829" r:id="rId14" display="ACTAS DE CONFORMIDAD\AC-2019\10-2019\02-10-2019\REG-43740-3004370193-NR.pdf" xr:uid="{00000000-0004-0000-0F00-00000D000000}"/>
    <hyperlink ref="P807" r:id="rId15" xr:uid="{00000000-0004-0000-0F00-00000E000000}"/>
    <hyperlink ref="P841:P847" r:id="rId16" display="0003-001045" xr:uid="{00000000-0004-0000-0F00-00000F000000}"/>
    <hyperlink ref="AQ926" r:id="rId17" display="ACTAS DE CONFORMIDAD\AC-2019\08-2019\01-08-2019\REG-43678-3004370195-439.7.pdf" xr:uid="{00000000-0004-0000-0F00-000010000000}"/>
    <hyperlink ref="AQ925" r:id="rId18" display="ACTAS DE CONFORMIDAD\AC-2019\08-2019\01-08-2019\REG-43678-3004370193-502.7.pdf" xr:uid="{00000000-0004-0000-0F00-000011000000}"/>
    <hyperlink ref="AQ916" r:id="rId19" display="ACTAS DE CONFORMIDAD\AC-2019\08-2019\10-08-2019\REG-43687-PEE2626891-69.pdf" xr:uid="{00000000-0004-0000-0F00-000012000000}"/>
    <hyperlink ref="AQ915" r:id="rId20" display="ACTAS DE CONFORMIDAD\AC-2019\08-2019\10-08-2019\REG-43687-3003932011-14.1.pdf" xr:uid="{00000000-0004-0000-0F00-000013000000}"/>
    <hyperlink ref="AQ927" r:id="rId21" display="ACTAS DE CONFORMIDAD\AC-2019\08-2019\01-08-2019\REG-43678-3004555912-54.5.pdf" xr:uid="{00000000-0004-0000-0F00-000014000000}"/>
    <hyperlink ref="AQ928" r:id="rId22" display="ACTAS DE CONFORMIDAD\AC-2019\08-2019\01-08-2019\REG-43678-3004597775-100.9.pdf" xr:uid="{00000000-0004-0000-0F00-000015000000}"/>
    <hyperlink ref="AQ919" r:id="rId23" display="ACTAS DE CONFORMIDAD\AC-2019\08-2019\06-08-2019\REG-43683-3004370203-435.7.pdf" xr:uid="{00000000-0004-0000-0F00-000016000000}"/>
    <hyperlink ref="AQ920" r:id="rId24" display="ACTAS DE CONFORMIDAD\AC-2019\08-2019\06-08-2019\REG-43683-3004597773-0.5.pdf" xr:uid="{00000000-0004-0000-0F00-000017000000}"/>
    <hyperlink ref="AQ917" r:id="rId25" display="ACTAS DE CONFORMIDAD\AC-2019\08-2019\10-08-2019\REG-43687-PEE2628355-59.6.pdf" xr:uid="{00000000-0004-0000-0F00-000018000000}"/>
    <hyperlink ref="AQ906" r:id="rId26" display="ACTAS DE CONFORMIDAD\AC-2019\08-2019\23-08-2019\REG-43700-3004597775-259.2.pdf" xr:uid="{00000000-0004-0000-0F00-000019000000}"/>
    <hyperlink ref="AQ905" r:id="rId27" display="ACTAS DE CONFORMIDAD\AC-2019\08-2019\23-08-2019\REG-43700-3003963149-358.1.pdf" xr:uid="{00000000-0004-0000-0F00-00001A000000}"/>
    <hyperlink ref="AQ904" r:id="rId28" display="ACTAS DE CONFORMIDAD\AC-2019\08-2019\23-08-2019\REG-43700-3004555912-235.2.pdf" xr:uid="{00000000-0004-0000-0F00-00001B000000}"/>
    <hyperlink ref="AQ653" r:id="rId29" display="ACTAS DE CONFORMIDAD\AC-2020\01-2020\25-01-2020\REG-43855-6JA02716-2751.pdf" xr:uid="{00000000-0004-0000-0F00-00001C000000}"/>
    <hyperlink ref="AQ655" r:id="rId30" display="ACTAS DE CONFORMIDAD\AC-2020\01-2020\24-01-2020\REG-43854-3004337388-853.4.pdf" xr:uid="{00000000-0004-0000-0F00-00001D000000}"/>
    <hyperlink ref="AQ654" r:id="rId31" display="ACTAS DE CONFORMIDAD\AC-2020\01-2020\24-01-2020\REG-43854-3004214491-323.6.pdf" xr:uid="{00000000-0004-0000-0F00-00001E000000}"/>
    <hyperlink ref="AQ656" r:id="rId32" display="ACTAS DE CONFORMIDAD\AC-2020\01-2020\24-01-2020\REG-43854-3004416581-842.2.pdf" xr:uid="{00000000-0004-0000-0F00-00001F000000}"/>
    <hyperlink ref="AQ657" r:id="rId33" display="ACTAS DE CONFORMIDAD\AC-2020\01-2020\24-01-2020\REG-43854-3004402507-1189.pdf" xr:uid="{00000000-0004-0000-0F00-000020000000}"/>
    <hyperlink ref="AQ662" r:id="rId34" display="ACTAS DE CONFORMIDAD\AC-2020\01-2020\22-01-2020\REG-43852-3004402507-1154.5.pdf" xr:uid="{00000000-0004-0000-0F00-000021000000}"/>
    <hyperlink ref="AQ663" r:id="rId35" display="ACTAS DE CONFORMIDAD\AC-2020\01-2020\21-01-2020\REG-43851-3004337388-853.pdf" xr:uid="{00000000-0004-0000-0F00-000022000000}"/>
    <hyperlink ref="AQ667" r:id="rId36" display="ACTAS DE CONFORMIDAD\AC-2020\01-2020\17-01-2020\REG-43847-3004337427-531.5.pdf" xr:uid="{00000000-0004-0000-0F00-000023000000}"/>
    <hyperlink ref="AQ668" r:id="rId37" display="ACTAS DE CONFORMIDAD\AC-2020\01-2020\15-01-2020\REG-43845-3004327723-898.6.pdf" xr:uid="{00000000-0004-0000-0F00-000024000000}"/>
    <hyperlink ref="AQ669" r:id="rId38" display="ACTAS DE CONFORMIDAD\AC-2020\01-2020\15-01-2020\REG-43845-3004331708-847.3.pdf" xr:uid="{00000000-0004-0000-0F00-000025000000}"/>
    <hyperlink ref="AQ671" r:id="rId39" display="ACTAS DE CONFORMIDAD\AC-2020\01-2020\14-01-2020\REG-43844-3004227749-370.1.pdf" xr:uid="{00000000-0004-0000-0F00-000026000000}"/>
    <hyperlink ref="AQ672" r:id="rId40" display="ACTAS DE CONFORMIDAD\AC-2020\01-2020\14-01-2020\REG-43844-3004344014-608.1.pdf" xr:uid="{00000000-0004-0000-0F00-000027000000}"/>
    <hyperlink ref="AQ674" r:id="rId41" display="ACTAS DE CONFORMIDAD\AC-2020\01-2020\13-01-2020\REG-43843-3004327721-960.4.pdf" xr:uid="{00000000-0004-0000-0F00-000028000000}"/>
    <hyperlink ref="AQ675" r:id="rId42" display="ACTAS DE CONFORMIDAD\AC-2020\01-2020\13-01-2020\REG-43843-3004327722-820.4.pdf" xr:uid="{00000000-0004-0000-0F00-000029000000}"/>
    <hyperlink ref="AQ676" r:id="rId43" display="ACTAS DE CONFORMIDAD\AC-2020\01-2020\13-01-2020\REG-43843-3004336198-920.4.pdf" xr:uid="{00000000-0004-0000-0F00-00002A000000}"/>
    <hyperlink ref="AQ673" r:id="rId44" display="ACTAS DE CONFORMIDAD\AC-2020\01-2020\13-01-2020\REG-43843-3004327724-1002.7.pdf" xr:uid="{00000000-0004-0000-0F00-00002B000000}"/>
    <hyperlink ref="AQ677" r:id="rId45" display="ACTAS DE CONFORMIDAD\AC-2020\01-2020\11-01-2020\REG-43841-3003953317-918.3.pdf" xr:uid="{00000000-0004-0000-0F00-00002C000000}"/>
    <hyperlink ref="AQ678" r:id="rId46" display="ACTAS DE CONFORMIDAD\AC-2020\01-2020\10-01-2020\REG-43840-3004418791-817.2.pdf" xr:uid="{00000000-0004-0000-0F00-00002D000000}"/>
    <hyperlink ref="AQ679" r:id="rId47" display="ACTAS DE CONFORMIDAD\AC-2020\01-2020\10-01-2020\REG-43840-3004337429-449.8.pdf" xr:uid="{00000000-0004-0000-0F00-00002E000000}"/>
    <hyperlink ref="AQ680" r:id="rId48" display="ACTAS DE CONFORMIDAD\AC-2020\01-2020\10-01-2020\REG-43840-3004416580-870.1.pdf" xr:uid="{00000000-0004-0000-0F00-00002F000000}"/>
    <hyperlink ref="AQ681" r:id="rId49" display="ACTAS DE CONFORMIDAD\AC-2020\01-2020\10-01-2020\REG-43840-3004418790-940.pdf" xr:uid="{00000000-0004-0000-0F00-000030000000}"/>
    <hyperlink ref="AQ682" r:id="rId50" display="ACTAS DE CONFORMIDAD\AC-2020\01-2020\10-01-2020\REG-43840-3004402507-933.8.pdf" xr:uid="{00000000-0004-0000-0F00-000031000000}"/>
    <hyperlink ref="AQ683" r:id="rId51" display="ACTAS DE CONFORMIDAD\AC-2020\01-2020\10-01-2020\REG-43840-8893263-83.2.pdf" xr:uid="{00000000-0004-0000-0F00-000032000000}"/>
    <hyperlink ref="AQ685" r:id="rId52" display="ACTAS DE CONFORMIDAD\AC-2020\01-2020\09-01-2020\REG-43839-3004290369-105.9.pdf" xr:uid="{00000000-0004-0000-0F00-000033000000}"/>
    <hyperlink ref="AQ686" r:id="rId53" display="ACTAS DE CONFORMIDAD\AC-2020\01-2020\09-01-2020\REG-43839-3004235514-129.9.pdf" xr:uid="{00000000-0004-0000-0F00-000034000000}"/>
    <hyperlink ref="AQ687" r:id="rId54" display="ACTAS DE CONFORMIDAD\AC-2020\01-2020\09-01-2020\REG-43839-3004290364-132.4.pdf" xr:uid="{00000000-0004-0000-0F00-000035000000}"/>
    <hyperlink ref="AQ688" r:id="rId55" display="ACTAS DE CONFORMIDAD\AC-2020\01-2020\09-01-2020\REG-43839-3004331707-197.9.pdf" xr:uid="{00000000-0004-0000-0F00-000036000000}"/>
    <hyperlink ref="AQ689" r:id="rId56" display="ACTAS DE CONFORMIDAD\AC-2020\01-2020\08-01-2020\REG-43838-3004331709-1001.9.pdf" xr:uid="{00000000-0004-0000-0F00-000037000000}"/>
    <hyperlink ref="AQ690" r:id="rId57" display="ACTAS DE CONFORMIDAD\AC-2020\01-2020\08-01-2020\REG-43838-3004331705-1018.1.pdf" xr:uid="{00000000-0004-0000-0F00-000038000000}"/>
    <hyperlink ref="AQ691" r:id="rId58" display="ACTAS DE CONFORMIDAD\AC-2020\01-2020\08-01-2020\REG-43838-3005005010-396.1.pdf" xr:uid="{00000000-0004-0000-0F00-000039000000}"/>
    <hyperlink ref="AQ692" r:id="rId59" display="ACTAS DE CONFORMIDAD\AC-2020\01-2020\07-01-2020\REG-43837-3004428523-349.9.pdf" xr:uid="{00000000-0004-0000-0F00-00003A000000}"/>
    <hyperlink ref="AQ693" r:id="rId60" display="ACTAS DE CONFORMIDAD\AC-2020\01-2020\04-01-2020\REG-43834-3004381437-115.4.pdf" xr:uid="{00000000-0004-0000-0F00-00003B000000}"/>
    <hyperlink ref="P695" r:id="rId61" xr:uid="{00000000-0004-0000-0F00-00003C000000}"/>
    <hyperlink ref="P729:P733" r:id="rId62" display="0003-001150" xr:uid="{00000000-0004-0000-0F00-00003D000000}"/>
    <hyperlink ref="AQ695" r:id="rId63" display="ACTAS DE CONFORMIDAD\AC-2020\01-2020\03-01-2020\REG-43833-3004256777-132.1.pdf" xr:uid="{00000000-0004-0000-0F00-00003E000000}"/>
    <hyperlink ref="AQ696" r:id="rId64" display="ACTAS DE CONFORMIDAD\AC-2020\01-2020\03-01-2020\REG-43833-3004214491-192.5.pdf" xr:uid="{00000000-0004-0000-0F00-00003F000000}"/>
    <hyperlink ref="AQ697" r:id="rId65" display="ACTAS DE CONFORMIDAD\AC-2020\01-2020\03-01-2020\REG-43833-3004290366-778.1.pdf" xr:uid="{00000000-0004-0000-0F00-000040000000}"/>
    <hyperlink ref="AQ698" r:id="rId66" display="ACTAS DE CONFORMIDAD\AC-2020\01-2020\03-01-2020\REG-43833-3004336197-393.7.pdf" xr:uid="{00000000-0004-0000-0F00-000041000000}"/>
    <hyperlink ref="AQ694" r:id="rId67" display="ACTAS DE CONFORMIDAD\AC-2020\01-2020\03-01-2020\REG-43833-3004402508-99.1.pdf" xr:uid="{00000000-0004-0000-0F00-000042000000}"/>
    <hyperlink ref="AQ699" r:id="rId68" display="ACTAS DE CONFORMIDAD\AC-2020\01-2020\03-01-2020\REG-43833-3004402506-844.8.pdf" xr:uid="{00000000-0004-0000-0F00-000043000000}"/>
    <hyperlink ref="AQ700" r:id="rId69" display="ACTAS DE CONFORMIDAD\AC-2020\01-2020\02-01-2020\REG-43832-3004218547-142.9.pdf" xr:uid="{00000000-0004-0000-0F00-000044000000}"/>
    <hyperlink ref="AQ701" r:id="rId70" display="ACTAS DE CONFORMIDAD\AC-2020\01-2020\02-01-2020\REG-43832-3004337428-68.pdf" xr:uid="{00000000-0004-0000-0F00-000045000000}"/>
    <hyperlink ref="AQ702" r:id="rId71" display="ACTAS DE CONFORMIDAD\AC-2020\01-2020\02-01-2020\REG-43832-3004337430-177.5.pdf" xr:uid="{00000000-0004-0000-0F00-000046000000}"/>
    <hyperlink ref="AQ703" r:id="rId72" display="ACTAS DE CONFORMIDAD\AC-2020\01-2020\02-01-2020\REG-43832-3004327725-50.6.pdf" xr:uid="{00000000-0004-0000-0F00-000047000000}"/>
    <hyperlink ref="P693" r:id="rId73" xr:uid="{00000000-0004-0000-0F00-000048000000}"/>
    <hyperlink ref="P700" r:id="rId74" xr:uid="{00000000-0004-0000-0F00-000049000000}"/>
    <hyperlink ref="P735:P737" r:id="rId75" display="0003-001148" xr:uid="{00000000-0004-0000-0F00-00004A000000}"/>
    <hyperlink ref="P656" r:id="rId76" xr:uid="{00000000-0004-0000-0F00-00004B000000}"/>
    <hyperlink ref="P657" r:id="rId77" xr:uid="{00000000-0004-0000-0F00-00004C000000}"/>
    <hyperlink ref="P659" r:id="rId78" xr:uid="{00000000-0004-0000-0F00-00004D000000}"/>
    <hyperlink ref="P663" r:id="rId79" xr:uid="{00000000-0004-0000-0F00-00004E000000}"/>
    <hyperlink ref="P667" r:id="rId80" xr:uid="{00000000-0004-0000-0F00-00004F000000}"/>
    <hyperlink ref="P668" r:id="rId81" xr:uid="{00000000-0004-0000-0F00-000050000000}"/>
    <hyperlink ref="P669" r:id="rId82" xr:uid="{00000000-0004-0000-0F00-000051000000}"/>
    <hyperlink ref="P671" r:id="rId83" xr:uid="{00000000-0004-0000-0F00-000052000000}"/>
    <hyperlink ref="P672" r:id="rId84" xr:uid="{00000000-0004-0000-0F00-000053000000}"/>
    <hyperlink ref="P674" r:id="rId85" xr:uid="{00000000-0004-0000-0F00-000054000000}"/>
    <hyperlink ref="P709:P711" r:id="rId86" display="0003-001161" xr:uid="{00000000-0004-0000-0F00-000055000000}"/>
    <hyperlink ref="P677" r:id="rId87" xr:uid="{00000000-0004-0000-0F00-000056000000}"/>
    <hyperlink ref="P678" r:id="rId88" xr:uid="{00000000-0004-0000-0F00-000057000000}"/>
    <hyperlink ref="P680" r:id="rId89" xr:uid="{00000000-0004-0000-0F00-000058000000}"/>
    <hyperlink ref="P681" r:id="rId90" xr:uid="{00000000-0004-0000-0F00-000059000000}"/>
    <hyperlink ref="P682" r:id="rId91" xr:uid="{00000000-0004-0000-0F00-00005A000000}"/>
    <hyperlink ref="P683" r:id="rId92" xr:uid="{00000000-0004-0000-0F00-00005B000000}"/>
    <hyperlink ref="P689" r:id="rId93" xr:uid="{00000000-0004-0000-0F00-00005C000000}"/>
    <hyperlink ref="P690" r:id="rId94" xr:uid="{00000000-0004-0000-0F00-00005D000000}"/>
    <hyperlink ref="P691" r:id="rId95" xr:uid="{00000000-0004-0000-0F00-00005E000000}"/>
    <hyperlink ref="P692" r:id="rId96" xr:uid="{00000000-0004-0000-0F00-00005F000000}"/>
    <hyperlink ref="AQ643" r:id="rId97" display="ACTAS DE CONFORMIDAD\AC-2020\01-2020\31-01-2020\REG-43861-3005005007-424.3.pdf" xr:uid="{00000000-0004-0000-0F00-000060000000}"/>
    <hyperlink ref="P643" r:id="rId98" xr:uid="{00000000-0004-0000-0F00-000061000000}"/>
    <hyperlink ref="AQ707" r:id="rId99" display="ACTAS DE CONFORMIDAD\AC-2019\12-2019\23-12-2019\REG-43822-3004555914-852.pdf" xr:uid="{00000000-0004-0000-0F00-000062000000}"/>
    <hyperlink ref="AQ713" r:id="rId100" display="ACTAS DE CONFORMIDAD\AC-2019\12-2019\11-12-2019\REG-43810-3004327721-711.7.pdf" xr:uid="{00000000-0004-0000-0F00-000063000000}"/>
    <hyperlink ref="AQ717" r:id="rId101" display="ACTAS DE CONFORMIDAD\AC-2019\12-2019\11-12-2019\REG-43810-3004331709-850.pdf" xr:uid="{00000000-0004-0000-0F00-000064000000}"/>
    <hyperlink ref="AQ718" r:id="rId102" display="ACTAS DE CONFORMIDAD\AC-2019\12-2019\11-12-2019\REG-43810-3004999911-122.pdf" xr:uid="{00000000-0004-0000-0F00-000065000000}"/>
    <hyperlink ref="AQ722" r:id="rId103" display="ACTAS DE CONFORMIDAD\AC-2019\12-2019\04-12-2019\REG-43803-1603600-1493.pdf" xr:uid="{00000000-0004-0000-0F00-000066000000}"/>
    <hyperlink ref="AQ723" r:id="rId104" display="ACTAS DE CONFORMIDAD\AC-2019\12-2019\04-12-2019\REG-43803-3005005010-109.9.pdf" xr:uid="{00000000-0004-0000-0F00-000067000000}"/>
    <hyperlink ref="AQ724" r:id="rId105" display="ACTAS DE CONFORMIDAD\AC-2019\12-2019\04-12-2019\REG-43803-3005005007-109.3.pdf" xr:uid="{00000000-0004-0000-0F00-000068000000}"/>
    <hyperlink ref="AQ725" r:id="rId106" display="ACTAS DE CONFORMIDAD\AC-2019\12-2019\04-12-2019\REG-43803-3004999911-27.4.pdf" xr:uid="{00000000-0004-0000-0F00-000069000000}"/>
    <hyperlink ref="AQ726" r:id="rId107" display="ACTAS DE CONFORMIDAD\AC-2019\11-2019\29-11-2019\REG-43798-3004337388-390.pdf" xr:uid="{00000000-0004-0000-0F00-00006A000000}"/>
    <hyperlink ref="AQ727" r:id="rId108" display="ACTAS DE CONFORMIDAD\AC-2019\11-2019\29-11-2019\REG-43798-3005005007-56.pdf" xr:uid="{00000000-0004-0000-0F00-00006B000000}"/>
    <hyperlink ref="AQ728" r:id="rId109" display="ACTAS DE CONFORMIDAD\AC-2019\11-2019\29-11-2019\REG-43798-3005005010-38.9.pdf" xr:uid="{00000000-0004-0000-0F00-00006C000000}"/>
    <hyperlink ref="AQ729" r:id="rId110" display="ACTAS DE CONFORMIDAD\AC-2019\11-2019\29-11-2019\REG-43798-3003932013-1332.4.pdf" xr:uid="{00000000-0004-0000-0F00-00006D000000}"/>
    <hyperlink ref="AQ731" r:id="rId111" display="ACTAS DE CONFORMIDAD\AC-2019\11-2019\28-11-2019\REG-43797-3004555914-851.8.pdf" xr:uid="{00000000-0004-0000-0F00-00006E000000}"/>
    <hyperlink ref="AQ730" r:id="rId112" display="ACTAS DE CONFORMIDAD\AC-2019\11-2019\28-11-2019\REG-43797-3004418791-427.6.pdf" xr:uid="{00000000-0004-0000-0F00-00006F000000}"/>
    <hyperlink ref="AQ732" r:id="rId113" display="ACTAS DE CONFORMIDAD\AC-2019\11-2019\28-11-2019\REG-43797-3004402507-482.8.pdf" xr:uid="{00000000-0004-0000-0F00-000070000000}"/>
    <hyperlink ref="AQ733" r:id="rId114" display="ACTAS DE CONFORMIDAD\AC-2019\11-2019\28-11-2019\REG-43797-3004416580-522.3.pdf" xr:uid="{00000000-0004-0000-0F00-000071000000}"/>
    <hyperlink ref="AQ734" r:id="rId115" display="ACTAS DE CONFORMIDAD\AC-2019\11-2019\27-11-2019\REG-43796-3004381438-535.9.pdf" xr:uid="{00000000-0004-0000-0F00-000072000000}"/>
    <hyperlink ref="AQ735" r:id="rId116" display="ACTAS DE CONFORMIDAD\AC-2019\11-2019\27-11-2019\REG-43796-3004416581-540.6.pdf" xr:uid="{00000000-0004-0000-0F00-000073000000}"/>
    <hyperlink ref="AQ736" r:id="rId117" display="ACTAS DE CONFORMIDAD\AC-2019\11-2019\27-11-2019\REG-43796-3004416582-517.6.pdf" xr:uid="{00000000-0004-0000-0F00-000074000000}"/>
    <hyperlink ref="AQ737" r:id="rId118" display="ACTAS DE CONFORMIDAD\AC-2019\11-2019\27-11-2019\REG-43796-3004344014-312.4.pdf" xr:uid="{00000000-0004-0000-0F00-000075000000}"/>
    <hyperlink ref="AQ738" r:id="rId119" display="ACTAS DE CONFORMIDAD\AC-2019\11-2019\27-11-2019\REG-43796-3004418790-475.4.pdf" xr:uid="{00000000-0004-0000-0F00-000076000000}"/>
    <hyperlink ref="AQ761" r:id="rId120" display="ACTAS DE CONFORMIDAD\AC-2019\11-2019\22-11-2019\REG-43791-3003963149-992.1.pdf" xr:uid="{00000000-0004-0000-0F00-000077000000}"/>
    <hyperlink ref="AQ760" r:id="rId121" display="ACTAS DE CONFORMIDAD\AC-2019\11-2019\22-11-2019\REG-43791-3004327724-744.4.pdf" xr:uid="{00000000-0004-0000-0F00-000078000000}"/>
    <hyperlink ref="AQ762" r:id="rId122" display="ACTAS DE CONFORMIDAD\AC-2019\11-2019\22-11-2019\REG-43791-3004327722-543.1.pdf" xr:uid="{00000000-0004-0000-0F00-000079000000}"/>
    <hyperlink ref="AQ763" r:id="rId123" display="ACTAS DE CONFORMIDAD\AC-2019\11-2019\22-11-2019\REG-43791-3004336198-706.6.pdf" xr:uid="{00000000-0004-0000-0F00-00007A000000}"/>
    <hyperlink ref="AQ764" r:id="rId124" display="ACTAS DE CONFORMIDAD\AC-2019\11-2019\22-11-2019\REG-43791-3004327721-563.8.pdf" xr:uid="{00000000-0004-0000-0F00-00007B000000}"/>
    <hyperlink ref="AQ765" r:id="rId125" display="ACTAS DE CONFORMIDAD\AC-2019\11-2019\22-11-2019\REG-43791-3004331709-617.5.pdf" xr:uid="{00000000-0004-0000-0F00-00007C000000}"/>
    <hyperlink ref="AQ766" r:id="rId126" display="ACTAS DE CONFORMIDAD\AC-2019\11-2019\22-11-2019\REG-43791-3004327723-586.6.pdf" xr:uid="{00000000-0004-0000-0F00-00007D000000}"/>
    <hyperlink ref="AQ767" r:id="rId127" display="ACTAS DE CONFORMIDAD\AC-2019\11-2019\22-11-2019\REG-43791-3004331708-599.3.pdf" xr:uid="{00000000-0004-0000-0F00-00007E000000}"/>
    <hyperlink ref="AQ768" r:id="rId128" display="ACTAS DE CONFORMIDAD\AC-2019\11-2019\22-11-2019\REG-43791-3004331705-639.7.pdf" xr:uid="{00000000-0004-0000-0F00-00007F000000}"/>
    <hyperlink ref="AQ772" r:id="rId129" display="ACTAS DE CONFORMIDAD\AC-2019\11-2019\19-11-2019\REG-43788-3004344017-518.1.pdf" xr:uid="{00000000-0004-0000-0F00-000080000000}"/>
    <hyperlink ref="AQ773" r:id="rId130" display="ACTAS DE CONFORMIDAD\AC-2019\11-2019\19-11-2019\REG-43788-3004337427-240.6.pdf" xr:uid="{00000000-0004-0000-0F00-000081000000}"/>
    <hyperlink ref="AQ774" r:id="rId131" display="ACTAS DE CONFORMIDAD\AC-2019\11-2019\19-11-2019\REG-43788-3004402506-526.4.pdf" xr:uid="{00000000-0004-0000-0F00-000082000000}"/>
    <hyperlink ref="AQ775" r:id="rId132" display="ACTAS DE CONFORMIDAD\AC-2019\11-2019\19-11-2019\REG-43788-3004336197-49.2.pdf" xr:uid="{00000000-0004-0000-0F00-000083000000}"/>
    <hyperlink ref="AQ776" r:id="rId133" display="ACTAS DE CONFORMIDAD\AC-2019\11-2019\19-11-2019\REG-43788-3004227749-45.3.pdf" xr:uid="{00000000-0004-0000-0F00-000084000000}"/>
    <hyperlink ref="AQ777" r:id="rId134" display="ACTAS DE CONFORMIDAD\AC-2019\11-2019\19-11-2019\REG-43788-3004290368-373.4.pdf" xr:uid="{00000000-0004-0000-0F00-000085000000}"/>
    <hyperlink ref="AQ778" r:id="rId135" display="ACTAS DE CONFORMIDAD\AC-2019\11-2019\19-11-2019\REG-43788-3004290366-453.1.pdf" xr:uid="{00000000-0004-0000-0F00-000086000000}"/>
    <hyperlink ref="AQ779" r:id="rId136" display="ACTAS DE CONFORMIDAD\AC-2019\11-2019\19-11-2019\REG-43788-3004381435-109.8.pdf" xr:uid="{00000000-0004-0000-0F00-000087000000}"/>
    <hyperlink ref="AQ782" r:id="rId137" display="ACTAS DE CONFORMIDAD\AC-2019\11-2019\18-11-2019\REG-43787-3004381438-98.2.pdf" xr:uid="{00000000-0004-0000-0F00-000088000000}"/>
    <hyperlink ref="AQ781" r:id="rId138" display="ACTAS DE CONFORMIDAD\AC-2019\11-2019\18-11-2019\REG-43787-3004418791-49.1.pdf" xr:uid="{00000000-0004-0000-0F00-000089000000}"/>
    <hyperlink ref="AQ783" r:id="rId139" display="ACTAS DE CONFORMIDAD\AC-2019\11-2019\18-11-2019\REG-43787-3004402507-79.9.pdf" xr:uid="{00000000-0004-0000-0F00-00008A000000}"/>
    <hyperlink ref="AQ784" r:id="rId140" display="ACTAS DE CONFORMIDAD\AC-2019\11-2019\18-11-2019\REG-43787-3004418790-55.7.pdf" xr:uid="{00000000-0004-0000-0F00-00008B000000}"/>
    <hyperlink ref="AQ786" r:id="rId141" display="ACTAS DE CONFORMIDAD\AC-2019\11-2019\18-11-2019\REG-43787-3004337429-127.5.pdf" xr:uid="{00000000-0004-0000-0F00-00008C000000}"/>
    <hyperlink ref="AQ785" r:id="rId142" display="ACTAS DE CONFORMIDAD\AC-2019\11-2019\18-11-2019\REG-43787-3004344014-52.6.pdf" xr:uid="{00000000-0004-0000-0F00-00008D000000}"/>
    <hyperlink ref="AQ789" r:id="rId143" display="ACTAS DE CONFORMIDAD\AC-2019\11-2019\14-11-2019\REG-43783-3005005010-0.9.pdf" xr:uid="{00000000-0004-0000-0F00-00008E000000}"/>
    <hyperlink ref="AQ790" r:id="rId144" display="ACTAS DE CONFORMIDAD\AC-2019\11-2019\14-11-2019\REG-43783-3004999911-0.pdf" xr:uid="{00000000-0004-0000-0F00-00008F000000}"/>
    <hyperlink ref="AQ791" r:id="rId145" display="ACTAS DE CONFORMIDAD\AC-2019\11-2019\14-11-2019\REG-43783-3005005007-0.pdf" xr:uid="{00000000-0004-0000-0F00-000090000000}"/>
    <hyperlink ref="AQ798" r:id="rId146" display="ACTAS DE CONFORMIDAD\AC-2019\11-2019\08-11-2019\REG-43777-3004428523-117.4.pdf" xr:uid="{00000000-0004-0000-0F00-000091000000}"/>
    <hyperlink ref="AQ799" r:id="rId147" display="ACTAS DE CONFORMIDAD\AC-2019\11-2019\06-11-2019\REG-43775-3004597773-539.7.pdf" xr:uid="{00000000-0004-0000-0F00-000092000000}"/>
    <hyperlink ref="P640" r:id="rId148" xr:uid="{00000000-0004-0000-0F00-000093000000}"/>
    <hyperlink ref="P641" r:id="rId149" xr:uid="{00000000-0004-0000-0F00-000094000000}"/>
    <hyperlink ref="AQ640" r:id="rId150" display="ACTAS DE CONFORMIDAD\AC-2020\02-2020\05-02-2020\REG-43866-3004337430-563.pdf" xr:uid="{00000000-0004-0000-0F00-000095000000}"/>
    <hyperlink ref="AQ641" r:id="rId151" display="ACTAS DE CONFORMIDAD\AC-2020\02-2020\04-02-2020\REG-43865-3004235514-460.7.pdf" xr:uid="{00000000-0004-0000-0F00-000096000000}"/>
    <hyperlink ref="AQ642" r:id="rId152" display="ACTAS DE CONFORMIDAD\AC-2020\02-2020\03-02-2020\REG-43864-3004214491-470.3.pdf" xr:uid="{00000000-0004-0000-0F00-000097000000}"/>
    <hyperlink ref="AQ664" r:id="rId153" display="ACTAS DE CONFORMIDAD\AC-2020\01-2020\20-01-2020\REG-43850-3004290365-592.9.pdf" xr:uid="{00000000-0004-0000-0F00-000098000000}"/>
    <hyperlink ref="AQ665" r:id="rId154" display="ACTAS DE CONFORMIDAD\AC-2020\01-2020\20-01-2020\REG-43850-3004290368-783.pdf" xr:uid="{00000000-0004-0000-0F00-000099000000}"/>
    <hyperlink ref="AQ771" r:id="rId155" display="ACTAS DE CONFORMIDAD\AC-2019\11-2019\19-11-2019\REG-43788-3004336196-339.9.pdf" xr:uid="{00000000-0004-0000-0F00-00009A000000}"/>
    <hyperlink ref="AQ770" r:id="rId156" display="ACTAS DE CONFORMIDAD\AC-2019\11-2019\19-11-2019\REG-43788-3004290365-228.5.pdf" xr:uid="{00000000-0004-0000-0F00-00009B000000}"/>
    <hyperlink ref="AQ807" r:id="rId157" display="ACTAS DE CONFORMIDAD\AC-2019\10-2019\21-10-2019\REG-43759-3004331709-312.9.pdf" xr:uid="{00000000-0004-0000-0F00-00009C000000}"/>
    <hyperlink ref="AQ808" r:id="rId158" display="ACTAS DE CONFORMIDAD\AC-2019\10-2019\21-10-2019\REG-43759-3004336198-408.4.pdf" xr:uid="{00000000-0004-0000-0F00-00009D000000}"/>
    <hyperlink ref="AQ809" r:id="rId159" display="ACTAS DE CONFORMIDAD\AC-2019\10-2019\21-10-2019\REG-43759-3004331705-287.7.pdf" xr:uid="{00000000-0004-0000-0F00-00009E000000}"/>
    <hyperlink ref="AQ810" r:id="rId160" display="ACTAS DE CONFORMIDAD\AC-2019\10-2019\21-10-2019\REG-43759-3004331708-280.6.pdf" xr:uid="{00000000-0004-0000-0F00-00009F000000}"/>
    <hyperlink ref="AQ806" r:id="rId161" display="ACTAS DE CONFORMIDAD\AC-2019\10-2019\21-10-2019\REG-43759-3004327724-432.7.pdf" xr:uid="{00000000-0004-0000-0F00-0000A0000000}"/>
    <hyperlink ref="AQ811" r:id="rId162" display="ACTAS DE CONFORMIDAD\AC-2019\10-2019\21-10-2019\REG-43759-3004327723-249.3.pdf" xr:uid="{00000000-0004-0000-0F00-0000A1000000}"/>
    <hyperlink ref="AQ812" r:id="rId163" display="ACTAS DE CONFORMIDAD\AC-2019\10-2019\21-10-2019\REG-43759-3004327722-245.6.pdf" xr:uid="{00000000-0004-0000-0F00-0000A2000000}"/>
    <hyperlink ref="AQ813" r:id="rId164" display="ACTAS DE CONFORMIDAD\AC-2019\10-2019\21-10-2019\REG-43759-3004327721-150.6.pdf" xr:uid="{00000000-0004-0000-0F00-0000A3000000}"/>
    <hyperlink ref="AQ818" r:id="rId165" display="ACTAS DE CONFORMIDAD\AC-2019\10-2019\16-10-2019\REG-43754-3004428523-51.2.pdf" xr:uid="{00000000-0004-0000-0F00-0000A4000000}"/>
    <hyperlink ref="AQ817" r:id="rId166" display="ACTAS DE CONFORMIDAD\AC-2019\10-2019\16-10-2019\REG-43754-9227292-2574.4.pdf" xr:uid="{00000000-0004-0000-0F00-0000A5000000}"/>
    <hyperlink ref="AQ816" r:id="rId167" display="ACTAS DE CONFORMIDAD\AC-2019\10-2019\16-10-2019\REG-43754-9073651-3706.9.pdf" xr:uid="{00000000-0004-0000-0F00-0000A6000000}"/>
    <hyperlink ref="AQ815" r:id="rId168" display="ACTAS DE CONFORMIDAD\AC-2019\10-2019\16-10-2019\REG-43754-3003962766-691.8.pdf" xr:uid="{00000000-0004-0000-0F00-0000A7000000}"/>
    <hyperlink ref="AQ821" r:id="rId169" display="ACTAS DE CONFORMIDAD\AC-2019\10-2019\15-10-2019\REG-43753-3004416581-114.4.pdf" xr:uid="{00000000-0004-0000-0F00-0000A8000000}"/>
    <hyperlink ref="AQ822" r:id="rId170" display="ACTAS DE CONFORMIDAD\AC-2019\10-2019\15-10-2019\REG-43753-3004337388-60.5.pdf" xr:uid="{00000000-0004-0000-0F00-0000A9000000}"/>
    <hyperlink ref="AQ846" r:id="rId171" display="ACTAS DE CONFORMIDAD\AC-2019\09-2019\20-09-2019\REG-43728-3004428523-14.8.pdf" xr:uid="{00000000-0004-0000-0F00-0000AA000000}"/>
    <hyperlink ref="AQ858" r:id="rId172" display="ACTAS DE CONFORMIDAD\AC-2019\09-2019\16-09-2019\REG-43724-3004331707-0.5.pdf" xr:uid="{00000000-0004-0000-0F00-0000AB000000}"/>
    <hyperlink ref="AQ860" r:id="rId173" display="ACTAS DE CONFORMIDAD\AC-2019\09-2019\16-09-2019\REG-43724-3004337429-1.1.pdf" xr:uid="{00000000-0004-0000-0F00-0000AC000000}"/>
    <hyperlink ref="AQ861" r:id="rId174" display="ACTAS DE CONFORMIDAD\AC-2019\09-2019\16-09-2019\REG-43724-3004416581-0.5.pdf" xr:uid="{00000000-0004-0000-0F00-0000AD000000}"/>
    <hyperlink ref="AQ859" r:id="rId175" display="ACTAS DE CONFORMIDAD\AC-2019\09-2019\16-09-2019\REG-43724-3004290368-0.6.pdf" xr:uid="{00000000-0004-0000-0F00-0000AE000000}"/>
    <hyperlink ref="AQ880" r:id="rId176" display="ACTAS DE CONFORMIDAD\AC-2019\09-2019\07-09-2019\REG-43715-3004381437-1.8.pdf" xr:uid="{00000000-0004-0000-0F00-0000AF000000}"/>
    <hyperlink ref="AQ881" r:id="rId177" display="ACTAS DE CONFORMIDAD\AC-2019\09-2019\07-09-2019\REG-43715-3004337388-0.6.pdf" xr:uid="{00000000-0004-0000-0F00-0000B0000000}"/>
    <hyperlink ref="AQ882" r:id="rId178" display="ACTAS DE CONFORMIDAD\AC-2019\09-2019\07-09-2019\REG-43715-3004337427-0.7.pdf" xr:uid="{00000000-0004-0000-0F00-0000B1000000}"/>
    <hyperlink ref="AQ883" r:id="rId179" display="ACTAS DE CONFORMIDAD\AC-2019\09-2019\07-09-2019\REG-43715-3004344017-0.5.pdf" xr:uid="{00000000-0004-0000-0F00-0000B2000000}"/>
    <hyperlink ref="AQ884" r:id="rId180" display="ACTAS DE CONFORMIDAD\AC-2019\09-2019\07-09-2019\REG-43715-3004344014-13.2.pdf" xr:uid="{00000000-0004-0000-0F00-0000B3000000}"/>
    <hyperlink ref="AQ885" r:id="rId181" display="ACTAS DE CONFORMIDAD\AC-2019\09-2019\07-09-2019\REG-43715-3004402508-0.6.pdf" xr:uid="{00000000-0004-0000-0F00-0000B4000000}"/>
    <hyperlink ref="AQ886" r:id="rId182" display="ACTAS DE CONFORMIDAD\AC-2019\09-2019\07-09-2019\REG-43715-3004418791-3.9.pdf" xr:uid="{00000000-0004-0000-0F00-0000B5000000}"/>
    <hyperlink ref="AQ887" r:id="rId183" display="ACTAS DE CONFORMIDAD\AC-2019\09-2019\07-09-2019\REG-43715-3004418790-10.4.pdf" xr:uid="{00000000-0004-0000-0F00-0000B6000000}"/>
    <hyperlink ref="AQ888" r:id="rId184" display="ACTAS DE CONFORMIDAD\AC-2019\09-2019\07-09-2019\REG-43715-3004416582-3.pdf" xr:uid="{00000000-0004-0000-0F00-0000B7000000}"/>
    <hyperlink ref="AQ889" r:id="rId185" display="ACTAS DE CONFORMIDAD\AC-2019\09-2019\07-09-2019\REG-43715-3004402507-1.2.pdf" xr:uid="{00000000-0004-0000-0F00-0000B8000000}"/>
    <hyperlink ref="AQ890" r:id="rId186" display="ACTAS DE CONFORMIDAD\AC-2019\09-2019\07-09-2019\REG-43715-3004416580-8.3.pdf" xr:uid="{00000000-0004-0000-0F00-0000B9000000}"/>
    <hyperlink ref="AQ891" r:id="rId187" display="ACTAS DE CONFORMIDAD\AC-2019\09-2019\07-09-2019\REG-43715-3004381438-0.5.pdf" xr:uid="{00000000-0004-0000-0F00-0000BA000000}"/>
    <hyperlink ref="AQ819" r:id="rId188" display="ACTAS DE CONFORMIDAD\AC-2019\10-2019\15-10-2019\REG-43753-3004416580-79.6.pdf" xr:uid="{00000000-0004-0000-0F00-0000BB000000}"/>
    <hyperlink ref="AQ820" r:id="rId189" display="ACTAS DE CONFORMIDAD\AC-2019\10-2019\15-10-2019\REG-43753-3004416582-112.4.pdf" xr:uid="{00000000-0004-0000-0F00-0000BC000000}"/>
    <hyperlink ref="AQ892" r:id="rId190" display="ACTAS DE CONFORMIDAD\AC-2019\09-2019\05-09-2019\REG-43713-3004597773-235.5.pdf" xr:uid="{00000000-0004-0000-0F00-0000BD000000}"/>
    <hyperlink ref="AQ893" r:id="rId191" display="ACTAS DE CONFORMIDAD\AC-2019\09-2019\05-09-2019\REG-43713-3004555915-124.5.pdf" xr:uid="{00000000-0004-0000-0F00-0000BE000000}"/>
    <hyperlink ref="AQ894" r:id="rId192" display="ACTAS DE CONFORMIDAD\AC-2019\09-2019\05-09-2019\REG-43713-7965980-5769.4.pdf" xr:uid="{00000000-0004-0000-0F00-0000BF000000}"/>
    <hyperlink ref="AQ899" r:id="rId193" display="ACTAS DE CONFORMIDAD\AC-2019\09-2019\02-09-2019\REG-43710-3003962766-174.pdf" xr:uid="{00000000-0004-0000-0F00-0000C0000000}"/>
    <hyperlink ref="AQ862" r:id="rId194" display="ACTAS DE CONFORMIDAD\AC-2019\09-2019\14-09-2019\REG-43722-6JA02716-2748.pdf" xr:uid="{00000000-0004-0000-0F00-0000C1000000}"/>
    <hyperlink ref="AQ863" r:id="rId195" display="ACTAS DE CONFORMIDAD\AC-2019\09-2019\14-09-2019\REG-43722-6JA02715-119.6.pdf" xr:uid="{00000000-0004-0000-0F00-0000C2000000}"/>
    <hyperlink ref="AQ857" r:id="rId196" display="ACTAS DE CONFORMIDAD\AC-2019\09-2019\16-09-2019\REG-43724-3003962766-351.5.pdf" xr:uid="{00000000-0004-0000-0F00-0000C3000000}"/>
    <hyperlink ref="AQ855" r:id="rId197" display="ACTAS DE CONFORMIDAD\AC-2019\09-2019\17-09-2019\REG-43725-X08331T-864.15.pdf" xr:uid="{00000000-0004-0000-0F00-0000C4000000}"/>
    <hyperlink ref="AQ856" r:id="rId198" display="ACTAS DE CONFORMIDAD\AC-2019\09-2019\17-09-2019\REG-43725-X08231T-752.28.pdf" xr:uid="{00000000-0004-0000-0F00-0000C5000000}"/>
    <hyperlink ref="AQ851" r:id="rId199" display="ACTAS DE CONFORMIDAD\AC-2019\09-2019\18-09-2019\REG-43726-3004370193-988.5.pdf" xr:uid="{00000000-0004-0000-0F00-0000C6000000}"/>
    <hyperlink ref="AQ852" r:id="rId200" display="ACTAS DE CONFORMIDAD\AC-2019\09-2019\18-09-2019\REG-43726-3004370195-756.pdf" xr:uid="{00000000-0004-0000-0F00-0000C7000000}"/>
    <hyperlink ref="AQ853" r:id="rId201" display="ACTAS DE CONFORMIDAD\AC-2019\09-2019\18-09-2019\REG-43726-3004555914-295.pdf" xr:uid="{00000000-0004-0000-0F00-0000C8000000}"/>
    <hyperlink ref="AQ838" r:id="rId202" display="ACTAS DE CONFORMIDAD\AC-2019\09-2019\26-09-2019\REG-43734-PEE2626600-151.8.pdf" xr:uid="{00000000-0004-0000-0F00-0000C9000000}"/>
    <hyperlink ref="AQ839" r:id="rId203" display="ACTAS DE CONFORMIDAD\AC-2019\09-2019\26-09-2019\REG-43734-PEE2626877-192.1.pdf" xr:uid="{00000000-0004-0000-0F00-0000CA000000}"/>
    <hyperlink ref="AQ840" r:id="rId204" display="ACTAS DE CONFORMIDAD\AC-2019\09-2019\26-09-2019\REG-43734-3003932011-141.pdf" xr:uid="{00000000-0004-0000-0F00-0000CB000000}"/>
    <hyperlink ref="AQ841" r:id="rId205" display="ACTAS DE CONFORMIDAD\AC-2019\09-2019\26-09-2019\REG-43734-3003932010-218.3.pdf" xr:uid="{00000000-0004-0000-0F00-0000CC000000}"/>
    <hyperlink ref="AQ901" r:id="rId206" display="ACTAS DE CONFORMIDAD\AC-2019\08-2019\28-08-2019\REG-43705-3004428523-0.6.pdf" xr:uid="{00000000-0004-0000-0F00-0000CD000000}"/>
    <hyperlink ref="AQ639" r:id="rId207" display="ACTAS DE CONFORMIDAD\AC-2020\02-2020\05-02-2020\REG-43866-3005005010-733.pdf" xr:uid="{00000000-0004-0000-0F00-0000CE000000}"/>
    <hyperlink ref="AQ802" r:id="rId208" display="ACTAS DE CONFORMIDAD\AC-2019\10-2019\29-10-2019\REG-43767-3003932013-1332.4.pdf" xr:uid="{00000000-0004-0000-0F00-0000CF000000}"/>
    <hyperlink ref="P636" r:id="rId209" xr:uid="{00000000-0004-0000-0F00-0000D0000000}"/>
    <hyperlink ref="AQ636" r:id="rId210" display="ACTAS DE CONFORMIDAD\AC-2020\02-2020\06-02-2020\REG-43867-3004331707-521.6.pdf" xr:uid="{00000000-0004-0000-0F00-0000D1000000}"/>
    <hyperlink ref="AQ633" r:id="rId211" display="ACTAS DE CONFORMIDAD\AC-2020\02-2020\08-02-2020\REG-43869-6FA06155-2737.pdf" xr:uid="{00000000-0004-0000-0F00-0000D2000000}"/>
    <hyperlink ref="AQ823" r:id="rId212" display="ACTAS DE CONFORMIDAD\AC-2019\10-2019\11-10-2019\REG-43749-PEE2626870-171.6.pdf" xr:uid="{00000000-0004-0000-0F00-0000D3000000}"/>
    <hyperlink ref="AQ971" r:id="rId213" display="ACTAS DE CONFORMIDAD\AC-2019\05-2019\07-05-2019\REG-43592-NR-9383.6.pdf" xr:uid="{00000000-0004-0000-0F00-0000D4000000}"/>
    <hyperlink ref="AQ957" r:id="rId214" display="ACTAS DE CONFORMIDAD\AC-2019\05-2019\22-05-2019\REG-43607-NR-9383.6.pdf" xr:uid="{00000000-0004-0000-0F00-0000D5000000}"/>
    <hyperlink ref="AQ956" r:id="rId215" display="ACTAS DE CONFORMIDAD\AC-2019\05-2019\22-05-2019\REG-43607-NR-3486.2.pdf" xr:uid="{00000000-0004-0000-0F00-0000D6000000}"/>
    <hyperlink ref="AQ998" r:id="rId216" display="ACTAS DE CONFORMIDAD\AC-2019\04-2019\04-04-2019\REG-43559 - 2053.8.pdf" xr:uid="{00000000-0004-0000-0F00-0000D7000000}"/>
    <hyperlink ref="AQ997" r:id="rId217" display="ACTAS DE CONFORMIDAD\AC-2019\04-2019\05-04-2019\REG-43560-8893263-58.9.pdf" xr:uid="{00000000-0004-0000-0F00-0000D8000000}"/>
    <hyperlink ref="AQ996" r:id="rId218" display="ACTAS DE CONFORMIDAD\AC-2019\04-2019\09-04-2019\REG-43564-3003932013-89.6.pdf" xr:uid="{00000000-0004-0000-0F00-0000D9000000}"/>
    <hyperlink ref="AQ995" r:id="rId219" display="ACTAS DE CONFORMIDAD\AC-2019\04-2019\09-04-2019\REG-43564-7954602-3479.2.pdf" xr:uid="{00000000-0004-0000-0F00-0000DA000000}"/>
    <hyperlink ref="AQ1012" r:id="rId220" display="ACTAS DE CONFORMIDAD\AC-2019\03-2019\27-03-2019\REG-43551-3003932012-0.5.pdf" xr:uid="{00000000-0004-0000-0F00-0000DB000000}"/>
    <hyperlink ref="AQ1025" r:id="rId221" display="ACTAS DE CONFORMIDAD\AC-2019\03-2019\15-03-2019\REG-43539-GEGA10-.pdf" xr:uid="{00000000-0004-0000-0F00-0000DC000000}"/>
    <hyperlink ref="AQ1024" r:id="rId222" display="ACTAS DE CONFORMIDAD\AC-2019\03-2019\15-03-2019\REG-43539--.pdf" xr:uid="{00000000-0004-0000-0F00-0000DD000000}"/>
    <hyperlink ref="AQ1027" r:id="rId223" display="ACTAS DE CONFORMIDAD\AC-2019\03-2019\13-03-2019\REG-43537--1961.7.pdf" xr:uid="{00000000-0004-0000-0F00-0000DE000000}"/>
    <hyperlink ref="AQ1028" r:id="rId224" display="ACTAS DE CONFORMIDAD\AC-2019\03-2019\13-03-2019\REG-43537-9658426-5425.1.pdf" xr:uid="{00000000-0004-0000-0F00-0000DF000000}"/>
    <hyperlink ref="AQ1029" r:id="rId225" display="ACTAS DE CONFORMIDAD\AC-2019\03-2019\13-03-2019\REG-43537-9658425-2514.3.pdf" xr:uid="{00000000-0004-0000-0F00-0000E0000000}"/>
    <hyperlink ref="AQ959" r:id="rId226" display="ACTAS DE CONFORMIDAD\AC-2019\05-2019\16-05-2019\REG-43601-3003932012-388.pdf" xr:uid="{00000000-0004-0000-0F00-0000E1000000}"/>
    <hyperlink ref="AQ632" r:id="rId227" display="ACTAS DE CONFORMIDAD\AC-2020\02-2020\10-02-2020\REG-43871-PEE2598803-34.4.pdf" xr:uid="{00000000-0004-0000-0F00-0000E2000000}"/>
    <hyperlink ref="AQ649" r:id="rId228" display="ACTAS DE CONFORMIDAD\AC-2020\01-2020\27-01-2020\REG-43857-3004331708-973.pdf" xr:uid="{00000000-0004-0000-0F00-0000E3000000}"/>
    <hyperlink ref="AQ628" r:id="rId229" display="ACTAS DE CONFORMIDAD\AC-2020\02-2020\18-02-2020\REG-43879-PEE2626885-117.6.pdf" xr:uid="{00000000-0004-0000-0F00-0000E4000000}"/>
    <hyperlink ref="AQ629" r:id="rId230" display="ACTAS DE CONFORMIDAD\AC-2020\02-2020\18-02-2020\REG-43879-3004999911-833.3.pdf" xr:uid="{00000000-0004-0000-0F00-0000E5000000}"/>
    <hyperlink ref="P629" r:id="rId231" xr:uid="{00000000-0004-0000-0F00-0000E6000000}"/>
    <hyperlink ref="P628" r:id="rId232" xr:uid="{00000000-0004-0000-0F00-0000E7000000}"/>
    <hyperlink ref="P617" r:id="rId233" xr:uid="{00000000-0004-0000-0F00-0000E8000000}"/>
    <hyperlink ref="P618" r:id="rId234" xr:uid="{00000000-0004-0000-0F00-0000E9000000}"/>
    <hyperlink ref="P619" r:id="rId235" xr:uid="{00000000-0004-0000-0F00-0000EA000000}"/>
    <hyperlink ref="AQ617" r:id="rId236" display="ACTAS DE CONFORMIDAD\AC-2020\02-2020\19-02-2020\REG-43880-3004290364-520.9.pdf" xr:uid="{00000000-0004-0000-0F00-0000EB000000}"/>
    <hyperlink ref="AQ618" r:id="rId237" display="ACTAS DE CONFORMIDAD\AC-2020\02-2020\19-02-2020\REG-43880-3004381438-846.7.pdf" xr:uid="{00000000-0004-0000-0F00-0000EC000000}"/>
    <hyperlink ref="AQ619" r:id="rId238" display="ACTAS DE CONFORMIDAD\AC-2020\02-2020\19-02-2020\REG-43880-3004336196-660.4.pdf" xr:uid="{00000000-0004-0000-0F00-0000ED000000}"/>
    <hyperlink ref="AQ621" r:id="rId239" display="ACTAS DE CONFORMIDAD\AC-2020\02-2020\18-02-2020\REG-43879-3004336197-710.9.pdf" xr:uid="{00000000-0004-0000-0F00-0000EE000000}"/>
    <hyperlink ref="AQ620" r:id="rId240" display="ACTAS DE CONFORMIDAD\AC-2020\02-2020\18-02-2020\REG-43879-3004214491-515.8.pdf" xr:uid="{00000000-0004-0000-0F00-0000EF000000}"/>
    <hyperlink ref="AQ622" r:id="rId241" display="ACTAS DE CONFORMIDAD\AC-2020\02-2020\18-02-2020\REG-43879-3004337429-760.9.pdf" xr:uid="{00000000-0004-0000-0F00-0000F0000000}"/>
    <hyperlink ref="AQ623" r:id="rId242" display="ACTAS DE CONFORMIDAD\AC-2020\02-2020\18-02-2020\REG-43879-3004218547-506.1.pdf" xr:uid="{00000000-0004-0000-0F00-0000F1000000}"/>
    <hyperlink ref="AQ624" r:id="rId243" display="ACTAS DE CONFORMIDAD\AC-2020\02-2020\18-02-2020\REG-43879-3004327725-419.4.pdf" xr:uid="{00000000-0004-0000-0F00-0000F2000000}"/>
    <hyperlink ref="AQ625" r:id="rId244" display="ACTAS DE CONFORMIDAD\AC-2020\02-2020\18-02-2020\REG-43879-3004290366-1308.1.pdf" xr:uid="{00000000-0004-0000-0F00-0000F3000000}"/>
    <hyperlink ref="AQ626" r:id="rId245" display="ACTAS DE CONFORMIDAD\AC-2020\02-2020\18-02-2020\REG-43879-3004402506-1368.2.pdf" xr:uid="{00000000-0004-0000-0F00-0000F4000000}"/>
    <hyperlink ref="AQ627" r:id="rId246" display="ACTAS DE CONFORMIDAD\AC-2020\02-2020\18-02-2020\REG-43879-3004344017-954.6.pdf" xr:uid="{00000000-0004-0000-0F00-0000F5000000}"/>
    <hyperlink ref="P627" r:id="rId247" xr:uid="{00000000-0004-0000-0F00-0000F6000000}"/>
    <hyperlink ref="P626" r:id="rId248" xr:uid="{00000000-0004-0000-0F00-0000F7000000}"/>
    <hyperlink ref="P625" r:id="rId249" xr:uid="{00000000-0004-0000-0F00-0000F8000000}"/>
    <hyperlink ref="P624" r:id="rId250" xr:uid="{00000000-0004-0000-0F00-0000F9000000}"/>
    <hyperlink ref="P623" r:id="rId251" xr:uid="{00000000-0004-0000-0F00-0000FA000000}"/>
    <hyperlink ref="P622" r:id="rId252" xr:uid="{00000000-0004-0000-0F00-0000FB000000}"/>
    <hyperlink ref="P620" r:id="rId253" xr:uid="{00000000-0004-0000-0F00-0000FC000000}"/>
    <hyperlink ref="P621" r:id="rId254" xr:uid="{00000000-0004-0000-0F00-0000FD000000}"/>
    <hyperlink ref="AQ614" r:id="rId255" display="ACTAS DE CONFORMIDAD\AC-2020\02-2020\21-02-2020\REG-43882-3004428523-649.9.pdf" xr:uid="{00000000-0004-0000-0F00-0000FE000000}"/>
    <hyperlink ref="P614" r:id="rId256" xr:uid="{00000000-0004-0000-0F00-0000FF000000}"/>
    <hyperlink ref="AQ616" r:id="rId257" display="ACTAS DE CONFORMIDAD\AC-2020\02-2020\20-02-2020\REG-43881-1603587-1589.pdf" xr:uid="{00000000-0004-0000-0F00-000000010000}"/>
    <hyperlink ref="AQ615" r:id="rId258" display="ACTAS DE CONFORMIDAD\AC-2020\02-2020\20-02-2020\REG-43881-1603596-1575.pdf" xr:uid="{00000000-0004-0000-0F00-000001010000}"/>
    <hyperlink ref="AQ612" r:id="rId259" display="ACTAS DE CONFORMIDAD\AC-2020\02-2020\22-02-2020\REG-43883-3003953458-927.pdf" xr:uid="{00000000-0004-0000-0F00-000002010000}"/>
    <hyperlink ref="AQ953" r:id="rId260" display="ACTAS DE CONFORMIDAD\AC-2019\06-2019\REG-43621-1603597-477.pdf" xr:uid="{00000000-0004-0000-0F00-000003010000}"/>
    <hyperlink ref="AQ952" r:id="rId261" display="ACTAS DE CONFORMIDAD\AC-2019\06-2019\REG-43621-1603595-465.pdf" xr:uid="{00000000-0004-0000-0F00-000004010000}"/>
    <hyperlink ref="AQ719" r:id="rId262" display="ACTAS DE CONFORMIDAD\AC-2019\12-2019\09-12-2019\REG-43808-1603596-1411.57.pdf" xr:uid="{00000000-0004-0000-0F00-000005010000}"/>
    <hyperlink ref="AQ951" r:id="rId263" display="ACTAS DE CONFORMIDAD\AC-2019\06-2019\REG-43621-1603596-454.pdf" xr:uid="{00000000-0004-0000-0F00-000006010000}"/>
    <hyperlink ref="AQ720" r:id="rId264" display="ACTAS DE CONFORMIDAD\AC-2019\12-2019\09-12-2019\REG-43808-1603587-1411.11.pdf" xr:uid="{00000000-0004-0000-0F00-000007010000}"/>
    <hyperlink ref="AQ950" r:id="rId265" display="ACTAS DE CONFORMIDAD\AC-2019\06-2019\REG-43621-1603587-715.pdf" xr:uid="{00000000-0004-0000-0F00-000008010000}"/>
    <hyperlink ref="AQ949" r:id="rId266" display="ACTAS DE CONFORMIDAD\AC-2019\06-2019\REG-43621-1603600-450.pdf" xr:uid="{00000000-0004-0000-0F00-000009010000}"/>
    <hyperlink ref="AQ610" r:id="rId267" display="ACTAS DE CONFORMIDAD\AC-2020\02-2020\25-02-2020\REG-43886-3004331705-1342.pdf" xr:uid="{00000000-0004-0000-0F00-00000A010000}"/>
    <hyperlink ref="P610" r:id="rId268" xr:uid="{00000000-0004-0000-0F00-00000B010000}"/>
    <hyperlink ref="AQ605" r:id="rId269" display="ACTAS DE CONFORMIDAD\AC-2020\02-2020\29-02-2020\REG-43890-PEE2626871-0.pdf" xr:uid="{00000000-0004-0000-0F00-00000C010000}"/>
    <hyperlink ref="AQ606" r:id="rId270" display="ACTAS DE CONFORMIDAD\AC-2020\02-2020\29-02-2020\REG-43890-3004327724-1102.pdf" xr:uid="{00000000-0004-0000-0F00-00000D010000}"/>
    <hyperlink ref="AQ607" r:id="rId271" display="ACTAS DE CONFORMIDAD\AC-2020\02-2020\29-02-2020\REG-43890-3005005007-741.pdf" xr:uid="{00000000-0004-0000-0F00-00000E010000}"/>
    <hyperlink ref="P607" r:id="rId272" xr:uid="{00000000-0004-0000-0F00-00000F010000}"/>
    <hyperlink ref="AQ609" r:id="rId273" display="ACTAS DE CONFORMIDAD\AC-2020\02-2020\25-02-2020\REG-43886-3004331709-1206.9.pdf" xr:uid="{00000000-0004-0000-0F00-000010010000}"/>
    <hyperlink ref="AQ601" r:id="rId274" display="ACTAS DE CONFORMIDAD\AC-2020\03-2020\02-03-2020\REG-43892-PEE2626882-0.pdf" xr:uid="{00000000-0004-0000-0F00-000011010000}"/>
    <hyperlink ref="AQ638" r:id="rId275" display="ACTAS DE CONFORMIDAD\AC-2020\02-2020\05-02-2020\REG-43866-3004337430-563.1.pdf" xr:uid="{00000000-0004-0000-0F00-000012010000}"/>
    <hyperlink ref="AQ922" r:id="rId276" display="ACTAS DE CONFORMIDAD\AC-2019\08-2019\05-08-2019\REG-43682-9658426-5863.9.pdf" xr:uid="{00000000-0004-0000-0F00-000013010000}"/>
    <hyperlink ref="AQ923" r:id="rId277" display="ACTAS DE CONFORMIDAD\AC-2019\08-2019\05-08-2019\REG-43682-9658425-3305.2.pdf" xr:uid="{00000000-0004-0000-0F00-000014010000}"/>
    <hyperlink ref="AQ599" r:id="rId278" display="ACTAS DE CONFORMIDAD\AC-2020\03-2020\03-03-2020\REG-43893-PEE2629434-0.4.pdf" xr:uid="{00000000-0004-0000-0F00-000015010000}"/>
    <hyperlink ref="AQ603" r:id="rId279" display="ACTAS DE CONFORMIDAD\AC-2020\03-2020\02-03-2020\REG-43892-3004337430-572.1.pdf" xr:uid="{00000000-0004-0000-0F00-000016010000}"/>
    <hyperlink ref="AQ604" r:id="rId280" display="ACTAS DE CONFORMIDAD\AC-2020\03-2020\02-03-2020\REG-43892-3004331707-557.9.pdf" xr:uid="{00000000-0004-0000-0F00-000017010000}"/>
    <hyperlink ref="AQ611" r:id="rId281" display="ACTAS DE CONFORMIDAD\AC-2020\02-2020\24-02-2020\REG-43885-3004227749-641.1.pdf" xr:uid="{00000000-0004-0000-0F00-000018010000}"/>
    <hyperlink ref="AQ631" r:id="rId282" display="ACTAS DE CONFORMIDAD\AC-2020\02-2020\12-02-2020\REG-43873-3004381435-254.pdf" xr:uid="{00000000-0004-0000-0F00-000019010000}"/>
    <hyperlink ref="AQ595" r:id="rId283" display="ACTAS DE CONFORMIDAD\AC-2020\03-2020\05-03-2020\REG-43895-3004256777-502.9.pdf" xr:uid="{00000000-0004-0000-0F00-00001A010000}"/>
    <hyperlink ref="AQ596" r:id="rId284" display="ACTAS DE CONFORMIDAD\AC-2020\03-2020\05-03-2020\REG-43895-3004337427-891.9.pdf" xr:uid="{00000000-0004-0000-0F00-00001B010000}"/>
    <hyperlink ref="AQ597" r:id="rId285" display="ACTAS DE CONFORMIDAD\AC-2020\03-2020\04-03-2020\REG-43894-3004416582-1008.6.pdf" xr:uid="{00000000-0004-0000-0F00-00001C010000}"/>
    <hyperlink ref="AQ598" r:id="rId286" display="ACTAS DE CONFORMIDAD\AC-2020\03-2020\04-03-2020\REG-43894-3004381437-456.pdf" xr:uid="{00000000-0004-0000-0F00-00001D010000}"/>
    <hyperlink ref="AQ593" r:id="rId287" display="ACTAS DE CONFORMIDAD\AC-2020\03-2020\05-03-2020\REG-43895-3004327723-1201.5.pdf" xr:uid="{00000000-0004-0000-0F00-00001E010000}"/>
    <hyperlink ref="AQ594" r:id="rId288" display="ACTAS DE CONFORMIDAD\AC-2020\03-2020\05-03-2020\REG-43895-3004327721-1261.5.pdf" xr:uid="{00000000-0004-0000-0F00-00001F010000}"/>
    <hyperlink ref="AQ588" r:id="rId289" display="ACTAS DE CONFORMIDAD\AC-2020\03-2020\06-03-2020\REG-43896-3004418791-1222.8.pdf" xr:uid="{00000000-0004-0000-0F00-000020010000}"/>
    <hyperlink ref="AQ585" r:id="rId290" display="ACTAS DE CONFORMIDAD\AC-2020\03-2020\09-03-2020\REG-43899-3004327723-1228.8.pdf" xr:uid="{00000000-0004-0000-0F00-000021010000}"/>
    <hyperlink ref="AQ586" r:id="rId291" display="ACTAS DE CONFORMIDAD\AC-2020\03-2020\09-03-2020\REG-43899-3004402507-1333.1.pdf" xr:uid="{00000000-0004-0000-0F00-000022010000}"/>
    <hyperlink ref="AQ583" r:id="rId292" display="ACTAS DE CONFORMIDAD\AC-2020\03-2020\09-03-2020\REG-43899-3004402508-481.pdf" xr:uid="{00000000-0004-0000-0F00-000023010000}"/>
    <hyperlink ref="AQ587" r:id="rId293" display="ACTAS DE CONFORMIDAD\AC-2020\03-2020\06-03-2020\REG-43896-3004336197-833.pdf" xr:uid="{00000000-0004-0000-0F00-000024010000}"/>
    <hyperlink ref="AQ589" r:id="rId294" display="ACTAS DE CONFORMIDAD\AC-2020\03-2020\06-03-2020\REG-43896-3004418791-1222.6.pdf" xr:uid="{00000000-0004-0000-0F00-000025010000}"/>
    <hyperlink ref="AQ592" r:id="rId295" display="ACTAS DE CONFORMIDAD\AC-2020\03-2020\05-03-2020\REG-43895-3004256777-535.pdf" xr:uid="{00000000-0004-0000-0F00-000026010000}"/>
    <hyperlink ref="AQ600" r:id="rId296" display="ACTAS DE CONFORMIDAD\AC-2020\03-2020\03-03-2020\REG-43893-3004416580-1282.pdf" xr:uid="{00000000-0004-0000-0F00-000027010000}"/>
    <hyperlink ref="AQ582" r:id="rId297" display="ACTAS DE CONFORMIDAD\AC-2020\03-2020\10-03-2020\REG-43900-3005125863-0.3.pdf" xr:uid="{00000000-0004-0000-0F00-000028010000}"/>
    <hyperlink ref="AQ581" r:id="rId298" display="ACTAS DE CONFORMIDAD\AC-2020\03-2020\10-03-2020\REG-43900-3004344014-878.pdf" xr:uid="{00000000-0004-0000-0F00-000029010000}"/>
    <hyperlink ref="AQ580" r:id="rId299" display="ACTAS DE CONFORMIDAD\AC-2020\03-2020\10-03-2020\REG-43900-3004290365-1015.6.pdf" xr:uid="{00000000-0004-0000-0F00-00002A010000}"/>
    <hyperlink ref="P578" r:id="rId300" xr:uid="{00000000-0004-0000-0F00-00002B010000}"/>
    <hyperlink ref="P581" r:id="rId301" xr:uid="{00000000-0004-0000-0F00-00002C010000}"/>
    <hyperlink ref="P580" r:id="rId302" xr:uid="{00000000-0004-0000-0F00-00002D010000}"/>
    <hyperlink ref="P577" r:id="rId303" xr:uid="{00000000-0004-0000-0F00-00002E010000}"/>
    <hyperlink ref="AQ579" r:id="rId304" display="ACTAS DE CONFORMIDAD\AC-2020\03-2020\11-03-2020\REG-43901-3004290368-1239.2.pdf" xr:uid="{00000000-0004-0000-0F00-00002F010000}"/>
    <hyperlink ref="AQ578" r:id="rId305" display="ACTAS DE CONFORMIDAD\AC-2020\03-2020\11-03-2020\REG-43901-3004290368-1239.4.pdf" xr:uid="{00000000-0004-0000-0F00-000030010000}"/>
    <hyperlink ref="AQ577" r:id="rId306" display="ACTAS DE CONFORMIDAD\AC-2020\03-2020\11-03-2020\REG-43901-362973-1-1-0813-116.48.pdf" xr:uid="{00000000-0004-0000-0F00-000031010000}"/>
    <hyperlink ref="AQ575" r:id="rId307" display="ACTAS DE CONFORMIDAD\AC-2020\03-2020\11-03-2020\REG-43901-3002933964-0.4.pdf" xr:uid="{00000000-0004-0000-0F00-000032010000}"/>
    <hyperlink ref="AQ576" r:id="rId308" display="ACTAS DE CONFORMIDAD\AC-2020\03-2020\11-03-2020\REG-43901-3002933963-0.35.pdf" xr:uid="{00000000-0004-0000-0F00-000033010000}"/>
    <hyperlink ref="P572" r:id="rId309" xr:uid="{00000000-0004-0000-0F00-000034010000}"/>
    <hyperlink ref="AQ572" r:id="rId310" display="ACTAS DE CONFORMIDAD\AC-2020\03-2020\12-03-2020\REG-43902-3004402508-526.7.pdf" xr:uid="{00000000-0004-0000-0F00-000035010000}"/>
    <hyperlink ref="AQ570" r:id="rId311" display="ACTAS DE CONFORMIDAD\AC-2020\03-2020\13-03-2020\REG-43903-3004416580-1402.9.pdf" xr:uid="{00000000-0004-0000-0F00-000036010000}"/>
    <hyperlink ref="AQ571" r:id="rId312" display="ACTAS DE CONFORMIDAD\AC-2020\03-2020\13-03-2020\REG-43903-3004227749-761.9.pdf" xr:uid="{00000000-0004-0000-0F00-000037010000}"/>
    <hyperlink ref="AQ568" r:id="rId313" display="ACTAS DE CONFORMIDAD\AC-2020\03-2020\13-03-2020\REG-43903-3004331708-997.8.pdf" xr:uid="{00000000-0004-0000-0F00-000038010000}"/>
    <hyperlink ref="AQ569" r:id="rId314" display="ACTAS DE CONFORMIDAD\AC-2020\03-2020\13-03-2020\REG-43903-3004331709-1206.7.pdf" xr:uid="{00000000-0004-0000-0F00-000039010000}"/>
    <hyperlink ref="P568" r:id="rId315" xr:uid="{00000000-0004-0000-0F00-00003A010000}"/>
    <hyperlink ref="P569" r:id="rId316" xr:uid="{00000000-0004-0000-0F00-00003B010000}"/>
    <hyperlink ref="P570" r:id="rId317" xr:uid="{00000000-0004-0000-0F00-00003C010000}"/>
    <hyperlink ref="P571" r:id="rId318" xr:uid="{00000000-0004-0000-0F00-00003D010000}"/>
    <hyperlink ref="AQ574" r:id="rId319" display="ACTAS DE CONFORMIDAD\AC-2020\03-2020\12-03-2020\REG-43902-3004227749-761.6.pdf" xr:uid="{00000000-0004-0000-0F00-00003E010000}"/>
    <hyperlink ref="AQ573" r:id="rId320" display="ACTAS DE CONFORMIDAD\AC-2020\03-2020\12-03-2020\REG-43902-3004336197-865.2.pdf" xr:uid="{00000000-0004-0000-0F00-00003F010000}"/>
    <hyperlink ref="AQ564" r:id="rId321" display="ACTAS DE CONFORMIDAD\AC-2020\03-2020\18-03-2020\REG-43908-3004336197-865.2.pdf" xr:uid="{00000000-0004-0000-0F00-000040010000}"/>
    <hyperlink ref="AQ565" r:id="rId322" display="ACTAS DE CONFORMIDAD\AC-2020\03-2020\17-03-2020\REG-43907-3004227749-808.7.pdf" xr:uid="{00000000-0004-0000-0F00-000041010000}"/>
    <hyperlink ref="P564" r:id="rId323" xr:uid="{00000000-0004-0000-0F00-000042010000}"/>
    <hyperlink ref="P565" r:id="rId324" xr:uid="{00000000-0004-0000-0F00-000043010000}"/>
    <hyperlink ref="P559" r:id="rId325" xr:uid="{00000000-0004-0000-0F00-000044010000}"/>
    <hyperlink ref="P560" r:id="rId326" xr:uid="{00000000-0004-0000-0F00-000045010000}"/>
    <hyperlink ref="P561" r:id="rId327" xr:uid="{00000000-0004-0000-0F00-000046010000}"/>
    <hyperlink ref="P562" r:id="rId328" xr:uid="{00000000-0004-0000-0F00-000047010000}"/>
    <hyperlink ref="AQ559" r:id="rId329" display="ACTAS DE CONFORMIDAD\AC-2020\03-2020\21-03-2020\REG-43911-3004327724-1213.5.pdf" xr:uid="{00000000-0004-0000-0F00-000048010000}"/>
    <hyperlink ref="AQ560" r:id="rId330" display="ACTAS DE CONFORMIDAD\AC-2020\03-2020\21-03-2020\REG-43911-3004336198-1339.9.pdf" xr:uid="{00000000-0004-0000-0F00-000049010000}"/>
    <hyperlink ref="AQ561" r:id="rId331" display="ACTAS DE CONFORMIDAD\AC-2020\03-2020\21-03-2020\REG-43911-3004331705-1638.3.pdf" xr:uid="{00000000-0004-0000-0F00-00004A010000}"/>
    <hyperlink ref="AQ562" r:id="rId332" display="ACTAS DE CONFORMIDAD\AC-2020\03-2020\21-03-2020\REG-43911-3004331709-1247.5.pdf" xr:uid="{00000000-0004-0000-0F00-00004B010000}"/>
    <hyperlink ref="AQ590" r:id="rId333" display="ACTAS DE CONFORMIDAD\AC-2020\03-2020\05-03-2020\REG-43895-PEE2626871-0.6.pdf" xr:uid="{00000000-0004-0000-0F00-00004C010000}"/>
    <hyperlink ref="AQ591" r:id="rId334" display="ACTAS DE CONFORMIDAD\AC-2020\03-2020\05-03-2020\REG-43895-PEE2629434-0.5.pdf" xr:uid="{00000000-0004-0000-0F00-00004D010000}"/>
    <hyperlink ref="AQ608" r:id="rId335" display="ACTAS DE CONFORMIDAD\AC-2020\02-2020\25-02-2020\REG-43886-3003953458-927.pdf" xr:uid="{00000000-0004-0000-0F00-00004E010000}"/>
    <hyperlink ref="AQ544" r:id="rId336" display="ACTAS DE CONFORMIDAD\AC-2020\03-2020\27-03-2020\REG-43917-3004331708-1163.8.pdf" xr:uid="{00000000-0004-0000-0F00-00004F010000}"/>
    <hyperlink ref="AQ545" r:id="rId337" display="ACTAS DE CONFORMIDAD\AC-2020\03-2020\27-03-2020\REG-43917-3004327722-1076.4.pdf" xr:uid="{00000000-0004-0000-0F00-000050010000}"/>
    <hyperlink ref="P544" r:id="rId338" xr:uid="{00000000-0004-0000-0F00-000051010000}"/>
    <hyperlink ref="P545" r:id="rId339" xr:uid="{00000000-0004-0000-0F00-000052010000}"/>
    <hyperlink ref="AQ637" r:id="rId340" display="ACTAS DE CONFORMIDAD\AC-2020\02-2020\05-02-2020\REG-43866-3004331708-997.6.pdf" xr:uid="{00000000-0004-0000-0F00-000053010000}"/>
    <hyperlink ref="AQ659" r:id="rId341" display="ACTAS DE CONFORMIDAD\AC-2020\01-2020\23-01-2020\REG-43853-3004999911-493.5.pdf" xr:uid="{00000000-0004-0000-0F00-000054010000}"/>
    <hyperlink ref="AQ531" r:id="rId342" display="ACTAS DE CONFORMIDAD\AC-2020\04-2020\04-04-2020\REG-43925-3004999911-1141.2.pdf" xr:uid="{00000000-0004-0000-0F00-000055010000}"/>
    <hyperlink ref="AQ530" r:id="rId343" display="ACTAS DE CONFORMIDAD\AC-2020\04-2020\04-04-2020\REG-43925-3005005010-1192.5.pdf" xr:uid="{00000000-0004-0000-0F00-000056010000}"/>
    <hyperlink ref="P530" r:id="rId344" xr:uid="{00000000-0004-0000-0F00-000057010000}"/>
    <hyperlink ref="P531" r:id="rId345" xr:uid="{00000000-0004-0000-0F00-000058010000}"/>
    <hyperlink ref="AQ540" r:id="rId346" display="ACTAS DE CONFORMIDAD\AC-2020\03-2020\30-03-2020\REG-43920-3004331707-836.5.pdf" xr:uid="{00000000-0004-0000-0F00-000059010000}"/>
    <hyperlink ref="AQ539" r:id="rId347" display="ACTAS DE CONFORMIDAD\AC-2020\03-2020\30-03-2020\REG-43920-3004337430-572.3.pdf" xr:uid="{00000000-0004-0000-0F00-00005A010000}"/>
    <hyperlink ref="AQ538" r:id="rId348" display="ACTAS DE CONFORMIDAD\AC-2020\03-2020\30-03-2020\REG-43920-3004402507-1549.1.pdf" xr:uid="{00000000-0004-0000-0F00-00005B010000}"/>
    <hyperlink ref="P528" r:id="rId349" xr:uid="{00000000-0004-0000-0F00-00005C010000}"/>
    <hyperlink ref="AQ528" r:id="rId350" display="ACTAS DE CONFORMIDAD\AC-2020\04-2020\07-04-2020\REG-43928-3004428523-914.1.pdf" xr:uid="{00000000-0004-0000-0F00-00005D010000}"/>
    <hyperlink ref="AQ510" r:id="rId351" display="ACTAS DE CONFORMIDAD\AC-2020\04-2020\18-04-2020\REG-43939-3005167422-142.8.pdf" xr:uid="{00000000-0004-0000-0F00-00005E010000}"/>
    <hyperlink ref="AQ509" r:id="rId352" display="ACTAS DE CONFORMIDAD\AC-2020\04-2020\18-04-2020\REG-43939-3005167425-151.5.pdf" xr:uid="{00000000-0004-0000-0F00-00005F010000}"/>
    <hyperlink ref="P510" r:id="rId353" xr:uid="{00000000-0004-0000-0F00-000060010000}"/>
    <hyperlink ref="P509" r:id="rId354" xr:uid="{00000000-0004-0000-0F00-000061010000}"/>
    <hyperlink ref="AQ515" r:id="rId355" display="ACTAS DE CONFORMIDAD\AC-2020\04-2020\16-04-2020\REG-43937-3005005007-933.6.pdf" xr:uid="{00000000-0004-0000-0F00-000062010000}"/>
    <hyperlink ref="AQ514" r:id="rId356" display="ACTAS DE CONFORMIDAD\AC-2020\04-2020\16-04-2020\REG-43937-3002933963-0.37.pdf" xr:uid="{00000000-0004-0000-0F00-000063010000}"/>
    <hyperlink ref="AQ513" r:id="rId357" display="ACTAS DE CONFORMIDAD\AC-2020\04-2020\16-04-2020\REG-43937-3002933964-0.46.pdf" xr:uid="{00000000-0004-0000-0F00-000064010000}"/>
    <hyperlink ref="AQ705" r:id="rId358" display="ACTAS DE CONFORMIDAD\AC-2019\12-2019\26-08-2019\REG-43825-3005167425-0.pdf" xr:uid="{00000000-0004-0000-0F00-000065010000}"/>
    <hyperlink ref="AQ706" r:id="rId359" display="ACTAS DE CONFORMIDAD\AC-2019\12-2019\26-08-2019\REG-43825-3005167422-0.pdf" xr:uid="{00000000-0004-0000-0F00-000066010000}"/>
    <hyperlink ref="AQ508" r:id="rId360" display="ACTAS DE CONFORMIDAD\AC-2020\04-2020\18-04-2020\REG-43939-3005005007-935.pdf" xr:uid="{00000000-0004-0000-0F00-000067010000}"/>
    <hyperlink ref="AQ494" r:id="rId361" display="ACTAS DE CONFORMIDAD\AC-2020\04-2020\26-04-2020\REG-43947-3002933963-60.9.pdf" xr:uid="{00000000-0004-0000-0F00-000068010000}"/>
    <hyperlink ref="AQ496" r:id="rId362" display="ACTAS DE CONFORMIDAD\AC-2020\04-2020\23-04-2020\REG-43944-PEE2626871-108.7.pdf" xr:uid="{00000000-0004-0000-0F00-000069010000}"/>
    <hyperlink ref="AQ497" r:id="rId363" display="ACTAS DE CONFORMIDAD\AC-2020\04-2020\23-04-2020\REG-43944-PEE2629434-119.9.pdf" xr:uid="{00000000-0004-0000-0F00-00006A010000}"/>
    <hyperlink ref="P497" r:id="rId364" xr:uid="{00000000-0004-0000-0F00-00006B010000}"/>
    <hyperlink ref="P496" r:id="rId365" xr:uid="{00000000-0004-0000-0F00-00006C010000}"/>
    <hyperlink ref="AQ493" r:id="rId366" display="ACTAS DE CONFORMIDAD\AC-2020\04-2020\26-04-2020\REG-43947-3005005007-998.6.pdf" xr:uid="{00000000-0004-0000-0F00-00006D010000}"/>
    <hyperlink ref="P493" r:id="rId367" xr:uid="{00000000-0004-0000-0F00-00006E010000}"/>
    <hyperlink ref="AQ495" r:id="rId368" display="ACTAS DE CONFORMIDAD\AC-2020\04-2020\24-04-2020\REG-43945-3004402508-753.6.pdf" xr:uid="{00000000-0004-0000-0F00-00006F010000}"/>
    <hyperlink ref="P495" r:id="rId369" xr:uid="{00000000-0004-0000-0F00-000070010000}"/>
    <hyperlink ref="AQ505" r:id="rId370" display="ACTAS DE CONFORMIDAD\AC-2020\04-2020\21-04-2020\REG-43942-3004337428-568.5.pdf" xr:uid="{00000000-0004-0000-0F00-000071010000}"/>
    <hyperlink ref="P505" r:id="rId371" xr:uid="{00000000-0004-0000-0F00-000072010000}"/>
    <hyperlink ref="P503" r:id="rId372" xr:uid="{00000000-0004-0000-0F00-000073010000}"/>
    <hyperlink ref="AQ503" r:id="rId373" display="ACTAS DE CONFORMIDAD\AC-2020\04-2020\21-04-2020\REG-43942-3004327725-1045.9.pdf" xr:uid="{00000000-0004-0000-0F00-000074010000}"/>
    <hyperlink ref="P501" r:id="rId374" xr:uid="{00000000-0004-0000-0F00-000075010000}"/>
    <hyperlink ref="AQ501" r:id="rId375" display="ACTAS DE CONFORMIDAD\AC-2020\04-2020\21-04-2020\REG-43942-3004214491-1088.pdf" xr:uid="{00000000-0004-0000-0F00-000076010000}"/>
    <hyperlink ref="P504" r:id="rId376" xr:uid="{00000000-0004-0000-0F00-000077010000}"/>
    <hyperlink ref="AQ504" r:id="rId377" display="ACTAS DE CONFORMIDAD\AC-2020\04-2020\21-04-2020\REG-43942-3004337429-1288.6.pdf" xr:uid="{00000000-0004-0000-0F00-000078010000}"/>
    <hyperlink ref="P502" r:id="rId378" xr:uid="{00000000-0004-0000-0F00-000079010000}"/>
    <hyperlink ref="AQ502" r:id="rId379" display="ACTAS DE CONFORMIDAD\AC-2020\04-2020\21-04-2020\REG-43942-3004418790-1271.pdf" xr:uid="{00000000-0004-0000-0F00-00007A010000}"/>
    <hyperlink ref="P506" r:id="rId380" xr:uid="{00000000-0004-0000-0F00-00007B010000}"/>
    <hyperlink ref="AQ506" r:id="rId381" display="ACTAS DE CONFORMIDAD\AC-2020\04-2020\21-04-2020\REG-43942-3004218547-1085.8.pdf" xr:uid="{00000000-0004-0000-0F00-00007C010000}"/>
    <hyperlink ref="AQ511" r:id="rId382" display="ACTAS DE CONFORMIDAD\AC-2020\04-2020\18-04-2020\REG-43939-3004290369-505.5.pdf" xr:uid="{00000000-0004-0000-0F00-00007D010000}"/>
    <hyperlink ref="P511" r:id="rId383" xr:uid="{00000000-0004-0000-0F00-00007E010000}"/>
    <hyperlink ref="AQ526" r:id="rId384" display="ACTAS DE CONFORMIDAD\AC-2020\04-2020\08-04-2020\REG-43929-3004290364-941.5.pdf" xr:uid="{00000000-0004-0000-0F00-00007F010000}"/>
    <hyperlink ref="P516" r:id="rId385" xr:uid="{00000000-0004-0000-0F00-000080010000}"/>
    <hyperlink ref="AQ516" r:id="rId386" display="ACTAS DE CONFORMIDAD\AC-2020\04-2020\15-04-2020\REG-43936-3004402506-1703.6.pdf" xr:uid="{00000000-0004-0000-0F00-000081010000}"/>
    <hyperlink ref="P517" r:id="rId387" xr:uid="{00000000-0004-0000-0F00-000082010000}"/>
    <hyperlink ref="AQ517" r:id="rId388" display="ACTAS DE CONFORMIDAD\AC-2020\04-2020\15-04-2020\REG-43936-3004344017-1310.6.pdf" xr:uid="{00000000-0004-0000-0F00-000083010000}"/>
    <hyperlink ref="P520" r:id="rId389" xr:uid="{00000000-0004-0000-0F00-000084010000}"/>
    <hyperlink ref="AQ520" r:id="rId390" display="ACTAS DE CONFORMIDAD\AC-2020\04-2020\14-04-2020\REG-43935-3004344014-1210.3.pdf" xr:uid="{00000000-0004-0000-0F00-000085010000}"/>
    <hyperlink ref="P519" r:id="rId391" xr:uid="{00000000-0004-0000-0F00-000086010000}"/>
    <hyperlink ref="AQ519" r:id="rId392" display="ACTAS DE CONFORMIDAD\AC-2020\04-2020\14-04-2020\REG-43935-3004290368-1646.1.pdf" xr:uid="{00000000-0004-0000-0F00-000087010000}"/>
    <hyperlink ref="P522" r:id="rId393" xr:uid="{00000000-0004-0000-0F00-000088010000}"/>
    <hyperlink ref="AQ522" r:id="rId394" display="ACTAS DE CONFORMIDAD\AC-2020\04-2020\13-04-2020\REG-43934-3004256777-927.9.pdf" xr:uid="{00000000-0004-0000-0F00-000089010000}"/>
    <hyperlink ref="P521" r:id="rId395" xr:uid="{00000000-0004-0000-0F00-00008A010000}"/>
    <hyperlink ref="AQ521" r:id="rId396" display="ACTAS DE CONFORMIDAD\AC-2020\04-2020\13-04-2020\REG-43934-3004337427-1247.5.pdf" xr:uid="{00000000-0004-0000-0F00-00008B010000}"/>
    <hyperlink ref="P523" r:id="rId397" xr:uid="{00000000-0004-0000-0F00-00008C010000}"/>
    <hyperlink ref="AQ523" r:id="rId398" display="ACTAS DE CONFORMIDAD\AC-2020\04-2020\12-04-2020\REG-43933-3004416580-1719.8.pdf" xr:uid="{00000000-0004-0000-0F00-00008D010000}"/>
    <hyperlink ref="P524" r:id="rId399" xr:uid="{00000000-0004-0000-0F00-00008E010000}"/>
    <hyperlink ref="AQ524" r:id="rId400" display="ACTAS DE CONFORMIDAD\AC-2020\04-2020\11-04-2020\REG-43932-3004336197-1100.5.pdf" xr:uid="{00000000-0004-0000-0F00-00008F010000}"/>
    <hyperlink ref="P527" r:id="rId401" xr:uid="{00000000-0004-0000-0F00-000090010000}"/>
    <hyperlink ref="AQ527" r:id="rId402" display="ACTAS DE CONFORMIDAD\AC-2020\04-2020\08-04-2020\REG-43929-3004418791-1565.4.pdf" xr:uid="{00000000-0004-0000-0F00-000091010000}"/>
    <hyperlink ref="P529" r:id="rId403" xr:uid="{00000000-0004-0000-0F00-000092010000}"/>
    <hyperlink ref="AQ529" r:id="rId404" display="ACTAS DE CONFORMIDAD\AC-2020\04-2020\06-04-2020\REG-43927-3004381438-1340.8.pdf" xr:uid="{00000000-0004-0000-0F00-000093010000}"/>
    <hyperlink ref="P525" r:id="rId405" xr:uid="{00000000-0004-0000-0F00-000094010000}"/>
    <hyperlink ref="AQ525" r:id="rId406" display="ACTAS DE CONFORMIDAD\AC-2020\04-2020\11-04-2020\REG-43932-3004227749-1069.pdf" xr:uid="{00000000-0004-0000-0F00-000095010000}"/>
    <hyperlink ref="AQ534" r:id="rId407" display="ACTAS DE CONFORMIDAD\AC-2020\04-2020\02-04-2020\REG-43923-3004402507-1592.6.pdf" xr:uid="{00000000-0004-0000-0F00-000096010000}"/>
    <hyperlink ref="P499" r:id="rId408" xr:uid="{00000000-0004-0000-0F00-000097010000}"/>
    <hyperlink ref="AQ499" r:id="rId409" display="ACTAS DE CONFORMIDAD\AC-2020\04-2020\22-04-2020\REG-43943-3004290365-1353.4.pdf" xr:uid="{00000000-0004-0000-0F00-000098010000}"/>
    <hyperlink ref="P532" r:id="rId410" xr:uid="{00000000-0004-0000-0F00-000099010000}"/>
    <hyperlink ref="AQ532" r:id="rId411" display="ACTAS DE CONFORMIDAD\AC-2020\04-2020\03-04-2020\REG-43924-3004336196-1132.6.pdf" xr:uid="{00000000-0004-0000-0F00-00009A010000}"/>
    <hyperlink ref="P498" r:id="rId412" xr:uid="{00000000-0004-0000-0F00-00009B010000}"/>
    <hyperlink ref="AQ498" r:id="rId413" display="ACTAS DE CONFORMIDAD\AC-2020\04-2020\23-04-2020" xr:uid="{00000000-0004-0000-0F00-00009C010000}"/>
    <hyperlink ref="P598" r:id="rId414" xr:uid="{00000000-0004-0000-0F00-00009D010000}"/>
    <hyperlink ref="AQ512" r:id="rId415" display="ACTAS DE CONFORMIDAD\AC-2020\04-2020\17-04-2020\REG-43938-3004290368-1696.1.pdf" xr:uid="{00000000-0004-0000-0F00-00009E010000}"/>
    <hyperlink ref="AQ533" r:id="rId416" display="ACTAS DE CONFORMIDAD\AC-2020\04-2020\03-04-2020\REG-43924-3004336196-1132.4.pdf" xr:uid="{00000000-0004-0000-0F00-00009F010000}"/>
    <hyperlink ref="AQ500" r:id="rId417" display="ACTAS DE CONFORMIDAD\AC-2020\04-2020\22-04-2020\REG-43943-3004290366-1906.5.pdf" xr:uid="{00000000-0004-0000-0F00-0000A0010000}"/>
    <hyperlink ref="P478" r:id="rId418" xr:uid="{00000000-0004-0000-0F00-0000A1010000}"/>
    <hyperlink ref="AQ478" r:id="rId419" display="ACTAS DE CONFORMIDAD\AC-2020\05-2020\13-05-2020\REG-43964-3005167425-464.5.pdf" xr:uid="{00000000-0004-0000-0F00-0000A2010000}"/>
    <hyperlink ref="P477" r:id="rId420" xr:uid="{00000000-0004-0000-0F00-0000A3010000}"/>
    <hyperlink ref="AQ477" r:id="rId421" display="ACTAS DE CONFORMIDAD\AC-2020\05-2020\13-05-2020\REG-43964-3005167422-423.6.pdf" xr:uid="{00000000-0004-0000-0F00-0000A4010000}"/>
    <hyperlink ref="AQ476" r:id="rId422" display="ACTAS DE CONFORMIDAD\AC-2020\05-2020\13-05-2020\REG-43964-3005005010-1433.4.pdf" xr:uid="{00000000-0004-0000-0F00-0000A5010000}"/>
    <hyperlink ref="P476" r:id="rId423" xr:uid="{00000000-0004-0000-0F00-0000A6010000}"/>
    <hyperlink ref="AQ479" r:id="rId424" display="ACTAS DE CONFORMIDAD\AC-2020\05-2020\13-05-2020\REG-43964-3004327721-1555.2.pdf" xr:uid="{00000000-0004-0000-0F00-0000A7010000}"/>
    <hyperlink ref="P479" r:id="rId425" xr:uid="{00000000-0004-0000-0F00-0000A8010000}"/>
    <hyperlink ref="P475" r:id="rId426" xr:uid="{00000000-0004-0000-0F00-0000A9010000}"/>
    <hyperlink ref="AQ475" r:id="rId427" display="ACTAS DE CONFORMIDAD\AC-2020\05-2020\13-05-2020\REG-43964-3004999911-1431.3.pdf" xr:uid="{00000000-0004-0000-0F00-0000AA010000}"/>
    <hyperlink ref="AQ474" r:id="rId428" display="ACTAS DE CONFORMIDAD\AC-2020\05-2020\14-05-2020\REG-43965-3004290364-1146.1.pdf" xr:uid="{00000000-0004-0000-0F00-0000AB010000}"/>
    <hyperlink ref="AQ991" r:id="rId429" display="ACTAS DE CONFORMIDAD\AC-2019\04-2019\23-04-2019\REG-43578-123234-0306-90.pdf" xr:uid="{00000000-0004-0000-0F00-0000AC010000}"/>
    <hyperlink ref="AQ805" r:id="rId430" display="ACTAS DE CONFORMIDAD\AC-2019\10-2019\23-10-2019\REG-43761-123234-0306-90.pdf" xr:uid="{00000000-0004-0000-0F00-0000AD010000}"/>
    <hyperlink ref="AQ490" r:id="rId431" display="ACTAS DE CONFORMIDAD\AC-2020\05-2020\04-05-2020\REG-43955-123234-0306-90.pdf" xr:uid="{00000000-0004-0000-0F00-0000AE010000}"/>
    <hyperlink ref="AQ1036" r:id="rId432" display="ACTAS DE CONFORMIDAD\AC-2019\03-2019\02-03-2019\REG-43526-362973-1-1-0813-95.48.pdf" xr:uid="{00000000-0004-0000-0F00-0000AF010000}"/>
    <hyperlink ref="AQ489" r:id="rId433" display="ACTAS DE CONFORMIDAD\AC-2020\05-2020\04-05-2020\REG-43955-123231-0306-383.pdf" xr:uid="{00000000-0004-0000-0F00-0000B0010000}"/>
    <hyperlink ref="AQ804" r:id="rId434" display="ACTAS DE CONFORMIDAD\AC-2019\10-2019\23-10-2019\REG-43761-123231-0306-360.pdf" xr:uid="{00000000-0004-0000-0F00-0000B1010000}"/>
    <hyperlink ref="AQ990" r:id="rId435" display="ACTAS DE CONFORMIDAD\AC-2019\04-2019\23-04-2019\REG-43578-123231-0306-357.1.pdf" xr:uid="{00000000-0004-0000-0F00-0000B2010000}"/>
    <hyperlink ref="P596" r:id="rId436" xr:uid="{00000000-0004-0000-0F00-0000B3010000}"/>
    <hyperlink ref="P595" r:id="rId437" xr:uid="{00000000-0004-0000-0F00-0000B4010000}"/>
    <hyperlink ref="P588" r:id="rId438" xr:uid="{00000000-0004-0000-0F00-0000B5010000}"/>
    <hyperlink ref="P468" r:id="rId439" xr:uid="{00000000-0004-0000-0F00-0000B6010000}"/>
    <hyperlink ref="AQ468" r:id="rId440" display="ACTAS DE CONFORMIDAD\AC-2020\05-2020\22-05-2020\REG-43973-X08331T-900.33.pdf" xr:uid="{00000000-0004-0000-0F00-0000B7010000}"/>
    <hyperlink ref="AQ467" r:id="rId441" display="ACTAS DE CONFORMIDAD\AC-2020\05-2020\22-05-2020\REG-43973-X08231T-863.53.pdf" xr:uid="{00000000-0004-0000-0F00-0000B8010000}"/>
    <hyperlink ref="AQ554" r:id="rId442" display="ACTAS DE CONFORMIDAD\AC-2020\03-2020\25-03-2020\REG-43915-3004235514-919.9.pdf" xr:uid="{00000000-0004-0000-0F00-0000B9010000}"/>
    <hyperlink ref="P554" r:id="rId443" xr:uid="{00000000-0004-0000-0F00-0000BA010000}"/>
    <hyperlink ref="P550" r:id="rId444" xr:uid="{00000000-0004-0000-0F00-0000BB010000}"/>
    <hyperlink ref="AQ550" r:id="rId445" display="ACTAS DE CONFORMIDAD\AC-2020\03-2020\26-03-2020\REG-43916-3004381437-816.9.pdf" xr:uid="{00000000-0004-0000-0F00-0000BC010000}"/>
    <hyperlink ref="AQ543" r:id="rId446" display="ACTAS DE CONFORMIDAD\AC-2020\03-2020\28-03-2020\REG-43918-3004337428-323.4.pdf" xr:uid="{00000000-0004-0000-0F00-0000BD010000}"/>
    <hyperlink ref="P541" r:id="rId447" xr:uid="{00000000-0004-0000-0F00-0000BE010000}"/>
    <hyperlink ref="P542" r:id="rId448" xr:uid="{00000000-0004-0000-0F00-0000BF010000}"/>
    <hyperlink ref="P543" r:id="rId449" xr:uid="{00000000-0004-0000-0F00-0000C0010000}"/>
    <hyperlink ref="AQ541" r:id="rId450" display="ACTAS DE CONFORMIDAD\AC-2020\03-2020\28-03-2020\REG-43918-3004214491-885.9.pdf" xr:uid="{00000000-0004-0000-0F00-0000C1010000}"/>
    <hyperlink ref="AQ542" r:id="rId451" display="ACTAS DE CONFORMIDAD\AC-2020\03-2020\28-03-2020\REG-43918-3004218547-851.3.pdf" xr:uid="{00000000-0004-0000-0F00-0000C2010000}"/>
    <hyperlink ref="P549" r:id="rId452" xr:uid="{00000000-0004-0000-0F00-0000C3010000}"/>
    <hyperlink ref="AQ549" r:id="rId453" display="ACTAS DE CONFORMIDAD\AC-2020\03-2020\26-03-2020\REG-43916-3004381435-379.5.pdf" xr:uid="{00000000-0004-0000-0F00-0000C4010000}"/>
    <hyperlink ref="P546" r:id="rId454" xr:uid="{00000000-0004-0000-0F00-0000C5010000}"/>
    <hyperlink ref="P547" r:id="rId455" xr:uid="{00000000-0004-0000-0F00-0000C6010000}"/>
    <hyperlink ref="AQ547" r:id="rId456" display="ACTAS DE CONFORMIDAD\AC-2020\03-2020\27-03-2020\REG-43917-3004337429-1071.8.pdf" xr:uid="{00000000-0004-0000-0F00-0000C7010000}"/>
    <hyperlink ref="AQ546" r:id="rId457" display="ACTAS DE CONFORMIDAD\AC-2020\03-2020\27-03-2020\REG-43917-3004327725-808.5.pdf" xr:uid="{00000000-0004-0000-0F00-0000C8010000}"/>
    <hyperlink ref="P535" r:id="rId458" xr:uid="{00000000-0004-0000-0F00-0000C9010000}"/>
    <hyperlink ref="AQ535" r:id="rId459" display="ACTAS DE CONFORMIDAD\AC-2020\03-2020\31-03-2020\REG-43921-3004290366-1641.5.pdf" xr:uid="{00000000-0004-0000-0F00-0000CA010000}"/>
    <hyperlink ref="P555" r:id="rId460" xr:uid="{00000000-0004-0000-0F00-0000CB010000}"/>
    <hyperlink ref="AQ555" r:id="rId461" display="ACTAS DE CONFORMIDAD\AC-2020\03-2020\24-03-2020\REG-43914-3004337388-853.8.pdf" xr:uid="{00000000-0004-0000-0F00-0000CC010000}"/>
    <hyperlink ref="P556" r:id="rId462" xr:uid="{00000000-0004-0000-0F00-0000CD010000}"/>
    <hyperlink ref="AQ556" r:id="rId463" display="ACTAS DE CONFORMIDAD\AC-2020\03-2020\24-03-2020\REG-43914-3004418790-981.2.pdf" xr:uid="{00000000-0004-0000-0F00-0000CE010000}"/>
    <hyperlink ref="P597" r:id="rId464" xr:uid="{00000000-0004-0000-0F00-0000CF010000}"/>
    <hyperlink ref="AQ548" r:id="rId465" display="ACTAS DE CONFORMIDAD\AC-2020\03-2020\27-03-2020\REG-43917-3004402506-1534.pdf" xr:uid="{00000000-0004-0000-0F00-0000D0010000}"/>
    <hyperlink ref="AQ551" r:id="rId466" display="ACTAS DE CONFORMIDAD\AC-2020\03-2020\26-03-2020\REG-43916-3004416582-1008.7.pdf" xr:uid="{00000000-0004-0000-0F00-0000D1010000}"/>
    <hyperlink ref="AQ552" r:id="rId467" display="ACTAS DE CONFORMIDAD\AC-2020\03-2020\25-03-2020\REG-43915-3004418790-981.5.pdf" xr:uid="{00000000-0004-0000-0F00-0000D2010000}"/>
    <hyperlink ref="AQ536" r:id="rId468" display="ACTAS DE CONFORMIDAD\AC-2020\03-2020\31-03-2020\REG-43921-3004344014-1045.4.pdf" xr:uid="{00000000-0004-0000-0F00-0000D3010000}"/>
    <hyperlink ref="AQ456" r:id="rId469" display="ACTAS DE CONFORMIDAD\AC-2020\05-2020\27-05-2020\REG-43978-3004331709-1580.pdf" xr:uid="{00000000-0004-0000-0F00-0000D4010000}"/>
    <hyperlink ref="P456" r:id="rId470" xr:uid="{00000000-0004-0000-0F00-0000D5010000}"/>
    <hyperlink ref="AQ455" r:id="rId471" display="ACTAS DE CONFORMIDAD\AC-2020\05-2020\27-05-2020\REG-43978-3004327723-1546.1.pdf" xr:uid="{00000000-0004-0000-0F00-0000D6010000}"/>
    <hyperlink ref="P434" r:id="rId472" xr:uid="{00000000-0004-0000-0F00-0000D7010000}"/>
    <hyperlink ref="P435" r:id="rId473" xr:uid="{00000000-0004-0000-0F00-0000D8010000}"/>
    <hyperlink ref="AQ435" r:id="rId474" display="ACTAS DE CONFORMIDAD\AC-2020\06-2020\02-06-2020\REG-43984-3004331705-1889.5.pdf" xr:uid="{00000000-0004-0000-0F00-0000D9010000}"/>
    <hyperlink ref="AQ434" r:id="rId475" display="ACTAS DE CONFORMIDAD\AC-2020\06-2020\02-06-2020\REG-43984-3004331708-1417.7.pdf" xr:uid="{00000000-0004-0000-0F00-0000DA010000}"/>
    <hyperlink ref="AQ795" r:id="rId476" display="ACTAS DE CONFORMIDAD\AC-2019\11-2019\09-11-2019\REG-43778-G-4012-2093.pdf" xr:uid="{00000000-0004-0000-0F00-0000DB010000}"/>
    <hyperlink ref="AQ471" r:id="rId477" display="ACTAS DE CONFORMIDAD\AC-2020\05-2020\21-05-2020\REG-43972-G-4012-2095.pdf" xr:uid="{00000000-0004-0000-0F00-0000DC010000}"/>
    <hyperlink ref="AQ796" r:id="rId478" display="ACTAS DE CONFORMIDAD\AC-2019\11-2019\09-11-2019\REG-43778-S-X095140-NR.pdf" xr:uid="{00000000-0004-0000-0F00-0000DD010000}"/>
    <hyperlink ref="AQ470" r:id="rId479" display="ACTAS DE CONFORMIDAD\AC-2020\05-2020\21-05-2020\REG-43972-S-X095140-60.42.pdf" xr:uid="{00000000-0004-0000-0F00-0000DE010000}"/>
    <hyperlink ref="AQ454" r:id="rId480" display="ACTAS DE CONFORMIDAD\AC-2020\05-2020\30-05-2020\REG-43981-3003415536-3915.pdf" xr:uid="{00000000-0004-0000-0F00-0000DF010000}"/>
    <hyperlink ref="AQ440" r:id="rId481" display="ACTAS DE CONFORMIDAD\AC-2020\06-2020\01-06-2020\REG-43983-3003963149-3181.1.pdf" xr:uid="{00000000-0004-0000-0F00-0000E0010000}"/>
    <hyperlink ref="AQ439" r:id="rId482" display="ACTAS DE CONFORMIDAD\AC-2020\06-2020\01-06-2020\REG-43983-3004597773-1810.pdf" xr:uid="{00000000-0004-0000-0F00-0000E1010000}"/>
    <hyperlink ref="AQ433" r:id="rId483" display="ACTAS DE CONFORMIDAD\AC-2020\06-2020\02-06-2020\REG-43984-3003940357-3606.4.pdf" xr:uid="{00000000-0004-0000-0F00-0000E2010000}"/>
    <hyperlink ref="AQ432" r:id="rId484" display="ACTAS DE CONFORMIDAD\AC-2020\06-2020\02-06-2020\REG-43984-3003566699-5199.6.pdf" xr:uid="{00000000-0004-0000-0F00-0000E3010000}"/>
    <hyperlink ref="AQ453" r:id="rId485" display="ACTAS DE CONFORMIDAD\AC-2020\05-2020\30-05-2020\REG-43981-3003566705-5426.2.pdf" xr:uid="{00000000-0004-0000-0F00-0000E4010000}"/>
    <hyperlink ref="AQ452" r:id="rId486" display="ACTAS DE CONFORMIDAD\AC-2020\05-2020\30-05-2020\REG-43981-3003962766-2455.7.pdf" xr:uid="{00000000-0004-0000-0F00-0000E5010000}"/>
    <hyperlink ref="AQ451" r:id="rId487" display="ACTAS DE CONFORMIDAD\AC-2020\05-2020\30-05-2020\REG-43981-3004555912-1716.pdf" xr:uid="{00000000-0004-0000-0F00-0000E6010000}"/>
    <hyperlink ref="AQ450" r:id="rId488" display="ACTAS DE CONFORMIDAD\AC-2020\05-2020\30-05-2020\REG-43981-3004597775-1456.3.pdf" xr:uid="{00000000-0004-0000-0F00-0000E7010000}"/>
    <hyperlink ref="AQ429" r:id="rId489" display="ACTAS DE CONFORMIDAD\AC-2020\06-2020\04-06-2020\REG-43986-3004370195-2613.7.pdf" xr:uid="{00000000-0004-0000-0F00-0000E8010000}"/>
    <hyperlink ref="AQ449" r:id="rId490" display="ACTAS DE CONFORMIDAD\AC-2020\05-2020\30-05-2020\REG-43981-3003566703-4559.pdf" xr:uid="{00000000-0004-0000-0F00-0000E9010000}"/>
    <hyperlink ref="AQ448" r:id="rId491" display="ACTAS DE CONFORMIDAD\AC-2020\05-2020\30-05-2020\REG-43981-3004370203-1923.3.pdf" xr:uid="{00000000-0004-0000-0F00-0000EA010000}"/>
    <hyperlink ref="AQ447" r:id="rId492" display="ACTAS DE CONFORMIDAD\AC-2020\05-2020\30-05-2020\REG-43981-3004555914-2061.8.pdf" xr:uid="{00000000-0004-0000-0F00-0000EB010000}"/>
    <hyperlink ref="AQ446" r:id="rId493" display="ACTAS DE CONFORMIDAD\AC-2020\05-2020\30-05-2020\REG-43981-3004370193-2402.7.pdf" xr:uid="{00000000-0004-0000-0F00-0000EC010000}"/>
    <hyperlink ref="AQ445" r:id="rId494" display="ACTAS DE CONFORMIDAD\AC-2020\05-2020\30-05-2020\REG-43981-3004555915-2263.4.pdf" xr:uid="{00000000-0004-0000-0F00-0000ED010000}"/>
    <hyperlink ref="AQ480" r:id="rId495" display="ACTAS DE CONFORMIDAD\AC-2020\05-2020\11-05-2020\REG-43962-3004428523-1156.1.pdf" xr:uid="{00000000-0004-0000-0F00-0000EE010000}"/>
    <hyperlink ref="AQ407" r:id="rId496" display="ACTAS DE CONFORMIDAD\AC-2020\06-2020\10-06-2020\REG-43992-3004428523-1496.8.pdf" xr:uid="{00000000-0004-0000-0F00-0000EF010000}"/>
    <hyperlink ref="AQ425" r:id="rId497" display="ACTAS DE CONFORMIDAD\AC-2020\06-2020\05-06-2020\REG-43987-3003940357-3736.1.pdf" xr:uid="{00000000-0004-0000-0F00-0000F0010000}"/>
    <hyperlink ref="AQ424" r:id="rId498" display="ACTAS DE CONFORMIDAD\AC-2020\06-2020\05-06-2020\REG-43987-3003987064-3726.7.pdf" xr:uid="{00000000-0004-0000-0F00-0000F1010000}"/>
    <hyperlink ref="P407" r:id="rId499" xr:uid="{00000000-0004-0000-0F00-0000F2010000}"/>
    <hyperlink ref="AQ412" r:id="rId500" display="ACTAS DE CONFORMIDAD\AC-2020\06-2020\09-06-2020\REG-43991-3004327722-1342.pdf" xr:uid="{00000000-0004-0000-0F00-0000F3010000}"/>
    <hyperlink ref="AQ411" r:id="rId501" display="ACTAS DE CONFORMIDAD\AC-2020\06-2020\09-06-2020\REG-43991-3004336198-1664.3.pdf" xr:uid="{00000000-0004-0000-0F00-0000F4010000}"/>
    <hyperlink ref="AQ410" r:id="rId502" display="ACTAS DE CONFORMIDAD\AC-2020\06-2020\09-06-2020\REG-43991-3004327724-1555.3.pdf" xr:uid="{00000000-0004-0000-0F00-0000F5010000}"/>
    <hyperlink ref="P410" r:id="rId503" xr:uid="{00000000-0004-0000-0F00-0000F6010000}"/>
    <hyperlink ref="P411" r:id="rId504" xr:uid="{00000000-0004-0000-0F00-0000F7010000}"/>
    <hyperlink ref="P412" r:id="rId505" xr:uid="{00000000-0004-0000-0F00-0000F8010000}"/>
    <hyperlink ref="AQ415" r:id="rId506" display="ACTAS DE CONFORMIDAD\AC-2020\06-2020\08-06-2020\REG-43990-3002933964-355.56.pdf" xr:uid="{00000000-0004-0000-0F00-0000F9010000}"/>
    <hyperlink ref="AQ416" r:id="rId507" display="ACTAS DE CONFORMIDAD\AC-2020\06-2020\08-06-2020\REG-43990-3002933963-375.49.pdf" xr:uid="{00000000-0004-0000-0F00-0000FA010000}"/>
    <hyperlink ref="P415" r:id="rId508" xr:uid="{00000000-0004-0000-0F00-0000FB010000}"/>
    <hyperlink ref="P416" r:id="rId509" xr:uid="{00000000-0004-0000-0F00-0000FC010000}"/>
    <hyperlink ref="AQ420" r:id="rId510" display="ACTAS DE CONFORMIDAD\AC-2020\06-2020\06-06-2020\REG-43988-3003963149-3254.9.pdf" xr:uid="{00000000-0004-0000-0F00-0000FD010000}"/>
    <hyperlink ref="AQ419" r:id="rId511" display="ACTAS DE CONFORMIDAD\AC-2020\06-2020\06-06-2020\REG-43988-3004597773-1849.1.pdf" xr:uid="{00000000-0004-0000-0F00-0000FE010000}"/>
    <hyperlink ref="AQ414" r:id="rId512" display="ACTAS DE CONFORMIDAD\AC-2020\06-2020\08-06-2020\REG-43990-3003566701-4286.6.pdf" xr:uid="{00000000-0004-0000-0F00-0000FF010000}"/>
    <hyperlink ref="AQ413" r:id="rId513" display="ACTAS DE CONFORMIDAD\AC-2020\06-2020\08-06-2020\REG-43990-3003932245-4698.2.pdf" xr:uid="{00000000-0004-0000-0F00-000000020000}"/>
    <hyperlink ref="AQ444" r:id="rId514" display="ACTAS DE CONFORMIDAD\AC-2020\05-2020\30-05-2020\REG-43981-3003415544-4429.pdf" xr:uid="{00000000-0004-0000-0F00-000001020000}"/>
    <hyperlink ref="AQ443" r:id="rId515" display="ACTAS DE CONFORMIDAD\AC-2020\05-2020\30-05-2020\REG-43981-3003415539-4689.pdf" xr:uid="{00000000-0004-0000-0F00-000002020000}"/>
    <hyperlink ref="AQ405" r:id="rId516" display="ACTAS DE CONFORMIDAD\AC-2020\06-2020\11-06-2020\REG-43993-3004982850-0.pdf" xr:uid="{00000000-0004-0000-0F00-000003020000}"/>
    <hyperlink ref="AQ404" r:id="rId517" display="ACTAS DE CONFORMIDAD\AC-2020\06-2020\11-06-2020\REG-43993-3004982864-0.pdf" xr:uid="{00000000-0004-0000-0F00-000004020000}"/>
    <hyperlink ref="AQ401" r:id="rId518" display="ACTAS DE CONFORMIDAD\AC-2020\06-2020\12-06-2020\REG-43994-3003963150-3794.4.pdf" xr:uid="{00000000-0004-0000-0F00-000005020000}"/>
    <hyperlink ref="AQ403" r:id="rId519" display="ACTAS DE CONFORMIDAD\AC-2020\06-2020\11-06-2020\REG-43993-3003963150-3835.9.pdf" xr:uid="{00000000-0004-0000-0F00-000006020000}"/>
    <hyperlink ref="P403" r:id="rId520" xr:uid="{00000000-0004-0000-0F00-000007020000}"/>
    <hyperlink ref="AQ832" r:id="rId521" display="ACTAS DE CONFORMIDAD\AC-2019\10-2019\02-10-2019\REG-43740-3004370195-842.6.pdf" xr:uid="{00000000-0004-0000-0F00-000008020000}"/>
    <hyperlink ref="P402" r:id="rId522" xr:uid="{00000000-0004-0000-0F00-000009020000}"/>
    <hyperlink ref="AQ584" r:id="rId523" display="ACTAS DE CONFORMIDAD\AC-2020\03-2020\09-03-2020\REG-43899-B5524F-001-185.4.pdf" xr:uid="{00000000-0004-0000-0F00-00000A020000}"/>
    <hyperlink ref="AQ399" r:id="rId524" display="ACTAS DE CONFORMIDAD\AC-2020\06-2020\12-06-2020\REG-43994-B5524F-001-186.7.pdf" xr:uid="{00000000-0004-0000-0F00-00000B020000}"/>
    <hyperlink ref="P399" r:id="rId525" xr:uid="{00000000-0004-0000-0F00-00000C020000}"/>
    <hyperlink ref="AQ423" r:id="rId526" display="ACTAS DE CONFORMIDAD\AC-2020\06-2020\05-06-2020\REG-43987-8754673-153.2.pdf" xr:uid="{00000000-0004-0000-0F00-00000D020000}"/>
    <hyperlink ref="AQ466" r:id="rId527" display="ACTAS DE CONFORMIDAD\AC-2020\05-2020\23-05-2020\REG-43974-8754673-152.9.pdf" xr:uid="{00000000-0004-0000-0F00-00000E020000}"/>
    <hyperlink ref="AQ553" r:id="rId528" display="ACTAS DE CONFORMIDAD\AC-2020\03-2020\25-03-2020\REG-43915-8754673-137.6.pdf" xr:uid="{00000000-0004-0000-0F00-00000F020000}"/>
    <hyperlink ref="AQ613" r:id="rId529" display="ACTAS DE CONFORMIDAD\AC-2020\02-2020\22-02-2020\REG-43883-8754673-137.3.pdf" xr:uid="{00000000-0004-0000-0F00-000010020000}"/>
    <hyperlink ref="AQ801" r:id="rId530" display="ACTAS DE CONFORMIDAD\AC-2019\10-2019\29-10-2019\REG-43767-8754673-133.8.pdf" xr:uid="{00000000-0004-0000-0F00-000011020000}"/>
    <hyperlink ref="AQ398" r:id="rId531" display="ACTAS DE CONFORMIDAD\AC-2020\06-2020\13-06-2020\REG-43995-3004428523-1515.6.pdf" xr:uid="{00000000-0004-0000-0F00-000012020000}"/>
    <hyperlink ref="P397" r:id="rId532" xr:uid="{00000000-0004-0000-0F00-000013020000}"/>
    <hyperlink ref="AQ397" r:id="rId533" display="ACTAS DE CONFORMIDAD\AC-2020\06-2020\13-06-2020\REG-43995-3004370193-2424.8.pdf" xr:uid="{00000000-0004-0000-0F00-000014020000}"/>
    <hyperlink ref="AQ396" r:id="rId534" display="ACTAS DE CONFORMIDAD\AC-2020\06-2020\13-06-2020\REG-43995-3004555912-1615.1.pdf" xr:uid="{00000000-0004-0000-0F00-000015020000}"/>
    <hyperlink ref="AQ400" r:id="rId535" display="ACTAS DE CONFORMIDAD\AC-2020\06-2020\12-06-2020\REG-43994-BANBIF0025389-169.1.pdf" xr:uid="{00000000-0004-0000-0F00-000016020000}"/>
    <hyperlink ref="P391" r:id="rId536" xr:uid="{00000000-0004-0000-0F00-000017020000}"/>
    <hyperlink ref="P392" r:id="rId537" xr:uid="{00000000-0004-0000-0F00-000018020000}"/>
    <hyperlink ref="P393" r:id="rId538" xr:uid="{00000000-0004-0000-0F00-000019020000}"/>
    <hyperlink ref="AQ393" r:id="rId539" display="ACTAS DE CONFORMIDAD\AC-2020\06-2020\16-06-2020\REG-43998-GEGA111-NR.pdf" xr:uid="{00000000-0004-0000-0F00-00001A020000}"/>
    <hyperlink ref="AQ392" r:id="rId540" display="ACTAS DE CONFORMIDAD\AC-2020\06-2020\16-06-2020\REG-43998-GEGA112-NR.pdf" xr:uid="{00000000-0004-0000-0F00-00001B020000}"/>
    <hyperlink ref="AQ391" r:id="rId541" display="ACTAS DE CONFORMIDAD\AC-2020\06-2020\16-06-2020\REG-43998-GEGA115-NR.pdf" xr:uid="{00000000-0004-0000-0F00-00001C020000}"/>
    <hyperlink ref="P390" r:id="rId542" xr:uid="{00000000-0004-0000-0F00-00001D020000}"/>
    <hyperlink ref="AQ390" r:id="rId543" display="ACTAS DE CONFORMIDAD\AC-2020\06-2020\16-06-2020\REG-43998-3003963150-3839.7.pdf" xr:uid="{00000000-0004-0000-0F00-00001E020000}"/>
    <hyperlink ref="P388" r:id="rId544" xr:uid="{00000000-0004-0000-0F00-00001F020000}"/>
    <hyperlink ref="AQ388" r:id="rId545" display="ACTAS DE CONFORMIDAD\AC-2020\06-2020\17-06-2020\REG-43999-3004428523-1515.8.pdf" xr:uid="{00000000-0004-0000-0F00-000020020000}"/>
    <hyperlink ref="P387" r:id="rId546" xr:uid="{00000000-0004-0000-0F00-000021020000}"/>
    <hyperlink ref="AQ387" r:id="rId547" display="ACTAS DE CONFORMIDAD\AC-2020\06-2020\18-06-2020\REG-44000-3004555914-2078.9.pdf" xr:uid="{00000000-0004-0000-0F00-000022020000}"/>
    <hyperlink ref="AQ386" r:id="rId548" display="ACTAS DE CONFORMIDAD\AC-2020\06-2020\18-06-2020\REG-44000-3004370193-2750.8.pdf" xr:uid="{00000000-0004-0000-0F00-000023020000}"/>
    <hyperlink ref="AQ465" r:id="rId549" display="ACTAS DE CONFORMIDAD\AC-2020\05-2020\23-05-2020\REG-43974-B5524F-001-185.7.pdf" xr:uid="{00000000-0004-0000-0F00-000024020000}"/>
    <hyperlink ref="AQ464" r:id="rId550" display="ACTAS DE CONFORMIDAD\AC-2020\05-2020\23-05-2020\REG-43974-F930510270-336.2.pdf" xr:uid="{00000000-0004-0000-0F00-000025020000}"/>
    <hyperlink ref="AQ797" r:id="rId551" display="ACTAS DE CONFORMIDAD\AC-2019\11-2019\09-11-2019\REG-43778-59G12-443-1979-25.pdf" xr:uid="{00000000-0004-0000-0F00-000026020000}"/>
    <hyperlink ref="AQ463" r:id="rId552" display="ACTAS DE CONFORMIDAD\AC-2020\05-2020\23-05-2020\REG-43974-59G12-443-1979-30.1.pdf" xr:uid="{00000000-0004-0000-0F00-000027020000}"/>
    <hyperlink ref="AQ402" r:id="rId553" display="ACTAS DE CONFORMIDAD\AC-2020\06-2020\11-06-2020\REG-43993-F930510270-336.8.pdf" xr:uid="{00000000-0004-0000-0F00-000028020000}"/>
    <hyperlink ref="P384" r:id="rId554" xr:uid="{00000000-0004-0000-0F00-000029020000}"/>
    <hyperlink ref="AQ384" r:id="rId555" display="ACTAS DE CONFORMIDAD\AC-2020\06-2020\20-06-2020\REG-44002-3003962766-2748.4.pdf" xr:uid="{00000000-0004-0000-0F00-00002A020000}"/>
    <hyperlink ref="AQ437" r:id="rId556" display="ACTAS DE CONFORMIDAD\AC-2020\06-2020\02-06-2020\REG-43984-3004344017-1588.3.pdf" xr:uid="{00000000-0004-0000-0F00-00002B020000}"/>
    <hyperlink ref="AQ381" r:id="rId557" display="ACTAS DE CONFORMIDAD\AC-2020\06-2020\22-06-2020\REG-44004-3004337428-913.9.pdf" xr:uid="{00000000-0004-0000-0F00-00002C020000}"/>
    <hyperlink ref="AQ380" r:id="rId558" display="ACTAS DE CONFORMIDAD\AC-2020\06-2020\23-06-2020\REG-44005-3004418790-1600.7.pdf" xr:uid="{00000000-0004-0000-0F00-00002D020000}"/>
    <hyperlink ref="AQ375" r:id="rId559" display="ACTAS DE CONFORMIDAD\AC-2020\06-2020\26-06-2020\REG-44008-3003566699-5688.4.pdf" xr:uid="{00000000-0004-0000-0F00-00002E020000}"/>
    <hyperlink ref="P375" r:id="rId560" xr:uid="{00000000-0004-0000-0F00-00002F020000}"/>
    <hyperlink ref="AQ363" r:id="rId561" display="ACTAS DE CONFORMIDAD\AC-2020\07-2020\03-07-2020\REG-44015-3004290366-2535.3.pdf" xr:uid="{00000000-0004-0000-0F00-000030020000}"/>
    <hyperlink ref="AQ373" r:id="rId562" display="ACTAS DE CONFORMIDAD\AC-2020\06-2020\26-06-2020\REG-44008-3003940357-3993.1.pdf" xr:uid="{00000000-0004-0000-0F00-000031020000}"/>
    <hyperlink ref="P373" r:id="rId563" xr:uid="{00000000-0004-0000-0F00-000032020000}"/>
    <hyperlink ref="AQ372" r:id="rId564" display="ACTAS DE CONFORMIDAD\AC-2020\06-2020\26-06-2020\REG-44008-3003987064-4043.9.pdf" xr:uid="{00000000-0004-0000-0F00-000033020000}"/>
    <hyperlink ref="P372" r:id="rId565" xr:uid="{00000000-0004-0000-0F00-000034020000}"/>
    <hyperlink ref="AQ369" r:id="rId566" display="ACTAS DE CONFORMIDAD\AC-2020\06-2020\27-06-2020\REG-44009-3003566703-4927.pdf" xr:uid="{00000000-0004-0000-0F00-000035020000}"/>
    <hyperlink ref="P369" r:id="rId567" xr:uid="{00000000-0004-0000-0F00-000036020000}"/>
    <hyperlink ref="AQ370" r:id="rId568" display="ACTAS DE CONFORMIDAD\AC-2020\06-2020\26-06-2020\REG-44008-2117417-3503.4.pdf" xr:uid="{00000000-0004-0000-0F00-000037020000}"/>
    <hyperlink ref="AQ371" r:id="rId569" display="ACTAS DE CONFORMIDAD\AC-2020\06-2020\26-06-2020\REG-44008-2117413-2628.3.pdf" xr:uid="{00000000-0004-0000-0F00-000038020000}"/>
    <hyperlink ref="AQ327" r:id="rId570" display="ACTAS DE CONFORMIDAD\AC-2020\07-2020\23-07-2020\REG-44035-3004344017-1588.3.pdf" xr:uid="{00000000-0004-0000-0F00-000039020000}"/>
    <hyperlink ref="AQ318" r:id="rId571" display="ACTAS DE CONFORMIDAD\AC-2020\07-2020\28-07-2020\REG-44040-3004402508-1596.4.pdf" xr:uid="{00000000-0004-0000-0F00-00003A020000}"/>
    <hyperlink ref="AQ319" r:id="rId572" display="ACTAS DE CONFORMIDAD\AC-2020\07-2020\28-07-2020\REG-44040-3004336197-2044.4.pdf" xr:uid="{00000000-0004-0000-0F00-00003B020000}"/>
    <hyperlink ref="AQ344" r:id="rId573" display="ACTAS DE CONFORMIDAD\AC-2020\07-2020\17-07-2020\REG-44029-3004428523-1799.4.pdf" xr:uid="{00000000-0004-0000-0F00-00003C020000}"/>
    <hyperlink ref="P344" r:id="rId574" xr:uid="{00000000-0004-0000-0F00-00003D020000}"/>
    <hyperlink ref="AQ303" r:id="rId575" display="ACTAS DE CONFORMIDAD\AC-2020\08-2020\07-08-2020\REG-44050-3003566703-5405.1.pdf" xr:uid="{00000000-0004-0000-0F00-00003E020000}"/>
    <hyperlink ref="P303" r:id="rId576" xr:uid="{00000000-0004-0000-0F00-00003F020000}"/>
    <hyperlink ref="AQ302" r:id="rId577" display="ACTAS DE CONFORMIDAD\AC-2020\08-2020\07-08-2020\REG-44050-3003940357-4544.8.pdf" xr:uid="{00000000-0004-0000-0F00-000040020000}"/>
    <hyperlink ref="P302" r:id="rId578" xr:uid="{00000000-0004-0000-0F00-000041020000}"/>
    <hyperlink ref="AQ288" r:id="rId579" display="ACTAS DE CONFORMIDAD\AC-2020\08-2020\11-08-2020\REG-44054-3004370193-3236.3.pdf" xr:uid="{00000000-0004-0000-0F00-000042020000}"/>
    <hyperlink ref="P288" r:id="rId580" xr:uid="{00000000-0004-0000-0F00-000043020000}"/>
    <hyperlink ref="AQ290" r:id="rId581" display="ACTAS DE CONFORMIDAD\AC-2020\08-2020\11-08-2020\REG-44054-3003415540-4522.9.pdf" xr:uid="{00000000-0004-0000-0F00-000044020000}"/>
    <hyperlink ref="P290" r:id="rId582" xr:uid="{00000000-0004-0000-0F00-000045020000}"/>
    <hyperlink ref="P289" r:id="rId583" xr:uid="{00000000-0004-0000-0F00-000046020000}"/>
    <hyperlink ref="AQ289" r:id="rId584" display="ACTAS DE CONFORMIDAD\AC-2020\08-2020\11-08-2020\REG-44054-3003415532-4522.9.pdf" xr:uid="{00000000-0004-0000-0F00-000047020000}"/>
    <hyperlink ref="AQ287" r:id="rId585" display="ACTAS DE CONFORMIDAD\AC-2020\08-2020\12-08-2020\REG-44055-C3020121001-S-1648.59.pdf" xr:uid="{00000000-0004-0000-0F00-000048020000}"/>
    <hyperlink ref="P368" r:id="rId586" xr:uid="{00000000-0004-0000-0F00-000049020000}"/>
    <hyperlink ref="AQ368" r:id="rId587" display="ACTAS DE CONFORMIDAD\AC-2020\06-2020\30-06-2020\REG-44012-3004999911-1783.1.pdf" xr:uid="{00000000-0004-0000-0F00-00004A020000}"/>
    <hyperlink ref="P367" r:id="rId588" xr:uid="{00000000-0004-0000-0F00-00004B020000}"/>
    <hyperlink ref="AQ367" r:id="rId589" display="ACTAS DE CONFORMIDAD\AC-2020\06-2020\30-06-2020\REG-44012-3005005007-1497.7.pdf" xr:uid="{00000000-0004-0000-0F00-00004C020000}"/>
    <hyperlink ref="P366" r:id="rId590" xr:uid="{00000000-0004-0000-0F00-00004D020000}"/>
    <hyperlink ref="AQ366" r:id="rId591" display="ACTAS DE CONFORMIDAD\AC-2020\06-2020\30-06-2020\REG-44012-3005005010-1756.5.pdf" xr:uid="{00000000-0004-0000-0F00-00004E020000}"/>
    <hyperlink ref="P300" r:id="rId592" xr:uid="{00000000-0004-0000-0F00-00004F020000}"/>
    <hyperlink ref="AQ300" r:id="rId593" display="ACTAS DE CONFORMIDAD\AC-2020\08-2020\08-08-2020\REG-44051-3004336198-1922.1.pdf" xr:uid="{00000000-0004-0000-0F00-000050020000}"/>
    <hyperlink ref="AQ278" r:id="rId594" display="ACTAS DE CONFORMIDAD\AC-2020\08-2020\13-08-2020\REG-44056-3004227749-2024.8.pdf" xr:uid="{00000000-0004-0000-0F00-000051020000}"/>
    <hyperlink ref="AQ286" r:id="rId595" display="ACTAS DE CONFORMIDAD\AC-2020\08-2020\12-08-2020\REG-44055-3004218547-1542.1.pdf" xr:uid="{00000000-0004-0000-0F00-000052020000}"/>
    <hyperlink ref="AQ279" r:id="rId596" display="ACTAS DE CONFORMIDAD\AC-2020\08-2020\12-08-2020\REG-44055-3004214491-2003.7.pdf" xr:uid="{00000000-0004-0000-0F00-000053020000}"/>
    <hyperlink ref="AQ284" r:id="rId597" display="ACTAS DE CONFORMIDAD\AC-2020\08-2020\12-08-2020\REG-44055-3004416580-2723.5.pdf" xr:uid="{00000000-0004-0000-0F00-000054020000}"/>
    <hyperlink ref="AQ280" r:id="rId598" display="ACTAS DE CONFORMIDAD\AC-2020\08-2020\12-08-2020\REG-44055-3004402508-1758.8.pdf" xr:uid="{00000000-0004-0000-0F00-000055020000}"/>
    <hyperlink ref="AQ276" r:id="rId599" display="ACTAS DE CONFORMIDAD\AC-2020\08-2020\15-08-2020\REG-44058-3004402507-1813.6.pdf" xr:uid="{00000000-0004-0000-0F00-000056020000}"/>
    <hyperlink ref="AQ299" r:id="rId600" display="ACTAS DE CONFORMIDAD\AC-2020\08-2020\08-08-2020\REG-44051-3004331708-1635.5.pdf" xr:uid="{00000000-0004-0000-0F00-000057020000}"/>
    <hyperlink ref="P299" r:id="rId601" xr:uid="{00000000-0004-0000-0F00-000058020000}"/>
    <hyperlink ref="AQ298" r:id="rId602" display="ACTAS DE CONFORMIDAD\AC-2020\08-2020\08-08-2020\REG-44051-3004327723-1785.7.pdf" xr:uid="{00000000-0004-0000-0F00-000059020000}"/>
    <hyperlink ref="P298" r:id="rId603" xr:uid="{00000000-0004-0000-0F00-00005A020000}"/>
    <hyperlink ref="P295" r:id="rId604" xr:uid="{00000000-0004-0000-0F00-00005B020000}"/>
    <hyperlink ref="AQ295" r:id="rId605" display="ACTAS DE CONFORMIDAD\AC-2020\08-2020\10-08-2020\REG-44053-3003415539-5306.3.pdf" xr:uid="{00000000-0004-0000-0F00-00005C020000}"/>
    <hyperlink ref="P277" r:id="rId606" xr:uid="{00000000-0004-0000-0F00-00005D020000}"/>
    <hyperlink ref="AQ277" r:id="rId607" display="ACTAS DE CONFORMIDAD\AC-2020\08-2020\14-08-2020\REG-44057-3004370203-1923.4.pdf" xr:uid="{00000000-0004-0000-0F00-00005E020000}"/>
    <hyperlink ref="P294" r:id="rId608" xr:uid="{00000000-0004-0000-0F00-00005F020000}"/>
    <hyperlink ref="AQ294" r:id="rId609" display="ACTAS DE CONFORMIDAD\AC-2020\08-2020\10-08-2020\REG-44053-3003415536-4676.9.pdf" xr:uid="{00000000-0004-0000-0F00-000060020000}"/>
    <hyperlink ref="P275" r:id="rId610" xr:uid="{00000000-0004-0000-0F00-000061020000}"/>
    <hyperlink ref="AQ275" r:id="rId611" display="ACTAS DE CONFORMIDAD\AC-2020\08-2020\15-08-2020\REG-44058-3004555915-2973.9.pdf" xr:uid="{00000000-0004-0000-0F00-000062020000}"/>
    <hyperlink ref="AQ274" r:id="rId612" display="ACTAS DE CONFORMIDAD\AC-2020\08-2020\15-08-2020\REG-44058-3004555912-2271.5.pdf" xr:uid="{00000000-0004-0000-0F00-000063020000}"/>
    <hyperlink ref="P349" r:id="rId613" xr:uid="{00000000-0004-0000-0F00-000064020000}"/>
    <hyperlink ref="AQ349" r:id="rId614" display="ACTAS DE CONFORMIDAD\AC-2020\07-2020\14-07-2020\REG-44026-3005167425-841.9.pdf" xr:uid="{00000000-0004-0000-0F00-000065020000}"/>
    <hyperlink ref="P359" r:id="rId615" xr:uid="{00000000-0004-0000-0F00-000066020000}"/>
    <hyperlink ref="AQ359" r:id="rId616" display="ACTAS DE CONFORMIDAD\AC-2020\07-2020\08-07-2020\REG-44020-3004370193-3137.5.pdf" xr:uid="{00000000-0004-0000-0F00-000067020000}"/>
    <hyperlink ref="AQ273" r:id="rId617" display="ACTAS DE CONFORMIDAD\AC-2020\08-2020\17-08-2020\REG-44060-3004336196-2378.1.pdf" xr:uid="{00000000-0004-0000-0F00-000068020000}"/>
    <hyperlink ref="AQ339" r:id="rId618" display="ACTAS DE CONFORMIDAD\AC-2020\07-2020\18-07-2020\REG-44030-3004214491-1801.7.pdf" xr:uid="{00000000-0004-0000-0F00-000069020000}"/>
    <hyperlink ref="AQ342" r:id="rId619" display="ACTAS DE CONFORMIDAD\AC-2020\07-2020\18-07-2020\REG-44030-3004218547-1341.5.pdf" xr:uid="{00000000-0004-0000-0F00-00006A020000}"/>
    <hyperlink ref="P297" r:id="rId620" xr:uid="{00000000-0004-0000-0F00-00006B020000}"/>
    <hyperlink ref="AQ297" r:id="rId621" display="ACTAS DE CONFORMIDAD\AC-2020\08-2020\08-08-2020\REG-44051-3004331709-1891.4.pdf" xr:uid="{00000000-0004-0000-0F00-00006C020000}"/>
    <hyperlink ref="P296" r:id="rId622" xr:uid="{00000000-0004-0000-0F00-00006D020000}"/>
    <hyperlink ref="AQ296" r:id="rId623" display="ACTAS DE CONFORMIDAD\AC-2020\08-2020\08-08-2020\REG-44051-3004327721-1856.1.pdf" xr:uid="{00000000-0004-0000-0F00-00006E020000}"/>
    <hyperlink ref="AQ285" r:id="rId624" display="ACTAS DE CONFORMIDAD\AC-2020\08-2020\12-08-2020\REG-44055-3004337428-1254.4.pdf" xr:uid="{00000000-0004-0000-0F00-00006F020000}"/>
    <hyperlink ref="P283" r:id="rId625" xr:uid="{00000000-0004-0000-0F00-000070020000}"/>
    <hyperlink ref="AQ283" r:id="rId626" display="ACTAS DE CONFORMIDAD\AC-2020\08-2020\12-08-2020\REG-44055-3005005010-2085.4.pdf" xr:uid="{00000000-0004-0000-0F00-000071020000}"/>
    <hyperlink ref="AQ267" r:id="rId627" display="ACTAS DE CONFORMIDAD\AC-2020\08-2020\19-08-2020\REG-44062-3004214491-2042.3.pdf" xr:uid="{00000000-0004-0000-0F00-000072020000}"/>
    <hyperlink ref="P282" r:id="rId628" xr:uid="{00000000-0004-0000-0F00-000073020000}"/>
    <hyperlink ref="AQ282" r:id="rId629" display="ACTAS DE CONFORMIDAD\AC-2020\08-2020\12-08-2020\REG-44055-3003932245-5543.7.pdf" xr:uid="{00000000-0004-0000-0F00-000074020000}"/>
    <hyperlink ref="AQ348" r:id="rId630" display="ACTAS DE CONFORMIDAD\AC-2020\07-2020\14-07-2020\REG-44026-3005167422-834.8.pdf" xr:uid="{00000000-0004-0000-0F00-000075020000}"/>
    <hyperlink ref="P265" r:id="rId631" xr:uid="{00000000-0004-0000-0F00-000076020000}"/>
    <hyperlink ref="AQ265" r:id="rId632" display="ACTAS DE CONFORMIDAD\AC-2020\08-2020\20-08-2020\REG-44063-3005167425-1136.6.pdf" xr:uid="{00000000-0004-0000-0F00-000077020000}"/>
    <hyperlink ref="P264" r:id="rId633" xr:uid="{00000000-0004-0000-0F00-000078020000}"/>
    <hyperlink ref="AQ264" r:id="rId634" display="ACTAS DE CONFORMIDAD\AC-2020\08-2020\20-08-2020\REG-44063-3005167422-1091.7.pdf" xr:uid="{00000000-0004-0000-0F00-000079020000}"/>
    <hyperlink ref="AQ338" r:id="rId635" display="ACTAS DE CONFORMIDAD\AC-2020\07-2020\20-07-2020\REG-44032-S-X095140-60.54.pdf" xr:uid="{00000000-0004-0000-0F00-00007A020000}"/>
    <hyperlink ref="AQ260" r:id="rId636" display="ACTAS DE CONFORMIDAD\AC-2020\08-2020\25-08-2020\REG-44068-3004290369-1498.7.pdf" xr:uid="{00000000-0004-0000-0F00-00007B020000}"/>
    <hyperlink ref="P263" r:id="rId637" xr:uid="{00000000-0004-0000-0F00-00007C020000}"/>
    <hyperlink ref="AQ263" r:id="rId638" display="ACTAS DE CONFORMIDAD\AC-2020\08-2020\20-08-2020\REG-44063-3004331705-2096.3.pdf" xr:uid="{00000000-0004-0000-0F00-00007D020000}"/>
    <hyperlink ref="P272" r:id="rId639" xr:uid="{00000000-0004-0000-0F00-00007E020000}"/>
    <hyperlink ref="AQ272" r:id="rId640" display="ACTAS DE CONFORMIDAD\AC-2020\08-2020\19-08-2020\REG-44062-3004327722-1546.9.pdf" xr:uid="{00000000-0004-0000-0F00-00007F020000}"/>
    <hyperlink ref="P271" r:id="rId641" xr:uid="{00000000-0004-0000-0F00-000080020000}"/>
    <hyperlink ref="AQ271" r:id="rId642" display="ACTAS DE CONFORMIDAD\AC-2020\08-2020\19-08-2020\REG-44062-3004336198-2000.2.pdf" xr:uid="{00000000-0004-0000-0F00-000081020000}"/>
    <hyperlink ref="AQ259" r:id="rId643" display="ACTAS DE CONFORMIDAD\AC-2020\08-2020\25-08-2020\REG-44068-3004290368-2539.8.pdf" xr:uid="{00000000-0004-0000-0F00-000082020000}"/>
    <hyperlink ref="P270" r:id="rId644" xr:uid="{00000000-0004-0000-0F00-000083020000}"/>
    <hyperlink ref="AQ270" r:id="rId645" display="ACTAS DE CONFORMIDAD\AC-2020\08-2020\19-08-2020\REG-44062-3004327724-1742.1.pdf" xr:uid="{00000000-0004-0000-0F00-000084020000}"/>
    <hyperlink ref="P269" r:id="rId646" xr:uid="{00000000-0004-0000-0F00-000085020000}"/>
    <hyperlink ref="AQ269" r:id="rId647" display="ACTAS DE CONFORMIDAD\AC-2020\08-2020\19-08-2020\REG-44062-3004327724-1742.7.pdf" xr:uid="{00000000-0004-0000-0F00-000086020000}"/>
    <hyperlink ref="P256" r:id="rId648" xr:uid="{00000000-0004-0000-0F00-000087020000}"/>
    <hyperlink ref="AQ256" r:id="rId649" display="ACTAS DE CONFORMIDAD\AC-2020\08-2020\26-08-2020\REG-44069-3004555912-2375.1.pdf" xr:uid="{00000000-0004-0000-0F00-000088020000}"/>
    <hyperlink ref="AQ251" r:id="rId650" display="ACTAS DE CONFORMIDAD\AC-2020\08-2020\27-08-2020\REG-44070-3004381435-1542.6.pdf" xr:uid="{00000000-0004-0000-0F00-000089020000}"/>
    <hyperlink ref="AQ252" r:id="rId651" display="ACTAS DE CONFORMIDAD\AC-2020\08-2020\27-08-2020\REG-44070-3004218547-1660.5.pdf" xr:uid="{00000000-0004-0000-0F00-00008A020000}"/>
    <hyperlink ref="P250" r:id="rId652" xr:uid="{00000000-0004-0000-0F00-00008B020000}"/>
    <hyperlink ref="AQ250" r:id="rId653" display="ACTAS DE CONFORMIDAD\AC-2020\08-2020\27-08-2020\REG-44070-3003962766-3480.2.pdf" xr:uid="{00000000-0004-0000-0F00-00008C020000}"/>
    <hyperlink ref="AQ249" r:id="rId654" display="ACTAS DE CONFORMIDAD\AC-2020\08-2020\27-08-2020\REG-44070-3003415539-5368.7.pdf" xr:uid="{00000000-0004-0000-0F00-00008D020000}"/>
    <hyperlink ref="P255" r:id="rId655" xr:uid="{00000000-0004-0000-0F00-00008E020000}"/>
    <hyperlink ref="AQ255" r:id="rId656" display="ACTAS DE CONFORMIDAD\AC-2020\08-2020\26-08-2020\REG-44069-3004370195-3098.3.pdf" xr:uid="{00000000-0004-0000-0F00-00008F020000}"/>
    <hyperlink ref="P351" r:id="rId657" xr:uid="{00000000-0004-0000-0F00-000090020000}"/>
    <hyperlink ref="AQ351" r:id="rId658" display="ACTAS DE CONFORMIDAD\AC-2020\07-2020\11-07-2020\REG-44023-3003962766-2873.4.pdf" xr:uid="{00000000-0004-0000-0F00-000091020000}"/>
    <hyperlink ref="P358" r:id="rId659" xr:uid="{00000000-0004-0000-0F00-000092020000}"/>
    <hyperlink ref="AQ358" r:id="rId660" display="ACTAS DE CONFORMIDAD\AC-2020\07-2020\08-07-2020\REG-44020-3004555915-2743.6.pdf" xr:uid="{00000000-0004-0000-0F00-000093020000}"/>
    <hyperlink ref="P254" r:id="rId661" xr:uid="{00000000-0004-0000-0F00-000094020000}"/>
    <hyperlink ref="AQ254" r:id="rId662" display="ACTAS DE CONFORMIDAD\AC-2020\08-2020\26-08-2020\REG-44069-3004597773-2613.9.pdf" xr:uid="{00000000-0004-0000-0F00-000095020000}"/>
    <hyperlink ref="P281" r:id="rId663" xr:uid="{00000000-0004-0000-0F00-000096020000}"/>
    <hyperlink ref="AQ281" r:id="rId664" display="ACTAS DE CONFORMIDAD\AC-2020\08-2020\12-08-2020\REG-44055-3003566701-5063.7.pdf" xr:uid="{00000000-0004-0000-0F00-000097020000}"/>
    <hyperlink ref="P326" r:id="rId665" xr:uid="{00000000-0004-0000-0F00-000098020000}"/>
    <hyperlink ref="AQ326" r:id="rId666" display="ACTAS DE CONFORMIDAD\AC-2020\07-2020\23-07-2020\REG-44035-3003566701-4650.2.pdf" xr:uid="{00000000-0004-0000-0F00-000099020000}"/>
    <hyperlink ref="P345" r:id="rId667" xr:uid="{00000000-0004-0000-0F00-00009A020000}"/>
    <hyperlink ref="AQ345" r:id="rId668" display="ACTAS DE CONFORMIDAD\AC-2020\07-2020\15-07-2020\REG-44027-3003566701-4606.8.pdf" xr:uid="{00000000-0004-0000-0F00-00009B020000}"/>
    <hyperlink ref="P357" r:id="rId669" xr:uid="{00000000-0004-0000-0F00-00009C020000}"/>
    <hyperlink ref="AQ357" r:id="rId670" display="ACTAS DE CONFORMIDAD\AC-2020\07-2020\08-07-2020\REG-44020-3004597773-2101.5.pdf" xr:uid="{00000000-0004-0000-0F00-00009D020000}"/>
    <hyperlink ref="P332" r:id="rId671" xr:uid="{00000000-0004-0000-0F00-00009E020000}"/>
    <hyperlink ref="AQ332" r:id="rId672" display="ACTAS DE CONFORMIDAD\AC-2020\07-2020\22-07-2020\REG-44034-3004597773-2342.4.pdf" xr:uid="{00000000-0004-0000-0F00-00009F020000}"/>
    <hyperlink ref="AQ308" r:id="rId673" display="ACTAS DE CONFORMIDAD\AC-2020\08-2020\03-08-2020\REG-44046-3002933964-712.35.pdf" xr:uid="{00000000-0004-0000-0F00-0000A0020000}"/>
    <hyperlink ref="P341" r:id="rId674" xr:uid="{00000000-0004-0000-0F00-0000A1020000}"/>
    <hyperlink ref="P340" r:id="rId675" xr:uid="{00000000-0004-0000-0F00-0000A2020000}"/>
    <hyperlink ref="AQ340" r:id="rId676" display="ACTAS DE CONFORMIDAD\AC-2020\07-2020\18-07-2020\REG-44030-3002933963-596.31.pdf" xr:uid="{00000000-0004-0000-0F00-0000A3020000}"/>
    <hyperlink ref="AQ341" r:id="rId677" display="ACTAS DE CONFORMIDAD\AC-2020\07-2020\18-07-2020\REG-44030-3002933964-633.1.pdf" xr:uid="{00000000-0004-0000-0F00-0000A4020000}"/>
    <hyperlink ref="AQ331" r:id="rId678" display="ACTAS DE CONFORMIDAD\AC-2020\07-2020\22-07-2020\REG-44034-3004370195-2827.5.pdf" xr:uid="{00000000-0004-0000-0F00-0000A5020000}"/>
    <hyperlink ref="P330" r:id="rId679" xr:uid="{00000000-0004-0000-0F00-0000A6020000}"/>
    <hyperlink ref="AQ330" r:id="rId680" display="ACTAS DE CONFORMIDAD\AC-2020\07-2020\22-07-2020\REG-44034-3004370195-2828.pdf" xr:uid="{00000000-0004-0000-0F00-0000A7020000}"/>
    <hyperlink ref="AQ262" r:id="rId681" display="ACTAS DE CONFORMIDAD\AC-2020\08-2020\21-08-2020\REG-44064-3004999911-2262.4.pdf" xr:uid="{00000000-0004-0000-0F00-0000A8020000}"/>
    <hyperlink ref="P262" r:id="rId682" xr:uid="{00000000-0004-0000-0F00-0000A9020000}"/>
    <hyperlink ref="P261" r:id="rId683" xr:uid="{00000000-0004-0000-0F00-0000AA020000}"/>
    <hyperlink ref="AQ261" r:id="rId684" display="ACTAS DE CONFORMIDAD\AC-2020\08-2020\21-08-2020\REG-44064-3005005007-1991.1.pdf" xr:uid="{00000000-0004-0000-0F00-0000AB020000}"/>
    <hyperlink ref="P350" r:id="rId685" xr:uid="{00000000-0004-0000-0F00-0000AC020000}"/>
    <hyperlink ref="AQ350" r:id="rId686" display="ACTAS DE CONFORMIDAD\AC-2020\07-2020\13-07-2020\REG-44025-PEE2626871-482.3.pdf" xr:uid="{00000000-0004-0000-0F00-0000AD020000}"/>
    <hyperlink ref="P356" r:id="rId687" xr:uid="{00000000-0004-0000-0F00-0000AE020000}"/>
    <hyperlink ref="AQ356" r:id="rId688" display="ACTAS DE CONFORMIDAD\AC-2020\07-2020\08-07-2020\REG-44020-3004555914-2405.6.pdf" xr:uid="{00000000-0004-0000-0F00-0000AF020000}"/>
    <hyperlink ref="P355" r:id="rId689" xr:uid="{00000000-0004-0000-0F00-0000B0020000}"/>
    <hyperlink ref="AQ355" r:id="rId690" display="ACTAS DE CONFORMIDAD\AC-2020\07-2020\09-07-2020\REG-44021-3003415532-4097.7.pdf" xr:uid="{00000000-0004-0000-0F00-0000B1020000}"/>
    <hyperlink ref="AQ248" r:id="rId691" display="ACTAS DE CONFORMIDAD\AC-2020\08-2020\28-08-2020\REG-44071-3005005010-2238.9.pdf" xr:uid="{00000000-0004-0000-0F00-0000B2020000}"/>
    <hyperlink ref="P253" r:id="rId692" xr:uid="{00000000-0004-0000-0F00-0000B3020000}"/>
    <hyperlink ref="AQ253" r:id="rId693" display="ACTAS DE CONFORMIDAD\AC-2020\08-2020\26-08-2020\REG-44069-3004597775-2093.2.pdf" xr:uid="{00000000-0004-0000-0F00-0000B4020000}"/>
    <hyperlink ref="P245" r:id="rId694" xr:uid="{00000000-0004-0000-0F00-0000B5020000}"/>
    <hyperlink ref="AQ245" r:id="rId695" display="ACTAS DE CONFORMIDAD\AC-2020\08-2020\29-08-2020\REG-44072-3004597775-2101.8.pdf" xr:uid="{00000000-0004-0000-0F00-0000B6020000}"/>
    <hyperlink ref="AQ247" r:id="rId696" display="ACTAS DE CONFORMIDAD\AC-2020\08-2020\28-08-2020\REG-44071-3005786151-0.15.pdf" xr:uid="{00000000-0004-0000-0F00-0000B7020000}"/>
    <hyperlink ref="AQ246" r:id="rId697" display="ACTAS DE CONFORMIDAD\AC-2020\08-2020\28-08-2020\REG-44071-3005786155-0.4.pdf" xr:uid="{00000000-0004-0000-0F00-0000B8020000}"/>
    <hyperlink ref="P325" r:id="rId698" xr:uid="{00000000-0004-0000-0F00-0000B9020000}"/>
    <hyperlink ref="AQ325" r:id="rId699" display="ACTAS DE CONFORMIDAD\AC-2020\07-2020\23-07-2020\REG-44035-3003566705-5732.5.pdf" xr:uid="{00000000-0004-0000-0F00-0000BA020000}"/>
    <hyperlink ref="P322" r:id="rId700" xr:uid="{00000000-0004-0000-0F00-0000BB020000}"/>
    <hyperlink ref="AQ322" r:id="rId701" display="ACTAS DE CONFORMIDAD\AC-2020\07-2020\24-07-2020\REG-44036-3004370193-3148.5.pdf" xr:uid="{00000000-0004-0000-0F00-0000BC020000}"/>
    <hyperlink ref="AQ242" r:id="rId702" display="ACTAS DE CONFORMIDAD\AC-2020\09-2020\01-09-2020\REG-44075-3004381438-2521.3.pdf" xr:uid="{00000000-0004-0000-0F00-0000BD020000}"/>
    <hyperlink ref="AQ236" r:id="rId703" display="ACTAS DE CONFORMIDAD\AC-2020\09-2020\01-09-2020\REG-44075-3004402508-1914.6.pdf" xr:uid="{00000000-0004-0000-0F00-0000BE020000}"/>
    <hyperlink ref="AQ241" r:id="rId704" display="ACTAS DE CONFORMIDAD\AC-2020\09-2020\01-09-2020\REG-44075-3004418791-1770.9.pdf" xr:uid="{00000000-0004-0000-0F00-0000BF020000}"/>
    <hyperlink ref="AQ240" r:id="rId705" display="ACTAS DE CONFORMIDAD\AC-2020\09-2020\01-09-2020\REG-44075-3004336197-2408.3.pdf" xr:uid="{00000000-0004-0000-0F00-0000C0020000}"/>
    <hyperlink ref="AQ343" r:id="rId706" display="ACTAS DE CONFORMIDAD\AC-2020\07-2020\17-07-2020\REG-44029-3004370203-2487,9.pdf" xr:uid="{00000000-0004-0000-0F00-0000C1020000}"/>
    <hyperlink ref="AQ354" r:id="rId707" display="ACTAS DE CONFORMIDAD\AC-2020\07-2020\09-07-2020\REG-44021-3004370195-2614.pdf" xr:uid="{00000000-0004-0000-0F00-0000C2020000}"/>
    <hyperlink ref="P353" r:id="rId708" xr:uid="{00000000-0004-0000-0F00-0000C3020000}"/>
    <hyperlink ref="AQ353" r:id="rId709" display="ACTAS DE CONFORMIDAD\AC-2020\07-2020\09-07-2020\REG-44021-3003415544-4794,3.pdf" xr:uid="{00000000-0004-0000-0F00-0000C4020000}"/>
    <hyperlink ref="P352" r:id="rId710" xr:uid="{00000000-0004-0000-0F00-0000C5020000}"/>
    <hyperlink ref="AQ352" r:id="rId711" display="ACTAS DE CONFORMIDAD\AC-2020\07-2020\09-07-2020\REG-44021-3003415539-5069,9.pdf" xr:uid="{00000000-0004-0000-0F00-0000C6020000}"/>
    <hyperlink ref="P329" r:id="rId712" xr:uid="{00000000-0004-0000-0F00-0000C7020000}"/>
    <hyperlink ref="AQ329" r:id="rId713" display="ACTAS DE CONFORMIDAD\AC-2020\07-2020\22-07-2020\REG-44034-3003963149-3712,4.pdf" xr:uid="{00000000-0004-0000-0F00-0000C8020000}"/>
    <hyperlink ref="P321" r:id="rId714" xr:uid="{00000000-0004-0000-0F00-0000C9020000}"/>
    <hyperlink ref="AQ321" r:id="rId715" display="ACTAS DE CONFORMIDAD\AC-2020\07-2020\24-07-2020\REG-44036-3003415532-4338.2.pdf" xr:uid="{00000000-0004-0000-0F00-0000CA020000}"/>
    <hyperlink ref="P314" r:id="rId716" xr:uid="{00000000-0004-0000-0F00-0000CB020000}"/>
    <hyperlink ref="AQ314" r:id="rId717" display="ACTAS DE CONFORMIDAD\AC-2020\08-2020\01-08-2020\REG-44044-3003415544-4962.4.pdf" xr:uid="{00000000-0004-0000-0F00-0000CC020000}"/>
    <hyperlink ref="P313" r:id="rId718" xr:uid="{00000000-0004-0000-0F00-0000CD020000}"/>
    <hyperlink ref="AQ313" r:id="rId719" display="ACTAS DE CONFORMIDAD\AC-2020\08-2020\01-08-2020\REG-44044-3003415536-4664.4.pdf" xr:uid="{00000000-0004-0000-0F00-0000CE020000}"/>
    <hyperlink ref="P312" r:id="rId720" xr:uid="{00000000-0004-0000-0F00-0000CF020000}"/>
    <hyperlink ref="AQ312" r:id="rId721" display="ACTAS DE CONFORMIDAD\AC-2020\08-2020\01-08-2020\REG-44044-3003415539-5292.7.pdf" xr:uid="{00000000-0004-0000-0F00-0000D0020000}"/>
    <hyperlink ref="P239" r:id="rId722" xr:uid="{00000000-0004-0000-0F00-0000D1020000}"/>
    <hyperlink ref="AQ239" r:id="rId723" display="ACTAS DE CONFORMIDAD\AC-2020\09-2020\01-09-2020\REG-44075-3003932245-5847.pdf" xr:uid="{00000000-0004-0000-0F00-0000D2020000}"/>
    <hyperlink ref="AQ238" r:id="rId724" display="ACTAS DE CONFORMIDAD\AC-2020\09-2020\01-09-2020\REG-44075-3003963150-3937.6.pdf" xr:uid="{00000000-0004-0000-0F00-0000D3020000}"/>
    <hyperlink ref="P237" r:id="rId725" xr:uid="{00000000-0004-0000-0F00-0000D4020000}"/>
    <hyperlink ref="AQ237" r:id="rId726" display="ACTAS DE CONFORMIDAD\AC-2020\09-2020\01-09-2020\REG-44075-3003566699-6614.3.pdf" xr:uid="{00000000-0004-0000-0F00-0000D5020000}"/>
    <hyperlink ref="P235" r:id="rId727" xr:uid="{00000000-0004-0000-0F00-0000D6020000}"/>
    <hyperlink ref="AQ235" r:id="rId728" display="ACTAS DE CONFORMIDAD\AC-2020\09-2020\02-09-2020\REG-44076-3003566705-6247.9.pdf" xr:uid="{00000000-0004-0000-0F00-0000D7020000}"/>
    <hyperlink ref="P234" r:id="rId729" xr:uid="{00000000-0004-0000-0F00-0000D8020000}"/>
    <hyperlink ref="AQ234" r:id="rId730" display="ACTAS DE CONFORMIDAD\AC-2020\09-2020\02-09-2020\REG-44076-3003566703-5819.3.pdf" xr:uid="{00000000-0004-0000-0F00-0000D9020000}"/>
    <hyperlink ref="P233" r:id="rId731" xr:uid="{00000000-0004-0000-0F00-0000DA020000}"/>
    <hyperlink ref="AQ233" r:id="rId732" display="ACTAS DE CONFORMIDAD\AC-2020\09-2020\02-09-2020\REG-44076-3003940357-4841.2.pdf" xr:uid="{00000000-0004-0000-0F00-0000DB020000}"/>
    <hyperlink ref="P232" r:id="rId733" xr:uid="{00000000-0004-0000-0F00-0000DC020000}"/>
    <hyperlink ref="AQ232" r:id="rId734" display="ACTAS DE CONFORMIDAD\AC-2020\09-2020\02-09-2020\REG-44076-3003987064-4885.8.pdf" xr:uid="{00000000-0004-0000-0F00-0000DD020000}"/>
    <hyperlink ref="P293" r:id="rId735" xr:uid="{00000000-0004-0000-0F00-0000DE020000}"/>
    <hyperlink ref="AQ293" r:id="rId736" display="ACTAS DE CONFORMIDAD\AC-2020\08-2020\10-08-2020\REG-44053-3003415544-4962.7.pdf" xr:uid="{00000000-0004-0000-0F00-0000DF020000}"/>
    <hyperlink ref="P292" r:id="rId737" xr:uid="{00000000-0004-0000-0F00-0000E0020000}"/>
    <hyperlink ref="AQ292" r:id="rId738" display="ACTAS DE CONFORMIDAD\AC-2020\08-2020\10-08-2020\REG-44053-3003963149-3959.4.pdf" xr:uid="{00000000-0004-0000-0F00-0000E1020000}"/>
    <hyperlink ref="P316" r:id="rId739" xr:uid="{00000000-0004-0000-0F00-0000E2020000}"/>
    <hyperlink ref="AQ316" r:id="rId740" display="ACTAS DE CONFORMIDAD\AC-2020\07-2020\31-07-2020\REG-44043-3003566699-6106.5.pdf" xr:uid="{00000000-0004-0000-0F00-0000E3020000}"/>
    <hyperlink ref="P315" r:id="rId741" xr:uid="{00000000-0004-0000-0F00-0000E4020000}"/>
    <hyperlink ref="AQ315" r:id="rId742" display="ACTAS DE CONFORMIDAD\AC-2020\07-2020\31-07-2020\REG-44043-3003566699-6106.9.pdf" xr:uid="{00000000-0004-0000-0F00-0000E5020000}"/>
    <hyperlink ref="AQ231" r:id="rId743" display="ACTAS DE CONFORMIDAD\AC-2020\09-2020\03-09-2020\REG-44077-3004416580-2865.4.pdf" xr:uid="{00000000-0004-0000-0F00-0000E6020000}"/>
    <hyperlink ref="AQ230" r:id="rId744" display="ACTAS DE CONFORMIDAD\AC-2020\09-2020\03-09-2020\REG-44077-3004336197-2408.6.pdf" xr:uid="{00000000-0004-0000-0F00-0000E7020000}"/>
    <hyperlink ref="AQ244" r:id="rId745" display="ACTAS DE CONFORMIDAD\AC-2020\08-2020\31-08-2020\REG-44074-G-4012-2096.1.pdf" xr:uid="{00000000-0004-0000-0F00-0000E8020000}"/>
    <hyperlink ref="AQ224" r:id="rId746" display="ACTAS DE CONFORMIDAD\AC-2020\09-2020\08-09-2020\REG-44082-1603596-1817.8.pdf" xr:uid="{00000000-0004-0000-0F00-0000E9020000}"/>
    <hyperlink ref="AQ223" r:id="rId747" display="ACTAS DE CONFORMIDAD\AC-2020\09-2020\08-09-2020\REG-44082-1603587-1781.5.pdf" xr:uid="{00000000-0004-0000-0F00-0000EA020000}"/>
    <hyperlink ref="P219" r:id="rId748" xr:uid="{00000000-0004-0000-0F00-0000EB020000}"/>
    <hyperlink ref="AQ219" r:id="rId749" display="ACTAS DE CONFORMIDAD\AC-2020\09-2020\09-09-2020\REG-44083-3003963150-4003.7.pdf" xr:uid="{00000000-0004-0000-0F00-0000EC020000}"/>
    <hyperlink ref="P218" r:id="rId750" xr:uid="{00000000-0004-0000-0F00-0000ED020000}"/>
    <hyperlink ref="AQ218" r:id="rId751" display="ACTAS DE CONFORMIDAD\AC-2020\09-2020\09-09-2020\REG-44083-3005786155-48.4.pdf" xr:uid="{00000000-0004-0000-0F00-0000EE020000}"/>
    <hyperlink ref="P217" r:id="rId752" xr:uid="{00000000-0004-0000-0F00-0000EF020000}"/>
    <hyperlink ref="AQ217" r:id="rId753" display="ACTAS DE CONFORMIDAD\AC-2020\09-2020\09-09-2020\REG-44083-3005786151-50.42.pdf" xr:uid="{00000000-0004-0000-0F00-0000F0020000}"/>
    <hyperlink ref="P228" r:id="rId754" xr:uid="{00000000-0004-0000-0F00-0000F1020000}"/>
    <hyperlink ref="AQ228" r:id="rId755" display="ACTAS DE CONFORMIDAD\AC-2020\09-2020\07-09-2020\REG-44081-3003415536-4982.6.pdf" xr:uid="{00000000-0004-0000-0F00-0000F2020000}"/>
    <hyperlink ref="P227" r:id="rId756" xr:uid="{00000000-0004-0000-0F00-0000F3020000}"/>
    <hyperlink ref="AQ227" r:id="rId757" display="ACTAS DE CONFORMIDAD\AC-2020\09-2020\07-09-2020\REG-44081-3003415539-5584.8.pdf" xr:uid="{00000000-0004-0000-0F00-0000F4020000}"/>
    <hyperlink ref="AQ214" r:id="rId758" display="ACTAS DE CONFORMIDAD\AC-2020\09-2020\10-09-2020\REG-44084-3004344017-1851.6.pdf" xr:uid="{00000000-0004-0000-0F00-0000F5020000}"/>
    <hyperlink ref="AQ215" r:id="rId759" display="ACTAS DE CONFORMIDAD\AC-2020\09-2020\10-09-2020\REG-44084-3004344014-1832.7.pdf" xr:uid="{00000000-0004-0000-0F00-0000F6020000}"/>
    <hyperlink ref="AQ210" r:id="rId760" display="ACTAS DE CONFORMIDAD\AC-2020\09-2020\10-09-2020\REG-44084-3004416581-1056.8.pdf" xr:uid="{00000000-0004-0000-0F00-0000F7020000}"/>
    <hyperlink ref="AQ216" r:id="rId761" display="ACTAS DE CONFORMIDAD\AC-2020\09-2020\10-09-2020\REG-44084-3004402506-2582.6.pdf" xr:uid="{00000000-0004-0000-0F00-0000F8020000}"/>
    <hyperlink ref="AQ258" r:id="rId762" display="ACTAS DE CONFORMIDAD\AC-2020\08-2020\25-08-2020\REG-44068-B5524F-001-187.pdf" xr:uid="{00000000-0004-0000-0F00-0000F9020000}"/>
    <hyperlink ref="P206" r:id="rId763" xr:uid="{00000000-0004-0000-0F00-0000FA020000}"/>
    <hyperlink ref="AQ207" r:id="rId764" display="ACTAS DE CONFORMIDAD\AC-2020\09-2020\13-09-2020\REG-44087-B5524F-001-196.6.pdf" xr:uid="{00000000-0004-0000-0F00-0000FB020000}"/>
    <hyperlink ref="AQ206" r:id="rId765" display="ACTAS DE CONFORMIDAD\AC-2020\09-2020\13-09-2020\REG-44087-B5524F-001-203.3.pdf" xr:uid="{00000000-0004-0000-0F00-0000FC020000}"/>
    <hyperlink ref="P213" r:id="rId766" xr:uid="{00000000-0004-0000-0F00-0000FD020000}"/>
    <hyperlink ref="AQ209" r:id="rId767" display="ACTAS DE CONFORMIDAD\AC-2020\09-2020\11-09-2020\REG-44085-3003415544-5316.3.pdf" xr:uid="{00000000-0004-0000-0F00-0000FE020000}"/>
    <hyperlink ref="AQ213" r:id="rId768" display="ACTAS DE CONFORMIDAD\AC-2020\09-2020\10-09-2020\REG-44084-3003415544-5302.8.pdf" xr:uid="{00000000-0004-0000-0F00-0000FF020000}"/>
    <hyperlink ref="P212" r:id="rId769" xr:uid="{00000000-0004-0000-0F00-000000030000}"/>
    <hyperlink ref="AQ212" r:id="rId770" display="ACTAS DE CONFORMIDAD\AC-2020\09-2020\10-09-2020\REG-44084-3004555915-3006.1.pdf" xr:uid="{00000000-0004-0000-0F00-000001030000}"/>
    <hyperlink ref="P208" r:id="rId771" xr:uid="{00000000-0004-0000-0F00-000002030000}"/>
    <hyperlink ref="AQ208" r:id="rId772" display="ACTAS DE CONFORMIDAD\AC-2020\09-2020\12-09-2020\REG-44086-6FA06155-2737.2.pdf" xr:uid="{00000000-0004-0000-0F00-000003030000}"/>
    <hyperlink ref="P211" r:id="rId773" xr:uid="{00000000-0004-0000-0F00-000004030000}"/>
    <hyperlink ref="AQ211" r:id="rId774" display="ACTAS DE CONFORMIDAD\AC-2020\09-2020\10-09-2020\REG-44084-3004555912-2468.1.pdf" xr:uid="{00000000-0004-0000-0F00-000005030000}"/>
    <hyperlink ref="AQ205" r:id="rId775" display="ACTAS DE CONFORMIDAD\AC-2020\09-2020\15-09-2020\REG-44089-3004555915-3060.7.pdf" xr:uid="{00000000-0004-0000-0F00-000006030000}"/>
    <hyperlink ref="P205" r:id="rId776" xr:uid="{00000000-0004-0000-0F00-000007030000}"/>
    <hyperlink ref="P226" r:id="rId777" xr:uid="{00000000-0004-0000-0F00-000008030000}"/>
    <hyperlink ref="AQ226" r:id="rId778" display="ACTAS DE CONFORMIDAD\AC-2020\09-2020\07-09-2020\REG-44081-3004370203-2643.9.pdf" xr:uid="{00000000-0004-0000-0F00-000009030000}"/>
    <hyperlink ref="AQ204" r:id="rId779" display="ACTAS DE CONFORMIDAD\AC-2020\09-2020\15-09-2020\REG-44089-3004370203-2644.pdf" xr:uid="{00000000-0004-0000-0F00-00000A030000}"/>
    <hyperlink ref="P225" r:id="rId780" xr:uid="{00000000-0004-0000-0F00-00000B030000}"/>
    <hyperlink ref="AQ225" r:id="rId781" display="ACTAS DE CONFORMIDAD\AC-2020\09-2020\07-09-2020\REG-44081-3003415532-4662.2.pdf" xr:uid="{00000000-0004-0000-0F00-00000C030000}"/>
    <hyperlink ref="AQ243" r:id="rId782" display="ACTAS DE CONFORMIDAD\AC-2020\08-2020\31-08-2020\REG-44074-3004555914-2621.1.pdf" xr:uid="{00000000-0004-0000-0F00-00000D030000}"/>
    <hyperlink ref="AQ229" r:id="rId783" display="ACTAS DE CONFORMIDAD\AC-2020\09-2020\04-09-2020\REG-44078-G-4012-2096.6.pdf" xr:uid="{00000000-0004-0000-0F00-00000E030000}"/>
    <hyperlink ref="P191" r:id="rId784" xr:uid="{00000000-0004-0000-0F00-00000F030000}"/>
    <hyperlink ref="AQ191" r:id="rId785" display="ACTAS DE CONFORMIDAD\AC-2020\09-2020\22-09-2020\REG-44096-3003415536-5143.7.pdf" xr:uid="{00000000-0004-0000-0F00-000010030000}"/>
    <hyperlink ref="P190" r:id="rId786" xr:uid="{00000000-0004-0000-0F00-000011030000}"/>
    <hyperlink ref="AQ190" r:id="rId787" display="ACTAS DE CONFORMIDAD\AC-2020\09-2020\22-09-2020\REG-44096-3003415539-5757.pdf" xr:uid="{00000000-0004-0000-0F00-000012030000}"/>
    <hyperlink ref="P189" r:id="rId788" xr:uid="{00000000-0004-0000-0F00-000013030000}"/>
    <hyperlink ref="AQ189" r:id="rId789" display="ACTAS DE CONFORMIDAD\AC-2020\09-2020\22-09-2020\REG-44096-3003415532-4977.pdf" xr:uid="{00000000-0004-0000-0F00-000014030000}"/>
    <hyperlink ref="P184" r:id="rId790" xr:uid="{00000000-0004-0000-0F00-000015030000}"/>
    <hyperlink ref="AQ184" r:id="rId791" display="ACTAS DE CONFORMIDAD\AC-2020\09-2020\23-09-2020\REG-44097-3003987064-5029.pdf" xr:uid="{00000000-0004-0000-0F00-000016030000}"/>
    <hyperlink ref="P192" r:id="rId792" xr:uid="{00000000-0004-0000-0F00-000017030000}"/>
    <hyperlink ref="AQ192" r:id="rId793" display="ACTAS DE CONFORMIDAD\AC-2020\09-2020\21-09-2020\REG-44095-3005005007-2333.3.pdf" xr:uid="{00000000-0004-0000-0F00-000018030000}"/>
    <hyperlink ref="AQ183" r:id="rId794" display="ACTAS DE CONFORMIDAD\AC-2020\09-2020\23-09-2020\REG-44097-3005005010-2239.1.pdf" xr:uid="{00000000-0004-0000-0F00-000019030000}"/>
    <hyperlink ref="AQ940" r:id="rId795" display="ACTAS DE CONFORMIDAD\AC-2019\06-2019\21-06-2019\REG-43637-A5245J-001-306.3.pdf" xr:uid="{00000000-0004-0000-0F00-00001A030000}"/>
    <hyperlink ref="AQ1015" r:id="rId796" display="ACTAS DE CONFORMIDAD\AC-2019\03-2019\23-03-2020\REG-43547-A5245J-001-306.pdf" xr:uid="{00000000-0004-0000-0F00-00001B030000}"/>
    <hyperlink ref="AQ780" r:id="rId797" display="ACTAS DE CONFORMIDAD\AC-2019\11-2019\19-11-2019\REG-43788-A5245J-001-306,5.pdf" xr:uid="{00000000-0004-0000-0F00-00001C030000}"/>
    <hyperlink ref="AQ537" r:id="rId798" display="ACTAS DE CONFORMIDAD\AC-2020\03-2020\30-03-2020\REG-43920-A5245J-001-307.8.pdf" xr:uid="{00000000-0004-0000-0F00-00001D030000}"/>
    <hyperlink ref="AQ385" r:id="rId799" display="ACTAS DE CONFORMIDAD\AC-2020\06-2020\19-06-2020\REG-44001-A5245J-001-308.1.pdf" xr:uid="{00000000-0004-0000-0F00-00001E030000}"/>
    <hyperlink ref="AQ185" r:id="rId800" display="ACTAS DE CONFORMIDAD\AC-2020\09-2020\22-09-2020\REG-44096-A5245J-001-308.3.pdf" xr:uid="{00000000-0004-0000-0F00-00001F030000}"/>
    <hyperlink ref="P180" r:id="rId801" xr:uid="{00000000-0004-0000-0F00-000020030000}"/>
    <hyperlink ref="AQ180" r:id="rId802" display="ACTAS DE CONFORMIDAD\AC-2020\09-2020\28-09-2020\REG-44102-3003566699-7068.4.pdf" xr:uid="{00000000-0004-0000-0F00-000021030000}"/>
    <hyperlink ref="AQ462" r:id="rId803" display="ACTAS DE CONFORMIDAD\AC-2020\05-2020\26-05-2020\REG-43977-3004336197-1382.9.pdf" xr:uid="{00000000-0004-0000-0F00-000022030000}"/>
    <hyperlink ref="P462" r:id="rId804" xr:uid="{00000000-0004-0000-0F00-000023030000}"/>
    <hyperlink ref="AQ378" r:id="rId805" display="ACTAS DE CONFORMIDAD\AC-2020\06-2020\25-06-2020\REG-44007-3004336197-1674.6.pdf" xr:uid="{00000000-0004-0000-0F00-000024030000}"/>
    <hyperlink ref="P378" r:id="rId806" xr:uid="{00000000-0004-0000-0F00-000025030000}"/>
    <hyperlink ref="AQ428" r:id="rId807" display="ACTAS DE CONFORMIDAD\AC-2020\06-2020\05-06-2020\REG-43987-3004290369-818.2.pdf" xr:uid="{00000000-0004-0000-0F00-000026030000}"/>
    <hyperlink ref="P428" r:id="rId808" xr:uid="{00000000-0004-0000-0F00-000027030000}"/>
    <hyperlink ref="AQ328" r:id="rId809" display="ACTAS DE CONFORMIDAD\AC-2020\07-2020\23-07-2020\REG-44035-3004290369-1209.4.pdf" xr:uid="{00000000-0004-0000-0F00-000028030000}"/>
    <hyperlink ref="P260" r:id="rId810" xr:uid="{00000000-0004-0000-0F00-000029030000}"/>
    <hyperlink ref="AQ485" r:id="rId811" display="ACTAS DE CONFORMIDAD\AC-2020\05-2020\09-05-2020\REG-43960-3004381438-1553.8.pdf" xr:uid="{00000000-0004-0000-0F00-00002A030000}"/>
    <hyperlink ref="P485" r:id="rId812" xr:uid="{00000000-0004-0000-0F00-00002B030000}"/>
    <hyperlink ref="P421" r:id="rId813" xr:uid="{00000000-0004-0000-0F00-00002C030000}"/>
    <hyperlink ref="AQ421" r:id="rId814" display="ACTAS DE CONFORMIDAD\AC-2020\06-2020\06-06-2020\REG-43988-3004381438-1879.6.pdf" xr:uid="{00000000-0004-0000-0F00-00002D030000}"/>
    <hyperlink ref="AQ334" r:id="rId815" display="ACTAS DE CONFORMIDAD\AC-2020\07-2020\21-07-2020\REG-44033-3004381438-2177.3.pdf" xr:uid="{00000000-0004-0000-0F00-00002E030000}"/>
    <hyperlink ref="P242" r:id="rId816" xr:uid="{00000000-0004-0000-0F00-00002F030000}"/>
    <hyperlink ref="AQ484" r:id="rId817" display="ACTAS DE CONFORMIDAD\AC-2020\05-2020\11-05-2020\REG-43962-3004381437-1157.4.pdf" xr:uid="{00000000-0004-0000-0F00-000030030000}"/>
    <hyperlink ref="P484" r:id="rId818" xr:uid="{00000000-0004-0000-0F00-000031030000}"/>
    <hyperlink ref="AQ408" r:id="rId819" display="ACTAS DE CONFORMIDAD\AC-2020\06-2020\10-06-2020\REG-43992-3004381437-1459.5.pdf" xr:uid="{00000000-0004-0000-0F00-000032030000}"/>
    <hyperlink ref="P408" r:id="rId820" xr:uid="{00000000-0004-0000-0F00-000033030000}"/>
    <hyperlink ref="AQ360" r:id="rId821" display="ACTAS DE CONFORMIDAD\AC-2020\07-2020\06-07-2020\REG-44018-3004381437-1721.6.pdf" xr:uid="{00000000-0004-0000-0F00-000034030000}"/>
    <hyperlink ref="AQ266" r:id="rId822" display="ACTAS DE CONFORMIDAD\AC-2020\08-2020\20-08-2020\REG-44063-3004381437-1956.5.pdf" xr:uid="{00000000-0004-0000-0F00-000035030000}"/>
    <hyperlink ref="P266" r:id="rId823" xr:uid="{00000000-0004-0000-0F00-000036030000}"/>
    <hyperlink ref="AQ173" r:id="rId824" display="ACTAS DE CONFORMIDAD\AC-2020\10-2020\01-10-2020\REG-44105-3004402506-2582.8.pdf" xr:uid="{00000000-0004-0000-0F00-000037030000}"/>
    <hyperlink ref="P174" r:id="rId825" xr:uid="{00000000-0004-0000-0F00-000038030000}"/>
    <hyperlink ref="AQ174" r:id="rId826" display="ACTAS DE CONFORMIDAD\AC-2020\09-2020\30-09-2020\REG-44104-3004256777-2161.1.pdf" xr:uid="{00000000-0004-0000-0F00-000039030000}"/>
    <hyperlink ref="P172" r:id="rId827" xr:uid="{00000000-0004-0000-0F00-00003A030000}"/>
    <hyperlink ref="AQ172" r:id="rId828" display="ACTAS DE CONFORMIDAD\AC-2020\10-2020\01-10-2020\REG-44105-3004416582-1691.8.pdf" xr:uid="{00000000-0004-0000-0F00-00003B030000}"/>
    <hyperlink ref="P177" r:id="rId829" xr:uid="{00000000-0004-0000-0F00-00003C030000}"/>
    <hyperlink ref="P179" r:id="rId830" xr:uid="{00000000-0004-0000-0F00-00003D030000}"/>
    <hyperlink ref="AQ179" r:id="rId831" display="ACTAS DE CONFORMIDAD\AC-2020\09-2020\28-09-2020\REG-44102-3004327721-2098.4.pdf" xr:uid="{00000000-0004-0000-0F00-00003E030000}"/>
    <hyperlink ref="P178" r:id="rId832" xr:uid="{00000000-0004-0000-0F00-00003F030000}"/>
    <hyperlink ref="AQ178" r:id="rId833" display="ACTAS DE CONFORMIDAD\AC-2020\09-2020\28-09-2020\REG-44102-3004327722-1672.5.pdf" xr:uid="{00000000-0004-0000-0F00-000040030000}"/>
    <hyperlink ref="AQ171" r:id="rId834" display="ACTAS DE CONFORMIDAD\AC-2020\10-2020\01-10-2020\REG-44105-3003963150-4210.6.pdf" xr:uid="{00000000-0004-0000-0F00-000041030000}"/>
    <hyperlink ref="P170" r:id="rId835" xr:uid="{00000000-0004-0000-0F00-000042030000}"/>
    <hyperlink ref="AQ170" r:id="rId836" display="ACTAS DE CONFORMIDAD\AC-2020\10-2020\01-10-2020\REG-44105-3003566703-5891.3.pdf" xr:uid="{00000000-0004-0000-0F00-000043030000}"/>
    <hyperlink ref="P181" r:id="rId837" xr:uid="{00000000-0004-0000-0F00-000044030000}"/>
    <hyperlink ref="AQ181" r:id="rId838" display="ACTAS DE CONFORMIDAD\AC-2020\09-2020\26-09-2020\REG-44100-3004428523-2214.7.pdf" xr:uid="{00000000-0004-0000-0F00-000045030000}"/>
    <hyperlink ref="AQ442" r:id="rId839" display="ACTAS DE CONFORMIDAD\AC-2020\05-2020\30-05-2020\REG-43981-3004402507-1696.9.pdf" xr:uid="{00000000-0004-0000-0F00-000046030000}"/>
    <hyperlink ref="P182" r:id="rId840" xr:uid="{00000000-0004-0000-0F00-000047030000}"/>
    <hyperlink ref="AQ182" r:id="rId841" display="ACTAS DE CONFORMIDAD\AC-2020\09-2020\23-09-2020\REG-44097-3004999911-2632.3.pdf" xr:uid="{00000000-0004-0000-0F00-000048030000}"/>
    <hyperlink ref="P188" r:id="rId842" xr:uid="{00000000-0004-0000-0F00-000049030000}"/>
    <hyperlink ref="AQ188" r:id="rId843" display="ACTAS DE CONFORMIDAD\AC-2020\09-2020\22-09-2020\REG-44096-3004555914-2702.7.pdf" xr:uid="{00000000-0004-0000-0F00-00004A030000}"/>
    <hyperlink ref="P187" r:id="rId844" xr:uid="{00000000-0004-0000-0F00-00004B030000}"/>
    <hyperlink ref="AQ187" r:id="rId845" display="ACTAS DE CONFORMIDAD\AC-2020\09-2020\22-09-2020\REG-44096-3003962766-3840.4.pdf" xr:uid="{00000000-0004-0000-0F00-00004C030000}"/>
    <hyperlink ref="P176" r:id="rId846" xr:uid="{00000000-0004-0000-0F00-00004D030000}"/>
    <hyperlink ref="AQ176" r:id="rId847" display="ACTAS DE CONFORMIDAD\AC-2020\09-2020\28-09-2020\REG-44102-3005167425-1544.6.pdf" xr:uid="{00000000-0004-0000-0F00-00004E030000}"/>
    <hyperlink ref="P175" r:id="rId848" xr:uid="{00000000-0004-0000-0F00-00004F030000}"/>
    <hyperlink ref="AQ175" r:id="rId849" display="ACTAS DE CONFORMIDAD\AC-2020\09-2020\28-09-2020\REG-44102-3005167422-1492.2.pdf" xr:uid="{00000000-0004-0000-0F00-000050030000}"/>
    <hyperlink ref="AQ165" r:id="rId850" display="ACTAS DE CONFORMIDAD\AC-2020\10-2020\07-10-2020\REG-44111-3004337429-1711.9.pdf" xr:uid="{00000000-0004-0000-0F00-000051030000}"/>
    <hyperlink ref="P158" r:id="rId851" xr:uid="{00000000-0004-0000-0F00-000052030000}"/>
    <hyperlink ref="AQ158" r:id="rId852" display="ACTAS DE CONFORMIDAD\AC-2020\10-2020\09-10-2020\REG-44113-3003415539-5881.6.pdf" xr:uid="{00000000-0004-0000-0F00-000053030000}"/>
    <hyperlink ref="P157" r:id="rId853" xr:uid="{00000000-0004-0000-0F00-000054030000}"/>
    <hyperlink ref="AQ157" r:id="rId854" display="ACTAS DE CONFORMIDAD\AC-2020\10-2020\09-10-2020\REG-44113-3003415544-5449.4.pdf" xr:uid="{00000000-0004-0000-0F00-000055030000}"/>
    <hyperlink ref="P156" r:id="rId855" xr:uid="{00000000-0004-0000-0F00-000056030000}"/>
    <hyperlink ref="AQ156" r:id="rId856" display="ACTAS DE CONFORMIDAD\AC-2020\10-2020\09-10-2020\REG-44113-3003415536-5271.pdf" xr:uid="{00000000-0004-0000-0F00-000057030000}"/>
    <hyperlink ref="P155" r:id="rId857" xr:uid="{00000000-0004-0000-0F00-000058030000}"/>
    <hyperlink ref="AQ155" r:id="rId858" display="ACTAS DE CONFORMIDAD\AC-2020\10-2020\09-10-2020\REG-44113-3004555914-2894.4.pdf" xr:uid="{00000000-0004-0000-0F00-000059030000}"/>
    <hyperlink ref="AQ162" r:id="rId859" display="ACTAS DE CONFORMIDAD\AC-2020\10-2020\08-10-2020\REG-44112-3003566703-5927.1.pdf" xr:uid="{00000000-0004-0000-0F00-00005A030000}"/>
    <hyperlink ref="AQ488" r:id="rId860" display="ACTAS DE CONFORMIDAD\AC-2020\05-2020\05-05-2020\REG-43956-3004256777-927.9.pdf" xr:uid="{00000000-0004-0000-0F00-00005B030000}"/>
    <hyperlink ref="AQ460" r:id="rId861" display="ACTAS DE CONFORMIDAD\AC-2020\05-2020\26-05-2020\REG-43977-3004416580-2056.8.pdf" xr:uid="{00000000-0004-0000-0F00-00005C030000}"/>
    <hyperlink ref="AQ457" r:id="rId862" display="ACTAS DE CONFORMIDAD\AC-2020\05-2020\27-05-2020\REG-43978-3004290368-1895.pdf" xr:uid="{00000000-0004-0000-0F00-00005D030000}"/>
    <hyperlink ref="AQ459" r:id="rId863" display="ACTAS DE CONFORMIDAD\AC-2020\05-2020\27-05-2020\REG-43978-3004344017-1512.3.pdf" xr:uid="{00000000-0004-0000-0F00-00005E030000}"/>
    <hyperlink ref="AQ458" r:id="rId864" display="ACTAS DE CONFORMIDAD\AC-2020\05-2020\27-05-2020\REG-43978-3004290366-2118.4.pdf" xr:uid="{00000000-0004-0000-0F00-00005F030000}"/>
    <hyperlink ref="AQ431" r:id="rId865" display="ACTAS DE CONFORMIDAD\AC-2020\06-2020\02-06-2020\REG-43984-3004290365-1413.2.pdf" xr:uid="{00000000-0004-0000-0F00-000060030000}"/>
    <hyperlink ref="AQ347" r:id="rId866" display="ACTAS DE CONFORMIDAD\AC-2020\07-2020\15-07-2020\REG-44027-3004327725-1607.4.pdf" xr:uid="{00000000-0004-0000-0F00-000061030000}"/>
    <hyperlink ref="AQ337" r:id="rId867" display="ACTAS DE CONFORMIDAD\AC-2020\07-2020\20-07-2020\REG-44032-3004337388-1828.9.pdf" xr:uid="{00000000-0004-0000-0F00-000062030000}"/>
    <hyperlink ref="AQ310" r:id="rId868" display="ACTAS DE CONFORMIDAD\AC-2020\08-2020\03-08-2020\REG-44046-3004336196-2204.3.pdf" xr:uid="{00000000-0004-0000-0F00-000063030000}"/>
    <hyperlink ref="AQ320" r:id="rId869" display="ACTAS DE CONFORMIDAD\AC-2020\07-2020\25-07-2020\REG-44037-3004290365-1843.3.pdf" xr:uid="{00000000-0004-0000-0F00-000064030000}"/>
    <hyperlink ref="AQ441" r:id="rId870" display="ACTAS DE CONFORMIDAD\AC-2020\06-2020\01-06-2020\REG-43983-3004344017-1588.3.pdf" xr:uid="{00000000-0004-0000-0F00-000065030000}"/>
    <hyperlink ref="AQ268" r:id="rId871" display="ACTAS DE CONFORMIDAD\AC-2020\08-2020\19-08-2020\REG-44062-3004327725-1607.4.pdf" xr:uid="{00000000-0004-0000-0F00-000066030000}"/>
    <hyperlink ref="AQ153" r:id="rId872" display="ACTAS DE CONFORMIDAD\AC-2020\10-2020\12-10-2020\REG-44116-3004337427-1467.1.pdf" xr:uid="{00000000-0004-0000-0F00-000067030000}"/>
    <hyperlink ref="P161" r:id="rId873" xr:uid="{00000000-0004-0000-0F00-000068030000}"/>
    <hyperlink ref="AQ161" r:id="rId874" display="ACTAS DE CONFORMIDAD\AC-2020\10-2020\08-10-2020\REG-44112-3003940357-5316.2.pdf" xr:uid="{00000000-0004-0000-0F00-000069030000}"/>
    <hyperlink ref="AQ164" r:id="rId875" display="ACTAS DE CONFORMIDAD\AC-2020\10-2020\07-10-2020\REG-44111-3004370203-2646.7.pdf" xr:uid="{00000000-0004-0000-0F00-00006A030000}"/>
    <hyperlink ref="AQ168" r:id="rId876" display="ACTAS DE CONFORMIDAD\AC-2020\10-2020\05-10-2020\REG-44109-3004336198-2049.1.pdf" xr:uid="{00000000-0004-0000-0F00-00006B030000}"/>
    <hyperlink ref="AQ167" r:id="rId877" display="ACTAS DE CONFORMIDAD\AC-2020\10-2020\05-10-2020\REG-44109-3004327724-NR.pdf" xr:uid="{00000000-0004-0000-0F00-00006C030000}"/>
    <hyperlink ref="P151" r:id="rId878" xr:uid="{00000000-0004-0000-0F00-00006D030000}"/>
    <hyperlink ref="AQ151" r:id="rId879" display="ACTAS DE CONFORMIDAD\AC-2020\10-2020\15-10-2020\REG-44119-3003415532-5260.9.pdf" xr:uid="{00000000-0004-0000-0F00-00006E030000}"/>
    <hyperlink ref="P145" r:id="rId880" xr:uid="{00000000-0004-0000-0F00-00006F030000}"/>
    <hyperlink ref="AQ145" r:id="rId881" display="ACTAS DE CONFORMIDAD\AC-2020\10-2020\19-10-2020\REG-44123-3004597773-3087.7.pdf" xr:uid="{00000000-0004-0000-0F00-000070030000}"/>
    <hyperlink ref="P144" r:id="rId882" xr:uid="{00000000-0004-0000-0F00-000071030000}"/>
    <hyperlink ref="AQ144" r:id="rId883" display="ACTAS DE CONFORMIDAD\AC-2020\10-2020\19-10-2020\REG-44123-3003962766-4181.8.pdf" xr:uid="{00000000-0004-0000-0F00-000072030000}"/>
    <hyperlink ref="P149" r:id="rId884" xr:uid="{00000000-0004-0000-0F00-000073030000}"/>
    <hyperlink ref="AQ149" r:id="rId885" display="ACTAS DE CONFORMIDAD\AC-2020\10-2020\16-10-2020\REG-44120-3004331708-1945.1.pdf" xr:uid="{00000000-0004-0000-0F00-000074030000}"/>
    <hyperlink ref="P148" r:id="rId886" xr:uid="{00000000-0004-0000-0F00-000075030000}"/>
    <hyperlink ref="AQ148" r:id="rId887" display="ACTAS DE CONFORMIDAD\AC-2020\10-2020\16-10-2020\REG-44120-3004336198-2049.3.pdf" xr:uid="{00000000-0004-0000-0F00-000076030000}"/>
    <hyperlink ref="AQ135" r:id="rId888" display="ACTAS DE CONFORMIDAD\AC-2020\10-2020\21-10-2020\REG-44125-3004214491-2283.1.pdf" xr:uid="{00000000-0004-0000-0F00-000077030000}"/>
    <hyperlink ref="P134" r:id="rId889" xr:uid="{00000000-0004-0000-0F00-000078030000}"/>
    <hyperlink ref="AQ134" r:id="rId890" display="ACTAS DE CONFORMIDAD\AC-2020\10-2020\22-10-2020\REG-44126-3004418790-2171.8.pdf" xr:uid="{00000000-0004-0000-0F00-000079030000}"/>
    <hyperlink ref="AQ129" r:id="rId891" display="ACTAS DE CONFORMIDAD\AC-2020\10-2020\23-10-2020\REG-44127-3004416582-1926.9.pdf" xr:uid="{00000000-0004-0000-0F00-00007A030000}"/>
    <hyperlink ref="AQ128" r:id="rId892" display="ACTAS DE CONFORMIDAD\AC-2020\10-2020\23-10-2020\REG-44127-3004337388-2129.8.pdf" xr:uid="{00000000-0004-0000-0F00-00007B030000}"/>
    <hyperlink ref="AQ125" r:id="rId893" display="ACTAS DE CONFORMIDAD\AC-2020\10-2020\24-10-2020\REG-44128-3004290369-1869.9.pdf" xr:uid="{00000000-0004-0000-0F00-00007C030000}"/>
    <hyperlink ref="AQ166" r:id="rId894" display="ACTAS DE CONFORMIDAD\AC-2020\10-2020\05-10-2020\REG-44109-3004416580-2911.6.pdf" xr:uid="{00000000-0004-0000-0F00-00007D030000}"/>
    <hyperlink ref="P143" r:id="rId895" xr:uid="{00000000-0004-0000-0F00-00007E030000}"/>
    <hyperlink ref="AQ143" r:id="rId896" display="ACTAS DE CONFORMIDAD\AC-2020\10-2020\20-10-2020\REG-44124-3003566699-7304.7.pdf" xr:uid="{00000000-0004-0000-0F00-00007F030000}"/>
    <hyperlink ref="P142" r:id="rId897" xr:uid="{00000000-0004-0000-0F00-000080030000}"/>
    <hyperlink ref="AQ142" r:id="rId898" display="ACTAS DE CONFORMIDAD\AC-2020\10-2020\20-10-2020\REG-44124-3003987064-5570.3.pdf" xr:uid="{00000000-0004-0000-0F00-000081030000}"/>
    <hyperlink ref="P141" r:id="rId899" xr:uid="{00000000-0004-0000-0F00-000082030000}"/>
    <hyperlink ref="AQ141" r:id="rId900" display="ACTAS DE CONFORMIDAD\AC-2020\10-2020\20-10-2020\REG-44124-3003932245-6194.9.pdf" xr:uid="{00000000-0004-0000-0F00-000083030000}"/>
    <hyperlink ref="P138" r:id="rId901" xr:uid="{00000000-0004-0000-0F00-000084030000}"/>
    <hyperlink ref="AQ138" r:id="rId902" display="ACTAS DE CONFORMIDAD\AC-2020\10-2020\21-10-2020\REG-44125-3002933963-1242.6.pdf" xr:uid="{00000000-0004-0000-0F00-000085030000}"/>
    <hyperlink ref="P137" r:id="rId903" xr:uid="{00000000-0004-0000-0F00-000086030000}"/>
    <hyperlink ref="AQ137" r:id="rId904" display="ACTAS DE CONFORMIDAD\AC-2020\10-2020\21-10-2020\REG-44125-3002933964-1365.32.pdf" xr:uid="{00000000-0004-0000-0F00-000087030000}"/>
    <hyperlink ref="AQ124" r:id="rId905" display="ACTAS DE CONFORMIDAD\AC-2020\10-2020\24-10-2020\REG-44128-3004416581-1333.4.pdf" xr:uid="{00000000-0004-0000-0F00-000088030000}"/>
    <hyperlink ref="P136" r:id="rId906" xr:uid="{00000000-0004-0000-0F00-000089030000}"/>
    <hyperlink ref="AQ136" r:id="rId907" display="ACTAS DE CONFORMIDAD\AC-2020\10-2020\21-10-2020\REG-44125-3005786151-376.51.pdf" xr:uid="{00000000-0004-0000-0F00-00008A030000}"/>
    <hyperlink ref="AQ127" r:id="rId908" display="ACTAS DE CONFORMIDAD\AC-2020\10-2020\23-10-2020\REG-44127-3002933964-1384.32.pdf" xr:uid="{00000000-0004-0000-0F00-00008B030000}"/>
    <hyperlink ref="P133" r:id="rId909" xr:uid="{00000000-0004-0000-0F00-00008C030000}"/>
    <hyperlink ref="P132" r:id="rId910" xr:uid="{00000000-0004-0000-0F00-00008D030000}"/>
    <hyperlink ref="AQ132" r:id="rId911" display="ACTAS DE CONFORMIDAD\AC-2020\10-2020\22-10-2020\REG-44126-3004331709-2248.5.pdf" xr:uid="{00000000-0004-0000-0F00-00008E030000}"/>
    <hyperlink ref="AQ133" r:id="rId912" display="ACTAS DE CONFORMIDAD\AC-2020\10-2020\22-10-2020\REG-44126-3004331705-2381.3.pdf" xr:uid="{00000000-0004-0000-0F00-00008F030000}"/>
    <hyperlink ref="P131" r:id="rId913" xr:uid="{00000000-0004-0000-0F00-000090030000}"/>
    <hyperlink ref="AQ131" r:id="rId914" display="ACTAS DE CONFORMIDAD\AC-2020\10-2020\22-10-2020\REG-44126-3004327723-2080.4.pdf" xr:uid="{00000000-0004-0000-0F00-000091030000}"/>
    <hyperlink ref="P130" r:id="rId915" xr:uid="{00000000-0004-0000-0F00-000092030000}"/>
    <hyperlink ref="AQ130" r:id="rId916" display="ACTAS DE CONFORMIDAD\AC-2020\10-2020\22-10-2020\REG-44126-3004331708-2000.7.pdf" xr:uid="{00000000-0004-0000-0F00-000093030000}"/>
    <hyperlink ref="P147" r:id="rId917" xr:uid="{00000000-0004-0000-0F00-000094030000}"/>
    <hyperlink ref="AQ147" r:id="rId918" display="ACTAS DE CONFORMIDAD\AC-2020\10-2020\16-10-2020\REG-44120-3004327721-2145.2.pdf" xr:uid="{00000000-0004-0000-0F00-000095030000}"/>
    <hyperlink ref="AQ121" r:id="rId919" display="ACTAS DE CONFORMIDAD\AC-2020\10-2020\27-10-2020\REG-44131-3004327721-2223.6.pdf" xr:uid="{00000000-0004-0000-0F00-000096030000}"/>
    <hyperlink ref="P160" r:id="rId920" xr:uid="{00000000-0004-0000-0F00-000097030000}"/>
    <hyperlink ref="AQ160" r:id="rId921" display="ACTAS DE CONFORMIDAD\AC-2020\10-2020\08-10-2020\REG-44112-3003963150-4278.4.pdf" xr:uid="{00000000-0004-0000-0F00-000098030000}"/>
    <hyperlink ref="P159" r:id="rId922" xr:uid="{00000000-0004-0000-0F00-000099030000}"/>
    <hyperlink ref="AQ159" r:id="rId923" display="ACTAS DE CONFORMIDAD\AC-2020\10-2020\08-10-2020\REG-44112-3003987064-5309.2.pdf" xr:uid="{00000000-0004-0000-0F00-00009A030000}"/>
    <hyperlink ref="AQ117" r:id="rId924" display="ACTAS DE CONFORMIDAD\AC-2020\10-2020\28-10-2020\REG-44132-3004227749-2404.2.pdf" xr:uid="{00000000-0004-0000-0F00-00009B030000}"/>
    <hyperlink ref="AQ118" r:id="rId925" display="ACTAS DE CONFORMIDAD\AC-2020\10-2020\28-10-2020\REG-44132-3004256777-2456.8.pdf" xr:uid="{00000000-0004-0000-0F00-00009C030000}"/>
    <hyperlink ref="AQ119" r:id="rId926" display="ACTAS DE CONFORMIDAD\AC-2020\10-2020\28-10-2020\REG-44132-3004381435-1852.2.pdf" xr:uid="{00000000-0004-0000-0F00-00009D030000}"/>
    <hyperlink ref="P113" r:id="rId927" xr:uid="{00000000-0004-0000-0F00-00009E030000}"/>
    <hyperlink ref="AQ113" r:id="rId928" display="ACTAS DE CONFORMIDAD\AC-2020\10-2020\30-10-2020\REG-44134-3004999911-2978.8.pdf" xr:uid="{00000000-0004-0000-0F00-00009F030000}"/>
    <hyperlink ref="AQ163" r:id="rId929" display="ACTAS DE CONFORMIDAD\AC-2020\10-2020\07-10-2020\REG-44111-1603596-2004.6.pdf" xr:uid="{00000000-0004-0000-0F00-0000A0030000}"/>
    <hyperlink ref="P169" r:id="rId930" xr:uid="{00000000-0004-0000-0F00-0000A1030000}"/>
    <hyperlink ref="AQ169" r:id="rId931" display="ACTAS DE CONFORMIDAD\AC-2020\10-2020\02-10-2020\REG-44106-3004370203-2644.pdf" xr:uid="{00000000-0004-0000-0F00-0000A2030000}"/>
    <hyperlink ref="AQ193" r:id="rId932" display="ACTAS DE CONFORMIDAD\AC-2020\09-2020\19-09-2020\REG-44093-9890344-8319.1.pdf" xr:uid="{00000000-0004-0000-0F00-0000A3030000}"/>
    <hyperlink ref="AQ146" r:id="rId933" display="ACTAS DE CONFORMIDAD\AC-2020\10-2020\17-10-2020\REG-44121-6JA02716-2751.pdf" xr:uid="{00000000-0004-0000-0F00-0000A4030000}"/>
    <hyperlink ref="AQ120" r:id="rId934" display="ACTAS DE CONFORMIDAD\AC-2020\10-2020\27-10-2020\REG-44131-3004337430-594.6.pdf" xr:uid="{00000000-0004-0000-0F00-0000A5030000}"/>
    <hyperlink ref="P112" r:id="rId935" xr:uid="{00000000-0004-0000-0F00-0000A6030000}"/>
    <hyperlink ref="AQ112" r:id="rId936" display="ACTAS DE CONFORMIDAD\AC-2020\11-2020\03-11-2020\REG-44138-3004337430-596.6.pdf" xr:uid="{00000000-0004-0000-0F00-0000A7030000}"/>
    <hyperlink ref="AQ492" r:id="rId937" display="ACTAS DE CONFORMIDAD\AC-2020\04-2020\30-04-2020\REG-43951-6JA02715-119.6.pdf" xr:uid="{00000000-0004-0000-0F00-0000A8030000}"/>
    <hyperlink ref="AQ196" r:id="rId938" display="ACTAS DE CONFORMIDAD\AC-2020\09-2020\18-09-2020\REG-44092-U7517796-84.42.pdf" xr:uid="{00000000-0004-0000-0F00-0000A9030000}"/>
    <hyperlink ref="AQ197" r:id="rId939" display="ACTAS DE CONFORMIDAD\AC-2020\09-2020\18-09-2020\REG-44092-6JA02715-119.6.pdf" xr:uid="{00000000-0004-0000-0F00-0000AA030000}"/>
    <hyperlink ref="AQ97" r:id="rId940" display="ACTAS DE CONFORMIDAD\AC-2020\11-2020\13-11-2020\REG-44148-3004218547-2015.4.pdf" xr:uid="{00000000-0004-0000-0F00-0000AB030000}"/>
    <hyperlink ref="AQ106" r:id="rId941" display="ACTAS DE CONFORMIDAD\AC-2020\11-2020\06-11-2020\REG-44141-3004256777-2460.5.pdf" xr:uid="{00000000-0004-0000-0F00-0000AC030000}"/>
    <hyperlink ref="P96" r:id="rId942" xr:uid="{00000000-0004-0000-0F00-0000AD030000}"/>
    <hyperlink ref="P95" r:id="rId943" xr:uid="{00000000-0004-0000-0F00-0000AE030000}"/>
    <hyperlink ref="AQ96" r:id="rId944" display="ACTAS DE CONFORMIDAD\AC-2020\11-2020\13-11-2020\REG-44148-3004218547-2015.4.pdf" xr:uid="{00000000-0004-0000-0F00-0000AF030000}"/>
    <hyperlink ref="AQ95" r:id="rId945" display="ACTAS DE CONFORMIDAD\AC-2020\11-2020\13-11-2020\REG-44148-3004337428-1586.2.pdf" xr:uid="{00000000-0004-0000-0F00-0000B0030000}"/>
    <hyperlink ref="AQ94" r:id="rId946" display="ACTAS DE CONFORMIDAD\AC-2020\11-2020\13-11-2020\REG-44148-3004416580-3113.9.pdf" xr:uid="{00000000-0004-0000-0F00-0000B1030000}"/>
    <hyperlink ref="P94" r:id="rId947" xr:uid="{00000000-0004-0000-0F00-0000B2030000}"/>
    <hyperlink ref="P93" r:id="rId948" xr:uid="{00000000-0004-0000-0F00-0000B3030000}"/>
    <hyperlink ref="AQ93" r:id="rId949" display="ACTAS DE CONFORMIDAD\AC-2020\11-2020\14-11-2020\REG-44149-3003566701-5274.9.pdf" xr:uid="{00000000-0004-0000-0F00-0000B4030000}"/>
    <hyperlink ref="AQ99" r:id="rId950" display="ACTAS DE CONFORMIDAD\AC-2020\11-2020\12-11-2020\REG-44147-3005005010-2239.pdf" xr:uid="{00000000-0004-0000-0F00-0000B5030000}"/>
    <hyperlink ref="P92" r:id="rId951" xr:uid="{00000000-0004-0000-0F00-0000B6030000}"/>
    <hyperlink ref="AQ92" r:id="rId952" display="ACTAS DE CONFORMIDAD\AC-2020\11-2020\14-11-2020\REG-44149-3005005010-2239.1.pdf" xr:uid="{00000000-0004-0000-0F00-0000B7030000}"/>
    <hyperlink ref="P110" r:id="rId953" xr:uid="{00000000-0004-0000-0F00-0000B8030000}"/>
    <hyperlink ref="AQ110" r:id="rId954" display="ACTAS DE CONFORMIDAD\AC-2020\11-2020\05-11-2020\REG-44140-3003932245-6399.8.pdf" xr:uid="{00000000-0004-0000-0F00-0000B9030000}"/>
    <hyperlink ref="P109" r:id="rId955" xr:uid="{00000000-0004-0000-0F00-0000BA030000}"/>
    <hyperlink ref="AQ109" r:id="rId956" display="ACTAS DE CONFORMIDAD\AC-2020\11-2020\05-11-2020\REG-44140-3003932245-6399.9.pdf" xr:uid="{00000000-0004-0000-0F00-0000BB030000}"/>
    <hyperlink ref="AQ177" r:id="rId957" display="ACTAS DE CONFORMIDAD\AC-2020\09-2020\28-09-2020\REG-44102-3004327724-1855.3.pdf" xr:uid="{00000000-0004-0000-0F00-0000BC030000}"/>
    <hyperlink ref="AQ195" r:id="rId958" display="ACTAS DE CONFORMIDAD\AC-2020\09-2020\18-09-2020\REG-44092-3004214491-2114.7.pdf" xr:uid="{00000000-0004-0000-0F00-0000BD030000}"/>
    <hyperlink ref="P108" r:id="rId959" xr:uid="{00000000-0004-0000-0F00-0000BE030000}"/>
    <hyperlink ref="AQ108" r:id="rId960" display="ACTAS DE CONFORMIDAD\AC-2020\11-2020\05-11-2020\REG-44140-3003566699-7576.8.pdf" xr:uid="{00000000-0004-0000-0F00-0000BF030000}"/>
    <hyperlink ref="P82" r:id="rId961" xr:uid="{00000000-0004-0000-0F00-0000C0030000}"/>
    <hyperlink ref="AQ82" r:id="rId962" display="ACTAS DE CONFORMIDAD\AC-2020\11-2020\19-11-2020\REG-44154-3004999911-3213.4.pdf" xr:uid="{00000000-0004-0000-0F00-0000C1030000}"/>
    <hyperlink ref="P91" r:id="rId963" xr:uid="{00000000-0004-0000-0F00-0000C2030000}"/>
    <hyperlink ref="AQ91" r:id="rId964" display="ACTAS DE CONFORMIDAD\AC-2020\11-2020\16-11-2020\REG-44151-3002933963-1473.6.pdf" xr:uid="{00000000-0004-0000-0F00-0000C3030000}"/>
    <hyperlink ref="AQ87" r:id="rId965" display="ACTAS DE CONFORMIDAD\AC-2020\11-2020\17-11-2020\REG-44152-3004370193-3580.3.pdf" xr:uid="{00000000-0004-0000-0F00-0000C4030000}"/>
    <hyperlink ref="P87" r:id="rId966" xr:uid="{00000000-0004-0000-0F00-0000C5030000}"/>
    <hyperlink ref="P86" r:id="rId967" xr:uid="{00000000-0004-0000-0F00-0000C6030000}"/>
    <hyperlink ref="AQ86" r:id="rId968" display="ACTAS DE CONFORMIDAD\AC-2020\11-2020\17-11-2020\REG-44152-3004370203-2885.1.pdf" xr:uid="{00000000-0004-0000-0F00-0000C7030000}"/>
    <hyperlink ref="AQ100" r:id="rId969" display="ACTAS DE CONFORMIDAD\AC-2020\11-2020\11-11-2020\REG-44146-3003962766-4219.8.pdf" xr:uid="{00000000-0004-0000-0F00-0000C8030000}"/>
    <hyperlink ref="P105" r:id="rId970" xr:uid="{00000000-0004-0000-0F00-0000C9030000}"/>
    <hyperlink ref="AQ105" r:id="rId971" display="ACTAS DE CONFORMIDAD\AC-2020\11-2020\09-11-2020\REG-44144-3003566701-5222.5.pdf" xr:uid="{00000000-0004-0000-0F00-0000CA030000}"/>
    <hyperlink ref="AQ88" r:id="rId972" display="ACTAS DE CONFORMIDAD\AC-2020\11-2020\17-11-2020\REG-44152-3004418791-2074.3.pdf" xr:uid="{00000000-0004-0000-0F00-0000CB030000}"/>
    <hyperlink ref="AQ89" r:id="rId973" display="ACTAS DE CONFORMIDAD\AC-2020\11-2020\17-11-2020\REG-44152-3004402507-2134.pdf" xr:uid="{00000000-0004-0000-0F00-0000CC030000}"/>
    <hyperlink ref="P107" r:id="rId974" xr:uid="{00000000-0004-0000-0F00-0000CD030000}"/>
    <hyperlink ref="AQ107" r:id="rId975" display="ACTAS DE CONFORMIDAD\AC-2020\11-2020\05-11-2020\REG-44140-3003963150-4620.5.pdf" xr:uid="{00000000-0004-0000-0F00-0000CE030000}"/>
    <hyperlink ref="P74" r:id="rId976" xr:uid="{00000000-0004-0000-0F00-0000CF030000}"/>
    <hyperlink ref="AQ74" r:id="rId977" display="ACTAS DE CONFORMIDAD\AC-2020\11-2020\23-11-2020\REG-44158-3003566699-7932.7.pdf" xr:uid="{00000000-0004-0000-0F00-0000D0030000}"/>
    <hyperlink ref="P85" r:id="rId978" xr:uid="{00000000-0004-0000-0F00-0000D1030000}"/>
    <hyperlink ref="AQ85" r:id="rId979" display="ACTAS DE CONFORMIDAD\AC-2020\11-2020\17-11-2020\REG-44152-3003415536-5559.8.pdf" xr:uid="{00000000-0004-0000-0F00-0000D2030000}"/>
    <hyperlink ref="P104" r:id="rId980" xr:uid="{00000000-0004-0000-0F00-0000D3030000}"/>
    <hyperlink ref="AQ104" r:id="rId981" display="ACTAS DE CONFORMIDAD\AC-2020\11-2020\09-11-2020\REG-44144-3004597775-2331.8.pdf" xr:uid="{00000000-0004-0000-0F00-0000D4030000}"/>
    <hyperlink ref="P62" r:id="rId982" xr:uid="{00000000-0004-0000-0F00-0000D5030000}"/>
    <hyperlink ref="AQ62" r:id="rId983" display="ACTAS DE CONFORMIDAD\AC-2020\12-2020\02-12-2020\REG-44167-3004327724-2271.8.pdf" xr:uid="{00000000-0004-0000-0F00-0000D6030000}"/>
    <hyperlink ref="AQ63" r:id="rId984" display="ACTAS DE CONFORMIDAD\AC-2020\12-2020\01-12-2020\REG-44166-3004327725-1607.8.pdf" xr:uid="{00000000-0004-0000-0F00-0000D7030000}"/>
    <hyperlink ref="P103" r:id="rId985" xr:uid="{00000000-0004-0000-0F00-0000D8030000}"/>
    <hyperlink ref="AQ103" r:id="rId986" display="ACTAS DE CONFORMIDAD\AC-2020\11-2020\09-11-2020\REG-44144-3003415532-5439.7.pdf" xr:uid="{00000000-0004-0000-0F00-0000D9030000}"/>
    <hyperlink ref="AQ52" r:id="rId987" display="ACTAS DE CONFORMIDAD\AC-2020\12-2020\03-12-2020\REG-44168-3004416581-1659.1.pdf" xr:uid="{00000000-0004-0000-0F00-0000DA030000}"/>
    <hyperlink ref="AQ53" r:id="rId988" display="ACTAS DE CONFORMIDAD\AC-2020\12-2020\03-12-2020\REG-44168-3004336196-3148.2.pdf" xr:uid="{00000000-0004-0000-0F00-0000DB030000}"/>
    <hyperlink ref="AQ54" r:id="rId989" display="ACTAS DE CONFORMIDAD\AC-2020\12-2020\03-12-2020\REG-44168-3004402506-2907.9.pdf" xr:uid="{00000000-0004-0000-0F00-0000DC030000}"/>
    <hyperlink ref="AQ55" r:id="rId990" display="ACTAS DE CONFORMIDAD\AC-2020\12-2020\03-12-2020\REG-44168-3004344014-2070.3.pdf" xr:uid="{00000000-0004-0000-0F00-0000DD030000}"/>
    <hyperlink ref="AQ56" r:id="rId991" display="ACTAS DE CONFORMIDAD\AC-2020\12-2020\03-12-2020\REG-44168-3004344017-2140.9.pdf" xr:uid="{00000000-0004-0000-0F00-0000DE030000}"/>
    <hyperlink ref="P61" r:id="rId992" xr:uid="{00000000-0004-0000-0F00-0000DF030000}"/>
    <hyperlink ref="AQ61" r:id="rId993" display="ACTAS DE CONFORMIDAD\AC-2020\12-2020\02-12-2020\REG-44167-OP1925GVLS-105.9.pdf" xr:uid="{00000000-0004-0000-0F00-0000E0030000}"/>
    <hyperlink ref="AQ101" r:id="rId994" display="ACTAS DE CONFORMIDAD\AC-2020\11-2020\09-11-2020\REG-44144-3003415544-5533.4.pdf" xr:uid="{00000000-0004-0000-0F00-0000E1030000}"/>
    <hyperlink ref="AQ102" r:id="rId995" display="ACTAS DE CONFORMIDAD\AC-2020\11-2020\09-11-2020\REG-44144-3004370193-3429.9.pdf" xr:uid="{00000000-0004-0000-0F00-0000E2030000}"/>
    <hyperlink ref="P90" r:id="rId996" xr:uid="{00000000-0004-0000-0F00-0000E3030000}"/>
    <hyperlink ref="AQ90" r:id="rId997" display="ACTAS DE CONFORMIDAD\AC-2020\11-2020\16-11-2020\REG-44151-3002933964-1609.45.pdf" xr:uid="{00000000-0004-0000-0F00-0000E4030000}"/>
    <hyperlink ref="P77" r:id="rId998" xr:uid="{00000000-0004-0000-0F00-0000E5030000}"/>
    <hyperlink ref="AQ77" r:id="rId999" display="ACTAS DE CONFORMIDAD\AC-2020\11-2020\20-11-2020\REG-44155-3004555912-2869.9.pdf" xr:uid="{00000000-0004-0000-0F00-0000E6030000}"/>
    <hyperlink ref="AQ73" r:id="rId1000" display="ACTAS DE CONFORMIDAD\AC-2020\11-2020\23-11-2020\REG-44158-3004555912-2880.1.pdf" xr:uid="{00000000-0004-0000-0F00-0000E7030000}"/>
    <hyperlink ref="P76" r:id="rId1001" xr:uid="{00000000-0004-0000-0F00-0000E8030000}"/>
    <hyperlink ref="AQ76" r:id="rId1002" display="ACTAS DE CONFORMIDAD\AC-2020\11-2020\20-11-2020\REG-44155-3003962766-4405.9.pdf" xr:uid="{00000000-0004-0000-0F00-0000E9030000}"/>
    <hyperlink ref="P75" r:id="rId1003" xr:uid="{00000000-0004-0000-0F00-0000EA030000}"/>
    <hyperlink ref="AQ75" r:id="rId1004" display="ACTAS DE CONFORMIDAD\AC-2020\11-2020\20-11-2020\REG-44155-3004555915-3379.4.pdf" xr:uid="{00000000-0004-0000-0F00-0000EB030000}"/>
    <hyperlink ref="P81" r:id="rId1005" xr:uid="{00000000-0004-0000-0F00-0000EC030000}"/>
    <hyperlink ref="AQ81" r:id="rId1006" display="ACTAS DE CONFORMIDAD\AC-2020\11-2020\19-11-2020\REG-44154-8893263-351.77.pdf" xr:uid="{00000000-0004-0000-0F00-0000ED030000}"/>
    <hyperlink ref="AQ98" r:id="rId1007" display="ACTAS DE CONFORMIDAD\AC-2020\11-2020\12-11-2020\REG-44147-PEE2616605-0.pdf" xr:uid="{00000000-0004-0000-0F00-0000EE030000}"/>
    <hyperlink ref="AQ66" r:id="rId1008" display="ACTAS DE CONFORMIDAD\AC-2020\11-2020\30-11-2020\REG-44165-3004370195-3279.pdf" xr:uid="{00000000-0004-0000-0F00-0000EF030000}"/>
    <hyperlink ref="P65" r:id="rId1009" xr:uid="{00000000-0004-0000-0F00-0000F0030000}"/>
    <hyperlink ref="AQ65" r:id="rId1010" display="ACTAS DE CONFORMIDAD\AC-2020\11-2020\30-11-2020\REG-44165-3004370193-3710.pdf" xr:uid="{00000000-0004-0000-0F00-0000F1030000}"/>
    <hyperlink ref="P80" r:id="rId1011" xr:uid="{00000000-0004-0000-0F00-0000F2030000}"/>
    <hyperlink ref="AQ80" r:id="rId1012" display="ACTAS DE CONFORMIDAD\AC-2020\11-2020\19-11-2020\REG-44154-3003940357-5886.8.pdf" xr:uid="{00000000-0004-0000-0F00-0000F3030000}"/>
    <hyperlink ref="AQ71" r:id="rId1013" display="ACTAS DE CONFORMIDAD\AC-2020\11-2020\23-11-2020\REG-44158-3003962766-4457.4.pdf" xr:uid="{00000000-0004-0000-0F00-0000F4030000}"/>
    <hyperlink ref="P51" r:id="rId1014" xr:uid="{00000000-0004-0000-0F00-0000F5030000}"/>
    <hyperlink ref="AQ51" r:id="rId1015" display="ACTAS DE CONFORMIDAD\AC-2020\12-2020\04-12-2020\REG-44169-3004370195-3519.7.pdf" xr:uid="{00000000-0004-0000-0F00-0000F6030000}"/>
    <hyperlink ref="AQ38" r:id="rId1016" display="ACTAS DE CONFORMIDAD\AC-2020\12-2020\12-12-2020\REG-44177-3004370193-3777.5.pdf" xr:uid="{00000000-0004-0000-0F00-0000F7030000}"/>
    <hyperlink ref="AQ46" r:id="rId1017" display="ACTAS DE CONFORMIDAD\AC-2020\12-2020\07-12-2020\REG-44172-3004337430-671.4.pdf" xr:uid="{00000000-0004-0000-0F00-0000F8030000}"/>
    <hyperlink ref="AQ45" r:id="rId1018" display="ACTAS DE CONFORMIDAD\AC-2020\12-2020\07-12-2020\REG-44172-3004327724-2277.7.pdf" xr:uid="{00000000-0004-0000-0F00-0000F9030000}"/>
    <hyperlink ref="P60" r:id="rId1019" xr:uid="{00000000-0004-0000-0F00-0000FA030000}"/>
    <hyperlink ref="AQ60" r:id="rId1020" display="ACTAS DE CONFORMIDAD\AC-2020\12-2020\02-12-2020\REG-44167-3003940357-6053.5.pdf" xr:uid="{00000000-0004-0000-0F00-0000FB030000}"/>
    <hyperlink ref="P59" r:id="rId1021" xr:uid="{00000000-0004-0000-0F00-0000FC030000}"/>
    <hyperlink ref="AQ59" r:id="rId1022" display="ACTAS DE CONFORMIDAD\AC-2020\12-2020\02-12-2020\REG-44167-3003940357-6053.6.pdf" xr:uid="{00000000-0004-0000-0F00-0000FD030000}"/>
    <hyperlink ref="P58" r:id="rId1023" xr:uid="{00000000-0004-0000-0F00-0000FE030000}"/>
    <hyperlink ref="AQ58" r:id="rId1024" display="ACTAS DE CONFORMIDAD\AC-2020\12-2020\02-12-2020\REG-44167-3003940357-6053.1.pdf" xr:uid="{00000000-0004-0000-0F00-0000FF030000}"/>
    <hyperlink ref="P50" r:id="rId1025" xr:uid="{00000000-0004-0000-0F00-000000040000}"/>
    <hyperlink ref="AQ50" r:id="rId1026" display="ACTAS DE CONFORMIDAD\AC-2020\12-2020\04-12-2020\REG-44169-3003962766-4662.2.pdf" xr:uid="{00000000-0004-0000-0F00-000001040000}"/>
    <hyperlink ref="P41" r:id="rId1027" xr:uid="{00000000-0004-0000-0F00-000002040000}"/>
    <hyperlink ref="AQ41" r:id="rId1028" display="ACTAS DE CONFORMIDAD\AC-2020\12-2020\10-12-2020\REG-44175-3003415536-5482.pdf" xr:uid="{00000000-0004-0000-0F00-000003040000}"/>
    <hyperlink ref="P40" r:id="rId1029" xr:uid="{00000000-0004-0000-0F00-000004040000}"/>
    <hyperlink ref="AQ40" r:id="rId1030" display="ACTAS DE CONFORMIDAD\AC-2020\12-2020\10-12-2020\REG-44175-3004999911-3252.4.pdf" xr:uid="{00000000-0004-0000-0F00-000005040000}"/>
    <hyperlink ref="AQ33" r:id="rId1031" display="ACTAS DE CONFORMIDAD\AC-2020\12-2020\14-12-2020\REG-44179-3004402508-2186.3.pdf" xr:uid="{00000000-0004-0000-0F00-000006040000}"/>
    <hyperlink ref="AQ37" r:id="rId1032" display="ACTAS DE CONFORMIDAD\AC-2020\12-2020\14-12-2020\REG-44179-3004337427-1835.7.pdf" xr:uid="{00000000-0004-0000-0F00-000007040000}"/>
    <hyperlink ref="AQ36" r:id="rId1033" display="ACTAS DE CONFORMIDAD\AC-2020\12-2020\14-12-2020\REG-44179-3004327725-1679.8.pdf" xr:uid="{00000000-0004-0000-0F00-000008040000}"/>
    <hyperlink ref="AQ35" r:id="rId1034" display="ACTAS DE CONFORMIDAD\AC-2020\12-2020\14-12-2020\REG-44179-3004290364-1147.1.pdf" xr:uid="{00000000-0004-0000-0F00-000009040000}"/>
    <hyperlink ref="AQ34" r:id="rId1035" display="ACTAS DE CONFORMIDAD\AC-2020\12-2020\14-12-2020\REG-44179-3004331707-841.6.pdf" xr:uid="{00000000-0004-0000-0F00-00000A040000}"/>
    <hyperlink ref="AQ25" r:id="rId1036" display="ACTAS DE CONFORMIDAD\AC-2020\12-2020\21-12-2020\REG-44186-3004381438-3227.9.pdf" xr:uid="{00000000-0004-0000-0F00-00000B040000}"/>
    <hyperlink ref="AQ24" r:id="rId1037" display="ACTAS DE CONFORMIDAD\AC-2020\12-2020\21-12-2020\REG-44186-3004381435-2141.3.pdf" xr:uid="{00000000-0004-0000-0F00-00000C040000}"/>
    <hyperlink ref="P32" r:id="rId1038" xr:uid="{00000000-0004-0000-0F00-00000D040000}"/>
    <hyperlink ref="AQ32" r:id="rId1039" display="ACTAS DE CONFORMIDAD\AC-2020\12-2020\17-12-2020\REG-44182-3003566705-6883.3.pdf" xr:uid="{00000000-0004-0000-0F00-00000E040000}"/>
    <hyperlink ref="AQ23" r:id="rId1040" display="ACTAS DE CONFORMIDAD\AC-2020\12-2020\23-12-2020\REG-44188-3003987064-6420.8.pdf" xr:uid="{00000000-0004-0000-0F00-00000F040000}"/>
    <hyperlink ref="AQ22" r:id="rId1041" display="ACTAS DE CONFORMIDAD\AC-2020\12-2020\23-12-2020\REG-44188-3005005010-2557.3.pdf" xr:uid="{00000000-0004-0000-0F00-000010040000}"/>
    <hyperlink ref="AQ21" r:id="rId1042" display="ACTAS DE CONFORMIDAD\AC-2020\12-2020\23-12-2020\REG-44188-3003566699-8154.7.pdf" xr:uid="{00000000-0004-0000-0F00-000011040000}"/>
    <hyperlink ref="AQ79" r:id="rId1043" display="ACTAS DE CONFORMIDAD\AC-2020\11-2020\19-11-2020\REG-44154-3005167422-1906.8.pdf" xr:uid="{00000000-0004-0000-0F00-000012040000}"/>
    <hyperlink ref="AQ28" r:id="rId1044" display="ACTAS DE CONFORMIDAD\AC-2020\12-2020\18-12-2020\REG-44183-3003932245-6582.8.pdf" xr:uid="{00000000-0004-0000-0F00-000013040000}"/>
    <hyperlink ref="AQ30" r:id="rId1045" display="ACTAS DE CONFORMIDAD\AC-2020\12-2020\17-12-2020\REG-44182-3003987064-6312.3.pdf" xr:uid="{00000000-0004-0000-0F00-000014040000}"/>
    <hyperlink ref="AQ29" r:id="rId1046" display="ACTAS DE CONFORMIDAD\AC-2020\12-2020\17-12-2020\REG-44182-3004327723-6883.3.pdf" xr:uid="{00000000-0004-0000-0F00-000015040000}"/>
    <hyperlink ref="AQ31" r:id="rId1047" display="ACTAS DE CONFORMIDAD\AC-2020\12-2020\17-12-2020\REG-44182-3003940357-6078.1.pdf" xr:uid="{00000000-0004-0000-0F00-000016040000}"/>
    <hyperlink ref="AQ111" r:id="rId1048" display="ACTAS DE CONFORMIDAD\AC-2020\11-2020\03-11-2020\REG-44138-3004337430-546.6.pdf" xr:uid="{00000000-0004-0000-0F00-000017040000}"/>
    <hyperlink ref="AQ27" r:id="rId1049" display="ACTAS DE CONFORMIDAD\AC-2020\12-2020\18-12-2020\REG-44183-6JA02716-2759.pdf" xr:uid="{00000000-0004-0000-0F00-000018040000}"/>
    <hyperlink ref="AQ26" r:id="rId1050" display="https://onedrive.live.com/?cid=8C5B46544A563DC7&amp;id=8C5B46544A563DC7%218573&amp;parId=8C5B46544A563DC7%217804&amp;o=OneUp" xr:uid="{00000000-0004-0000-0F00-000019040000}"/>
    <hyperlink ref="AQ39" r:id="rId1051" display="https://onedrive.live.com/?cid=8C5B46544A563DC7&amp;id=8C5B46544A563DC7%218574&amp;parId=8C5B46544A563DC7%217809&amp;o=OneUp" xr:uid="{00000000-0004-0000-0F00-00001A040000}"/>
    <hyperlink ref="AQ57" r:id="rId1052" display="https://onedrive.live.com/?cid=8C5B46544A563DC7&amp;id=8C5B46544A563DC7%218575&amp;parId=8C5B46544A563DC7%217816&amp;o=OneUp" xr:uid="{00000000-0004-0000-0F00-00001B040000}"/>
    <hyperlink ref="AQ49" r:id="rId1053" display="https://onedrive.live.com/?cid=8C5B46544A563DC7&amp;id=8C5B46544A563DC7%218576&amp;parId=8C5B46544A563DC7%217812&amp;o=OneUp" xr:uid="{00000000-0004-0000-0F00-00001C040000}"/>
    <hyperlink ref="AQ64" r:id="rId1054" display="https://onedrive.live.com/?cid=8C5B46544A563DC7&amp;id=8C5B46544A563DC7%218581&amp;parId=8C5B46544A563DC7%217817&amp;o=OneUp" xr:uid="{00000000-0004-0000-0F00-00001D040000}"/>
    <hyperlink ref="AQ48" r:id="rId1055" display="https://onedrive.live.com/?cid=8C5B46544A563DC7&amp;id=8C5B46544A563DC7%218582&amp;parId=8C5B46544A563DC7%217812&amp;o=OneUp" xr:uid="{00000000-0004-0000-0F00-00001E040000}"/>
    <hyperlink ref="AQ20" r:id="rId1056" display="https://onedrive.live.com/?cid=8C5B46544A563DC7&amp;id=8C5B46544A563DC7%218590&amp;parId=8C5B46544A563DC7%217802&amp;o=OneUp" xr:uid="{00000000-0004-0000-0F00-00001F040000}"/>
    <hyperlink ref="AQ68" r:id="rId1057" display="https://onedrive.live.com/?cid=8C5B46544A563DC7&amp;id=8C5B46544A563DC7%218594&amp;parId=8C5B46544A563DC7%218593&amp;o=OneUp" xr:uid="{00000000-0004-0000-0F00-000020040000}"/>
    <hyperlink ref="AQ154" r:id="rId1058" display="https://onedrive.live.com/?cid=8C5B46544A563DC7&amp;id=8C5B46544A563DC7%218595&amp;parId=8C5B46544A563DC7%217796&amp;o=OneUp" xr:uid="{00000000-0004-0000-0F00-000021040000}"/>
    <hyperlink ref="AQ47" r:id="rId1059" display="https://onedrive.live.com/?cid=8C5B46544A563DC7&amp;id=8C5B46544A563DC7%218572&amp;parId=8C5B46544A563DC7%218571&amp;o=OneUp" xr:uid="{00000000-0004-0000-0F00-000022040000}"/>
    <hyperlink ref="AQ69" r:id="rId1060" display="https://onedrive.live.com/?cid=8C5B46544A563DC7&amp;id=8C5B46544A563DC7%218597&amp;parId=8C5B46544A563DC7%218596&amp;o=OneUp" xr:uid="{00000000-0004-0000-0F00-000023040000}"/>
    <hyperlink ref="AQ78" r:id="rId1061" display="https://onedrive.live.com/?cid=8C5B46544A563DC7&amp;id=8C5B46544A563DC7%218598&amp;parId=8C5B46544A563DC7%217820&amp;o=OneUp" xr:uid="{00000000-0004-0000-0F00-000024040000}"/>
    <hyperlink ref="AQ67" r:id="rId1062" display="https://onedrive.live.com/?cid=8C5B46544A563DC7&amp;id=8C5B46544A563DC7%218600&amp;parId=8C5B46544A563DC7%218599&amp;o=OneUp" xr:uid="{00000000-0004-0000-0F00-000025040000}"/>
    <hyperlink ref="AQ70" r:id="rId1063" display="https://onedrive.live.com/?cid=8C5B46544A563DC7&amp;id=8C5B46544A563DC7%218601&amp;parId=8C5B46544A563DC7%217818&amp;o=OneUp" xr:uid="{00000000-0004-0000-0F00-000026040000}"/>
    <hyperlink ref="AQ18" r:id="rId1064" display="https://onedrive.live.com/?cid=8C5B46544A563DC7&amp;id=8C5B46544A563DC7%218615&amp;parId=8C5B46544A563DC7%218614&amp;o=OneUp" xr:uid="{00000000-0004-0000-0F00-000027040000}"/>
    <hyperlink ref="AQ291" r:id="rId1065" display="https://onedrive.live.com/?cid=8C5B46544A563DC7&amp;id=8C5B46544A563DC7%218625&amp;parId=8C5B46544A563DC7%217852&amp;o=OneUp" xr:uid="{00000000-0004-0000-0F00-000028040000}"/>
    <hyperlink ref="AQ19" r:id="rId1066" display="https://onedrive.live.com/?cid=8C5B46544A563DC7&amp;id=8C5B46544A563DC7%218627&amp;parId=8C5B46544A563DC7%218626&amp;o=OneUp" xr:uid="{00000000-0004-0000-0F00-000029040000}"/>
    <hyperlink ref="AQ17" r:id="rId1067" display="https://onedrive.live.com/?cid=8C5B46544A563DC7&amp;id=8C5B46544A563DC7%218659&amp;parId=8C5B46544A563DC7%218658&amp;o=OneUp" xr:uid="{00000000-0004-0000-0F00-00002A040000}"/>
    <hyperlink ref="AQ16" r:id="rId1068" display="https://onedrive.live.com/?cid=8C5B46544A563DC7&amp;id=8C5B46544A563DC7%218660&amp;parId=8C5B46544A563DC7%218658&amp;o=OneUp" xr:uid="{00000000-0004-0000-0F00-00002B040000}"/>
    <hyperlink ref="AQ15" r:id="rId1069" display="https://onedrive.live.com/?cid=8C5B46544A563DC7&amp;id=8C5B46544A563DC7%218661&amp;parId=8C5B46544A563DC7%218658&amp;o=OneUp" xr:uid="{00000000-0004-0000-0F00-00002C040000}"/>
    <hyperlink ref="AQ14" r:id="rId1070" display="https://onedrive.live.com/?cid=8C5B46544A563DC7&amp;id=8C5B46544A563DC7%218662&amp;parId=8C5B46544A563DC7%218658&amp;o=OneUp" xr:uid="{00000000-0004-0000-0F00-00002D040000}"/>
    <hyperlink ref="AQ7" r:id="rId1071" display="https://onedrive.live.com/?cid=8C5B46544A563DC7&amp;id=8C5B46544A563DC7%218803&amp;parId=8C5B46544A563DC7%218800&amp;o=OneUp" xr:uid="{00000000-0004-0000-0F00-00002E040000}"/>
    <hyperlink ref="AQ11" r:id="rId1072" display="https://onedrive.live.com/?cid=8C5B46544A563DC7&amp;id=8C5B46544A563DC7%218805&amp;parId=8C5B46544A563DC7%218804&amp;o=OneUp" xr:uid="{00000000-0004-0000-0F00-00002F040000}"/>
    <hyperlink ref="AQ10" r:id="rId1073" display="https://onedrive.live.com/?cid=8C5B46544A563DC7&amp;id=8C5B46544A563DC7%218806&amp;parId=8C5B46544A563DC7%218804&amp;o=OneUp" xr:uid="{00000000-0004-0000-0F00-000030040000}"/>
    <hyperlink ref="AQ9" r:id="rId1074" display="https://onedrive.live.com/?cid=8C5B46544A563DC7&amp;id=8C5B46544A563DC7%218807&amp;parId=8C5B46544A563DC7%218804&amp;o=OneUp" xr:uid="{00000000-0004-0000-0F00-000031040000}"/>
    <hyperlink ref="AQ8" r:id="rId1075" display="https://onedrive.live.com/?cid=8C5B46544A563DC7&amp;id=8C5B46544A563DC7%218808&amp;parId=8C5B46544A563DC7%218804&amp;o=OneUp" xr:uid="{00000000-0004-0000-0F00-000032040000}"/>
    <hyperlink ref="AQ13" r:id="rId1076" display="https://onedrive.live.com/?cid=8C5B46544A563DC7&amp;id=8C5B46544A563DC7%218809&amp;parId=8C5B46544A563DC7%218658&amp;o=OneUp" xr:uid="{00000000-0004-0000-0F00-000033040000}"/>
    <hyperlink ref="AQ12" r:id="rId1077" display="https://onedrive.live.com/?cid=8C5B46544A563DC7&amp;id=8C5B46544A563DC7%218810&amp;parId=8C5B46544A563DC7%218658&amp;o=OneUp" xr:uid="{00000000-0004-0000-0F00-000034040000}"/>
  </hyperlinks>
  <pageMargins left="0.7" right="0.7" top="0.75" bottom="0.75" header="0.3" footer="0.3"/>
  <pageSetup orientation="portrait" r:id="rId1078"/>
  <drawing r:id="rId1079"/>
  <legacyDrawing r:id="rId1080"/>
  <mc:AlternateContent xmlns:mc="http://schemas.openxmlformats.org/markup-compatibility/2006">
    <mc:Choice Requires="x14">
      <controls>
        <mc:AlternateContent xmlns:mc="http://schemas.openxmlformats.org/markup-compatibility/2006">
          <mc:Choice Requires="x14">
            <control shapeId="26625" r:id="rId1081" name="Button 1">
              <controlPr defaultSize="0" print="0" autoFill="0" autoPict="0" macro="[0]!IrMenuPrincipal">
                <anchor>
                  <from>
                    <xdr:col>0</xdr:col>
                    <xdr:colOff>0</xdr:colOff>
                    <xdr:row>0</xdr:row>
                    <xdr:rowOff>0</xdr:rowOff>
                  </from>
                  <to>
                    <xdr:col>11</xdr:col>
                    <xdr:colOff>137160</xdr:colOff>
                    <xdr:row>2</xdr:row>
                    <xdr:rowOff>0</xdr:rowOff>
                  </to>
                </anchor>
              </controlPr>
            </control>
          </mc:Choice>
        </mc:AlternateContent>
      </controls>
    </mc:Choice>
  </mc:AlternateContent>
  <tableParts count="1">
    <tablePart r:id="rId108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dimension ref="B4:K35"/>
  <sheetViews>
    <sheetView topLeftCell="C1" workbookViewId="0">
      <selection activeCell="I12" sqref="I12"/>
    </sheetView>
  </sheetViews>
  <sheetFormatPr baseColWidth="10" defaultRowHeight="14.4" x14ac:dyDescent="0.3"/>
  <cols>
    <col min="7" max="7" width="16.6640625" customWidth="1"/>
    <col min="8" max="8" width="28" customWidth="1"/>
    <col min="9" max="9" width="32.5546875" customWidth="1"/>
    <col min="10" max="10" width="21.5546875" customWidth="1"/>
    <col min="11" max="11" width="14.5546875" customWidth="1"/>
  </cols>
  <sheetData>
    <row r="4" spans="2:11" x14ac:dyDescent="0.3">
      <c r="B4" s="41" t="s">
        <v>558</v>
      </c>
      <c r="C4" s="47" t="s">
        <v>559</v>
      </c>
      <c r="D4" s="41" t="s">
        <v>560</v>
      </c>
      <c r="G4" s="41" t="s">
        <v>943</v>
      </c>
      <c r="H4" s="47" t="s">
        <v>24</v>
      </c>
      <c r="I4" s="41" t="s">
        <v>754</v>
      </c>
      <c r="J4" s="41" t="s">
        <v>916</v>
      </c>
      <c r="K4" s="41" t="s">
        <v>1543</v>
      </c>
    </row>
    <row r="5" spans="2:11" x14ac:dyDescent="0.3">
      <c r="B5" s="44" t="s">
        <v>878</v>
      </c>
      <c r="C5" s="46" t="s">
        <v>878</v>
      </c>
      <c r="D5" s="43">
        <v>2018</v>
      </c>
      <c r="G5" s="43" t="s">
        <v>240</v>
      </c>
      <c r="H5" s="45" t="s">
        <v>37</v>
      </c>
      <c r="I5" s="43" t="s">
        <v>911</v>
      </c>
      <c r="J5" s="43" t="s">
        <v>917</v>
      </c>
      <c r="K5" s="751" t="s">
        <v>1544</v>
      </c>
    </row>
    <row r="6" spans="2:11" x14ac:dyDescent="0.3">
      <c r="B6" s="44" t="s">
        <v>879</v>
      </c>
      <c r="C6" s="46" t="s">
        <v>879</v>
      </c>
      <c r="D6" s="43">
        <v>2019</v>
      </c>
      <c r="G6" s="43" t="s">
        <v>557</v>
      </c>
      <c r="H6" s="45" t="s">
        <v>107</v>
      </c>
      <c r="I6" s="43" t="s">
        <v>912</v>
      </c>
      <c r="J6" s="43" t="s">
        <v>918</v>
      </c>
      <c r="K6" s="751" t="s">
        <v>1545</v>
      </c>
    </row>
    <row r="7" spans="2:11" x14ac:dyDescent="0.3">
      <c r="B7" s="44" t="s">
        <v>880</v>
      </c>
      <c r="C7" s="46" t="s">
        <v>880</v>
      </c>
      <c r="D7" s="43">
        <v>2020</v>
      </c>
      <c r="H7" s="45" t="s">
        <v>109</v>
      </c>
      <c r="I7" s="43" t="s">
        <v>913</v>
      </c>
      <c r="J7" s="43" t="s">
        <v>2741</v>
      </c>
      <c r="K7" s="751" t="s">
        <v>177</v>
      </c>
    </row>
    <row r="8" spans="2:11" x14ac:dyDescent="0.3">
      <c r="B8" s="44" t="s">
        <v>881</v>
      </c>
      <c r="C8" s="46" t="s">
        <v>881</v>
      </c>
      <c r="D8" s="43">
        <v>2021</v>
      </c>
      <c r="H8" s="45" t="s">
        <v>108</v>
      </c>
      <c r="I8" s="43" t="s">
        <v>914</v>
      </c>
      <c r="J8" s="70" t="s">
        <v>177</v>
      </c>
    </row>
    <row r="9" spans="2:11" x14ac:dyDescent="0.3">
      <c r="B9" s="44" t="s">
        <v>882</v>
      </c>
      <c r="C9" s="46" t="s">
        <v>882</v>
      </c>
      <c r="D9" s="43">
        <v>2022</v>
      </c>
      <c r="H9" s="704" t="s">
        <v>2021</v>
      </c>
      <c r="I9" s="43" t="s">
        <v>915</v>
      </c>
    </row>
    <row r="10" spans="2:11" x14ac:dyDescent="0.3">
      <c r="B10" s="44" t="s">
        <v>883</v>
      </c>
      <c r="C10" s="46" t="s">
        <v>883</v>
      </c>
      <c r="D10" s="43">
        <v>2023</v>
      </c>
      <c r="H10" s="704" t="s">
        <v>2037</v>
      </c>
      <c r="I10" s="43" t="s">
        <v>2743</v>
      </c>
    </row>
    <row r="11" spans="2:11" x14ac:dyDescent="0.3">
      <c r="B11" s="44" t="s">
        <v>884</v>
      </c>
      <c r="C11" s="46" t="s">
        <v>884</v>
      </c>
      <c r="D11" s="43">
        <v>2024</v>
      </c>
      <c r="I11" s="752" t="s">
        <v>177</v>
      </c>
    </row>
    <row r="12" spans="2:11" x14ac:dyDescent="0.3">
      <c r="B12" s="44" t="s">
        <v>885</v>
      </c>
      <c r="C12" s="46" t="s">
        <v>885</v>
      </c>
      <c r="D12" s="43">
        <v>2025</v>
      </c>
    </row>
    <row r="13" spans="2:11" x14ac:dyDescent="0.3">
      <c r="B13" s="44" t="s">
        <v>886</v>
      </c>
      <c r="C13" s="46" t="s">
        <v>886</v>
      </c>
      <c r="D13" s="43">
        <v>2026</v>
      </c>
    </row>
    <row r="14" spans="2:11" x14ac:dyDescent="0.3">
      <c r="B14" s="44" t="s">
        <v>887</v>
      </c>
      <c r="C14" s="46" t="s">
        <v>887</v>
      </c>
      <c r="D14" s="43">
        <v>2027</v>
      </c>
    </row>
    <row r="15" spans="2:11" x14ac:dyDescent="0.3">
      <c r="B15" s="44" t="s">
        <v>888</v>
      </c>
      <c r="C15" s="46" t="s">
        <v>888</v>
      </c>
      <c r="D15" s="43">
        <v>2028</v>
      </c>
    </row>
    <row r="16" spans="2:11" x14ac:dyDescent="0.3">
      <c r="B16" s="44" t="s">
        <v>889</v>
      </c>
      <c r="C16" s="46" t="s">
        <v>889</v>
      </c>
      <c r="D16" s="43">
        <v>2029</v>
      </c>
    </row>
    <row r="17" spans="2:4" x14ac:dyDescent="0.3">
      <c r="B17" s="44" t="s">
        <v>890</v>
      </c>
      <c r="D17" s="43">
        <v>2030</v>
      </c>
    </row>
    <row r="18" spans="2:4" x14ac:dyDescent="0.3">
      <c r="B18" s="44" t="s">
        <v>891</v>
      </c>
      <c r="D18" s="43">
        <v>2031</v>
      </c>
    </row>
    <row r="19" spans="2:4" x14ac:dyDescent="0.3">
      <c r="B19" s="44" t="s">
        <v>892</v>
      </c>
      <c r="D19" s="43">
        <v>2032</v>
      </c>
    </row>
    <row r="20" spans="2:4" x14ac:dyDescent="0.3">
      <c r="B20" s="44" t="s">
        <v>893</v>
      </c>
      <c r="D20" s="43">
        <v>2033</v>
      </c>
    </row>
    <row r="21" spans="2:4" x14ac:dyDescent="0.3">
      <c r="B21" s="44" t="s">
        <v>894</v>
      </c>
      <c r="D21" s="43">
        <v>2034</v>
      </c>
    </row>
    <row r="22" spans="2:4" x14ac:dyDescent="0.3">
      <c r="B22" s="44" t="s">
        <v>895</v>
      </c>
      <c r="D22" s="43">
        <v>2035</v>
      </c>
    </row>
    <row r="23" spans="2:4" x14ac:dyDescent="0.3">
      <c r="B23" s="44" t="s">
        <v>896</v>
      </c>
      <c r="D23" s="43">
        <v>2036</v>
      </c>
    </row>
    <row r="24" spans="2:4" x14ac:dyDescent="0.3">
      <c r="B24" s="44" t="s">
        <v>897</v>
      </c>
      <c r="D24" s="43">
        <v>2037</v>
      </c>
    </row>
    <row r="25" spans="2:4" x14ac:dyDescent="0.3">
      <c r="B25" s="44" t="s">
        <v>898</v>
      </c>
      <c r="D25" s="43">
        <v>2038</v>
      </c>
    </row>
    <row r="26" spans="2:4" x14ac:dyDescent="0.3">
      <c r="B26" s="44" t="s">
        <v>899</v>
      </c>
      <c r="D26" s="43">
        <v>2039</v>
      </c>
    </row>
    <row r="27" spans="2:4" x14ac:dyDescent="0.3">
      <c r="B27" s="44" t="s">
        <v>900</v>
      </c>
      <c r="D27" s="43">
        <v>2040</v>
      </c>
    </row>
    <row r="28" spans="2:4" x14ac:dyDescent="0.3">
      <c r="B28" s="44" t="s">
        <v>901</v>
      </c>
    </row>
    <row r="29" spans="2:4" x14ac:dyDescent="0.3">
      <c r="B29" s="44" t="s">
        <v>902</v>
      </c>
    </row>
    <row r="30" spans="2:4" x14ac:dyDescent="0.3">
      <c r="B30" s="44" t="s">
        <v>903</v>
      </c>
    </row>
    <row r="31" spans="2:4" x14ac:dyDescent="0.3">
      <c r="B31" s="44" t="s">
        <v>904</v>
      </c>
    </row>
    <row r="32" spans="2:4" x14ac:dyDescent="0.3">
      <c r="B32" s="44" t="s">
        <v>905</v>
      </c>
    </row>
    <row r="33" spans="2:2" x14ac:dyDescent="0.3">
      <c r="B33" s="44" t="s">
        <v>906</v>
      </c>
    </row>
    <row r="34" spans="2:2" x14ac:dyDescent="0.3">
      <c r="B34" s="44" t="s">
        <v>907</v>
      </c>
    </row>
    <row r="35" spans="2:2" x14ac:dyDescent="0.3">
      <c r="B35" s="44" t="s">
        <v>908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B1:M174"/>
  <sheetViews>
    <sheetView zoomScale="80" zoomScaleNormal="80" workbookViewId="0"/>
  </sheetViews>
  <sheetFormatPr baseColWidth="10" defaultRowHeight="14.4" x14ac:dyDescent="0.3"/>
  <cols>
    <col min="1" max="1" width="3.5546875" customWidth="1"/>
    <col min="2" max="3" width="20.5546875" customWidth="1"/>
    <col min="4" max="4" width="21.5546875" customWidth="1"/>
    <col min="5" max="5" width="30.5546875" style="148" customWidth="1"/>
    <col min="6" max="6" width="37.33203125" style="149" customWidth="1"/>
    <col min="7" max="7" width="25.6640625" style="147" customWidth="1"/>
    <col min="8" max="8" width="15.33203125" style="147" customWidth="1"/>
    <col min="9" max="9" width="15.109375" style="147" customWidth="1"/>
    <col min="10" max="10" width="13.88671875" customWidth="1"/>
    <col min="11" max="11" width="12.88671875" customWidth="1"/>
    <col min="13" max="13" width="0" hidden="1" customWidth="1"/>
  </cols>
  <sheetData>
    <row r="1" spans="2:13" ht="24.9" customHeight="1" thickBot="1" x14ac:dyDescent="0.35">
      <c r="B1" s="1113" t="s">
        <v>1183</v>
      </c>
      <c r="C1" s="1114"/>
      <c r="D1" s="1114"/>
      <c r="E1" s="1114"/>
      <c r="F1" s="1114"/>
    </row>
    <row r="2" spans="2:13" ht="15" thickBot="1" x14ac:dyDescent="0.35">
      <c r="B2" s="150" t="s">
        <v>1182</v>
      </c>
      <c r="C2" s="152">
        <v>3003940357</v>
      </c>
      <c r="D2" s="151"/>
      <c r="E2" s="151"/>
      <c r="F2" s="151"/>
    </row>
    <row r="3" spans="2:13" x14ac:dyDescent="0.3">
      <c r="B3" s="150"/>
      <c r="C3" s="151"/>
      <c r="D3" s="151"/>
      <c r="E3" s="151"/>
      <c r="F3" s="151"/>
    </row>
    <row r="4" spans="2:13" ht="28.8" x14ac:dyDescent="0.3">
      <c r="B4" s="153" t="s">
        <v>1078</v>
      </c>
      <c r="C4" s="153" t="s">
        <v>1180</v>
      </c>
      <c r="D4" s="153" t="s">
        <v>1181</v>
      </c>
      <c r="E4" s="153" t="s">
        <v>158</v>
      </c>
      <c r="F4" s="153" t="s">
        <v>6</v>
      </c>
      <c r="G4" s="154" t="s">
        <v>1178</v>
      </c>
      <c r="H4" s="155" t="s">
        <v>1179</v>
      </c>
      <c r="I4" s="153" t="s">
        <v>1115</v>
      </c>
      <c r="J4" s="153" t="s">
        <v>926</v>
      </c>
      <c r="K4" s="153" t="s">
        <v>1109</v>
      </c>
      <c r="L4" s="111" t="s">
        <v>1184</v>
      </c>
      <c r="M4" s="111" t="s">
        <v>1185</v>
      </c>
    </row>
    <row r="5" spans="2:13" x14ac:dyDescent="0.3">
      <c r="B5">
        <v>3003940357</v>
      </c>
      <c r="C5" s="803" t="str">
        <f>IFERROR(INDEX(BDEGENER[],MATCH(TODEQUIPOS[[#This Row],[N° DE SERIE]],BDEGENER[SERIE],0),26),"")</f>
        <v>GENERAC</v>
      </c>
      <c r="D5" s="804" t="str">
        <f>IFERROR(INDEX(BDEGENER[],MATCH(TODEQUIPOS[[#This Row],[N° DE SERIE]],BDEGENER[SERIE],0),27),"")</f>
        <v>RG022</v>
      </c>
      <c r="E5" s="805" t="str">
        <f>IFERROR(INDEX(BDEGENER[],MATCH(TODEQUIPOS[[#This Row],[N° DE SERIE]],BDEGENER[SERIE],0),11),"")</f>
        <v>SANTA ELENA</v>
      </c>
      <c r="F5" s="805" t="str">
        <f>IFERROR(INDEX(BDEGENER[],MATCH(TODEQUIPOS[[#This Row],[N° DE SERIE]],BDEGENER[SERIE],0),12),"")</f>
        <v>DOÑA MARIA 3</v>
      </c>
      <c r="G5" s="806">
        <f>IFERROR(INDEX(BDEGENER[],MATCH(TODEQUIPOS[[#This Row],[N° DE SERIE]],BDEGENER[SERIE],0),10),"")</f>
        <v>44188</v>
      </c>
      <c r="H5" s="807">
        <f>IFERROR(INDEX(BDEGENER[],MATCH(TODEQUIPOS[[#This Row],[N° DE SERIE]],BDEGENER[SERIE],0),31),"")</f>
        <v>6263.3</v>
      </c>
      <c r="I5" s="804">
        <f>IFERROR(INDEX(BDEGENER[],MATCH(TODEQUIPOS[[#This Row],[N° DE SERIE]],BDEGENER[SERIE],0),47),"")</f>
        <v>3</v>
      </c>
      <c r="J5" s="804">
        <f>IFERROR(INDEX(BDEGENER[],MATCH(TODEQUIPOS[[#This Row],[N° DE SERIE]],BDEGENER[SERIE],0),48),"")</f>
        <v>12</v>
      </c>
      <c r="K5" s="804">
        <f>IFERROR(INDEX(BDEGENER[],MATCH(TODEQUIPOS[[#This Row],[N° DE SERIE]],BDEGENER[SERIE],0),57),"")</f>
        <v>16</v>
      </c>
      <c r="L5" s="775" t="str">
        <f>IF(TODEQUIPOS[[#This Row],[CONTADOR]]=1,"UNICO","DUPLICADO")</f>
        <v>UNICO</v>
      </c>
      <c r="M5" s="775">
        <f>COUNTIF(TODEQUIPOS[N° DE SERIE],TODEQUIPOS[[#This Row],[N° DE SERIE]])</f>
        <v>1</v>
      </c>
    </row>
    <row r="6" spans="2:13" x14ac:dyDescent="0.3">
      <c r="B6">
        <v>3003566699</v>
      </c>
      <c r="C6" s="801" t="str">
        <f>IFERROR(INDEX(BDEGENER[],MATCH(TODEQUIPOS[[#This Row],[N° DE SERIE]],BDEGENER[SERIE],0),26),"")</f>
        <v>GENERAC</v>
      </c>
      <c r="D6" s="775" t="str">
        <f>IFERROR(INDEX(BDEGENER[],MATCH(TODEQUIPOS[[#This Row],[N° DE SERIE]],BDEGENER[SERIE],0),27),"")</f>
        <v>PG090</v>
      </c>
      <c r="E6" s="776" t="str">
        <f>IFERROR(INDEX(BDEGENER[],MATCH(TODEQUIPOS[[#This Row],[N° DE SERIE]],BDEGENER[SERIE],0),11),"")</f>
        <v>SANTA ELENA</v>
      </c>
      <c r="F6" s="776" t="str">
        <f>IFERROR(INDEX(BDEGENER[],MATCH(TODEQUIPOS[[#This Row],[N° DE SERIE]],BDEGENER[SERIE],0),12),"")</f>
        <v>CHAMBARA</v>
      </c>
      <c r="G6" s="802">
        <f>IFERROR(INDEX(BDEGENER[],MATCH(TODEQUIPOS[[#This Row],[N° DE SERIE]],BDEGENER[SERIE],0),10),"")</f>
        <v>44188</v>
      </c>
      <c r="H6" s="777">
        <f>IFERROR(INDEX(BDEGENER[],MATCH(TODEQUIPOS[[#This Row],[N° DE SERIE]],BDEGENER[SERIE],0),31),"")</f>
        <v>8154.7</v>
      </c>
      <c r="I6" s="775">
        <f>IFERROR(INDEX(BDEGENER[],MATCH(TODEQUIPOS[[#This Row],[N° DE SERIE]],BDEGENER[SERIE],0),47),"")</f>
        <v>4</v>
      </c>
      <c r="J6" s="775">
        <f>IFERROR(INDEX(BDEGENER[],MATCH(TODEQUIPOS[[#This Row],[N° DE SERIE]],BDEGENER[SERIE],0),48),"")</f>
        <v>12</v>
      </c>
      <c r="K6" s="775">
        <f>IFERROR(INDEX(BDEGENER[],MATCH(TODEQUIPOS[[#This Row],[N° DE SERIE]],BDEGENER[SERIE],0),57),"")</f>
        <v>17</v>
      </c>
      <c r="L6" s="775" t="str">
        <f>IF(TODEQUIPOS[[#This Row],[CONTADOR]]=1,"UNICO","DUPLICADO")</f>
        <v>UNICO</v>
      </c>
      <c r="M6" s="775">
        <f>COUNTIF(TODEQUIPOS[N° DE SERIE],TODEQUIPOS[[#This Row],[N° DE SERIE]])</f>
        <v>1</v>
      </c>
    </row>
    <row r="7" spans="2:13" x14ac:dyDescent="0.3">
      <c r="B7">
        <v>3005005010</v>
      </c>
      <c r="C7" s="801" t="str">
        <f>IFERROR(INDEX(BDEGENER[],MATCH(TODEQUIPOS[[#This Row],[N° DE SERIE]],BDEGENER[SERIE],0),26),"")</f>
        <v>GENERAC</v>
      </c>
      <c r="D7" s="775" t="str">
        <f>IFERROR(INDEX(BDEGENER[],MATCH(TODEQUIPOS[[#This Row],[N° DE SERIE]],BDEGENER[SERIE],0),27),"")</f>
        <v>PG090</v>
      </c>
      <c r="E7" s="776" t="str">
        <f>IFERROR(INDEX(BDEGENER[],MATCH(TODEQUIPOS[[#This Row],[N° DE SERIE]],BDEGENER[SERIE],0),11),"")</f>
        <v>REDONDOS</v>
      </c>
      <c r="F7" s="776" t="str">
        <f>IFERROR(INDEX(BDEGENER[],MATCH(TODEQUIPOS[[#This Row],[N° DE SERIE]],BDEGENER[SERIE],0),12),"")</f>
        <v>LOBITOS 4</v>
      </c>
      <c r="G7" s="802">
        <f>IFERROR(INDEX(BDEGENER[],MATCH(TODEQUIPOS[[#This Row],[N° DE SERIE]],BDEGENER[SERIE],0),10),"")</f>
        <v>44188</v>
      </c>
      <c r="H7" s="777">
        <f>IFERROR(INDEX(BDEGENER[],MATCH(TODEQUIPOS[[#This Row],[N° DE SERIE]],BDEGENER[SERIE],0),31),"")</f>
        <v>2557.3000000000002</v>
      </c>
      <c r="I7" s="775">
        <f>IFERROR(INDEX(BDEGENER[],MATCH(TODEQUIPOS[[#This Row],[N° DE SERIE]],BDEGENER[SERIE],0),47),"")</f>
        <v>1</v>
      </c>
      <c r="J7" s="775">
        <f>IFERROR(INDEX(BDEGENER[],MATCH(TODEQUIPOS[[#This Row],[N° DE SERIE]],BDEGENER[SERIE],0),48),"")</f>
        <v>9</v>
      </c>
      <c r="K7" s="775">
        <f>IFERROR(INDEX(BDEGENER[],MATCH(TODEQUIPOS[[#This Row],[N° DE SERIE]],BDEGENER[SERIE],0),57),"")</f>
        <v>14</v>
      </c>
      <c r="L7" s="775" t="str">
        <f>IF(TODEQUIPOS[[#This Row],[CONTADOR]]=1,"UNICO","DUPLICADO")</f>
        <v>UNICO</v>
      </c>
      <c r="M7" s="775">
        <f>COUNTIF(TODEQUIPOS[N° DE SERIE],TODEQUIPOS[[#This Row],[N° DE SERIE]])</f>
        <v>1</v>
      </c>
    </row>
    <row r="8" spans="2:13" x14ac:dyDescent="0.3">
      <c r="B8">
        <v>3003987064</v>
      </c>
      <c r="C8" s="801" t="str">
        <f>IFERROR(INDEX(BDEGENER[],MATCH(TODEQUIPOS[[#This Row],[N° DE SERIE]],BDEGENER[SERIE],0),26),"")</f>
        <v>GENERAC</v>
      </c>
      <c r="D8" s="775" t="str">
        <f>IFERROR(INDEX(BDEGENER[],MATCH(TODEQUIPOS[[#This Row],[N° DE SERIE]],BDEGENER[SERIE],0),27),"")</f>
        <v>RG022</v>
      </c>
      <c r="E8" s="776" t="str">
        <f>IFERROR(INDEX(BDEGENER[],MATCH(TODEQUIPOS[[#This Row],[N° DE SERIE]],BDEGENER[SERIE],0),11),"")</f>
        <v>SANTA ELENA</v>
      </c>
      <c r="F8" s="776" t="str">
        <f>IFERROR(INDEX(BDEGENER[],MATCH(TODEQUIPOS[[#This Row],[N° DE SERIE]],BDEGENER[SERIE],0),12),"")</f>
        <v>DOÑA MARIA 1</v>
      </c>
      <c r="G8" s="802">
        <f>IFERROR(INDEX(BDEGENER[],MATCH(TODEQUIPOS[[#This Row],[N° DE SERIE]],BDEGENER[SERIE],0),10),"")</f>
        <v>44188</v>
      </c>
      <c r="H8" s="777">
        <f>IFERROR(INDEX(BDEGENER[],MATCH(TODEQUIPOS[[#This Row],[N° DE SERIE]],BDEGENER[SERIE],0),31),"")</f>
        <v>6420.8</v>
      </c>
      <c r="I8" s="775">
        <f>IFERROR(INDEX(BDEGENER[],MATCH(TODEQUIPOS[[#This Row],[N° DE SERIE]],BDEGENER[SERIE],0),47),"")</f>
        <v>1</v>
      </c>
      <c r="J8" s="775">
        <f>IFERROR(INDEX(BDEGENER[],MATCH(TODEQUIPOS[[#This Row],[N° DE SERIE]],BDEGENER[SERIE],0),48),"")</f>
        <v>11</v>
      </c>
      <c r="K8" s="775">
        <f>IFERROR(INDEX(BDEGENER[],MATCH(TODEQUIPOS[[#This Row],[N° DE SERIE]],BDEGENER[SERIE],0),57),"")</f>
        <v>12</v>
      </c>
      <c r="L8" s="775" t="str">
        <f>IF(TODEQUIPOS[[#This Row],[CONTADOR]]=1,"UNICO","DUPLICADO")</f>
        <v>UNICO</v>
      </c>
      <c r="M8" s="775">
        <f>COUNTIF(TODEQUIPOS[N° DE SERIE],TODEQUIPOS[[#This Row],[N° DE SERIE]])</f>
        <v>1</v>
      </c>
    </row>
    <row r="9" spans="2:13" x14ac:dyDescent="0.3">
      <c r="B9">
        <v>3004381435</v>
      </c>
      <c r="C9" s="801" t="str">
        <f>IFERROR(INDEX(BDEGENER[],MATCH(TODEQUIPOS[[#This Row],[N° DE SERIE]],BDEGENER[SERIE],0),26),"")</f>
        <v>GENERAC</v>
      </c>
      <c r="D9" s="775" t="str">
        <f>IFERROR(INDEX(BDEGENER[],MATCH(TODEQUIPOS[[#This Row],[N° DE SERIE]],BDEGENER[SERIE],0),27),"")</f>
        <v>PG090</v>
      </c>
      <c r="E9" s="776" t="str">
        <f>IFERROR(INDEX(BDEGENER[],MATCH(TODEQUIPOS[[#This Row],[N° DE SERIE]],BDEGENER[SERIE],0),11),"")</f>
        <v>SAN FERNANDO</v>
      </c>
      <c r="F9" s="776" t="str">
        <f>IFERROR(INDEX(BDEGENER[],MATCH(TODEQUIPOS[[#This Row],[N° DE SERIE]],BDEGENER[SERIE],0),12),"")</f>
        <v>PL-806</v>
      </c>
      <c r="G9" s="802">
        <f>IFERROR(INDEX(BDEGENER[],MATCH(TODEQUIPOS[[#This Row],[N° DE SERIE]],BDEGENER[SERIE],0),10),"")</f>
        <v>44186</v>
      </c>
      <c r="H9" s="777">
        <f>IFERROR(INDEX(BDEGENER[],MATCH(TODEQUIPOS[[#This Row],[N° DE SERIE]],BDEGENER[SERIE],0),31),"")</f>
        <v>2141.3000000000002</v>
      </c>
      <c r="I9" s="775">
        <f>IFERROR(INDEX(BDEGENER[],MATCH(TODEQUIPOS[[#This Row],[N° DE SERIE]],BDEGENER[SERIE],0),47),"")</f>
        <v>3</v>
      </c>
      <c r="J9" s="775">
        <f>IFERROR(INDEX(BDEGENER[],MATCH(TODEQUIPOS[[#This Row],[N° DE SERIE]],BDEGENER[SERIE],0),48),"")</f>
        <v>8</v>
      </c>
      <c r="K9" s="775">
        <f>IFERROR(INDEX(BDEGENER[],MATCH(TODEQUIPOS[[#This Row],[N° DE SERIE]],BDEGENER[SERIE],0),57),"")</f>
        <v>13</v>
      </c>
      <c r="L9" s="775" t="str">
        <f>IF(TODEQUIPOS[[#This Row],[CONTADOR]]=1,"UNICO","DUPLICADO")</f>
        <v>UNICO</v>
      </c>
      <c r="M9" s="775">
        <f>COUNTIF(TODEQUIPOS[N° DE SERIE],TODEQUIPOS[[#This Row],[N° DE SERIE]])</f>
        <v>1</v>
      </c>
    </row>
    <row r="10" spans="2:13" x14ac:dyDescent="0.3">
      <c r="B10">
        <v>3004381438</v>
      </c>
      <c r="C10" s="801" t="str">
        <f>IFERROR(INDEX(BDEGENER[],MATCH(TODEQUIPOS[[#This Row],[N° DE SERIE]],BDEGENER[SERIE],0),26),"")</f>
        <v>GENERAC</v>
      </c>
      <c r="D10" s="775" t="str">
        <f>IFERROR(INDEX(BDEGENER[],MATCH(TODEQUIPOS[[#This Row],[N° DE SERIE]],BDEGENER[SERIE],0),27),"")</f>
        <v>PG090</v>
      </c>
      <c r="E10" s="776" t="str">
        <f>IFERROR(INDEX(BDEGENER[],MATCH(TODEQUIPOS[[#This Row],[N° DE SERIE]],BDEGENER[SERIE],0),11),"")</f>
        <v>SAN FERNANDO</v>
      </c>
      <c r="F10" s="776" t="str">
        <f>IFERROR(INDEX(BDEGENER[],MATCH(TODEQUIPOS[[#This Row],[N° DE SERIE]],BDEGENER[SERIE],0),12),"")</f>
        <v>PL-801</v>
      </c>
      <c r="G10" s="802">
        <f>IFERROR(INDEX(BDEGENER[],MATCH(TODEQUIPOS[[#This Row],[N° DE SERIE]],BDEGENER[SERIE],0),10),"")</f>
        <v>44186</v>
      </c>
      <c r="H10" s="777">
        <f>IFERROR(INDEX(BDEGENER[],MATCH(TODEQUIPOS[[#This Row],[N° DE SERIE]],BDEGENER[SERIE],0),31),"")</f>
        <v>3227.9</v>
      </c>
      <c r="I10" s="775">
        <f>IFERROR(INDEX(BDEGENER[],MATCH(TODEQUIPOS[[#This Row],[N° DE SERIE]],BDEGENER[SERIE],0),47),"")</f>
        <v>1</v>
      </c>
      <c r="J10" s="775">
        <f>IFERROR(INDEX(BDEGENER[],MATCH(TODEQUIPOS[[#This Row],[N° DE SERIE]],BDEGENER[SERIE],0),48),"")</f>
        <v>10</v>
      </c>
      <c r="K10" s="775">
        <f>IFERROR(INDEX(BDEGENER[],MATCH(TODEQUIPOS[[#This Row],[N° DE SERIE]],BDEGENER[SERIE],0),57),"")</f>
        <v>13</v>
      </c>
      <c r="L10" s="775" t="str">
        <f>IF(TODEQUIPOS[[#This Row],[CONTADOR]]=1,"UNICO","DUPLICADO")</f>
        <v>UNICO</v>
      </c>
      <c r="M10" s="775">
        <f>COUNTIF(TODEQUIPOS[N° DE SERIE],TODEQUIPOS[[#This Row],[N° DE SERIE]])</f>
        <v>1</v>
      </c>
    </row>
    <row r="11" spans="2:13" x14ac:dyDescent="0.3">
      <c r="B11">
        <v>3004290365</v>
      </c>
      <c r="C11" s="801" t="str">
        <f>IFERROR(INDEX(BDEGENER[],MATCH(TODEQUIPOS[[#This Row],[N° DE SERIE]],BDEGENER[SERIE],0),26),"")</f>
        <v>GENERAC</v>
      </c>
      <c r="D11" s="775" t="str">
        <f>IFERROR(INDEX(BDEGENER[],MATCH(TODEQUIPOS[[#This Row],[N° DE SERIE]],BDEGENER[SERIE],0),27),"")</f>
        <v>PG090</v>
      </c>
      <c r="E11" s="776" t="str">
        <f>IFERROR(INDEX(BDEGENER[],MATCH(TODEQUIPOS[[#This Row],[N° DE SERIE]],BDEGENER[SERIE],0),11),"")</f>
        <v>SAN FERNANDO</v>
      </c>
      <c r="F11" s="776" t="str">
        <f>IFERROR(INDEX(BDEGENER[],MATCH(TODEQUIPOS[[#This Row],[N° DE SERIE]],BDEGENER[SERIE],0),12),"")</f>
        <v>PL-804</v>
      </c>
      <c r="G11" s="802">
        <f>IFERROR(INDEX(BDEGENER[],MATCH(TODEQUIPOS[[#This Row],[N° DE SERIE]],BDEGENER[SERIE],0),10),"")</f>
        <v>44200</v>
      </c>
      <c r="H11" s="777">
        <f>IFERROR(INDEX(BDEGENER[],MATCH(TODEQUIPOS[[#This Row],[N° DE SERIE]],BDEGENER[SERIE],0),31),"")</f>
        <v>1931.8</v>
      </c>
      <c r="I11" s="775">
        <f>IFERROR(INDEX(BDEGENER[],MATCH(TODEQUIPOS[[#This Row],[N° DE SERIE]],BDEGENER[SERIE],0),47),"")</f>
        <v>6</v>
      </c>
      <c r="J11" s="775">
        <f>IFERROR(INDEX(BDEGENER[],MATCH(TODEQUIPOS[[#This Row],[N° DE SERIE]],BDEGENER[SERIE],0),48),"")</f>
        <v>5</v>
      </c>
      <c r="K11" s="775">
        <f>IFERROR(INDEX(BDEGENER[],MATCH(TODEQUIPOS[[#This Row],[N° DE SERIE]],BDEGENER[SERIE],0),57),"")</f>
        <v>15</v>
      </c>
      <c r="L11" s="775" t="str">
        <f>IF(TODEQUIPOS[[#This Row],[CONTADOR]]=1,"UNICO","DUPLICADO")</f>
        <v>UNICO</v>
      </c>
      <c r="M11" s="775">
        <f>COUNTIF(TODEQUIPOS[N° DE SERIE],TODEQUIPOS[[#This Row],[N° DE SERIE]])</f>
        <v>1</v>
      </c>
    </row>
    <row r="12" spans="2:13" x14ac:dyDescent="0.3">
      <c r="B12" t="s">
        <v>835</v>
      </c>
      <c r="C12" s="801" t="str">
        <f>IFERROR(INDEX(BDEGENER[],MATCH(TODEQUIPOS[[#This Row],[N° DE SERIE]],BDEGENER[SERIE],0),26),"")</f>
        <v>CATERPILLAR</v>
      </c>
      <c r="D12" s="775" t="str">
        <f>IFERROR(INDEX(BDEGENER[],MATCH(TODEQUIPOS[[#This Row],[N° DE SERIE]],BDEGENER[SERIE],0),27),"")</f>
        <v>SR4</v>
      </c>
      <c r="E12" s="776" t="str">
        <f>IFERROR(INDEX(BDEGENER[],MATCH(TODEQUIPOS[[#This Row],[N° DE SERIE]],BDEGENER[SERIE],0),11),"")</f>
        <v>SODEXO</v>
      </c>
      <c r="F12" s="776" t="str">
        <f>IFERROR(INDEX(BDEGENER[],MATCH(TODEQUIPOS[[#This Row],[N° DE SERIE]],BDEGENER[SERIE],0),12),"")</f>
        <v>CITIBANK SAN ISIDRO</v>
      </c>
      <c r="G12" s="802">
        <f>IFERROR(INDEX(BDEGENER[],MATCH(TODEQUIPOS[[#This Row],[N° DE SERIE]],BDEGENER[SERIE],0),10),"")</f>
        <v>44183</v>
      </c>
      <c r="H12" s="777">
        <f>IFERROR(INDEX(BDEGENER[],MATCH(TODEQUIPOS[[#This Row],[N° DE SERIE]],BDEGENER[SERIE],0),31),"")</f>
        <v>2759</v>
      </c>
      <c r="I12" s="775">
        <f>IFERROR(INDEX(BDEGENER[],MATCH(TODEQUIPOS[[#This Row],[N° DE SERIE]],BDEGENER[SERIE],0),47),"")</f>
        <v>2</v>
      </c>
      <c r="J12" s="775">
        <f>IFERROR(INDEX(BDEGENER[],MATCH(TODEQUIPOS[[#This Row],[N° DE SERIE]],BDEGENER[SERIE],0),48),"")</f>
        <v>4</v>
      </c>
      <c r="K12" s="775">
        <f>IFERROR(INDEX(BDEGENER[],MATCH(TODEQUIPOS[[#This Row],[N° DE SERIE]],BDEGENER[SERIE],0),57),"")</f>
        <v>7</v>
      </c>
      <c r="L12" s="775" t="str">
        <f>IF(TODEQUIPOS[[#This Row],[CONTADOR]]=1,"UNICO","DUPLICADO")</f>
        <v>UNICO</v>
      </c>
      <c r="M12" s="775">
        <f>COUNTIF(TODEQUIPOS[N° DE SERIE],TODEQUIPOS[[#This Row],[N° DE SERIE]])</f>
        <v>1</v>
      </c>
    </row>
    <row r="13" spans="2:13" x14ac:dyDescent="0.3">
      <c r="B13">
        <v>3003932245</v>
      </c>
      <c r="C13" s="801" t="str">
        <f>IFERROR(INDEX(BDEGENER[],MATCH(TODEQUIPOS[[#This Row],[N° DE SERIE]],BDEGENER[SERIE],0),26),"")</f>
        <v>GENERAC</v>
      </c>
      <c r="D13" s="775" t="str">
        <f>IFERROR(INDEX(BDEGENER[],MATCH(TODEQUIPOS[[#This Row],[N° DE SERIE]],BDEGENER[SERIE],0),27),"")</f>
        <v>PG090</v>
      </c>
      <c r="E13" s="776" t="str">
        <f>IFERROR(INDEX(BDEGENER[],MATCH(TODEQUIPOS[[#This Row],[N° DE SERIE]],BDEGENER[SERIE],0),11),"")</f>
        <v>SANTA ELENA</v>
      </c>
      <c r="F13" s="776" t="str">
        <f>IFERROR(INDEX(BDEGENER[],MATCH(TODEQUIPOS[[#This Row],[N° DE SERIE]],BDEGENER[SERIE],0),12),"")</f>
        <v>SAN JUDAS TADEO 2</v>
      </c>
      <c r="G13" s="802">
        <f>IFERROR(INDEX(BDEGENER[],MATCH(TODEQUIPOS[[#This Row],[N° DE SERIE]],BDEGENER[SERIE],0),10),"")</f>
        <v>44183</v>
      </c>
      <c r="H13" s="777">
        <f>IFERROR(INDEX(BDEGENER[],MATCH(TODEQUIPOS[[#This Row],[N° DE SERIE]],BDEGENER[SERIE],0),31),"")</f>
        <v>6582.8</v>
      </c>
      <c r="I13" s="775">
        <f>IFERROR(INDEX(BDEGENER[],MATCH(TODEQUIPOS[[#This Row],[N° DE SERIE]],BDEGENER[SERIE],0),47),"")</f>
        <v>1</v>
      </c>
      <c r="J13" s="775">
        <f>IFERROR(INDEX(BDEGENER[],MATCH(TODEQUIPOS[[#This Row],[N° DE SERIE]],BDEGENER[SERIE],0),48),"")</f>
        <v>9</v>
      </c>
      <c r="K13" s="775">
        <f>IFERROR(INDEX(BDEGENER[],MATCH(TODEQUIPOS[[#This Row],[N° DE SERIE]],BDEGENER[SERIE],0),57),"")</f>
        <v>10</v>
      </c>
      <c r="L13" s="775" t="str">
        <f>IF(TODEQUIPOS[[#This Row],[CONTADOR]]=1,"UNICO","DUPLICADO")</f>
        <v>UNICO</v>
      </c>
      <c r="M13" s="775">
        <f>COUNTIF(TODEQUIPOS[N° DE SERIE],TODEQUIPOS[[#This Row],[N° DE SERIE]])</f>
        <v>1</v>
      </c>
    </row>
    <row r="14" spans="2:13" x14ac:dyDescent="0.3">
      <c r="B14">
        <v>3004327723</v>
      </c>
      <c r="C14" s="801" t="str">
        <f>IFERROR(INDEX(BDEGENER[],MATCH(TODEQUIPOS[[#This Row],[N° DE SERIE]],BDEGENER[SERIE],0),26),"")</f>
        <v>GENERAC</v>
      </c>
      <c r="D14" s="775" t="str">
        <f>IFERROR(INDEX(BDEGENER[],MATCH(TODEQUIPOS[[#This Row],[N° DE SERIE]],BDEGENER[SERIE],0),27),"")</f>
        <v>PG090</v>
      </c>
      <c r="E14" s="776" t="str">
        <f>IFERROR(INDEX(BDEGENER[],MATCH(TODEQUIPOS[[#This Row],[N° DE SERIE]],BDEGENER[SERIE],0),11),"")</f>
        <v>SANTA ELENA</v>
      </c>
      <c r="F14" s="776" t="str">
        <f>IFERROR(INDEX(BDEGENER[],MATCH(TODEQUIPOS[[#This Row],[N° DE SERIE]],BDEGENER[SERIE],0),12),"")</f>
        <v>DOÑA MARIA 3</v>
      </c>
      <c r="G14" s="802">
        <f>IFERROR(INDEX(BDEGENER[],MATCH(TODEQUIPOS[[#This Row],[N° DE SERIE]],BDEGENER[SERIE],0),10),"")</f>
        <v>44182</v>
      </c>
      <c r="H14" s="777">
        <f>IFERROR(INDEX(BDEGENER[],MATCH(TODEQUIPOS[[#This Row],[N° DE SERIE]],BDEGENER[SERIE],0),31),"")</f>
        <v>6883.3</v>
      </c>
      <c r="I14" s="775">
        <f>IFERROR(INDEX(BDEGENER[],MATCH(TODEQUIPOS[[#This Row],[N° DE SERIE]],BDEGENER[SERIE],0),47),"")</f>
        <v>1</v>
      </c>
      <c r="J14" s="775">
        <f>IFERROR(INDEX(BDEGENER[],MATCH(TODEQUIPOS[[#This Row],[N° DE SERIE]],BDEGENER[SERIE],0),48),"")</f>
        <v>8</v>
      </c>
      <c r="K14" s="775">
        <f>IFERROR(INDEX(BDEGENER[],MATCH(TODEQUIPOS[[#This Row],[N° DE SERIE]],BDEGENER[SERIE],0),57),"")</f>
        <v>11</v>
      </c>
      <c r="L14" s="775" t="str">
        <f>IF(TODEQUIPOS[[#This Row],[CONTADOR]]=1,"UNICO","DUPLICADO")</f>
        <v>UNICO</v>
      </c>
      <c r="M14" s="775">
        <f>COUNTIF(TODEQUIPOS[N° DE SERIE],TODEQUIPOS[[#This Row],[N° DE SERIE]])</f>
        <v>1</v>
      </c>
    </row>
    <row r="15" spans="2:13" x14ac:dyDescent="0.3">
      <c r="B15">
        <v>3003566705</v>
      </c>
      <c r="C15" s="801" t="str">
        <f>IFERROR(INDEX(BDEGENER[],MATCH(TODEQUIPOS[[#This Row],[N° DE SERIE]],BDEGENER[SERIE],0),26),"")</f>
        <v>GENERAC</v>
      </c>
      <c r="D15" s="775" t="str">
        <f>IFERROR(INDEX(BDEGENER[],MATCH(TODEQUIPOS[[#This Row],[N° DE SERIE]],BDEGENER[SERIE],0),27),"")</f>
        <v>PG090</v>
      </c>
      <c r="E15" s="776" t="str">
        <f>IFERROR(INDEX(BDEGENER[],MATCH(TODEQUIPOS[[#This Row],[N° DE SERIE]],BDEGENER[SERIE],0),11),"")</f>
        <v>SANTA ELENA</v>
      </c>
      <c r="F15" s="776" t="str">
        <f>IFERROR(INDEX(BDEGENER[],MATCH(TODEQUIPOS[[#This Row],[N° DE SERIE]],BDEGENER[SERIE],0),12),"")</f>
        <v>DOÑA MARIA 3</v>
      </c>
      <c r="G15" s="802">
        <f>IFERROR(INDEX(BDEGENER[],MATCH(TODEQUIPOS[[#This Row],[N° DE SERIE]],BDEGENER[SERIE],0),10),"")</f>
        <v>44182</v>
      </c>
      <c r="H15" s="777">
        <f>IFERROR(INDEX(BDEGENER[],MATCH(TODEQUIPOS[[#This Row],[N° DE SERIE]],BDEGENER[SERIE],0),31),"")</f>
        <v>6883.3</v>
      </c>
      <c r="I15" s="775">
        <f>IFERROR(INDEX(BDEGENER[],MATCH(TODEQUIPOS[[#This Row],[N° DE SERIE]],BDEGENER[SERIE],0),47),"")</f>
        <v>1</v>
      </c>
      <c r="J15" s="775">
        <f>IFERROR(INDEX(BDEGENER[],MATCH(TODEQUIPOS[[#This Row],[N° DE SERIE]],BDEGENER[SERIE],0),48),"")</f>
        <v>6</v>
      </c>
      <c r="K15" s="775">
        <f>IFERROR(INDEX(BDEGENER[],MATCH(TODEQUIPOS[[#This Row],[N° DE SERIE]],BDEGENER[SERIE],0),57),"")</f>
        <v>8</v>
      </c>
      <c r="L15" s="775" t="str">
        <f>IF(TODEQUIPOS[[#This Row],[CONTADOR]]=1,"UNICO","DUPLICADO")</f>
        <v>UNICO</v>
      </c>
      <c r="M15" s="775">
        <f>COUNTIF(TODEQUIPOS[N° DE SERIE],TODEQUIPOS[[#This Row],[N° DE SERIE]])</f>
        <v>1</v>
      </c>
    </row>
    <row r="16" spans="2:13" x14ac:dyDescent="0.3">
      <c r="B16">
        <v>3004331707</v>
      </c>
      <c r="C16" s="801" t="str">
        <f>IFERROR(INDEX(BDEGENER[],MATCH(TODEQUIPOS[[#This Row],[N° DE SERIE]],BDEGENER[SERIE],0),26),"")</f>
        <v>GENERAC</v>
      </c>
      <c r="D16" s="775" t="str">
        <f>IFERROR(INDEX(BDEGENER[],MATCH(TODEQUIPOS[[#This Row],[N° DE SERIE]],BDEGENER[SERIE],0),27),"")</f>
        <v>PG090</v>
      </c>
      <c r="E16" s="776" t="str">
        <f>IFERROR(INDEX(BDEGENER[],MATCH(TODEQUIPOS[[#This Row],[N° DE SERIE]],BDEGENER[SERIE],0),11),"")</f>
        <v>SAN FERNANDO</v>
      </c>
      <c r="F16" s="776" t="str">
        <f>IFERROR(INDEX(BDEGENER[],MATCH(TODEQUIPOS[[#This Row],[N° DE SERIE]],BDEGENER[SERIE],0),12),"")</f>
        <v>PL-810</v>
      </c>
      <c r="G16" s="802">
        <f>IFERROR(INDEX(BDEGENER[],MATCH(TODEQUIPOS[[#This Row],[N° DE SERIE]],BDEGENER[SERIE],0),10),"")</f>
        <v>44200</v>
      </c>
      <c r="H16" s="777">
        <f>IFERROR(INDEX(BDEGENER[],MATCH(TODEQUIPOS[[#This Row],[N° DE SERIE]],BDEGENER[SERIE],0),31),"")</f>
        <v>938</v>
      </c>
      <c r="I16" s="775">
        <f>IFERROR(INDEX(BDEGENER[],MATCH(TODEQUIPOS[[#This Row],[N° DE SERIE]],BDEGENER[SERIE],0),47),"")</f>
        <v>1</v>
      </c>
      <c r="J16" s="775">
        <f>IFERROR(INDEX(BDEGENER[],MATCH(TODEQUIPOS[[#This Row],[N° DE SERIE]],BDEGENER[SERIE],0),48),"")</f>
        <v>3</v>
      </c>
      <c r="K16" s="775">
        <f>IFERROR(INDEX(BDEGENER[],MATCH(TODEQUIPOS[[#This Row],[N° DE SERIE]],BDEGENER[SERIE],0),57),"")</f>
        <v>8</v>
      </c>
      <c r="L16" s="775" t="str">
        <f>IF(TODEQUIPOS[[#This Row],[CONTADOR]]=1,"UNICO","DUPLICADO")</f>
        <v>UNICO</v>
      </c>
      <c r="M16" s="775">
        <f>COUNTIF(TODEQUIPOS[N° DE SERIE],TODEQUIPOS[[#This Row],[N° DE SERIE]])</f>
        <v>1</v>
      </c>
    </row>
    <row r="17" spans="2:13" x14ac:dyDescent="0.3">
      <c r="B17">
        <v>3004290364</v>
      </c>
      <c r="C17" s="801" t="str">
        <f>IFERROR(INDEX(BDEGENER[],MATCH(TODEQUIPOS[[#This Row],[N° DE SERIE]],BDEGENER[SERIE],0),26),"")</f>
        <v>GENERAC</v>
      </c>
      <c r="D17" s="775" t="str">
        <f>IFERROR(INDEX(BDEGENER[],MATCH(TODEQUIPOS[[#This Row],[N° DE SERIE]],BDEGENER[SERIE],0),27),"")</f>
        <v>PG090</v>
      </c>
      <c r="E17" s="776" t="str">
        <f>IFERROR(INDEX(BDEGENER[],MATCH(TODEQUIPOS[[#This Row],[N° DE SERIE]],BDEGENER[SERIE],0),11),"")</f>
        <v>SAN FERNANDO</v>
      </c>
      <c r="F17" s="776" t="str">
        <f>IFERROR(INDEX(BDEGENER[],MATCH(TODEQUIPOS[[#This Row],[N° DE SERIE]],BDEGENER[SERIE],0),12),"")</f>
        <v>PL-807</v>
      </c>
      <c r="G17" s="802">
        <f>IFERROR(INDEX(BDEGENER[],MATCH(TODEQUIPOS[[#This Row],[N° DE SERIE]],BDEGENER[SERIE],0),10),"")</f>
        <v>44179</v>
      </c>
      <c r="H17" s="777">
        <f>IFERROR(INDEX(BDEGENER[],MATCH(TODEQUIPOS[[#This Row],[N° DE SERIE]],BDEGENER[SERIE],0),31),"")</f>
        <v>1147.0999999999999</v>
      </c>
      <c r="I17" s="775">
        <f>IFERROR(INDEX(BDEGENER[],MATCH(TODEQUIPOS[[#This Row],[N° DE SERIE]],BDEGENER[SERIE],0),47),"")</f>
        <v>1</v>
      </c>
      <c r="J17" s="775">
        <f>IFERROR(INDEX(BDEGENER[],MATCH(TODEQUIPOS[[#This Row],[N° DE SERIE]],BDEGENER[SERIE],0),48),"")</f>
        <v>3</v>
      </c>
      <c r="K17" s="775">
        <f>IFERROR(INDEX(BDEGENER[],MATCH(TODEQUIPOS[[#This Row],[N° DE SERIE]],BDEGENER[SERIE],0),57),"")</f>
        <v>9</v>
      </c>
      <c r="L17" s="775" t="str">
        <f>IF(TODEQUIPOS[[#This Row],[CONTADOR]]=1,"UNICO","DUPLICADO")</f>
        <v>UNICO</v>
      </c>
      <c r="M17" s="775">
        <f>COUNTIF(TODEQUIPOS[N° DE SERIE],TODEQUIPOS[[#This Row],[N° DE SERIE]])</f>
        <v>1</v>
      </c>
    </row>
    <row r="18" spans="2:13" x14ac:dyDescent="0.3">
      <c r="B18">
        <v>3004327725</v>
      </c>
      <c r="C18" s="801" t="str">
        <f>IFERROR(INDEX(BDEGENER[],MATCH(TODEQUIPOS[[#This Row],[N° DE SERIE]],BDEGENER[SERIE],0),26),"")</f>
        <v>GENERAC</v>
      </c>
      <c r="D18" s="775" t="str">
        <f>IFERROR(INDEX(BDEGENER[],MATCH(TODEQUIPOS[[#This Row],[N° DE SERIE]],BDEGENER[SERIE],0),27),"")</f>
        <v>PG090</v>
      </c>
      <c r="E18" s="776" t="str">
        <f>IFERROR(INDEX(BDEGENER[],MATCH(TODEQUIPOS[[#This Row],[N° DE SERIE]],BDEGENER[SERIE],0),11),"")</f>
        <v>SAN FERNANDO</v>
      </c>
      <c r="F18" s="776" t="str">
        <f>IFERROR(INDEX(BDEGENER[],MATCH(TODEQUIPOS[[#This Row],[N° DE SERIE]],BDEGENER[SERIE],0),12),"")</f>
        <v>PL-801</v>
      </c>
      <c r="G18" s="802">
        <f>IFERROR(INDEX(BDEGENER[],MATCH(TODEQUIPOS[[#This Row],[N° DE SERIE]],BDEGENER[SERIE],0),10),"")</f>
        <v>44179</v>
      </c>
      <c r="H18" s="777">
        <f>IFERROR(INDEX(BDEGENER[],MATCH(TODEQUIPOS[[#This Row],[N° DE SERIE]],BDEGENER[SERIE],0),31),"")</f>
        <v>1679.8</v>
      </c>
      <c r="I18" s="775">
        <f>IFERROR(INDEX(BDEGENER[],MATCH(TODEQUIPOS[[#This Row],[N° DE SERIE]],BDEGENER[SERIE],0),47),"")</f>
        <v>2</v>
      </c>
      <c r="J18" s="775">
        <f>IFERROR(INDEX(BDEGENER[],MATCH(TODEQUIPOS[[#This Row],[N° DE SERIE]],BDEGENER[SERIE],0),48),"")</f>
        <v>6</v>
      </c>
      <c r="K18" s="775">
        <f>IFERROR(INDEX(BDEGENER[],MATCH(TODEQUIPOS[[#This Row],[N° DE SERIE]],BDEGENER[SERIE],0),57),"")</f>
        <v>13</v>
      </c>
      <c r="L18" s="775" t="str">
        <f>IF(TODEQUIPOS[[#This Row],[CONTADOR]]=1,"UNICO","DUPLICADO")</f>
        <v>UNICO</v>
      </c>
      <c r="M18" s="775">
        <f>COUNTIF(TODEQUIPOS[N° DE SERIE],TODEQUIPOS[[#This Row],[N° DE SERIE]])</f>
        <v>1</v>
      </c>
    </row>
    <row r="19" spans="2:13" x14ac:dyDescent="0.3">
      <c r="B19">
        <v>3004337427</v>
      </c>
      <c r="C19" s="801" t="str">
        <f>IFERROR(INDEX(BDEGENER[],MATCH(TODEQUIPOS[[#This Row],[N° DE SERIE]],BDEGENER[SERIE],0),26),"")</f>
        <v>GENERAC</v>
      </c>
      <c r="D19" s="775" t="str">
        <f>IFERROR(INDEX(BDEGENER[],MATCH(TODEQUIPOS[[#This Row],[N° DE SERIE]],BDEGENER[SERIE],0),27),"")</f>
        <v>PG090</v>
      </c>
      <c r="E19" s="776" t="str">
        <f>IFERROR(INDEX(BDEGENER[],MATCH(TODEQUIPOS[[#This Row],[N° DE SERIE]],BDEGENER[SERIE],0),11),"")</f>
        <v>SAN FERNANDO</v>
      </c>
      <c r="F19" s="776" t="str">
        <f>IFERROR(INDEX(BDEGENER[],MATCH(TODEQUIPOS[[#This Row],[N° DE SERIE]],BDEGENER[SERIE],0),12),"")</f>
        <v>PL-806</v>
      </c>
      <c r="G19" s="802">
        <f>IFERROR(INDEX(BDEGENER[],MATCH(TODEQUIPOS[[#This Row],[N° DE SERIE]],BDEGENER[SERIE],0),10),"")</f>
        <v>44179</v>
      </c>
      <c r="H19" s="777">
        <f>IFERROR(INDEX(BDEGENER[],MATCH(TODEQUIPOS[[#This Row],[N° DE SERIE]],BDEGENER[SERIE],0),31),"")</f>
        <v>1835.7</v>
      </c>
      <c r="I19" s="775">
        <f>IFERROR(INDEX(BDEGENER[],MATCH(TODEQUIPOS[[#This Row],[N° DE SERIE]],BDEGENER[SERIE],0),47),"")</f>
        <v>2</v>
      </c>
      <c r="J19" s="775">
        <f>IFERROR(INDEX(BDEGENER[],MATCH(TODEQUIPOS[[#This Row],[N° DE SERIE]],BDEGENER[SERIE],0),48),"")</f>
        <v>6</v>
      </c>
      <c r="K19" s="775">
        <f>IFERROR(INDEX(BDEGENER[],MATCH(TODEQUIPOS[[#This Row],[N° DE SERIE]],BDEGENER[SERIE],0),57),"")</f>
        <v>9</v>
      </c>
      <c r="L19" s="775" t="str">
        <f>IF(TODEQUIPOS[[#This Row],[CONTADOR]]=1,"UNICO","DUPLICADO")</f>
        <v>UNICO</v>
      </c>
      <c r="M19" s="775">
        <f>COUNTIF(TODEQUIPOS[N° DE SERIE],TODEQUIPOS[[#This Row],[N° DE SERIE]])</f>
        <v>1</v>
      </c>
    </row>
    <row r="20" spans="2:13" x14ac:dyDescent="0.3">
      <c r="B20">
        <v>3004402508</v>
      </c>
      <c r="C20" s="801" t="str">
        <f>IFERROR(INDEX(BDEGENER[],MATCH(TODEQUIPOS[[#This Row],[N° DE SERIE]],BDEGENER[SERIE],0),26),"")</f>
        <v>GENERAC</v>
      </c>
      <c r="D20" s="775" t="str">
        <f>IFERROR(INDEX(BDEGENER[],MATCH(TODEQUIPOS[[#This Row],[N° DE SERIE]],BDEGENER[SERIE],0),27),"")</f>
        <v>PG090</v>
      </c>
      <c r="E20" s="776" t="str">
        <f>IFERROR(INDEX(BDEGENER[],MATCH(TODEQUIPOS[[#This Row],[N° DE SERIE]],BDEGENER[SERIE],0),11),"")</f>
        <v>SAN FERNANDO</v>
      </c>
      <c r="F20" s="776" t="str">
        <f>IFERROR(INDEX(BDEGENER[],MATCH(TODEQUIPOS[[#This Row],[N° DE SERIE]],BDEGENER[SERIE],0),12),"")</f>
        <v>PL-807</v>
      </c>
      <c r="G20" s="802">
        <f>IFERROR(INDEX(BDEGENER[],MATCH(TODEQUIPOS[[#This Row],[N° DE SERIE]],BDEGENER[SERIE],0),10),"")</f>
        <v>44179</v>
      </c>
      <c r="H20" s="777">
        <f>IFERROR(INDEX(BDEGENER[],MATCH(TODEQUIPOS[[#This Row],[N° DE SERIE]],BDEGENER[SERIE],0),31),"")</f>
        <v>2186.3000000000002</v>
      </c>
      <c r="I20" s="775">
        <f>IFERROR(INDEX(BDEGENER[],MATCH(TODEQUIPOS[[#This Row],[N° DE SERIE]],BDEGENER[SERIE],0),47),"")</f>
        <v>4</v>
      </c>
      <c r="J20" s="775">
        <f>IFERROR(INDEX(BDEGENER[],MATCH(TODEQUIPOS[[#This Row],[N° DE SERIE]],BDEGENER[SERIE],0),48),"")</f>
        <v>8</v>
      </c>
      <c r="K20" s="775">
        <f>IFERROR(INDEX(BDEGENER[],MATCH(TODEQUIPOS[[#This Row],[N° DE SERIE]],BDEGENER[SERIE],0),57),"")</f>
        <v>15</v>
      </c>
      <c r="L20" s="775" t="str">
        <f>IF(TODEQUIPOS[[#This Row],[CONTADOR]]=1,"UNICO","DUPLICADO")</f>
        <v>UNICO</v>
      </c>
      <c r="M20" s="775">
        <f>COUNTIF(TODEQUIPOS[N° DE SERIE],TODEQUIPOS[[#This Row],[N° DE SERIE]])</f>
        <v>1</v>
      </c>
    </row>
    <row r="21" spans="2:13" x14ac:dyDescent="0.3">
      <c r="B21">
        <v>3004370193</v>
      </c>
      <c r="C21" s="801" t="str">
        <f>IFERROR(INDEX(BDEGENER[],MATCH(TODEQUIPOS[[#This Row],[N° DE SERIE]],BDEGENER[SERIE],0),26),"")</f>
        <v>GENERAC</v>
      </c>
      <c r="D21" s="775" t="str">
        <f>IFERROR(INDEX(BDEGENER[],MATCH(TODEQUIPOS[[#This Row],[N° DE SERIE]],BDEGENER[SERIE],0),27),"")</f>
        <v>RG022</v>
      </c>
      <c r="E21" s="776" t="str">
        <f>IFERROR(INDEX(BDEGENER[],MATCH(TODEQUIPOS[[#This Row],[N° DE SERIE]],BDEGENER[SERIE],0),11),"")</f>
        <v>SANTA ELENA</v>
      </c>
      <c r="F21" s="776" t="str">
        <f>IFERROR(INDEX(BDEGENER[],MATCH(TODEQUIPOS[[#This Row],[N° DE SERIE]],BDEGENER[SERIE],0),12),"")</f>
        <v>ASIA 3</v>
      </c>
      <c r="G21" s="802">
        <f>IFERROR(INDEX(BDEGENER[],MATCH(TODEQUIPOS[[#This Row],[N° DE SERIE]],BDEGENER[SERIE],0),10),"")</f>
        <v>44177</v>
      </c>
      <c r="H21" s="777">
        <f>IFERROR(INDEX(BDEGENER[],MATCH(TODEQUIPOS[[#This Row],[N° DE SERIE]],BDEGENER[SERIE],0),31),"")</f>
        <v>3777.5</v>
      </c>
      <c r="I21" s="775">
        <f>IFERROR(INDEX(BDEGENER[],MATCH(TODEQUIPOS[[#This Row],[N° DE SERIE]],BDEGENER[SERIE],0),47),"")</f>
        <v>3</v>
      </c>
      <c r="J21" s="775">
        <f>IFERROR(INDEX(BDEGENER[],MATCH(TODEQUIPOS[[#This Row],[N° DE SERIE]],BDEGENER[SERIE],0),48),"")</f>
        <v>9</v>
      </c>
      <c r="K21" s="775">
        <f>IFERROR(INDEX(BDEGENER[],MATCH(TODEQUIPOS[[#This Row],[N° DE SERIE]],BDEGENER[SERIE],0),57),"")</f>
        <v>16</v>
      </c>
      <c r="L21" s="775" t="str">
        <f>IF(TODEQUIPOS[[#This Row],[CONTADOR]]=1,"UNICO","DUPLICADO")</f>
        <v>UNICO</v>
      </c>
      <c r="M21" s="775">
        <f>COUNTIF(TODEQUIPOS[N° DE SERIE],TODEQUIPOS[[#This Row],[N° DE SERIE]])</f>
        <v>1</v>
      </c>
    </row>
    <row r="22" spans="2:13" x14ac:dyDescent="0.3">
      <c r="B22" t="s">
        <v>3875</v>
      </c>
      <c r="C22" s="801" t="str">
        <f>IFERROR(INDEX(BDEGENER[],MATCH(TODEQUIPOS[[#This Row],[N° DE SERIE]],BDEGENER[SERIE],0),26),"")</f>
        <v>CUMMINS</v>
      </c>
      <c r="D22" s="775" t="str">
        <f>IFERROR(INDEX(BDEGENER[],MATCH(TODEQUIPOS[[#This Row],[N° DE SERIE]],BDEGENER[SERIE],0),27),"")</f>
        <v/>
      </c>
      <c r="E22" s="776" t="str">
        <f>IFERROR(INDEX(BDEGENER[],MATCH(TODEQUIPOS[[#This Row],[N° DE SERIE]],BDEGENER[SERIE],0),11),"")</f>
        <v>INTERNO</v>
      </c>
      <c r="F22" s="776" t="str">
        <f>IFERROR(INDEX(BDEGENER[],MATCH(TODEQUIPOS[[#This Row],[N° DE SERIE]],BDEGENER[SERIE],0),12),"")</f>
        <v>TALLER EGENER</v>
      </c>
      <c r="G22" s="802">
        <f>IFERROR(INDEX(BDEGENER[],MATCH(TODEQUIPOS[[#This Row],[N° DE SERIE]],BDEGENER[SERIE],0),10),"")</f>
        <v>44175</v>
      </c>
      <c r="H22" s="777">
        <f>IFERROR(INDEX(BDEGENER[],MATCH(TODEQUIPOS[[#This Row],[N° DE SERIE]],BDEGENER[SERIE],0),31),"")</f>
        <v>54.35</v>
      </c>
      <c r="I22" s="775">
        <f>IFERROR(INDEX(BDEGENER[],MATCH(TODEQUIPOS[[#This Row],[N° DE SERIE]],BDEGENER[SERIE],0),47),"")</f>
        <v>0</v>
      </c>
      <c r="J22" s="775">
        <f>IFERROR(INDEX(BDEGENER[],MATCH(TODEQUIPOS[[#This Row],[N° DE SERIE]],BDEGENER[SERIE],0),48),"")</f>
        <v>1</v>
      </c>
      <c r="K22" s="775">
        <f>IFERROR(INDEX(BDEGENER[],MATCH(TODEQUIPOS[[#This Row],[N° DE SERIE]],BDEGENER[SERIE],0),57),"")</f>
        <v>1</v>
      </c>
      <c r="L22" s="775" t="str">
        <f>IF(TODEQUIPOS[[#This Row],[CONTADOR]]=1,"UNICO","DUPLICADO")</f>
        <v>UNICO</v>
      </c>
      <c r="M22" s="775">
        <f>COUNTIF(TODEQUIPOS[N° DE SERIE],TODEQUIPOS[[#This Row],[N° DE SERIE]])</f>
        <v>1</v>
      </c>
    </row>
    <row r="23" spans="2:13" x14ac:dyDescent="0.3">
      <c r="B23">
        <v>3004999911</v>
      </c>
      <c r="C23" s="801" t="str">
        <f>IFERROR(INDEX(BDEGENER[],MATCH(TODEQUIPOS[[#This Row],[N° DE SERIE]],BDEGENER[SERIE],0),26),"")</f>
        <v>GENERAC</v>
      </c>
      <c r="D23" s="775" t="str">
        <f>IFERROR(INDEX(BDEGENER[],MATCH(TODEQUIPOS[[#This Row],[N° DE SERIE]],BDEGENER[SERIE],0),27),"")</f>
        <v>PG054</v>
      </c>
      <c r="E23" s="776" t="str">
        <f>IFERROR(INDEX(BDEGENER[],MATCH(TODEQUIPOS[[#This Row],[N° DE SERIE]],BDEGENER[SERIE],0),11),"")</f>
        <v>REDONDOS</v>
      </c>
      <c r="F23" s="776" t="str">
        <f>IFERROR(INDEX(BDEGENER[],MATCH(TODEQUIPOS[[#This Row],[N° DE SERIE]],BDEGENER[SERIE],0),12),"")</f>
        <v>LOBITOS 1</v>
      </c>
      <c r="G23" s="802">
        <f>IFERROR(INDEX(BDEGENER[],MATCH(TODEQUIPOS[[#This Row],[N° DE SERIE]],BDEGENER[SERIE],0),10),"")</f>
        <v>44195</v>
      </c>
      <c r="H23" s="777">
        <f>IFERROR(INDEX(BDEGENER[],MATCH(TODEQUIPOS[[#This Row],[N° DE SERIE]],BDEGENER[SERIE],0),31),"")</f>
        <v>3510.8</v>
      </c>
      <c r="I23" s="775">
        <f>IFERROR(INDEX(BDEGENER[],MATCH(TODEQUIPOS[[#This Row],[N° DE SERIE]],BDEGENER[SERIE],0),47),"")</f>
        <v>0</v>
      </c>
      <c r="J23" s="775">
        <f>IFERROR(INDEX(BDEGENER[],MATCH(TODEQUIPOS[[#This Row],[N° DE SERIE]],BDEGENER[SERIE],0),48),"")</f>
        <v>12</v>
      </c>
      <c r="K23" s="775">
        <f>IFERROR(INDEX(BDEGENER[],MATCH(TODEQUIPOS[[#This Row],[N° DE SERIE]],BDEGENER[SERIE],0),57),"")</f>
        <v>14</v>
      </c>
      <c r="L23" s="775" t="str">
        <f>IF(TODEQUIPOS[[#This Row],[CONTADOR]]=1,"UNICO","DUPLICADO")</f>
        <v>UNICO</v>
      </c>
      <c r="M23" s="775">
        <f>COUNTIF(TODEQUIPOS[N° DE SERIE],TODEQUIPOS[[#This Row],[N° DE SERIE]])</f>
        <v>1</v>
      </c>
    </row>
    <row r="24" spans="2:13" x14ac:dyDescent="0.3">
      <c r="B24">
        <v>3003415536</v>
      </c>
      <c r="C24" s="801" t="str">
        <f>IFERROR(INDEX(BDEGENER[],MATCH(TODEQUIPOS[[#This Row],[N° DE SERIE]],BDEGENER[SERIE],0),26),"")</f>
        <v>GENERAC</v>
      </c>
      <c r="D24" s="775" t="str">
        <f>IFERROR(INDEX(BDEGENER[],MATCH(TODEQUIPOS[[#This Row],[N° DE SERIE]],BDEGENER[SERIE],0),27),"")</f>
        <v>RG022</v>
      </c>
      <c r="E24" s="776" t="str">
        <f>IFERROR(INDEX(BDEGENER[],MATCH(TODEQUIPOS[[#This Row],[N° DE SERIE]],BDEGENER[SERIE],0),11),"")</f>
        <v>SANTA ELENA</v>
      </c>
      <c r="F24" s="776" t="str">
        <f>IFERROR(INDEX(BDEGENER[],MATCH(TODEQUIPOS[[#This Row],[N° DE SERIE]],BDEGENER[SERIE],0),12),"")</f>
        <v>GRANJA CORILIZ</v>
      </c>
      <c r="G24" s="802">
        <f>IFERROR(INDEX(BDEGENER[],MATCH(TODEQUIPOS[[#This Row],[N° DE SERIE]],BDEGENER[SERIE],0),10),"")</f>
        <v>44175</v>
      </c>
      <c r="H24" s="777">
        <f>IFERROR(INDEX(BDEGENER[],MATCH(TODEQUIPOS[[#This Row],[N° DE SERIE]],BDEGENER[SERIE],0),31),"")</f>
        <v>5482</v>
      </c>
      <c r="I24" s="775">
        <f>IFERROR(INDEX(BDEGENER[],MATCH(TODEQUIPOS[[#This Row],[N° DE SERIE]],BDEGENER[SERIE],0),47),"")</f>
        <v>0</v>
      </c>
      <c r="J24" s="775">
        <f>IFERROR(INDEX(BDEGENER[],MATCH(TODEQUIPOS[[#This Row],[N° DE SERIE]],BDEGENER[SERIE],0),48),"")</f>
        <v>10</v>
      </c>
      <c r="K24" s="775">
        <f>IFERROR(INDEX(BDEGENER[],MATCH(TODEQUIPOS[[#This Row],[N° DE SERIE]],BDEGENER[SERIE],0),57),"")</f>
        <v>12</v>
      </c>
      <c r="L24" s="775" t="str">
        <f>IF(TODEQUIPOS[[#This Row],[CONTADOR]]=1,"UNICO","DUPLICADO")</f>
        <v>UNICO</v>
      </c>
      <c r="M24" s="775">
        <f>COUNTIF(TODEQUIPOS[N° DE SERIE],TODEQUIPOS[[#This Row],[N° DE SERIE]])</f>
        <v>1</v>
      </c>
    </row>
    <row r="25" spans="2:13" x14ac:dyDescent="0.3">
      <c r="B25">
        <v>3004327724</v>
      </c>
      <c r="C25" s="801" t="str">
        <f>IFERROR(INDEX(BDEGENER[],MATCH(TODEQUIPOS[[#This Row],[N° DE SERIE]],BDEGENER[SERIE],0),26),"")</f>
        <v>GENERAC</v>
      </c>
      <c r="D25" s="775" t="str">
        <f>IFERROR(INDEX(BDEGENER[],MATCH(TODEQUIPOS[[#This Row],[N° DE SERIE]],BDEGENER[SERIE],0),27),"")</f>
        <v>PG090</v>
      </c>
      <c r="E25" s="776" t="str">
        <f>IFERROR(INDEX(BDEGENER[],MATCH(TODEQUIPOS[[#This Row],[N° DE SERIE]],BDEGENER[SERIE],0),11),"")</f>
        <v>SAN FERNANDO</v>
      </c>
      <c r="F25" s="776" t="str">
        <f>IFERROR(INDEX(BDEGENER[],MATCH(TODEQUIPOS[[#This Row],[N° DE SERIE]],BDEGENER[SERIE],0),12),"")</f>
        <v>PL-502</v>
      </c>
      <c r="G25" s="802">
        <f>IFERROR(INDEX(BDEGENER[],MATCH(TODEQUIPOS[[#This Row],[N° DE SERIE]],BDEGENER[SERIE],0),10),"")</f>
        <v>44172</v>
      </c>
      <c r="H25" s="777">
        <f>IFERROR(INDEX(BDEGENER[],MATCH(TODEQUIPOS[[#This Row],[N° DE SERIE]],BDEGENER[SERIE],0),31),"")</f>
        <v>2277.6999999999998</v>
      </c>
      <c r="I25" s="775">
        <f>IFERROR(INDEX(BDEGENER[],MATCH(TODEQUIPOS[[#This Row],[N° DE SERIE]],BDEGENER[SERIE],0),47),"")</f>
        <v>7</v>
      </c>
      <c r="J25" s="775">
        <f>IFERROR(INDEX(BDEGENER[],MATCH(TODEQUIPOS[[#This Row],[N° DE SERIE]],BDEGENER[SERIE],0),48),"")</f>
        <v>8</v>
      </c>
      <c r="K25" s="775">
        <f>IFERROR(INDEX(BDEGENER[],MATCH(TODEQUIPOS[[#This Row],[N° DE SERIE]],BDEGENER[SERIE],0),57),"")</f>
        <v>17</v>
      </c>
      <c r="L25" s="775" t="str">
        <f>IF(TODEQUIPOS[[#This Row],[CONTADOR]]=1,"UNICO","DUPLICADO")</f>
        <v>UNICO</v>
      </c>
      <c r="M25" s="775">
        <f>COUNTIF(TODEQUIPOS[N° DE SERIE],TODEQUIPOS[[#This Row],[N° DE SERIE]])</f>
        <v>1</v>
      </c>
    </row>
    <row r="26" spans="2:13" x14ac:dyDescent="0.3">
      <c r="B26">
        <v>3004337430</v>
      </c>
      <c r="C26" s="801" t="str">
        <f>IFERROR(INDEX(BDEGENER[],MATCH(TODEQUIPOS[[#This Row],[N° DE SERIE]],BDEGENER[SERIE],0),26),"")</f>
        <v>GENERAC</v>
      </c>
      <c r="D26" s="775" t="str">
        <f>IFERROR(INDEX(BDEGENER[],MATCH(TODEQUIPOS[[#This Row],[N° DE SERIE]],BDEGENER[SERIE],0),27),"")</f>
        <v>PG090</v>
      </c>
      <c r="E26" s="776" t="str">
        <f>IFERROR(INDEX(BDEGENER[],MATCH(TODEQUIPOS[[#This Row],[N° DE SERIE]],BDEGENER[SERIE],0),11),"")</f>
        <v>SAN FERNANDO</v>
      </c>
      <c r="F26" s="776" t="str">
        <f>IFERROR(INDEX(BDEGENER[],MATCH(TODEQUIPOS[[#This Row],[N° DE SERIE]],BDEGENER[SERIE],0),12),"")</f>
        <v>PL-502</v>
      </c>
      <c r="G26" s="802">
        <f>IFERROR(INDEX(BDEGENER[],MATCH(TODEQUIPOS[[#This Row],[N° DE SERIE]],BDEGENER[SERIE],0),10),"")</f>
        <v>44172</v>
      </c>
      <c r="H26" s="777">
        <f>IFERROR(INDEX(BDEGENER[],MATCH(TODEQUIPOS[[#This Row],[N° DE SERIE]],BDEGENER[SERIE],0),31),"")</f>
        <v>671.4</v>
      </c>
      <c r="I26" s="775">
        <f>IFERROR(INDEX(BDEGENER[],MATCH(TODEQUIPOS[[#This Row],[N° DE SERIE]],BDEGENER[SERIE],0),47),"")</f>
        <v>3</v>
      </c>
      <c r="J26" s="775">
        <f>IFERROR(INDEX(BDEGENER[],MATCH(TODEQUIPOS[[#This Row],[N° DE SERIE]],BDEGENER[SERIE],0),48),"")</f>
        <v>3</v>
      </c>
      <c r="K26" s="775">
        <f>IFERROR(INDEX(BDEGENER[],MATCH(TODEQUIPOS[[#This Row],[N° DE SERIE]],BDEGENER[SERIE],0),57),"")</f>
        <v>11</v>
      </c>
      <c r="L26" s="775" t="str">
        <f>IF(TODEQUIPOS[[#This Row],[CONTADOR]]=1,"UNICO","DUPLICADO")</f>
        <v>UNICO</v>
      </c>
      <c r="M26" s="775">
        <f>COUNTIF(TODEQUIPOS[N° DE SERIE],TODEQUIPOS[[#This Row],[N° DE SERIE]])</f>
        <v>1</v>
      </c>
    </row>
    <row r="27" spans="2:13" x14ac:dyDescent="0.3">
      <c r="B27" t="s">
        <v>2635</v>
      </c>
      <c r="C27" s="801" t="str">
        <f>IFERROR(INDEX(BDEGENER[],MATCH(TODEQUIPOS[[#This Row],[N° DE SERIE]],BDEGENER[SERIE],0),26),"")</f>
        <v>ONAN</v>
      </c>
      <c r="D27" s="775" t="str">
        <f>IFERROR(INDEX(BDEGENER[],MATCH(TODEQUIPOS[[#This Row],[N° DE SERIE]],BDEGENER[SERIE],0),27),"")</f>
        <v>15RDJCL</v>
      </c>
      <c r="E27" s="776" t="str">
        <f>IFERROR(INDEX(BDEGENER[],MATCH(TODEQUIPOS[[#This Row],[N° DE SERIE]],BDEGENER[SERIE],0),11),"")</f>
        <v>SCOTIABANK</v>
      </c>
      <c r="F27" s="776" t="str">
        <f>IFERROR(INDEX(BDEGENER[],MATCH(TODEQUIPOS[[#This Row],[N° DE SERIE]],BDEGENER[SERIE],0),12),"")</f>
        <v>CSF - OFICINA PRINCIPAL</v>
      </c>
      <c r="G27" s="802">
        <f>IFERROR(INDEX(BDEGENER[],MATCH(TODEQUIPOS[[#This Row],[N° DE SERIE]],BDEGENER[SERIE],0),10),"")</f>
        <v>44170</v>
      </c>
      <c r="H27" s="777">
        <f>IFERROR(INDEX(BDEGENER[],MATCH(TODEQUIPOS[[#This Row],[N° DE SERIE]],BDEGENER[SERIE],0),31),"")</f>
        <v>336.2</v>
      </c>
      <c r="I27" s="775">
        <f>IFERROR(INDEX(BDEGENER[],MATCH(TODEQUIPOS[[#This Row],[N° DE SERIE]],BDEGENER[SERIE],0),47),"")</f>
        <v>2</v>
      </c>
      <c r="J27" s="775">
        <f>IFERROR(INDEX(BDEGENER[],MATCH(TODEQUIPOS[[#This Row],[N° DE SERIE]],BDEGENER[SERIE],0),48),"")</f>
        <v>2</v>
      </c>
      <c r="K27" s="775">
        <f>IFERROR(INDEX(BDEGENER[],MATCH(TODEQUIPOS[[#This Row],[N° DE SERIE]],BDEGENER[SERIE],0),57),"")</f>
        <v>4</v>
      </c>
      <c r="L27" s="775" t="str">
        <f>IF(TODEQUIPOS[[#This Row],[CONTADOR]]=1,"UNICO","DUPLICADO")</f>
        <v>UNICO</v>
      </c>
      <c r="M27" s="775">
        <f>COUNTIF(TODEQUIPOS[N° DE SERIE],TODEQUIPOS[[#This Row],[N° DE SERIE]])</f>
        <v>1</v>
      </c>
    </row>
    <row r="28" spans="2:13" x14ac:dyDescent="0.3">
      <c r="B28">
        <v>3003415532</v>
      </c>
      <c r="C28" s="801" t="str">
        <f>IFERROR(INDEX(BDEGENER[],MATCH(TODEQUIPOS[[#This Row],[N° DE SERIE]],BDEGENER[SERIE],0),26),"")</f>
        <v>GENERAC</v>
      </c>
      <c r="D28" s="775" t="str">
        <f>IFERROR(INDEX(BDEGENER[],MATCH(TODEQUIPOS[[#This Row],[N° DE SERIE]],BDEGENER[SERIE],0),27),"")</f>
        <v>RG022</v>
      </c>
      <c r="E28" s="776" t="str">
        <f>IFERROR(INDEX(BDEGENER[],MATCH(TODEQUIPOS[[#This Row],[N° DE SERIE]],BDEGENER[SERIE],0),11),"")</f>
        <v>SANTA ELENA</v>
      </c>
      <c r="F28" s="776" t="str">
        <f>IFERROR(INDEX(BDEGENER[],MATCH(TODEQUIPOS[[#This Row],[N° DE SERIE]],BDEGENER[SERIE],0),12),"")</f>
        <v>GRANJA TOPARA</v>
      </c>
      <c r="G28" s="802">
        <f>IFERROR(INDEX(BDEGENER[],MATCH(TODEQUIPOS[[#This Row],[N° DE SERIE]],BDEGENER[SERIE],0),10),"")</f>
        <v>44169</v>
      </c>
      <c r="H28" s="777">
        <f>IFERROR(INDEX(BDEGENER[],MATCH(TODEQUIPOS[[#This Row],[N° DE SERIE]],BDEGENER[SERIE],0),31),"")</f>
        <v>5730.6</v>
      </c>
      <c r="I28" s="775">
        <f>IFERROR(INDEX(BDEGENER[],MATCH(TODEQUIPOS[[#This Row],[N° DE SERIE]],BDEGENER[SERIE],0),47),"")</f>
        <v>0</v>
      </c>
      <c r="J28" s="775">
        <f>IFERROR(INDEX(BDEGENER[],MATCH(TODEQUIPOS[[#This Row],[N° DE SERIE]],BDEGENER[SERIE],0),48),"")</f>
        <v>14</v>
      </c>
      <c r="K28" s="775">
        <f>IFERROR(INDEX(BDEGENER[],MATCH(TODEQUIPOS[[#This Row],[N° DE SERIE]],BDEGENER[SERIE],0),57),"")</f>
        <v>14</v>
      </c>
      <c r="L28" s="775" t="str">
        <f>IF(TODEQUIPOS[[#This Row],[CONTADOR]]=1,"UNICO","DUPLICADO")</f>
        <v>UNICO</v>
      </c>
      <c r="M28" s="775">
        <f>COUNTIF(TODEQUIPOS[N° DE SERIE],TODEQUIPOS[[#This Row],[N° DE SERIE]])</f>
        <v>1</v>
      </c>
    </row>
    <row r="29" spans="2:13" x14ac:dyDescent="0.3">
      <c r="B29">
        <v>3004597775</v>
      </c>
      <c r="C29" s="801" t="str">
        <f>IFERROR(INDEX(BDEGENER[],MATCH(TODEQUIPOS[[#This Row],[N° DE SERIE]],BDEGENER[SERIE],0),26),"")</f>
        <v>GENERAC</v>
      </c>
      <c r="D29" s="775" t="str">
        <f>IFERROR(INDEX(BDEGENER[],MATCH(TODEQUIPOS[[#This Row],[N° DE SERIE]],BDEGENER[SERIE],0),27),"")</f>
        <v>RG022</v>
      </c>
      <c r="E29" s="776" t="str">
        <f>IFERROR(INDEX(BDEGENER[],MATCH(TODEQUIPOS[[#This Row],[N° DE SERIE]],BDEGENER[SERIE],0),11),"")</f>
        <v>SANTA ELENA</v>
      </c>
      <c r="F29" s="776" t="str">
        <f>IFERROR(INDEX(BDEGENER[],MATCH(TODEQUIPOS[[#This Row],[N° DE SERIE]],BDEGENER[SERIE],0),12),"")</f>
        <v>HILASACA2</v>
      </c>
      <c r="G29" s="802">
        <f>IFERROR(INDEX(BDEGENER[],MATCH(TODEQUIPOS[[#This Row],[N° DE SERIE]],BDEGENER[SERIE],0),10),"")</f>
        <v>44169</v>
      </c>
      <c r="H29" s="777">
        <f>IFERROR(INDEX(BDEGENER[],MATCH(TODEQUIPOS[[#This Row],[N° DE SERIE]],BDEGENER[SERIE],0),31),"")</f>
        <v>2487</v>
      </c>
      <c r="I29" s="775">
        <f>IFERROR(INDEX(BDEGENER[],MATCH(TODEQUIPOS[[#This Row],[N° DE SERIE]],BDEGENER[SERIE],0),47),"")</f>
        <v>0</v>
      </c>
      <c r="J29" s="775">
        <f>IFERROR(INDEX(BDEGENER[],MATCH(TODEQUIPOS[[#This Row],[N° DE SERIE]],BDEGENER[SERIE],0),48),"")</f>
        <v>7</v>
      </c>
      <c r="K29" s="775">
        <f>IFERROR(INDEX(BDEGENER[],MATCH(TODEQUIPOS[[#This Row],[N° DE SERIE]],BDEGENER[SERIE],0),57),"")</f>
        <v>8</v>
      </c>
      <c r="L29" s="775" t="str">
        <f>IF(TODEQUIPOS[[#This Row],[CONTADOR]]=1,"UNICO","DUPLICADO")</f>
        <v>UNICO</v>
      </c>
      <c r="M29" s="775">
        <f>COUNTIF(TODEQUIPOS[N° DE SERIE],TODEQUIPOS[[#This Row],[N° DE SERIE]])</f>
        <v>1</v>
      </c>
    </row>
    <row r="30" spans="2:13" x14ac:dyDescent="0.3">
      <c r="B30">
        <v>3003962766</v>
      </c>
      <c r="C30" s="801" t="str">
        <f>IFERROR(INDEX(BDEGENER[],MATCH(TODEQUIPOS[[#This Row],[N° DE SERIE]],BDEGENER[SERIE],0),26),"")</f>
        <v>GENERAC</v>
      </c>
      <c r="D30" s="775" t="str">
        <f>IFERROR(INDEX(BDEGENER[],MATCH(TODEQUIPOS[[#This Row],[N° DE SERIE]],BDEGENER[SERIE],0),27),"")</f>
        <v>PG090</v>
      </c>
      <c r="E30" s="776" t="str">
        <f>IFERROR(INDEX(BDEGENER[],MATCH(TODEQUIPOS[[#This Row],[N° DE SERIE]],BDEGENER[SERIE],0),11),"")</f>
        <v>SANTA ELENA</v>
      </c>
      <c r="F30" s="776" t="str">
        <f>IFERROR(INDEX(BDEGENER[],MATCH(TODEQUIPOS[[#This Row],[N° DE SERIE]],BDEGENER[SERIE],0),12),"")</f>
        <v>GRANJA ROSARIO</v>
      </c>
      <c r="G30" s="802">
        <f>IFERROR(INDEX(BDEGENER[],MATCH(TODEQUIPOS[[#This Row],[N° DE SERIE]],BDEGENER[SERIE],0),10),"")</f>
        <v>44169</v>
      </c>
      <c r="H30" s="777">
        <f>IFERROR(INDEX(BDEGENER[],MATCH(TODEQUIPOS[[#This Row],[N° DE SERIE]],BDEGENER[SERIE],0),31),"")</f>
        <v>4662.2</v>
      </c>
      <c r="I30" s="775">
        <f>IFERROR(INDEX(BDEGENER[],MATCH(TODEQUIPOS[[#This Row],[N° DE SERIE]],BDEGENER[SERIE],0),47),"")</f>
        <v>3</v>
      </c>
      <c r="J30" s="775">
        <f>IFERROR(INDEX(BDEGENER[],MATCH(TODEQUIPOS[[#This Row],[N° DE SERIE]],BDEGENER[SERIE],0),48),"")</f>
        <v>9</v>
      </c>
      <c r="K30" s="775">
        <f>IFERROR(INDEX(BDEGENER[],MATCH(TODEQUIPOS[[#This Row],[N° DE SERIE]],BDEGENER[SERIE],0),57),"")</f>
        <v>16</v>
      </c>
      <c r="L30" s="775" t="str">
        <f>IF(TODEQUIPOS[[#This Row],[CONTADOR]]=1,"UNICO","DUPLICADO")</f>
        <v>UNICO</v>
      </c>
      <c r="M30" s="775">
        <f>COUNTIF(TODEQUIPOS[N° DE SERIE],TODEQUIPOS[[#This Row],[N° DE SERIE]])</f>
        <v>1</v>
      </c>
    </row>
    <row r="31" spans="2:13" x14ac:dyDescent="0.3">
      <c r="B31">
        <v>3004370195</v>
      </c>
      <c r="C31" s="801" t="str">
        <f>IFERROR(INDEX(BDEGENER[],MATCH(TODEQUIPOS[[#This Row],[N° DE SERIE]],BDEGENER[SERIE],0),26),"")</f>
        <v>GENERAC</v>
      </c>
      <c r="D31" s="775" t="str">
        <f>IFERROR(INDEX(BDEGENER[],MATCH(TODEQUIPOS[[#This Row],[N° DE SERIE]],BDEGENER[SERIE],0),27),"")</f>
        <v>RG022</v>
      </c>
      <c r="E31" s="776" t="str">
        <f>IFERROR(INDEX(BDEGENER[],MATCH(TODEQUIPOS[[#This Row],[N° DE SERIE]],BDEGENER[SERIE],0),11),"")</f>
        <v>SANTA ELENA</v>
      </c>
      <c r="F31" s="776" t="str">
        <f>IFERROR(INDEX(BDEGENER[],MATCH(TODEQUIPOS[[#This Row],[N° DE SERIE]],BDEGENER[SERIE],0),12),"")</f>
        <v>ASIA 1</v>
      </c>
      <c r="G31" s="802">
        <f>IFERROR(INDEX(BDEGENER[],MATCH(TODEQUIPOS[[#This Row],[N° DE SERIE]],BDEGENER[SERIE],0),10),"")</f>
        <v>44169</v>
      </c>
      <c r="H31" s="777">
        <f>IFERROR(INDEX(BDEGENER[],MATCH(TODEQUIPOS[[#This Row],[N° DE SERIE]],BDEGENER[SERIE],0),31),"")</f>
        <v>3519.7</v>
      </c>
      <c r="I31" s="775">
        <f>IFERROR(INDEX(BDEGENER[],MATCH(TODEQUIPOS[[#This Row],[N° DE SERIE]],BDEGENER[SERIE],0),47),"")</f>
        <v>1</v>
      </c>
      <c r="J31" s="775">
        <f>IFERROR(INDEX(BDEGENER[],MATCH(TODEQUIPOS[[#This Row],[N° DE SERIE]],BDEGENER[SERIE],0),48),"")</f>
        <v>7</v>
      </c>
      <c r="K31" s="775">
        <f>IFERROR(INDEX(BDEGENER[],MATCH(TODEQUIPOS[[#This Row],[N° DE SERIE]],BDEGENER[SERIE],0),57),"")</f>
        <v>12</v>
      </c>
      <c r="L31" s="775" t="str">
        <f>IF(TODEQUIPOS[[#This Row],[CONTADOR]]=1,"UNICO","DUPLICADO")</f>
        <v>UNICO</v>
      </c>
      <c r="M31" s="775">
        <f>COUNTIF(TODEQUIPOS[N° DE SERIE],TODEQUIPOS[[#This Row],[N° DE SERIE]])</f>
        <v>1</v>
      </c>
    </row>
    <row r="32" spans="2:13" x14ac:dyDescent="0.3">
      <c r="B32">
        <v>3004416581</v>
      </c>
      <c r="C32" s="801" t="str">
        <f>IFERROR(INDEX(BDEGENER[],MATCH(TODEQUIPOS[[#This Row],[N° DE SERIE]],BDEGENER[SERIE],0),26),"")</f>
        <v>GENERAC</v>
      </c>
      <c r="D32" s="775" t="str">
        <f>IFERROR(INDEX(BDEGENER[],MATCH(TODEQUIPOS[[#This Row],[N° DE SERIE]],BDEGENER[SERIE],0),27),"")</f>
        <v>PG090</v>
      </c>
      <c r="E32" s="776" t="str">
        <f>IFERROR(INDEX(BDEGENER[],MATCH(TODEQUIPOS[[#This Row],[N° DE SERIE]],BDEGENER[SERIE],0),11),"")</f>
        <v>SAN FERNANDO</v>
      </c>
      <c r="F32" s="776" t="str">
        <f>IFERROR(INDEX(BDEGENER[],MATCH(TODEQUIPOS[[#This Row],[N° DE SERIE]],BDEGENER[SERIE],0),12),"")</f>
        <v>PL-801</v>
      </c>
      <c r="G32" s="802">
        <f>IFERROR(INDEX(BDEGENER[],MATCH(TODEQUIPOS[[#This Row],[N° DE SERIE]],BDEGENER[SERIE],0),10),"")</f>
        <v>44168</v>
      </c>
      <c r="H32" s="777">
        <f>IFERROR(INDEX(BDEGENER[],MATCH(TODEQUIPOS[[#This Row],[N° DE SERIE]],BDEGENER[SERIE],0),31),"")</f>
        <v>1659.1</v>
      </c>
      <c r="I32" s="775">
        <f>IFERROR(INDEX(BDEGENER[],MATCH(TODEQUIPOS[[#This Row],[N° DE SERIE]],BDEGENER[SERIE],0),47),"")</f>
        <v>2</v>
      </c>
      <c r="J32" s="775">
        <f>IFERROR(INDEX(BDEGENER[],MATCH(TODEQUIPOS[[#This Row],[N° DE SERIE]],BDEGENER[SERIE],0),48),"")</f>
        <v>6</v>
      </c>
      <c r="K32" s="775">
        <f>IFERROR(INDEX(BDEGENER[],MATCH(TODEQUIPOS[[#This Row],[N° DE SERIE]],BDEGENER[SERIE],0),57),"")</f>
        <v>11</v>
      </c>
      <c r="L32" s="775" t="str">
        <f>IF(TODEQUIPOS[[#This Row],[CONTADOR]]=1,"UNICO","DUPLICADO")</f>
        <v>UNICO</v>
      </c>
      <c r="M32" s="775">
        <f>COUNTIF(TODEQUIPOS[N° DE SERIE],TODEQUIPOS[[#This Row],[N° DE SERIE]])</f>
        <v>1</v>
      </c>
    </row>
    <row r="33" spans="2:13" x14ac:dyDescent="0.3">
      <c r="B33">
        <v>3004336196</v>
      </c>
      <c r="C33" s="801" t="str">
        <f>IFERROR(INDEX(BDEGENER[],MATCH(TODEQUIPOS[[#This Row],[N° DE SERIE]],BDEGENER[SERIE],0),26),"")</f>
        <v>GENERAC</v>
      </c>
      <c r="D33" s="775" t="str">
        <f>IFERROR(INDEX(BDEGENER[],MATCH(TODEQUIPOS[[#This Row],[N° DE SERIE]],BDEGENER[SERIE],0),27),"")</f>
        <v>PG090</v>
      </c>
      <c r="E33" s="776" t="str">
        <f>IFERROR(INDEX(BDEGENER[],MATCH(TODEQUIPOS[[#This Row],[N° DE SERIE]],BDEGENER[SERIE],0),11),"")</f>
        <v>SAN FERNANDO</v>
      </c>
      <c r="F33" s="776" t="str">
        <f>IFERROR(INDEX(BDEGENER[],MATCH(TODEQUIPOS[[#This Row],[N° DE SERIE]],BDEGENER[SERIE],0),12),"")</f>
        <v>PL-801</v>
      </c>
      <c r="G33" s="802">
        <f>IFERROR(INDEX(BDEGENER[],MATCH(TODEQUIPOS[[#This Row],[N° DE SERIE]],BDEGENER[SERIE],0),10),"")</f>
        <v>44168</v>
      </c>
      <c r="H33" s="777">
        <f>IFERROR(INDEX(BDEGENER[],MATCH(TODEQUIPOS[[#This Row],[N° DE SERIE]],BDEGENER[SERIE],0),31),"")</f>
        <v>3148.2</v>
      </c>
      <c r="I33" s="775">
        <f>IFERROR(INDEX(BDEGENER[],MATCH(TODEQUIPOS[[#This Row],[N° DE SERIE]],BDEGENER[SERIE],0),47),"")</f>
        <v>3</v>
      </c>
      <c r="J33" s="775">
        <f>IFERROR(INDEX(BDEGENER[],MATCH(TODEQUIPOS[[#This Row],[N° DE SERIE]],BDEGENER[SERIE],0),48),"")</f>
        <v>9</v>
      </c>
      <c r="K33" s="775">
        <f>IFERROR(INDEX(BDEGENER[],MATCH(TODEQUIPOS[[#This Row],[N° DE SERIE]],BDEGENER[SERIE],0),57),"")</f>
        <v>13</v>
      </c>
      <c r="L33" s="775" t="str">
        <f>IF(TODEQUIPOS[[#This Row],[CONTADOR]]=1,"UNICO","DUPLICADO")</f>
        <v>UNICO</v>
      </c>
      <c r="M33" s="775">
        <f>COUNTIF(TODEQUIPOS[N° DE SERIE],TODEQUIPOS[[#This Row],[N° DE SERIE]])</f>
        <v>1</v>
      </c>
    </row>
    <row r="34" spans="2:13" x14ac:dyDescent="0.3">
      <c r="B34">
        <v>3004402506</v>
      </c>
      <c r="C34" s="801" t="str">
        <f>IFERROR(INDEX(BDEGENER[],MATCH(TODEQUIPOS[[#This Row],[N° DE SERIE]],BDEGENER[SERIE],0),26),"")</f>
        <v>GENERAC</v>
      </c>
      <c r="D34" s="775" t="str">
        <f>IFERROR(INDEX(BDEGENER[],MATCH(TODEQUIPOS[[#This Row],[N° DE SERIE]],BDEGENER[SERIE],0),27),"")</f>
        <v>PG090</v>
      </c>
      <c r="E34" s="776" t="str">
        <f>IFERROR(INDEX(BDEGENER[],MATCH(TODEQUIPOS[[#This Row],[N° DE SERIE]],BDEGENER[SERIE],0),11),"")</f>
        <v>SAN FERNANDO</v>
      </c>
      <c r="F34" s="776" t="str">
        <f>IFERROR(INDEX(BDEGENER[],MATCH(TODEQUIPOS[[#This Row],[N° DE SERIE]],BDEGENER[SERIE],0),12),"")</f>
        <v>PL-804</v>
      </c>
      <c r="G34" s="802">
        <f>IFERROR(INDEX(BDEGENER[],MATCH(TODEQUIPOS[[#This Row],[N° DE SERIE]],BDEGENER[SERIE],0),10),"")</f>
        <v>44168</v>
      </c>
      <c r="H34" s="777">
        <f>IFERROR(INDEX(BDEGENER[],MATCH(TODEQUIPOS[[#This Row],[N° DE SERIE]],BDEGENER[SERIE],0),31),"")</f>
        <v>2907.9</v>
      </c>
      <c r="I34" s="775">
        <f>IFERROR(INDEX(BDEGENER[],MATCH(TODEQUIPOS[[#This Row],[N° DE SERIE]],BDEGENER[SERIE],0),47),"")</f>
        <v>3</v>
      </c>
      <c r="J34" s="775">
        <f>IFERROR(INDEX(BDEGENER[],MATCH(TODEQUIPOS[[#This Row],[N° DE SERIE]],BDEGENER[SERIE],0),48),"")</f>
        <v>8</v>
      </c>
      <c r="K34" s="775">
        <f>IFERROR(INDEX(BDEGENER[],MATCH(TODEQUIPOS[[#This Row],[N° DE SERIE]],BDEGENER[SERIE],0),57),"")</f>
        <v>14</v>
      </c>
      <c r="L34" s="775" t="str">
        <f>IF(TODEQUIPOS[[#This Row],[CONTADOR]]=1,"UNICO","DUPLICADO")</f>
        <v>UNICO</v>
      </c>
      <c r="M34" s="775">
        <f>COUNTIF(TODEQUIPOS[N° DE SERIE],TODEQUIPOS[[#This Row],[N° DE SERIE]])</f>
        <v>1</v>
      </c>
    </row>
    <row r="35" spans="2:13" x14ac:dyDescent="0.3">
      <c r="B35">
        <v>3004344014</v>
      </c>
      <c r="C35" s="801" t="str">
        <f>IFERROR(INDEX(BDEGENER[],MATCH(TODEQUIPOS[[#This Row],[N° DE SERIE]],BDEGENER[SERIE],0),26),"")</f>
        <v>GENERAC</v>
      </c>
      <c r="D35" s="775" t="str">
        <f>IFERROR(INDEX(BDEGENER[],MATCH(TODEQUIPOS[[#This Row],[N° DE SERIE]],BDEGENER[SERIE],0),27),"")</f>
        <v>PG090</v>
      </c>
      <c r="E35" s="776" t="str">
        <f>IFERROR(INDEX(BDEGENER[],MATCH(TODEQUIPOS[[#This Row],[N° DE SERIE]],BDEGENER[SERIE],0),11),"")</f>
        <v>SAN FERNANDO</v>
      </c>
      <c r="F35" s="776" t="str">
        <f>IFERROR(INDEX(BDEGENER[],MATCH(TODEQUIPOS[[#This Row],[N° DE SERIE]],BDEGENER[SERIE],0),12),"")</f>
        <v>PL-804</v>
      </c>
      <c r="G35" s="802">
        <f>IFERROR(INDEX(BDEGENER[],MATCH(TODEQUIPOS[[#This Row],[N° DE SERIE]],BDEGENER[SERIE],0),10),"")</f>
        <v>44168</v>
      </c>
      <c r="H35" s="777">
        <f>IFERROR(INDEX(BDEGENER[],MATCH(TODEQUIPOS[[#This Row],[N° DE SERIE]],BDEGENER[SERIE],0),31),"")</f>
        <v>2070.3000000000002</v>
      </c>
      <c r="I35" s="775">
        <f>IFERROR(INDEX(BDEGENER[],MATCH(TODEQUIPOS[[#This Row],[N° DE SERIE]],BDEGENER[SERIE],0),47),"")</f>
        <v>3</v>
      </c>
      <c r="J35" s="775">
        <f>IFERROR(INDEX(BDEGENER[],MATCH(TODEQUIPOS[[#This Row],[N° DE SERIE]],BDEGENER[SERIE],0),48),"")</f>
        <v>8</v>
      </c>
      <c r="K35" s="775">
        <f>IFERROR(INDEX(BDEGENER[],MATCH(TODEQUIPOS[[#This Row],[N° DE SERIE]],BDEGENER[SERIE],0),57),"")</f>
        <v>12</v>
      </c>
      <c r="L35" s="775" t="str">
        <f>IF(TODEQUIPOS[[#This Row],[CONTADOR]]=1,"UNICO","DUPLICADO")</f>
        <v>UNICO</v>
      </c>
      <c r="M35" s="775">
        <f>COUNTIF(TODEQUIPOS[N° DE SERIE],TODEQUIPOS[[#This Row],[N° DE SERIE]])</f>
        <v>1</v>
      </c>
    </row>
    <row r="36" spans="2:13" x14ac:dyDescent="0.3">
      <c r="B36">
        <v>3004344017</v>
      </c>
      <c r="C36" s="801" t="str">
        <f>IFERROR(INDEX(BDEGENER[],MATCH(TODEQUIPOS[[#This Row],[N° DE SERIE]],BDEGENER[SERIE],0),26),"")</f>
        <v>GENERAC</v>
      </c>
      <c r="D36" s="775" t="str">
        <f>IFERROR(INDEX(BDEGENER[],MATCH(TODEQUIPOS[[#This Row],[N° DE SERIE]],BDEGENER[SERIE],0),27),"")</f>
        <v>PG090</v>
      </c>
      <c r="E36" s="776" t="str">
        <f>IFERROR(INDEX(BDEGENER[],MATCH(TODEQUIPOS[[#This Row],[N° DE SERIE]],BDEGENER[SERIE],0),11),"")</f>
        <v>SAN FERNANDO</v>
      </c>
      <c r="F36" s="776" t="str">
        <f>IFERROR(INDEX(BDEGENER[],MATCH(TODEQUIPOS[[#This Row],[N° DE SERIE]],BDEGENER[SERIE],0),12),"")</f>
        <v>PL-804</v>
      </c>
      <c r="G36" s="802">
        <f>IFERROR(INDEX(BDEGENER[],MATCH(TODEQUIPOS[[#This Row],[N° DE SERIE]],BDEGENER[SERIE],0),10),"")</f>
        <v>44168</v>
      </c>
      <c r="H36" s="777">
        <f>IFERROR(INDEX(BDEGENER[],MATCH(TODEQUIPOS[[#This Row],[N° DE SERIE]],BDEGENER[SERIE],0),31),"")</f>
        <v>2140.9</v>
      </c>
      <c r="I36" s="775">
        <f>IFERROR(INDEX(BDEGENER[],MATCH(TODEQUIPOS[[#This Row],[N° DE SERIE]],BDEGENER[SERIE],0),47),"")</f>
        <v>4</v>
      </c>
      <c r="J36" s="775">
        <f>IFERROR(INDEX(BDEGENER[],MATCH(TODEQUIPOS[[#This Row],[N° DE SERIE]],BDEGENER[SERIE],0),48),"")</f>
        <v>6</v>
      </c>
      <c r="K36" s="775">
        <f>IFERROR(INDEX(BDEGENER[],MATCH(TODEQUIPOS[[#This Row],[N° DE SERIE]],BDEGENER[SERIE],0),57),"")</f>
        <v>12</v>
      </c>
      <c r="L36" s="775" t="str">
        <f>IF(TODEQUIPOS[[#This Row],[CONTADOR]]=1,"UNICO","DUPLICADO")</f>
        <v>UNICO</v>
      </c>
      <c r="M36" s="775">
        <f>COUNTIF(TODEQUIPOS[N° DE SERIE],TODEQUIPOS[[#This Row],[N° DE SERIE]])</f>
        <v>1</v>
      </c>
    </row>
    <row r="37" spans="2:13" x14ac:dyDescent="0.3">
      <c r="B37">
        <v>3005786151</v>
      </c>
      <c r="C37" s="801" t="str">
        <f>IFERROR(INDEX(BDEGENER[],MATCH(TODEQUIPOS[[#This Row],[N° DE SERIE]],BDEGENER[SERIE],0),26),"")</f>
        <v>GENERAC</v>
      </c>
      <c r="D37" s="775" t="str">
        <f>IFERROR(INDEX(BDEGENER[],MATCH(TODEQUIPOS[[#This Row],[N° DE SERIE]],BDEGENER[SERIE],0),27),"")</f>
        <v>PLY200</v>
      </c>
      <c r="E37" s="776" t="str">
        <f>IFERROR(INDEX(BDEGENER[],MATCH(TODEQUIPOS[[#This Row],[N° DE SERIE]],BDEGENER[SERIE],0),11),"")</f>
        <v>REDONDOS</v>
      </c>
      <c r="F37" s="776" t="str">
        <f>IFERROR(INDEX(BDEGENER[],MATCH(TODEQUIPOS[[#This Row],[N° DE SERIE]],BDEGENER[SERIE],0),12),"")</f>
        <v>PAMPA COLORADA</v>
      </c>
      <c r="G37" s="802">
        <f>IFERROR(INDEX(BDEGENER[],MATCH(TODEQUIPOS[[#This Row],[N° DE SERIE]],BDEGENER[SERIE],0),10),"")</f>
        <v>44167</v>
      </c>
      <c r="H37" s="777">
        <f>IFERROR(INDEX(BDEGENER[],MATCH(TODEQUIPOS[[#This Row],[N° DE SERIE]],BDEGENER[SERIE],0),31),"")</f>
        <v>646</v>
      </c>
      <c r="I37" s="775">
        <f>IFERROR(INDEX(BDEGENER[],MATCH(TODEQUIPOS[[#This Row],[N° DE SERIE]],BDEGENER[SERIE],0),47),"")</f>
        <v>0</v>
      </c>
      <c r="J37" s="775">
        <f>IFERROR(INDEX(BDEGENER[],MATCH(TODEQUIPOS[[#This Row],[N° DE SERIE]],BDEGENER[SERIE],0),48),"")</f>
        <v>3</v>
      </c>
      <c r="K37" s="775">
        <f>IFERROR(INDEX(BDEGENER[],MATCH(TODEQUIPOS[[#This Row],[N° DE SERIE]],BDEGENER[SERIE],0),57),"")</f>
        <v>4</v>
      </c>
      <c r="L37" s="775" t="str">
        <f>IF(TODEQUIPOS[[#This Row],[CONTADOR]]=1,"UNICO","DUPLICADO")</f>
        <v>UNICO</v>
      </c>
      <c r="M37" s="775">
        <f>COUNTIF(TODEQUIPOS[N° DE SERIE],TODEQUIPOS[[#This Row],[N° DE SERIE]])</f>
        <v>1</v>
      </c>
    </row>
    <row r="38" spans="2:13" x14ac:dyDescent="0.3">
      <c r="B38" t="s">
        <v>3724</v>
      </c>
      <c r="C38" s="801" t="str">
        <f>IFERROR(INDEX(BDEGENER[],MATCH(TODEQUIPOS[[#This Row],[N° DE SERIE]],BDEGENER[SERIE],0),26),"")</f>
        <v>GAMMA</v>
      </c>
      <c r="D38" s="775" t="str">
        <f>IFERROR(INDEX(BDEGENER[],MATCH(TODEQUIPOS[[#This Row],[N° DE SERIE]],BDEGENER[SERIE],0),27),"")</f>
        <v>360I</v>
      </c>
      <c r="E38" s="776" t="str">
        <f>IFERROR(INDEX(BDEGENER[],MATCH(TODEQUIPOS[[#This Row],[N° DE SERIE]],BDEGENER[SERIE],0),11),"")</f>
        <v>PLAZA VEA</v>
      </c>
      <c r="F38" s="776" t="str">
        <f>IFERROR(INDEX(BDEGENER[],MATCH(TODEQUIPOS[[#This Row],[N° DE SERIE]],BDEGENER[SERIE],0),12),"")</f>
        <v>CC. PLAZA CENTER (PLAZA VEA LURIN)</v>
      </c>
      <c r="G38" s="802">
        <f>IFERROR(INDEX(BDEGENER[],MATCH(TODEQUIPOS[[#This Row],[N° DE SERIE]],BDEGENER[SERIE],0),10),"")</f>
        <v>44167</v>
      </c>
      <c r="H38" s="777">
        <f>IFERROR(INDEX(BDEGENER[],MATCH(TODEQUIPOS[[#This Row],[N° DE SERIE]],BDEGENER[SERIE],0),31),"")</f>
        <v>105.9</v>
      </c>
      <c r="I38" s="775">
        <f>IFERROR(INDEX(BDEGENER[],MATCH(TODEQUIPOS[[#This Row],[N° DE SERIE]],BDEGENER[SERIE],0),47),"")</f>
        <v>0</v>
      </c>
      <c r="J38" s="775">
        <f>IFERROR(INDEX(BDEGENER[],MATCH(TODEQUIPOS[[#This Row],[N° DE SERIE]],BDEGENER[SERIE],0),48),"")</f>
        <v>1</v>
      </c>
      <c r="K38" s="775">
        <f>IFERROR(INDEX(BDEGENER[],MATCH(TODEQUIPOS[[#This Row],[N° DE SERIE]],BDEGENER[SERIE],0),57),"")</f>
        <v>1</v>
      </c>
      <c r="L38" s="775" t="str">
        <f>IF(TODEQUIPOS[[#This Row],[CONTADOR]]=1,"UNICO","DUPLICADO")</f>
        <v>UNICO</v>
      </c>
      <c r="M38" s="775">
        <f>COUNTIF(TODEQUIPOS[N° DE SERIE],TODEQUIPOS[[#This Row],[N° DE SERIE]])</f>
        <v>1</v>
      </c>
    </row>
    <row r="39" spans="2:13" x14ac:dyDescent="0.3">
      <c r="B39">
        <v>3004370203</v>
      </c>
      <c r="C39" s="801" t="str">
        <f>IFERROR(INDEX(BDEGENER[],MATCH(TODEQUIPOS[[#This Row],[N° DE SERIE]],BDEGENER[SERIE],0),26),"")</f>
        <v>GENERAC</v>
      </c>
      <c r="D39" s="775" t="str">
        <f>IFERROR(INDEX(BDEGENER[],MATCH(TODEQUIPOS[[#This Row],[N° DE SERIE]],BDEGENER[SERIE],0),27),"")</f>
        <v>RG022</v>
      </c>
      <c r="E39" s="776" t="str">
        <f>IFERROR(INDEX(BDEGENER[],MATCH(TODEQUIPOS[[#This Row],[N° DE SERIE]],BDEGENER[SERIE],0),11),"")</f>
        <v>SANTA ELENA</v>
      </c>
      <c r="F39" s="776" t="str">
        <f>IFERROR(INDEX(BDEGENER[],MATCH(TODEQUIPOS[[#This Row],[N° DE SERIE]],BDEGENER[SERIE],0),12),"")</f>
        <v>PL-149</v>
      </c>
      <c r="G39" s="802">
        <f>IFERROR(INDEX(BDEGENER[],MATCH(TODEQUIPOS[[#This Row],[N° DE SERIE]],BDEGENER[SERIE],0),10),"")</f>
        <v>44165</v>
      </c>
      <c r="H39" s="777" t="str">
        <f>IFERROR(INDEX(BDEGENER[],MATCH(TODEQUIPOS[[#This Row],[N° DE SERIE]],BDEGENER[SERIE],0),31),"")</f>
        <v>NR</v>
      </c>
      <c r="I39" s="775">
        <f>IFERROR(INDEX(BDEGENER[],MATCH(TODEQUIPOS[[#This Row],[N° DE SERIE]],BDEGENER[SERIE],0),47),"")</f>
        <v>3</v>
      </c>
      <c r="J39" s="775">
        <f>IFERROR(INDEX(BDEGENER[],MATCH(TODEQUIPOS[[#This Row],[N° DE SERIE]],BDEGENER[SERIE],0),48),"")</f>
        <v>6</v>
      </c>
      <c r="K39" s="775">
        <f>IFERROR(INDEX(BDEGENER[],MATCH(TODEQUIPOS[[#This Row],[N° DE SERIE]],BDEGENER[SERIE],0),57),"")</f>
        <v>14</v>
      </c>
      <c r="L39" s="775" t="str">
        <f>IF(TODEQUIPOS[[#This Row],[CONTADOR]]=1,"UNICO","DUPLICADO")</f>
        <v>UNICO</v>
      </c>
      <c r="M39" s="775">
        <f>COUNTIF(TODEQUIPOS[N° DE SERIE],TODEQUIPOS[[#This Row],[N° DE SERIE]])</f>
        <v>1</v>
      </c>
    </row>
    <row r="40" spans="2:13" x14ac:dyDescent="0.3">
      <c r="B40">
        <v>3004227749</v>
      </c>
      <c r="C40" s="801" t="str">
        <f>IFERROR(INDEX(BDEGENER[],MATCH(TODEQUIPOS[[#This Row],[N° DE SERIE]],BDEGENER[SERIE],0),26),"")</f>
        <v>GENERAC</v>
      </c>
      <c r="D40" s="775" t="str">
        <f>IFERROR(INDEX(BDEGENER[],MATCH(TODEQUIPOS[[#This Row],[N° DE SERIE]],BDEGENER[SERIE],0),27),"")</f>
        <v>PG090</v>
      </c>
      <c r="E40" s="776" t="str">
        <f>IFERROR(INDEX(BDEGENER[],MATCH(TODEQUIPOS[[#This Row],[N° DE SERIE]],BDEGENER[SERIE],0),11),"")</f>
        <v>SAN FERNANDO</v>
      </c>
      <c r="F40" s="776" t="str">
        <f>IFERROR(INDEX(BDEGENER[],MATCH(TODEQUIPOS[[#This Row],[N° DE SERIE]],BDEGENER[SERIE],0),12),"")</f>
        <v>PL-807</v>
      </c>
      <c r="G40" s="802">
        <f>IFERROR(INDEX(BDEGENER[],MATCH(TODEQUIPOS[[#This Row],[N° DE SERIE]],BDEGENER[SERIE],0),10),"")</f>
        <v>44158</v>
      </c>
      <c r="H40" s="777">
        <f>IFERROR(INDEX(BDEGENER[],MATCH(TODEQUIPOS[[#This Row],[N° DE SERIE]],BDEGENER[SERIE],0),31),"")</f>
        <v>2483.6999999999998</v>
      </c>
      <c r="I40" s="775">
        <f>IFERROR(INDEX(BDEGENER[],MATCH(TODEQUIPOS[[#This Row],[N° DE SERIE]],BDEGENER[SERIE],0),47),"")</f>
        <v>4</v>
      </c>
      <c r="J40" s="775">
        <f>IFERROR(INDEX(BDEGENER[],MATCH(TODEQUIPOS[[#This Row],[N° DE SERIE]],BDEGENER[SERIE],0),48),"")</f>
        <v>8</v>
      </c>
      <c r="K40" s="775">
        <f>IFERROR(INDEX(BDEGENER[],MATCH(TODEQUIPOS[[#This Row],[N° DE SERIE]],BDEGENER[SERIE],0),57),"")</f>
        <v>16</v>
      </c>
      <c r="L40" s="775" t="str">
        <f>IF(TODEQUIPOS[[#This Row],[CONTADOR]]=1,"UNICO","DUPLICADO")</f>
        <v>UNICO</v>
      </c>
      <c r="M40" s="775">
        <f>COUNTIF(TODEQUIPOS[N° DE SERIE],TODEQUIPOS[[#This Row],[N° DE SERIE]])</f>
        <v>1</v>
      </c>
    </row>
    <row r="41" spans="2:13" x14ac:dyDescent="0.3">
      <c r="B41">
        <v>3004555912</v>
      </c>
      <c r="C41" s="801" t="str">
        <f>IFERROR(INDEX(BDEGENER[],MATCH(TODEQUIPOS[[#This Row],[N° DE SERIE]],BDEGENER[SERIE],0),26),"")</f>
        <v>GENERAC</v>
      </c>
      <c r="D41" s="775" t="str">
        <f>IFERROR(INDEX(BDEGENER[],MATCH(TODEQUIPOS[[#This Row],[N° DE SERIE]],BDEGENER[SERIE],0),27),"")</f>
        <v>RG022</v>
      </c>
      <c r="E41" s="776" t="str">
        <f>IFERROR(INDEX(BDEGENER[],MATCH(TODEQUIPOS[[#This Row],[N° DE SERIE]],BDEGENER[SERIE],0),11),"")</f>
        <v>SANTA ELENA</v>
      </c>
      <c r="F41" s="776" t="str">
        <f>IFERROR(INDEX(BDEGENER[],MATCH(TODEQUIPOS[[#This Row],[N° DE SERIE]],BDEGENER[SERIE],0),12),"")</f>
        <v>HILASACA</v>
      </c>
      <c r="G41" s="802">
        <f>IFERROR(INDEX(BDEGENER[],MATCH(TODEQUIPOS[[#This Row],[N° DE SERIE]],BDEGENER[SERIE],0),10),"")</f>
        <v>44158</v>
      </c>
      <c r="H41" s="777">
        <f>IFERROR(INDEX(BDEGENER[],MATCH(TODEQUIPOS[[#This Row],[N° DE SERIE]],BDEGENER[SERIE],0),31),"")</f>
        <v>2880.1</v>
      </c>
      <c r="I41" s="775">
        <f>IFERROR(INDEX(BDEGENER[],MATCH(TODEQUIPOS[[#This Row],[N° DE SERIE]],BDEGENER[SERIE],0),47),"")</f>
        <v>1</v>
      </c>
      <c r="J41" s="775">
        <f>IFERROR(INDEX(BDEGENER[],MATCH(TODEQUIPOS[[#This Row],[N° DE SERIE]],BDEGENER[SERIE],0),48),"")</f>
        <v>6</v>
      </c>
      <c r="K41" s="775">
        <f>IFERROR(INDEX(BDEGENER[],MATCH(TODEQUIPOS[[#This Row],[N° DE SERIE]],BDEGENER[SERIE],0),57),"")</f>
        <v>11</v>
      </c>
      <c r="L41" s="775" t="str">
        <f>IF(TODEQUIPOS[[#This Row],[CONTADOR]]=1,"UNICO","DUPLICADO")</f>
        <v>UNICO</v>
      </c>
      <c r="M41" s="775">
        <f>COUNTIF(TODEQUIPOS[N° DE SERIE],TODEQUIPOS[[#This Row],[N° DE SERIE]])</f>
        <v>1</v>
      </c>
    </row>
    <row r="42" spans="2:13" x14ac:dyDescent="0.3">
      <c r="B42">
        <v>3004555915</v>
      </c>
      <c r="C42" s="801" t="str">
        <f>IFERROR(INDEX(BDEGENER[],MATCH(TODEQUIPOS[[#This Row],[N° DE SERIE]],BDEGENER[SERIE],0),26),"")</f>
        <v>GENERAC</v>
      </c>
      <c r="D42" s="775" t="str">
        <f>IFERROR(INDEX(BDEGENER[],MATCH(TODEQUIPOS[[#This Row],[N° DE SERIE]],BDEGENER[SERIE],0),27),"")</f>
        <v>RG022</v>
      </c>
      <c r="E42" s="776" t="str">
        <f>IFERROR(INDEX(BDEGENER[],MATCH(TODEQUIPOS[[#This Row],[N° DE SERIE]],BDEGENER[SERIE],0),11),"")</f>
        <v>SANTA ELENA</v>
      </c>
      <c r="F42" s="776" t="str">
        <f>IFERROR(INDEX(BDEGENER[],MATCH(TODEQUIPOS[[#This Row],[N° DE SERIE]],BDEGENER[SERIE],0),12),"")</f>
        <v>ASIA 2</v>
      </c>
      <c r="G42" s="802">
        <f>IFERROR(INDEX(BDEGENER[],MATCH(TODEQUIPOS[[#This Row],[N° DE SERIE]],BDEGENER[SERIE],0),10),"")</f>
        <v>44155</v>
      </c>
      <c r="H42" s="777">
        <f>IFERROR(INDEX(BDEGENER[],MATCH(TODEQUIPOS[[#This Row],[N° DE SERIE]],BDEGENER[SERIE],0),31),"")</f>
        <v>3379.4</v>
      </c>
      <c r="I42" s="775">
        <f>IFERROR(INDEX(BDEGENER[],MATCH(TODEQUIPOS[[#This Row],[N° DE SERIE]],BDEGENER[SERIE],0),47),"")</f>
        <v>1</v>
      </c>
      <c r="J42" s="775">
        <f>IFERROR(INDEX(BDEGENER[],MATCH(TODEQUIPOS[[#This Row],[N° DE SERIE]],BDEGENER[SERIE],0),48),"")</f>
        <v>7</v>
      </c>
      <c r="K42" s="775">
        <f>IFERROR(INDEX(BDEGENER[],MATCH(TODEQUIPOS[[#This Row],[N° DE SERIE]],BDEGENER[SERIE],0),57),"")</f>
        <v>9</v>
      </c>
      <c r="L42" s="775" t="str">
        <f>IF(TODEQUIPOS[[#This Row],[CONTADOR]]=1,"UNICO","DUPLICADO")</f>
        <v>UNICO</v>
      </c>
      <c r="M42" s="775">
        <f>COUNTIF(TODEQUIPOS[N° DE SERIE],TODEQUIPOS[[#This Row],[N° DE SERIE]])</f>
        <v>1</v>
      </c>
    </row>
    <row r="43" spans="2:13" x14ac:dyDescent="0.3">
      <c r="B43">
        <v>3005167422</v>
      </c>
      <c r="C43" s="801" t="str">
        <f>IFERROR(INDEX(BDEGENER[],MATCH(TODEQUIPOS[[#This Row],[N° DE SERIE]],BDEGENER[SERIE],0),26),"")</f>
        <v>GENERAC</v>
      </c>
      <c r="D43" s="775" t="str">
        <f>IFERROR(INDEX(BDEGENER[],MATCH(TODEQUIPOS[[#This Row],[N° DE SERIE]],BDEGENER[SERIE],0),27),"")</f>
        <v>SG070</v>
      </c>
      <c r="E43" s="776" t="str">
        <f>IFERROR(INDEX(BDEGENER[],MATCH(TODEQUIPOS[[#This Row],[N° DE SERIE]],BDEGENER[SERIE],0),11),"")</f>
        <v>SAN FERNANDO</v>
      </c>
      <c r="F43" s="776" t="str">
        <f>IFERROR(INDEX(BDEGENER[],MATCH(TODEQUIPOS[[#This Row],[N° DE SERIE]],BDEGENER[SERIE],0),12),"")</f>
        <v>P267-01</v>
      </c>
      <c r="G43" s="802">
        <f>IFERROR(INDEX(BDEGENER[],MATCH(TODEQUIPOS[[#This Row],[N° DE SERIE]],BDEGENER[SERIE],0),10),"")</f>
        <v>44154</v>
      </c>
      <c r="H43" s="777">
        <f>IFERROR(INDEX(BDEGENER[],MATCH(TODEQUIPOS[[#This Row],[N° DE SERIE]],BDEGENER[SERIE],0),31),"")</f>
        <v>1906.8</v>
      </c>
      <c r="I43" s="775">
        <f>IFERROR(INDEX(BDEGENER[],MATCH(TODEQUIPOS[[#This Row],[N° DE SERIE]],BDEGENER[SERIE],0),47),"")</f>
        <v>0</v>
      </c>
      <c r="J43" s="775">
        <f>IFERROR(INDEX(BDEGENER[],MATCH(TODEQUIPOS[[#This Row],[N° DE SERIE]],BDEGENER[SERIE],0),48),"")</f>
        <v>6</v>
      </c>
      <c r="K43" s="775">
        <f>IFERROR(INDEX(BDEGENER[],MATCH(TODEQUIPOS[[#This Row],[N° DE SERIE]],BDEGENER[SERIE],0),57),"")</f>
        <v>7</v>
      </c>
      <c r="L43" s="775" t="str">
        <f>IF(TODEQUIPOS[[#This Row],[CONTADOR]]=1,"UNICO","DUPLICADO")</f>
        <v>UNICO</v>
      </c>
      <c r="M43" s="775">
        <f>COUNTIF(TODEQUIPOS[N° DE SERIE],TODEQUIPOS[[#This Row],[N° DE SERIE]])</f>
        <v>1</v>
      </c>
    </row>
    <row r="44" spans="2:13" x14ac:dyDescent="0.3">
      <c r="B44">
        <v>8893263</v>
      </c>
      <c r="C44" s="801" t="str">
        <f>IFERROR(INDEX(BDEGENER[],MATCH(TODEQUIPOS[[#This Row],[N° DE SERIE]],BDEGENER[SERIE],0),26),"")</f>
        <v>GENERAC</v>
      </c>
      <c r="D44" s="775" t="str">
        <f>IFERROR(INDEX(BDEGENER[],MATCH(TODEQUIPOS[[#This Row],[N° DE SERIE]],BDEGENER[SERIE],0),27),"")</f>
        <v>0062370</v>
      </c>
      <c r="E44" s="776" t="str">
        <f>IFERROR(INDEX(BDEGENER[],MATCH(TODEQUIPOS[[#This Row],[N° DE SERIE]],BDEGENER[SERIE],0),11),"")</f>
        <v>SAN FERNANDO</v>
      </c>
      <c r="F44" s="776" t="str">
        <f>IFERROR(INDEX(BDEGENER[],MATCH(TODEQUIPOS[[#This Row],[N° DE SERIE]],BDEGENER[SERIE],0),12),"")</f>
        <v>ALMACEN CENTRAL - CHORRILLOS</v>
      </c>
      <c r="G44" s="802">
        <f>IFERROR(INDEX(BDEGENER[],MATCH(TODEQUIPOS[[#This Row],[N° DE SERIE]],BDEGENER[SERIE],0),10),"")</f>
        <v>44154</v>
      </c>
      <c r="H44" s="777">
        <f>IFERROR(INDEX(BDEGENER[],MATCH(TODEQUIPOS[[#This Row],[N° DE SERIE]],BDEGENER[SERIE],0),31),"")</f>
        <v>351.77</v>
      </c>
      <c r="I44" s="775">
        <f>IFERROR(INDEX(BDEGENER[],MATCH(TODEQUIPOS[[#This Row],[N° DE SERIE]],BDEGENER[SERIE],0),47),"")</f>
        <v>2</v>
      </c>
      <c r="J44" s="775">
        <f>IFERROR(INDEX(BDEGENER[],MATCH(TODEQUIPOS[[#This Row],[N° DE SERIE]],BDEGENER[SERIE],0),48),"")</f>
        <v>3</v>
      </c>
      <c r="K44" s="775">
        <f>IFERROR(INDEX(BDEGENER[],MATCH(TODEQUIPOS[[#This Row],[N° DE SERIE]],BDEGENER[SERIE],0),57),"")</f>
        <v>5</v>
      </c>
      <c r="L44" s="775" t="str">
        <f>IF(TODEQUIPOS[[#This Row],[CONTADOR]]=1,"UNICO","DUPLICADO")</f>
        <v>UNICO</v>
      </c>
      <c r="M44" s="775">
        <f>COUNTIF(TODEQUIPOS[N° DE SERIE],TODEQUIPOS[[#This Row],[N° DE SERIE]])</f>
        <v>1</v>
      </c>
    </row>
    <row r="45" spans="2:13" x14ac:dyDescent="0.3">
      <c r="B45">
        <v>3004418790</v>
      </c>
      <c r="C45" s="801" t="str">
        <f>IFERROR(INDEX(BDEGENER[],MATCH(TODEQUIPOS[[#This Row],[N° DE SERIE]],BDEGENER[SERIE],0),26),"")</f>
        <v>GENERAC</v>
      </c>
      <c r="D45" s="775" t="str">
        <f>IFERROR(INDEX(BDEGENER[],MATCH(TODEQUIPOS[[#This Row],[N° DE SERIE]],BDEGENER[SERIE],0),27),"")</f>
        <v>PG090</v>
      </c>
      <c r="E45" s="776" t="str">
        <f>IFERROR(INDEX(BDEGENER[],MATCH(TODEQUIPOS[[#This Row],[N° DE SERIE]],BDEGENER[SERIE],0),11),"")</f>
        <v>SAN FERNANDO</v>
      </c>
      <c r="F45" s="776" t="str">
        <f>IFERROR(INDEX(BDEGENER[],MATCH(TODEQUIPOS[[#This Row],[N° DE SERIE]],BDEGENER[SERIE],0),12),"")</f>
        <v>PL-807</v>
      </c>
      <c r="G45" s="802">
        <f>IFERROR(INDEX(BDEGENER[],MATCH(TODEQUIPOS[[#This Row],[N° DE SERIE]],BDEGENER[SERIE],0),10),"")</f>
        <v>44203</v>
      </c>
      <c r="H45" s="777">
        <f>IFERROR(INDEX(BDEGENER[],MATCH(TODEQUIPOS[[#This Row],[N° DE SERIE]],BDEGENER[SERIE],0),31),"")</f>
        <v>2579.3000000000002</v>
      </c>
      <c r="I45" s="775">
        <f>IFERROR(INDEX(BDEGENER[],MATCH(TODEQUIPOS[[#This Row],[N° DE SERIE]],BDEGENER[SERIE],0),47),"")</f>
        <v>2</v>
      </c>
      <c r="J45" s="775">
        <f>IFERROR(INDEX(BDEGENER[],MATCH(TODEQUIPOS[[#This Row],[N° DE SERIE]],BDEGENER[SERIE],0),48),"")</f>
        <v>8</v>
      </c>
      <c r="K45" s="775">
        <f>IFERROR(INDEX(BDEGENER[],MATCH(TODEQUIPOS[[#This Row],[N° DE SERIE]],BDEGENER[SERIE],0),57),"")</f>
        <v>14</v>
      </c>
      <c r="L45" s="775" t="str">
        <f>IF(TODEQUIPOS[[#This Row],[CONTADOR]]=1,"UNICO","DUPLICADO")</f>
        <v>UNICO</v>
      </c>
      <c r="M45" s="775">
        <f>COUNTIF(TODEQUIPOS[N° DE SERIE],TODEQUIPOS[[#This Row],[N° DE SERIE]])</f>
        <v>1</v>
      </c>
    </row>
    <row r="46" spans="2:13" x14ac:dyDescent="0.3">
      <c r="B46">
        <v>3004418791</v>
      </c>
      <c r="C46" s="801" t="str">
        <f>IFERROR(INDEX(BDEGENER[],MATCH(TODEQUIPOS[[#This Row],[N° DE SERIE]],BDEGENER[SERIE],0),26),"")</f>
        <v>GENERAC</v>
      </c>
      <c r="D46" s="775" t="str">
        <f>IFERROR(INDEX(BDEGENER[],MATCH(TODEQUIPOS[[#This Row],[N° DE SERIE]],BDEGENER[SERIE],0),27),"")</f>
        <v>PG090</v>
      </c>
      <c r="E46" s="776" t="str">
        <f>IFERROR(INDEX(BDEGENER[],MATCH(TODEQUIPOS[[#This Row],[N° DE SERIE]],BDEGENER[SERIE],0),11),"")</f>
        <v>SAN FERNANDO</v>
      </c>
      <c r="F46" s="776" t="str">
        <f>IFERROR(INDEX(BDEGENER[],MATCH(TODEQUIPOS[[#This Row],[N° DE SERIE]],BDEGENER[SERIE],0),12),"")</f>
        <v>PL-807</v>
      </c>
      <c r="G46" s="802">
        <f>IFERROR(INDEX(BDEGENER[],MATCH(TODEQUIPOS[[#This Row],[N° DE SERIE]],BDEGENER[SERIE],0),10),"")</f>
        <v>44152</v>
      </c>
      <c r="H46" s="777">
        <f>IFERROR(INDEX(BDEGENER[],MATCH(TODEQUIPOS[[#This Row],[N° DE SERIE]],BDEGENER[SERIE],0),31),"")</f>
        <v>2074.3000000000002</v>
      </c>
      <c r="I46" s="775">
        <f>IFERROR(INDEX(BDEGENER[],MATCH(TODEQUIPOS[[#This Row],[N° DE SERIE]],BDEGENER[SERIE],0),47),"")</f>
        <v>7</v>
      </c>
      <c r="J46" s="775">
        <f>IFERROR(INDEX(BDEGENER[],MATCH(TODEQUIPOS[[#This Row],[N° DE SERIE]],BDEGENER[SERIE],0),48),"")</f>
        <v>7</v>
      </c>
      <c r="K46" s="775">
        <f>IFERROR(INDEX(BDEGENER[],MATCH(TODEQUIPOS[[#This Row],[N° DE SERIE]],BDEGENER[SERIE],0),57),"")</f>
        <v>16</v>
      </c>
      <c r="L46" s="775" t="str">
        <f>IF(TODEQUIPOS[[#This Row],[CONTADOR]]=1,"UNICO","DUPLICADO")</f>
        <v>UNICO</v>
      </c>
      <c r="M46" s="775">
        <f>COUNTIF(TODEQUIPOS[N° DE SERIE],TODEQUIPOS[[#This Row],[N° DE SERIE]])</f>
        <v>1</v>
      </c>
    </row>
    <row r="47" spans="2:13" x14ac:dyDescent="0.3">
      <c r="B47">
        <v>3004402507</v>
      </c>
      <c r="C47" s="801" t="str">
        <f>IFERROR(INDEX(BDEGENER[],MATCH(TODEQUIPOS[[#This Row],[N° DE SERIE]],BDEGENER[SERIE],0),26),"")</f>
        <v>GENERAC</v>
      </c>
      <c r="D47" s="775" t="str">
        <f>IFERROR(INDEX(BDEGENER[],MATCH(TODEQUIPOS[[#This Row],[N° DE SERIE]],BDEGENER[SERIE],0),27),"")</f>
        <v>PG090</v>
      </c>
      <c r="E47" s="776" t="str">
        <f>IFERROR(INDEX(BDEGENER[],MATCH(TODEQUIPOS[[#This Row],[N° DE SERIE]],BDEGENER[SERIE],0),11),"")</f>
        <v>SAN FERNANDO</v>
      </c>
      <c r="F47" s="776" t="str">
        <f>IFERROR(INDEX(BDEGENER[],MATCH(TODEQUIPOS[[#This Row],[N° DE SERIE]],BDEGENER[SERIE],0),12),"")</f>
        <v>PL-807</v>
      </c>
      <c r="G47" s="802">
        <f>IFERROR(INDEX(BDEGENER[],MATCH(TODEQUIPOS[[#This Row],[N° DE SERIE]],BDEGENER[SERIE],0),10),"")</f>
        <v>44152</v>
      </c>
      <c r="H47" s="777">
        <f>IFERROR(INDEX(BDEGENER[],MATCH(TODEQUIPOS[[#This Row],[N° DE SERIE]],BDEGENER[SERIE],0),31),"")</f>
        <v>2134</v>
      </c>
      <c r="I47" s="775">
        <f>IFERROR(INDEX(BDEGENER[],MATCH(TODEQUIPOS[[#This Row],[N° DE SERIE]],BDEGENER[SERIE],0),47),"")</f>
        <v>5</v>
      </c>
      <c r="J47" s="775">
        <f>IFERROR(INDEX(BDEGENER[],MATCH(TODEQUIPOS[[#This Row],[N° DE SERIE]],BDEGENER[SERIE],0),48),"")</f>
        <v>7</v>
      </c>
      <c r="K47" s="775">
        <f>IFERROR(INDEX(BDEGENER[],MATCH(TODEQUIPOS[[#This Row],[N° DE SERIE]],BDEGENER[SERIE],0),57),"")</f>
        <v>16</v>
      </c>
      <c r="L47" s="775" t="str">
        <f>IF(TODEQUIPOS[[#This Row],[CONTADOR]]=1,"UNICO","DUPLICADO")</f>
        <v>UNICO</v>
      </c>
      <c r="M47" s="775">
        <f>COUNTIF(TODEQUIPOS[N° DE SERIE],TODEQUIPOS[[#This Row],[N° DE SERIE]])</f>
        <v>1</v>
      </c>
    </row>
    <row r="48" spans="2:13" x14ac:dyDescent="0.3">
      <c r="B48">
        <v>3002933964</v>
      </c>
      <c r="C48" s="801" t="str">
        <f>IFERROR(INDEX(BDEGENER[],MATCH(TODEQUIPOS[[#This Row],[N° DE SERIE]],BDEGENER[SERIE],0),26),"")</f>
        <v>GENERAC</v>
      </c>
      <c r="D48" s="775" t="str">
        <f>IFERROR(INDEX(BDEGENER[],MATCH(TODEQUIPOS[[#This Row],[N° DE SERIE]],BDEGENER[SERIE],0),27),"")</f>
        <v>PLY125</v>
      </c>
      <c r="E48" s="776" t="str">
        <f>IFERROR(INDEX(BDEGENER[],MATCH(TODEQUIPOS[[#This Row],[N° DE SERIE]],BDEGENER[SERIE],0),11),"")</f>
        <v>REDONDOS</v>
      </c>
      <c r="F48" s="776" t="str">
        <f>IFERROR(INDEX(BDEGENER[],MATCH(TODEQUIPOS[[#This Row],[N° DE SERIE]],BDEGENER[SERIE],0),12),"")</f>
        <v>HORNILLOS</v>
      </c>
      <c r="G48" s="802">
        <f>IFERROR(INDEX(BDEGENER[],MATCH(TODEQUIPOS[[#This Row],[N° DE SERIE]],BDEGENER[SERIE],0),10),"")</f>
        <v>44151</v>
      </c>
      <c r="H48" s="777">
        <f>IFERROR(INDEX(BDEGENER[],MATCH(TODEQUIPOS[[#This Row],[N° DE SERIE]],BDEGENER[SERIE],0),31),"")</f>
        <v>1609.45</v>
      </c>
      <c r="I48" s="775">
        <f>IFERROR(INDEX(BDEGENER[],MATCH(TODEQUIPOS[[#This Row],[N° DE SERIE]],BDEGENER[SERIE],0),47),"")</f>
        <v>2</v>
      </c>
      <c r="J48" s="775">
        <f>IFERROR(INDEX(BDEGENER[],MATCH(TODEQUIPOS[[#This Row],[N° DE SERIE]],BDEGENER[SERIE],0),48),"")</f>
        <v>4</v>
      </c>
      <c r="K48" s="775">
        <f>IFERROR(INDEX(BDEGENER[],MATCH(TODEQUIPOS[[#This Row],[N° DE SERIE]],BDEGENER[SERIE],0),57),"")</f>
        <v>8</v>
      </c>
      <c r="L48" s="775" t="str">
        <f>IF(TODEQUIPOS[[#This Row],[CONTADOR]]=1,"UNICO","DUPLICADO")</f>
        <v>UNICO</v>
      </c>
      <c r="M48" s="775">
        <f>COUNTIF(TODEQUIPOS[N° DE SERIE],TODEQUIPOS[[#This Row],[N° DE SERIE]])</f>
        <v>1</v>
      </c>
    </row>
    <row r="49" spans="2:13" x14ac:dyDescent="0.3">
      <c r="B49">
        <v>3002933963</v>
      </c>
      <c r="C49" s="801" t="str">
        <f>IFERROR(INDEX(BDEGENER[],MATCH(TODEQUIPOS[[#This Row],[N° DE SERIE]],BDEGENER[SERIE],0),26),"")</f>
        <v>GENERAC</v>
      </c>
      <c r="D49" s="775" t="str">
        <f>IFERROR(INDEX(BDEGENER[],MATCH(TODEQUIPOS[[#This Row],[N° DE SERIE]],BDEGENER[SERIE],0),27),"")</f>
        <v>PLY125</v>
      </c>
      <c r="E49" s="776" t="str">
        <f>IFERROR(INDEX(BDEGENER[],MATCH(TODEQUIPOS[[#This Row],[N° DE SERIE]],BDEGENER[SERIE],0),11),"")</f>
        <v>REDONDOS</v>
      </c>
      <c r="F49" s="776" t="str">
        <f>IFERROR(INDEX(BDEGENER[],MATCH(TODEQUIPOS[[#This Row],[N° DE SERIE]],BDEGENER[SERIE],0),12),"")</f>
        <v>HORNILLOS</v>
      </c>
      <c r="G49" s="802">
        <f>IFERROR(INDEX(BDEGENER[],MATCH(TODEQUIPOS[[#This Row],[N° DE SERIE]],BDEGENER[SERIE],0),10),"")</f>
        <v>44151</v>
      </c>
      <c r="H49" s="777">
        <f>IFERROR(INDEX(BDEGENER[],MATCH(TODEQUIPOS[[#This Row],[N° DE SERIE]],BDEGENER[SERIE],0),31),"")</f>
        <v>1473.6</v>
      </c>
      <c r="I49" s="775">
        <f>IFERROR(INDEX(BDEGENER[],MATCH(TODEQUIPOS[[#This Row],[N° DE SERIE]],BDEGENER[SERIE],0),47),"")</f>
        <v>0</v>
      </c>
      <c r="J49" s="775">
        <f>IFERROR(INDEX(BDEGENER[],MATCH(TODEQUIPOS[[#This Row],[N° DE SERIE]],BDEGENER[SERIE],0),48),"")</f>
        <v>5</v>
      </c>
      <c r="K49" s="775">
        <f>IFERROR(INDEX(BDEGENER[],MATCH(TODEQUIPOS[[#This Row],[N° DE SERIE]],BDEGENER[SERIE],0),57),"")</f>
        <v>7</v>
      </c>
      <c r="L49" s="775" t="str">
        <f>IF(TODEQUIPOS[[#This Row],[CONTADOR]]=1,"UNICO","DUPLICADO")</f>
        <v>UNICO</v>
      </c>
      <c r="M49" s="775">
        <f>COUNTIF(TODEQUIPOS[N° DE SERIE],TODEQUIPOS[[#This Row],[N° DE SERIE]])</f>
        <v>1</v>
      </c>
    </row>
    <row r="50" spans="2:13" x14ac:dyDescent="0.3">
      <c r="B50">
        <v>3003566701</v>
      </c>
      <c r="C50" s="801" t="str">
        <f>IFERROR(INDEX(BDEGENER[],MATCH(TODEQUIPOS[[#This Row],[N° DE SERIE]],BDEGENER[SERIE],0),26),"")</f>
        <v>GENERAC</v>
      </c>
      <c r="D50" s="775" t="str">
        <f>IFERROR(INDEX(BDEGENER[],MATCH(TODEQUIPOS[[#This Row],[N° DE SERIE]],BDEGENER[SERIE],0),27),"")</f>
        <v>PG090</v>
      </c>
      <c r="E50" s="776" t="str">
        <f>IFERROR(INDEX(BDEGENER[],MATCH(TODEQUIPOS[[#This Row],[N° DE SERIE]],BDEGENER[SERIE],0),11),"")</f>
        <v>SANTA ELENA</v>
      </c>
      <c r="F50" s="776" t="str">
        <f>IFERROR(INDEX(BDEGENER[],MATCH(TODEQUIPOS[[#This Row],[N° DE SERIE]],BDEGENER[SERIE],0),12),"")</f>
        <v>SAN JUDAS TADEO 1</v>
      </c>
      <c r="G50" s="802">
        <f>IFERROR(INDEX(BDEGENER[],MATCH(TODEQUIPOS[[#This Row],[N° DE SERIE]],BDEGENER[SERIE],0),10),"")</f>
        <v>44149</v>
      </c>
      <c r="H50" s="777">
        <f>IFERROR(INDEX(BDEGENER[],MATCH(TODEQUIPOS[[#This Row],[N° DE SERIE]],BDEGENER[SERIE],0),31),"")</f>
        <v>5274.9</v>
      </c>
      <c r="I50" s="775">
        <f>IFERROR(INDEX(BDEGENER[],MATCH(TODEQUIPOS[[#This Row],[N° DE SERIE]],BDEGENER[SERIE],0),47),"")</f>
        <v>0</v>
      </c>
      <c r="J50" s="775">
        <f>IFERROR(INDEX(BDEGENER[],MATCH(TODEQUIPOS[[#This Row],[N° DE SERIE]],BDEGENER[SERIE],0),48),"")</f>
        <v>9</v>
      </c>
      <c r="K50" s="775">
        <f>IFERROR(INDEX(BDEGENER[],MATCH(TODEQUIPOS[[#This Row],[N° DE SERIE]],BDEGENER[SERIE],0),57),"")</f>
        <v>10</v>
      </c>
      <c r="L50" s="775" t="str">
        <f>IF(TODEQUIPOS[[#This Row],[CONTADOR]]=1,"UNICO","DUPLICADO")</f>
        <v>UNICO</v>
      </c>
      <c r="M50" s="775">
        <f>COUNTIF(TODEQUIPOS[N° DE SERIE],TODEQUIPOS[[#This Row],[N° DE SERIE]])</f>
        <v>1</v>
      </c>
    </row>
    <row r="51" spans="2:13" x14ac:dyDescent="0.3">
      <c r="B51">
        <v>3004416580</v>
      </c>
      <c r="C51" s="801" t="str">
        <f>IFERROR(INDEX(BDEGENER[],MATCH(TODEQUIPOS[[#This Row],[N° DE SERIE]],BDEGENER[SERIE],0),26),"")</f>
        <v>GENERAC</v>
      </c>
      <c r="D51" s="775" t="str">
        <f>IFERROR(INDEX(BDEGENER[],MATCH(TODEQUIPOS[[#This Row],[N° DE SERIE]],BDEGENER[SERIE],0),27),"")</f>
        <v>PG090</v>
      </c>
      <c r="E51" s="776" t="str">
        <f>IFERROR(INDEX(BDEGENER[],MATCH(TODEQUIPOS[[#This Row],[N° DE SERIE]],BDEGENER[SERIE],0),11),"")</f>
        <v>SAN FERNANDO</v>
      </c>
      <c r="F51" s="776" t="str">
        <f>IFERROR(INDEX(BDEGENER[],MATCH(TODEQUIPOS[[#This Row],[N° DE SERIE]],BDEGENER[SERIE],0),12),"")</f>
        <v>PL-807</v>
      </c>
      <c r="G51" s="802">
        <f>IFERROR(INDEX(BDEGENER[],MATCH(TODEQUIPOS[[#This Row],[N° DE SERIE]],BDEGENER[SERIE],0),10),"")</f>
        <v>44148</v>
      </c>
      <c r="H51" s="777">
        <f>IFERROR(INDEX(BDEGENER[],MATCH(TODEQUIPOS[[#This Row],[N° DE SERIE]],BDEGENER[SERIE],0),31),"")</f>
        <v>3113.9</v>
      </c>
      <c r="I51" s="775">
        <f>IFERROR(INDEX(BDEGENER[],MATCH(TODEQUIPOS[[#This Row],[N° DE SERIE]],BDEGENER[SERIE],0),47),"")</f>
        <v>2</v>
      </c>
      <c r="J51" s="775">
        <f>IFERROR(INDEX(BDEGENER[],MATCH(TODEQUIPOS[[#This Row],[N° DE SERIE]],BDEGENER[SERIE],0),48),"")</f>
        <v>8</v>
      </c>
      <c r="K51" s="775">
        <f>IFERROR(INDEX(BDEGENER[],MATCH(TODEQUIPOS[[#This Row],[N° DE SERIE]],BDEGENER[SERIE],0),57),"")</f>
        <v>14</v>
      </c>
      <c r="L51" s="775" t="str">
        <f>IF(TODEQUIPOS[[#This Row],[CONTADOR]]=1,"UNICO","DUPLICADO")</f>
        <v>UNICO</v>
      </c>
      <c r="M51" s="775">
        <f>COUNTIF(TODEQUIPOS[N° DE SERIE],TODEQUIPOS[[#This Row],[N° DE SERIE]])</f>
        <v>1</v>
      </c>
    </row>
    <row r="52" spans="2:13" x14ac:dyDescent="0.3">
      <c r="B52">
        <v>3004337428</v>
      </c>
      <c r="C52" s="801" t="str">
        <f>IFERROR(INDEX(BDEGENER[],MATCH(TODEQUIPOS[[#This Row],[N° DE SERIE]],BDEGENER[SERIE],0),26),"")</f>
        <v>GENERAC</v>
      </c>
      <c r="D52" s="775" t="str">
        <f>IFERROR(INDEX(BDEGENER[],MATCH(TODEQUIPOS[[#This Row],[N° DE SERIE]],BDEGENER[SERIE],0),27),"")</f>
        <v>PG090</v>
      </c>
      <c r="E52" s="776" t="str">
        <f>IFERROR(INDEX(BDEGENER[],MATCH(TODEQUIPOS[[#This Row],[N° DE SERIE]],BDEGENER[SERIE],0),11),"")</f>
        <v>SAN FERNANDO</v>
      </c>
      <c r="F52" s="776" t="str">
        <f>IFERROR(INDEX(BDEGENER[],MATCH(TODEQUIPOS[[#This Row],[N° DE SERIE]],BDEGENER[SERIE],0),12),"")</f>
        <v>PL-805</v>
      </c>
      <c r="G52" s="802">
        <f>IFERROR(INDEX(BDEGENER[],MATCH(TODEQUIPOS[[#This Row],[N° DE SERIE]],BDEGENER[SERIE],0),10),"")</f>
        <v>44148</v>
      </c>
      <c r="H52" s="777">
        <f>IFERROR(INDEX(BDEGENER[],MATCH(TODEQUIPOS[[#This Row],[N° DE SERIE]],BDEGENER[SERIE],0),31),"")</f>
        <v>1586.2</v>
      </c>
      <c r="I52" s="775">
        <f>IFERROR(INDEX(BDEGENER[],MATCH(TODEQUIPOS[[#This Row],[N° DE SERIE]],BDEGENER[SERIE],0),47),"")</f>
        <v>1</v>
      </c>
      <c r="J52" s="775">
        <f>IFERROR(INDEX(BDEGENER[],MATCH(TODEQUIPOS[[#This Row],[N° DE SERIE]],BDEGENER[SERIE],0),48),"")</f>
        <v>6</v>
      </c>
      <c r="K52" s="775">
        <f>IFERROR(INDEX(BDEGENER[],MATCH(TODEQUIPOS[[#This Row],[N° DE SERIE]],BDEGENER[SERIE],0),57),"")</f>
        <v>9</v>
      </c>
      <c r="L52" s="775" t="str">
        <f>IF(TODEQUIPOS[[#This Row],[CONTADOR]]=1,"UNICO","DUPLICADO")</f>
        <v>UNICO</v>
      </c>
      <c r="M52" s="775">
        <f>COUNTIF(TODEQUIPOS[N° DE SERIE],TODEQUIPOS[[#This Row],[N° DE SERIE]])</f>
        <v>1</v>
      </c>
    </row>
    <row r="53" spans="2:13" x14ac:dyDescent="0.3">
      <c r="B53">
        <v>3004218547</v>
      </c>
      <c r="C53" s="801" t="str">
        <f>IFERROR(INDEX(BDEGENER[],MATCH(TODEQUIPOS[[#This Row],[N° DE SERIE]],BDEGENER[SERIE],0),26),"")</f>
        <v>GENERAC</v>
      </c>
      <c r="D53" s="775" t="str">
        <f>IFERROR(INDEX(BDEGENER[],MATCH(TODEQUIPOS[[#This Row],[N° DE SERIE]],BDEGENER[SERIE],0),27),"")</f>
        <v>PG090</v>
      </c>
      <c r="E53" s="776" t="str">
        <f>IFERROR(INDEX(BDEGENER[],MATCH(TODEQUIPOS[[#This Row],[N° DE SERIE]],BDEGENER[SERIE],0),11),"")</f>
        <v>SAN FERNANDO</v>
      </c>
      <c r="F53" s="776" t="str">
        <f>IFERROR(INDEX(BDEGENER[],MATCH(TODEQUIPOS[[#This Row],[N° DE SERIE]],BDEGENER[SERIE],0),12),"")</f>
        <v>PL-805</v>
      </c>
      <c r="G53" s="802">
        <f>IFERROR(INDEX(BDEGENER[],MATCH(TODEQUIPOS[[#This Row],[N° DE SERIE]],BDEGENER[SERIE],0),10),"")</f>
        <v>44148</v>
      </c>
      <c r="H53" s="777">
        <f>IFERROR(INDEX(BDEGENER[],MATCH(TODEQUIPOS[[#This Row],[N° DE SERIE]],BDEGENER[SERIE],0),31),"")</f>
        <v>2015.6</v>
      </c>
      <c r="I53" s="775">
        <f>IFERROR(INDEX(BDEGENER[],MATCH(TODEQUIPOS[[#This Row],[N° DE SERIE]],BDEGENER[SERIE],0),47),"")</f>
        <v>2</v>
      </c>
      <c r="J53" s="775">
        <f>IFERROR(INDEX(BDEGENER[],MATCH(TODEQUIPOS[[#This Row],[N° DE SERIE]],BDEGENER[SERIE],0),48),"")</f>
        <v>7</v>
      </c>
      <c r="K53" s="775">
        <f>IFERROR(INDEX(BDEGENER[],MATCH(TODEQUIPOS[[#This Row],[N° DE SERIE]],BDEGENER[SERIE],0),57),"")</f>
        <v>12</v>
      </c>
      <c r="L53" s="775" t="str">
        <f>IF(TODEQUIPOS[[#This Row],[CONTADOR]]=1,"UNICO","DUPLICADO")</f>
        <v>UNICO</v>
      </c>
      <c r="M53" s="775">
        <f>COUNTIF(TODEQUIPOS[N° DE SERIE],TODEQUIPOS[[#This Row],[N° DE SERIE]])</f>
        <v>1</v>
      </c>
    </row>
    <row r="54" spans="2:13" x14ac:dyDescent="0.3">
      <c r="B54" t="s">
        <v>3770</v>
      </c>
      <c r="C54" s="801" t="str">
        <f>IFERROR(INDEX(BDEGENER[],MATCH(TODEQUIPOS[[#This Row],[N° DE SERIE]],BDEGENER[SERIE],0),26),"")</f>
        <v>GENERAC</v>
      </c>
      <c r="D54" s="775" t="str">
        <f>IFERROR(INDEX(BDEGENER[],MATCH(TODEQUIPOS[[#This Row],[N° DE SERIE]],BDEGENER[SERIE],0),27),"")</f>
        <v>PMY155</v>
      </c>
      <c r="E54" s="776" t="str">
        <f>IFERROR(INDEX(BDEGENER[],MATCH(TODEQUIPOS[[#This Row],[N° DE SERIE]],BDEGENER[SERIE],0),11),"")</f>
        <v>EMPRESA MINERA PANCHO VILLA EIRL.</v>
      </c>
      <c r="F54" s="776" t="str">
        <f>IFERROR(INDEX(BDEGENER[],MATCH(TODEQUIPOS[[#This Row],[N° DE SERIE]],BDEGENER[SERIE],0),12),"")</f>
        <v>MINERA PANCHO VILLA</v>
      </c>
      <c r="G54" s="802">
        <f>IFERROR(INDEX(BDEGENER[],MATCH(TODEQUIPOS[[#This Row],[N° DE SERIE]],BDEGENER[SERIE],0),10),"")</f>
        <v>44147</v>
      </c>
      <c r="H54" s="777">
        <f>IFERROR(INDEX(BDEGENER[],MATCH(TODEQUIPOS[[#This Row],[N° DE SERIE]],BDEGENER[SERIE],0),31),"")</f>
        <v>0</v>
      </c>
      <c r="I54" s="775">
        <f>IFERROR(INDEX(BDEGENER[],MATCH(TODEQUIPOS[[#This Row],[N° DE SERIE]],BDEGENER[SERIE],0),47),"")</f>
        <v>0</v>
      </c>
      <c r="J54" s="775">
        <f>IFERROR(INDEX(BDEGENER[],MATCH(TODEQUIPOS[[#This Row],[N° DE SERIE]],BDEGENER[SERIE],0),48),"")</f>
        <v>0</v>
      </c>
      <c r="K54" s="775">
        <f>IFERROR(INDEX(BDEGENER[],MATCH(TODEQUIPOS[[#This Row],[N° DE SERIE]],BDEGENER[SERIE],0),57),"")</f>
        <v>1</v>
      </c>
      <c r="L54" s="775" t="str">
        <f>IF(TODEQUIPOS[[#This Row],[CONTADOR]]=1,"UNICO","DUPLICADO")</f>
        <v>UNICO</v>
      </c>
      <c r="M54" s="775">
        <f>COUNTIF(TODEQUIPOS[N° DE SERIE],TODEQUIPOS[[#This Row],[N° DE SERIE]])</f>
        <v>1</v>
      </c>
    </row>
    <row r="55" spans="2:13" x14ac:dyDescent="0.3">
      <c r="B55">
        <v>3003415544</v>
      </c>
      <c r="C55" s="801" t="str">
        <f>IFERROR(INDEX(BDEGENER[],MATCH(TODEQUIPOS[[#This Row],[N° DE SERIE]],BDEGENER[SERIE],0),26),"")</f>
        <v>GENERAC</v>
      </c>
      <c r="D55" s="775" t="str">
        <f>IFERROR(INDEX(BDEGENER[],MATCH(TODEQUIPOS[[#This Row],[N° DE SERIE]],BDEGENER[SERIE],0),27),"")</f>
        <v>RG022</v>
      </c>
      <c r="E55" s="776" t="str">
        <f>IFERROR(INDEX(BDEGENER[],MATCH(TODEQUIPOS[[#This Row],[N° DE SERIE]],BDEGENER[SERIE],0),11),"")</f>
        <v>SANTA ELENA</v>
      </c>
      <c r="F55" s="776" t="str">
        <f>IFERROR(INDEX(BDEGENER[],MATCH(TODEQUIPOS[[#This Row],[N° DE SERIE]],BDEGENER[SERIE],0),12),"")</f>
        <v>ASIA 3</v>
      </c>
      <c r="G55" s="802">
        <f>IFERROR(INDEX(BDEGENER[],MATCH(TODEQUIPOS[[#This Row],[N° DE SERIE]],BDEGENER[SERIE],0),10),"")</f>
        <v>44144</v>
      </c>
      <c r="H55" s="777">
        <f>IFERROR(INDEX(BDEGENER[],MATCH(TODEQUIPOS[[#This Row],[N° DE SERIE]],BDEGENER[SERIE],0),31),"")</f>
        <v>5533.4</v>
      </c>
      <c r="I55" s="775">
        <f>IFERROR(INDEX(BDEGENER[],MATCH(TODEQUIPOS[[#This Row],[N° DE SERIE]],BDEGENER[SERIE],0),47),"")</f>
        <v>2</v>
      </c>
      <c r="J55" s="775">
        <f>IFERROR(INDEX(BDEGENER[],MATCH(TODEQUIPOS[[#This Row],[N° DE SERIE]],BDEGENER[SERIE],0),48),"")</f>
        <v>9</v>
      </c>
      <c r="K55" s="775">
        <f>IFERROR(INDEX(BDEGENER[],MATCH(TODEQUIPOS[[#This Row],[N° DE SERIE]],BDEGENER[SERIE],0),57),"")</f>
        <v>13</v>
      </c>
      <c r="L55" s="775" t="str">
        <f>IF(TODEQUIPOS[[#This Row],[CONTADOR]]=1,"UNICO","DUPLICADO")</f>
        <v>UNICO</v>
      </c>
      <c r="M55" s="775">
        <f>COUNTIF(TODEQUIPOS[N° DE SERIE],TODEQUIPOS[[#This Row],[N° DE SERIE]])</f>
        <v>1</v>
      </c>
    </row>
    <row r="56" spans="2:13" x14ac:dyDescent="0.3">
      <c r="B56">
        <v>3004256777</v>
      </c>
      <c r="C56" s="801" t="str">
        <f>IFERROR(INDEX(BDEGENER[],MATCH(TODEQUIPOS[[#This Row],[N° DE SERIE]],BDEGENER[SERIE],0),26),"")</f>
        <v>GENERAC</v>
      </c>
      <c r="D56" s="775" t="str">
        <f>IFERROR(INDEX(BDEGENER[],MATCH(TODEQUIPOS[[#This Row],[N° DE SERIE]],BDEGENER[SERIE],0),27),"")</f>
        <v>PG090</v>
      </c>
      <c r="E56" s="776" t="str">
        <f>IFERROR(INDEX(BDEGENER[],MATCH(TODEQUIPOS[[#This Row],[N° DE SERIE]],BDEGENER[SERIE],0),11),"")</f>
        <v>SAN FERNANDO</v>
      </c>
      <c r="F56" s="776" t="str">
        <f>IFERROR(INDEX(BDEGENER[],MATCH(TODEQUIPOS[[#This Row],[N° DE SERIE]],BDEGENER[SERIE],0),12),"")</f>
        <v>PL-806</v>
      </c>
      <c r="G56" s="802">
        <f>IFERROR(INDEX(BDEGENER[],MATCH(TODEQUIPOS[[#This Row],[N° DE SERIE]],BDEGENER[SERIE],0),10),"")</f>
        <v>44203</v>
      </c>
      <c r="H56" s="777">
        <f>IFERROR(INDEX(BDEGENER[],MATCH(TODEQUIPOS[[#This Row],[N° DE SERIE]],BDEGENER[SERIE],0),31),"")</f>
        <v>2804.7</v>
      </c>
      <c r="I56" s="775">
        <f>IFERROR(INDEX(BDEGENER[],MATCH(TODEQUIPOS[[#This Row],[N° DE SERIE]],BDEGENER[SERIE],0),47),"")</f>
        <v>6</v>
      </c>
      <c r="J56" s="775">
        <f>IFERROR(INDEX(BDEGENER[],MATCH(TODEQUIPOS[[#This Row],[N° DE SERIE]],BDEGENER[SERIE],0),48),"")</f>
        <v>9</v>
      </c>
      <c r="K56" s="775">
        <f>IFERROR(INDEX(BDEGENER[],MATCH(TODEQUIPOS[[#This Row],[N° DE SERIE]],BDEGENER[SERIE],0),57),"")</f>
        <v>16</v>
      </c>
      <c r="L56" s="775" t="str">
        <f>IF(TODEQUIPOS[[#This Row],[CONTADOR]]=1,"UNICO","DUPLICADO")</f>
        <v>UNICO</v>
      </c>
      <c r="M56" s="775">
        <f>COUNTIF(TODEQUIPOS[N° DE SERIE],TODEQUIPOS[[#This Row],[N° DE SERIE]])</f>
        <v>1</v>
      </c>
    </row>
    <row r="57" spans="2:13" x14ac:dyDescent="0.3">
      <c r="B57">
        <v>3003963150</v>
      </c>
      <c r="C57" s="801" t="str">
        <f>IFERROR(INDEX(BDEGENER[],MATCH(TODEQUIPOS[[#This Row],[N° DE SERIE]],BDEGENER[SERIE],0),26),"")</f>
        <v>GENERAC</v>
      </c>
      <c r="D57" s="775" t="str">
        <f>IFERROR(INDEX(BDEGENER[],MATCH(TODEQUIPOS[[#This Row],[N° DE SERIE]],BDEGENER[SERIE],0),27),"")</f>
        <v>PG090</v>
      </c>
      <c r="E57" s="776" t="str">
        <f>IFERROR(INDEX(BDEGENER[],MATCH(TODEQUIPOS[[#This Row],[N° DE SERIE]],BDEGENER[SERIE],0),11),"")</f>
        <v>SANTA ELENA</v>
      </c>
      <c r="F57" s="776" t="str">
        <f>IFERROR(INDEX(BDEGENER[],MATCH(TODEQUIPOS[[#This Row],[N° DE SERIE]],BDEGENER[SERIE],0),12),"")</f>
        <v>SAN JUDAS TADEO 3</v>
      </c>
      <c r="G57" s="802">
        <f>IFERROR(INDEX(BDEGENER[],MATCH(TODEQUIPOS[[#This Row],[N° DE SERIE]],BDEGENER[SERIE],0),10),"")</f>
        <v>44140</v>
      </c>
      <c r="H57" s="777">
        <f>IFERROR(INDEX(BDEGENER[],MATCH(TODEQUIPOS[[#This Row],[N° DE SERIE]],BDEGENER[SERIE],0),31),"")</f>
        <v>4620.5</v>
      </c>
      <c r="I57" s="775">
        <f>IFERROR(INDEX(BDEGENER[],MATCH(TODEQUIPOS[[#This Row],[N° DE SERIE]],BDEGENER[SERIE],0),47),"")</f>
        <v>2</v>
      </c>
      <c r="J57" s="775">
        <f>IFERROR(INDEX(BDEGENER[],MATCH(TODEQUIPOS[[#This Row],[N° DE SERIE]],BDEGENER[SERIE],0),48),"")</f>
        <v>7</v>
      </c>
      <c r="K57" s="775">
        <f>IFERROR(INDEX(BDEGENER[],MATCH(TODEQUIPOS[[#This Row],[N° DE SERIE]],BDEGENER[SERIE],0),57),"")</f>
        <v>13</v>
      </c>
      <c r="L57" s="775" t="str">
        <f>IF(TODEQUIPOS[[#This Row],[CONTADOR]]=1,"UNICO","DUPLICADO")</f>
        <v>UNICO</v>
      </c>
      <c r="M57" s="775">
        <f>COUNTIF(TODEQUIPOS[N° DE SERIE],TODEQUIPOS[[#This Row],[N° DE SERIE]])</f>
        <v>1</v>
      </c>
    </row>
    <row r="58" spans="2:13" x14ac:dyDescent="0.3">
      <c r="B58">
        <v>3004381437</v>
      </c>
      <c r="C58" s="801" t="str">
        <f>IFERROR(INDEX(BDEGENER[],MATCH(TODEQUIPOS[[#This Row],[N° DE SERIE]],BDEGENER[SERIE],0),26),"")</f>
        <v>GENERAC</v>
      </c>
      <c r="D58" s="775" t="str">
        <f>IFERROR(INDEX(BDEGENER[],MATCH(TODEQUIPOS[[#This Row],[N° DE SERIE]],BDEGENER[SERIE],0),27),"")</f>
        <v>PG090</v>
      </c>
      <c r="E58" s="776" t="str">
        <f>IFERROR(INDEX(BDEGENER[],MATCH(TODEQUIPOS[[#This Row],[N° DE SERIE]],BDEGENER[SERIE],0),11),"")</f>
        <v>SAN FERNANDO</v>
      </c>
      <c r="F58" s="776" t="str">
        <f>IFERROR(INDEX(BDEGENER[],MATCH(TODEQUIPOS[[#This Row],[N° DE SERIE]],BDEGENER[SERIE],0),12),"")</f>
        <v>PL-810</v>
      </c>
      <c r="G58" s="802">
        <f>IFERROR(INDEX(BDEGENER[],MATCH(TODEQUIPOS[[#This Row],[N° DE SERIE]],BDEGENER[SERIE],0),10),"")</f>
        <v>44200</v>
      </c>
      <c r="H58" s="777">
        <f>IFERROR(INDEX(BDEGENER[],MATCH(TODEQUIPOS[[#This Row],[N° DE SERIE]],BDEGENER[SERIE],0),31),"")</f>
        <v>2359.6</v>
      </c>
      <c r="I58" s="775">
        <f>IFERROR(INDEX(BDEGENER[],MATCH(TODEQUIPOS[[#This Row],[N° DE SERIE]],BDEGENER[SERIE],0),47),"")</f>
        <v>3</v>
      </c>
      <c r="J58" s="775">
        <f>IFERROR(INDEX(BDEGENER[],MATCH(TODEQUIPOS[[#This Row],[N° DE SERIE]],BDEGENER[SERIE],0),48),"")</f>
        <v>8</v>
      </c>
      <c r="K58" s="775">
        <f>IFERROR(INDEX(BDEGENER[],MATCH(TODEQUIPOS[[#This Row],[N° DE SERIE]],BDEGENER[SERIE],0),57),"")</f>
        <v>12</v>
      </c>
      <c r="L58" s="775" t="str">
        <f>IF(TODEQUIPOS[[#This Row],[CONTADOR]]=1,"UNICO","DUPLICADO")</f>
        <v>UNICO</v>
      </c>
      <c r="M58" s="775">
        <f>COUNTIF(TODEQUIPOS[N° DE SERIE],TODEQUIPOS[[#This Row],[N° DE SERIE]])</f>
        <v>1</v>
      </c>
    </row>
    <row r="59" spans="2:13" x14ac:dyDescent="0.3">
      <c r="B59">
        <v>3004416582</v>
      </c>
      <c r="C59" s="801" t="str">
        <f>IFERROR(INDEX(BDEGENER[],MATCH(TODEQUIPOS[[#This Row],[N° DE SERIE]],BDEGENER[SERIE],0),26),"")</f>
        <v>GENERAC</v>
      </c>
      <c r="D59" s="775" t="str">
        <f>IFERROR(INDEX(BDEGENER[],MATCH(TODEQUIPOS[[#This Row],[N° DE SERIE]],BDEGENER[SERIE],0),27),"")</f>
        <v>PG090</v>
      </c>
      <c r="E59" s="776" t="str">
        <f>IFERROR(INDEX(BDEGENER[],MATCH(TODEQUIPOS[[#This Row],[N° DE SERIE]],BDEGENER[SERIE],0),11),"")</f>
        <v>SAN FERNANDO</v>
      </c>
      <c r="F59" s="776" t="str">
        <f>IFERROR(INDEX(BDEGENER[],MATCH(TODEQUIPOS[[#This Row],[N° DE SERIE]],BDEGENER[SERIE],0),12),"")</f>
        <v>PL-801</v>
      </c>
      <c r="G59" s="802">
        <f>IFERROR(INDEX(BDEGENER[],MATCH(TODEQUIPOS[[#This Row],[N° DE SERIE]],BDEGENER[SERIE],0),10),"")</f>
        <v>44200</v>
      </c>
      <c r="H59" s="777">
        <f>IFERROR(INDEX(BDEGENER[],MATCH(TODEQUIPOS[[#This Row],[N° DE SERIE]],BDEGENER[SERIE],0),31),"")</f>
        <v>2342.3000000000002</v>
      </c>
      <c r="I59" s="775">
        <f>IFERROR(INDEX(BDEGENER[],MATCH(TODEQUIPOS[[#This Row],[N° DE SERIE]],BDEGENER[SERIE],0),47),"")</f>
        <v>3</v>
      </c>
      <c r="J59" s="775">
        <f>IFERROR(INDEX(BDEGENER[],MATCH(TODEQUIPOS[[#This Row],[N° DE SERIE]],BDEGENER[SERIE],0),48),"")</f>
        <v>7</v>
      </c>
      <c r="K59" s="775">
        <f>IFERROR(INDEX(BDEGENER[],MATCH(TODEQUIPOS[[#This Row],[N° DE SERIE]],BDEGENER[SERIE],0),57),"")</f>
        <v>11</v>
      </c>
      <c r="L59" s="775" t="str">
        <f>IF(TODEQUIPOS[[#This Row],[CONTADOR]]=1,"UNICO","DUPLICADO")</f>
        <v>UNICO</v>
      </c>
      <c r="M59" s="775">
        <f>COUNTIF(TODEQUIPOS[N° DE SERIE],TODEQUIPOS[[#This Row],[N° DE SERIE]])</f>
        <v>1</v>
      </c>
    </row>
    <row r="60" spans="2:13" x14ac:dyDescent="0.3">
      <c r="B60">
        <v>3004327721</v>
      </c>
      <c r="C60" s="801" t="str">
        <f>IFERROR(INDEX(BDEGENER[],MATCH(TODEQUIPOS[[#This Row],[N° DE SERIE]],BDEGENER[SERIE],0),26),"")</f>
        <v>GENERAC</v>
      </c>
      <c r="D60" s="775" t="str">
        <f>IFERROR(INDEX(BDEGENER[],MATCH(TODEQUIPOS[[#This Row],[N° DE SERIE]],BDEGENER[SERIE],0),27),"")</f>
        <v>PG090</v>
      </c>
      <c r="E60" s="776" t="str">
        <f>IFERROR(INDEX(BDEGENER[],MATCH(TODEQUIPOS[[#This Row],[N° DE SERIE]],BDEGENER[SERIE],0),11),"")</f>
        <v>SAN FERNANDO</v>
      </c>
      <c r="F60" s="776" t="str">
        <f>IFERROR(INDEX(BDEGENER[],MATCH(TODEQUIPOS[[#This Row],[N° DE SERIE]],BDEGENER[SERIE],0),12),"")</f>
        <v>PL-502</v>
      </c>
      <c r="G60" s="802">
        <f>IFERROR(INDEX(BDEGENER[],MATCH(TODEQUIPOS[[#This Row],[N° DE SERIE]],BDEGENER[SERIE],0),10),"")</f>
        <v>44131</v>
      </c>
      <c r="H60" s="777">
        <f>IFERROR(INDEX(BDEGENER[],MATCH(TODEQUIPOS[[#This Row],[N° DE SERIE]],BDEGENER[SERIE],0),31),"")</f>
        <v>2223.6</v>
      </c>
      <c r="I60" s="775">
        <f>IFERROR(INDEX(BDEGENER[],MATCH(TODEQUIPOS[[#This Row],[N° DE SERIE]],BDEGENER[SERIE],0),47),"")</f>
        <v>2</v>
      </c>
      <c r="J60" s="775">
        <f>IFERROR(INDEX(BDEGENER[],MATCH(TODEQUIPOS[[#This Row],[N° DE SERIE]],BDEGENER[SERIE],0),48),"")</f>
        <v>7</v>
      </c>
      <c r="K60" s="775">
        <f>IFERROR(INDEX(BDEGENER[],MATCH(TODEQUIPOS[[#This Row],[N° DE SERIE]],BDEGENER[SERIE],0),57),"")</f>
        <v>11</v>
      </c>
      <c r="L60" s="775" t="str">
        <f>IF(TODEQUIPOS[[#This Row],[CONTADOR]]=1,"UNICO","DUPLICADO")</f>
        <v>UNICO</v>
      </c>
      <c r="M60" s="775">
        <f>COUNTIF(TODEQUIPOS[N° DE SERIE],TODEQUIPOS[[#This Row],[N° DE SERIE]])</f>
        <v>1</v>
      </c>
    </row>
    <row r="61" spans="2:13" x14ac:dyDescent="0.3">
      <c r="B61">
        <v>3004290369</v>
      </c>
      <c r="C61" s="801" t="str">
        <f>IFERROR(INDEX(BDEGENER[],MATCH(TODEQUIPOS[[#This Row],[N° DE SERIE]],BDEGENER[SERIE],0),26),"")</f>
        <v>GENERAC</v>
      </c>
      <c r="D61" s="775" t="str">
        <f>IFERROR(INDEX(BDEGENER[],MATCH(TODEQUIPOS[[#This Row],[N° DE SERIE]],BDEGENER[SERIE],0),27),"")</f>
        <v>PG090</v>
      </c>
      <c r="E61" s="776" t="str">
        <f>IFERROR(INDEX(BDEGENER[],MATCH(TODEQUIPOS[[#This Row],[N° DE SERIE]],BDEGENER[SERIE],0),11),"")</f>
        <v>SAN FERNANDO</v>
      </c>
      <c r="F61" s="776" t="str">
        <f>IFERROR(INDEX(BDEGENER[],MATCH(TODEQUIPOS[[#This Row],[N° DE SERIE]],BDEGENER[SERIE],0),12),"")</f>
        <v>PL-810</v>
      </c>
      <c r="G61" s="802">
        <f>IFERROR(INDEX(BDEGENER[],MATCH(TODEQUIPOS[[#This Row],[N° DE SERIE]],BDEGENER[SERIE],0),10),"")</f>
        <v>44200</v>
      </c>
      <c r="H61" s="777">
        <f>IFERROR(INDEX(BDEGENER[],MATCH(TODEQUIPOS[[#This Row],[N° DE SERIE]],BDEGENER[SERIE],0),31),"")</f>
        <v>2294</v>
      </c>
      <c r="I61" s="775">
        <f>IFERROR(INDEX(BDEGENER[],MATCH(TODEQUIPOS[[#This Row],[N° DE SERIE]],BDEGENER[SERIE],0),47),"")</f>
        <v>2</v>
      </c>
      <c r="J61" s="775">
        <f>IFERROR(INDEX(BDEGENER[],MATCH(TODEQUIPOS[[#This Row],[N° DE SERIE]],BDEGENER[SERIE],0),48),"")</f>
        <v>7</v>
      </c>
      <c r="K61" s="775">
        <f>IFERROR(INDEX(BDEGENER[],MATCH(TODEQUIPOS[[#This Row],[N° DE SERIE]],BDEGENER[SERIE],0),57),"")</f>
        <v>11</v>
      </c>
      <c r="L61" s="775" t="str">
        <f>IF(TODEQUIPOS[[#This Row],[CONTADOR]]=1,"UNICO","DUPLICADO")</f>
        <v>UNICO</v>
      </c>
      <c r="M61" s="775">
        <f>COUNTIF(TODEQUIPOS[N° DE SERIE],TODEQUIPOS[[#This Row],[N° DE SERIE]])</f>
        <v>1</v>
      </c>
    </row>
    <row r="62" spans="2:13" x14ac:dyDescent="0.3">
      <c r="B62">
        <v>3004337388</v>
      </c>
      <c r="C62" s="801" t="str">
        <f>IFERROR(INDEX(BDEGENER[],MATCH(TODEQUIPOS[[#This Row],[N° DE SERIE]],BDEGENER[SERIE],0),26),"")</f>
        <v>GENERAC</v>
      </c>
      <c r="D62" s="775" t="str">
        <f>IFERROR(INDEX(BDEGENER[],MATCH(TODEQUIPOS[[#This Row],[N° DE SERIE]],BDEGENER[SERIE],0),27),"")</f>
        <v>PG090</v>
      </c>
      <c r="E62" s="776" t="str">
        <f>IFERROR(INDEX(BDEGENER[],MATCH(TODEQUIPOS[[#This Row],[N° DE SERIE]],BDEGENER[SERIE],0),11),"")</f>
        <v>SAN FERNANDO</v>
      </c>
      <c r="F62" s="776" t="str">
        <f>IFERROR(INDEX(BDEGENER[],MATCH(TODEQUIPOS[[#This Row],[N° DE SERIE]],BDEGENER[SERIE],0),12),"")</f>
        <v>PL-810</v>
      </c>
      <c r="G62" s="802">
        <f>IFERROR(INDEX(BDEGENER[],MATCH(TODEQUIPOS[[#This Row],[N° DE SERIE]],BDEGENER[SERIE],0),10),"")</f>
        <v>44127</v>
      </c>
      <c r="H62" s="777">
        <f>IFERROR(INDEX(BDEGENER[],MATCH(TODEQUIPOS[[#This Row],[N° DE SERIE]],BDEGENER[SERIE],0),31),"")</f>
        <v>2129.8000000000002</v>
      </c>
      <c r="I62" s="775">
        <f>IFERROR(INDEX(BDEGENER[],MATCH(TODEQUIPOS[[#This Row],[N° DE SERIE]],BDEGENER[SERIE],0),47),"")</f>
        <v>4</v>
      </c>
      <c r="J62" s="775">
        <f>IFERROR(INDEX(BDEGENER[],MATCH(TODEQUIPOS[[#This Row],[N° DE SERIE]],BDEGENER[SERIE],0),48),"")</f>
        <v>7</v>
      </c>
      <c r="K62" s="775">
        <f>IFERROR(INDEX(BDEGENER[],MATCH(TODEQUIPOS[[#This Row],[N° DE SERIE]],BDEGENER[SERIE],0),57),"")</f>
        <v>14</v>
      </c>
      <c r="L62" s="775" t="str">
        <f>IF(TODEQUIPOS[[#This Row],[CONTADOR]]=1,"UNICO","DUPLICADO")</f>
        <v>UNICO</v>
      </c>
      <c r="M62" s="775">
        <f>COUNTIF(TODEQUIPOS[N° DE SERIE],TODEQUIPOS[[#This Row],[N° DE SERIE]])</f>
        <v>1</v>
      </c>
    </row>
    <row r="63" spans="2:13" x14ac:dyDescent="0.3">
      <c r="B63">
        <v>3004331708</v>
      </c>
      <c r="C63" s="801" t="str">
        <f>IFERROR(INDEX(BDEGENER[],MATCH(TODEQUIPOS[[#This Row],[N° DE SERIE]],BDEGENER[SERIE],0),26),"")</f>
        <v>GENERAC</v>
      </c>
      <c r="D63" s="775" t="str">
        <f>IFERROR(INDEX(BDEGENER[],MATCH(TODEQUIPOS[[#This Row],[N° DE SERIE]],BDEGENER[SERIE],0),27),"")</f>
        <v>PG090</v>
      </c>
      <c r="E63" s="776" t="str">
        <f>IFERROR(INDEX(BDEGENER[],MATCH(TODEQUIPOS[[#This Row],[N° DE SERIE]],BDEGENER[SERIE],0),11),"")</f>
        <v>SAN FERNANDO</v>
      </c>
      <c r="F63" s="776" t="str">
        <f>IFERROR(INDEX(BDEGENER[],MATCH(TODEQUIPOS[[#This Row],[N° DE SERIE]],BDEGENER[SERIE],0),12),"")</f>
        <v>PL-503</v>
      </c>
      <c r="G63" s="802">
        <f>IFERROR(INDEX(BDEGENER[],MATCH(TODEQUIPOS[[#This Row],[N° DE SERIE]],BDEGENER[SERIE],0),10),"")</f>
        <v>44126</v>
      </c>
      <c r="H63" s="777">
        <f>IFERROR(INDEX(BDEGENER[],MATCH(TODEQUIPOS[[#This Row],[N° DE SERIE]],BDEGENER[SERIE],0),31),"")</f>
        <v>2000.7</v>
      </c>
      <c r="I63" s="775">
        <f>IFERROR(INDEX(BDEGENER[],MATCH(TODEQUIPOS[[#This Row],[N° DE SERIE]],BDEGENER[SERIE],0),47),"")</f>
        <v>4</v>
      </c>
      <c r="J63" s="775">
        <f>IFERROR(INDEX(BDEGENER[],MATCH(TODEQUIPOS[[#This Row],[N° DE SERIE]],BDEGENER[SERIE],0),48),"")</f>
        <v>6</v>
      </c>
      <c r="K63" s="775">
        <f>IFERROR(INDEX(BDEGENER[],MATCH(TODEQUIPOS[[#This Row],[N° DE SERIE]],BDEGENER[SERIE],0),57),"")</f>
        <v>13</v>
      </c>
      <c r="L63" s="775" t="str">
        <f>IF(TODEQUIPOS[[#This Row],[CONTADOR]]=1,"UNICO","DUPLICADO")</f>
        <v>UNICO</v>
      </c>
      <c r="M63" s="775">
        <f>COUNTIF(TODEQUIPOS[N° DE SERIE],TODEQUIPOS[[#This Row],[N° DE SERIE]])</f>
        <v>1</v>
      </c>
    </row>
    <row r="64" spans="2:13" x14ac:dyDescent="0.3">
      <c r="B64">
        <v>3004331709</v>
      </c>
      <c r="C64" s="801" t="str">
        <f>IFERROR(INDEX(BDEGENER[],MATCH(TODEQUIPOS[[#This Row],[N° DE SERIE]],BDEGENER[SERIE],0),26),"")</f>
        <v>GENERAC</v>
      </c>
      <c r="D64" s="775" t="str">
        <f>IFERROR(INDEX(BDEGENER[],MATCH(TODEQUIPOS[[#This Row],[N° DE SERIE]],BDEGENER[SERIE],0),27),"")</f>
        <v>PG090</v>
      </c>
      <c r="E64" s="776" t="str">
        <f>IFERROR(INDEX(BDEGENER[],MATCH(TODEQUIPOS[[#This Row],[N° DE SERIE]],BDEGENER[SERIE],0),11),"")</f>
        <v>SAN FERNANDO</v>
      </c>
      <c r="F64" s="776" t="str">
        <f>IFERROR(INDEX(BDEGENER[],MATCH(TODEQUIPOS[[#This Row],[N° DE SERIE]],BDEGENER[SERIE],0),12),"")</f>
        <v>PL-503</v>
      </c>
      <c r="G64" s="802">
        <f>IFERROR(INDEX(BDEGENER[],MATCH(TODEQUIPOS[[#This Row],[N° DE SERIE]],BDEGENER[SERIE],0),10),"")</f>
        <v>44126</v>
      </c>
      <c r="H64" s="777">
        <f>IFERROR(INDEX(BDEGENER[],MATCH(TODEQUIPOS[[#This Row],[N° DE SERIE]],BDEGENER[SERIE],0),31),"")</f>
        <v>2248.5</v>
      </c>
      <c r="I64" s="775">
        <f>IFERROR(INDEX(BDEGENER[],MATCH(TODEQUIPOS[[#This Row],[N° DE SERIE]],BDEGENER[SERIE],0),47),"")</f>
        <v>2</v>
      </c>
      <c r="J64" s="775">
        <f>IFERROR(INDEX(BDEGENER[],MATCH(TODEQUIPOS[[#This Row],[N° DE SERIE]],BDEGENER[SERIE],0),48),"")</f>
        <v>7</v>
      </c>
      <c r="K64" s="775">
        <f>IFERROR(INDEX(BDEGENER[],MATCH(TODEQUIPOS[[#This Row],[N° DE SERIE]],BDEGENER[SERIE],0),57),"")</f>
        <v>11</v>
      </c>
      <c r="L64" s="775" t="str">
        <f>IF(TODEQUIPOS[[#This Row],[CONTADOR]]=1,"UNICO","DUPLICADO")</f>
        <v>UNICO</v>
      </c>
      <c r="M64" s="775">
        <f>COUNTIF(TODEQUIPOS[N° DE SERIE],TODEQUIPOS[[#This Row],[N° DE SERIE]])</f>
        <v>1</v>
      </c>
    </row>
    <row r="65" spans="2:13" x14ac:dyDescent="0.3">
      <c r="B65">
        <v>3004331705</v>
      </c>
      <c r="C65" s="801" t="str">
        <f>IFERROR(INDEX(BDEGENER[],MATCH(TODEQUIPOS[[#This Row],[N° DE SERIE]],BDEGENER[SERIE],0),26),"")</f>
        <v>GENERAC</v>
      </c>
      <c r="D65" s="775" t="str">
        <f>IFERROR(INDEX(BDEGENER[],MATCH(TODEQUIPOS[[#This Row],[N° DE SERIE]],BDEGENER[SERIE],0),27),"")</f>
        <v>PG090</v>
      </c>
      <c r="E65" s="776" t="str">
        <f>IFERROR(INDEX(BDEGENER[],MATCH(TODEQUIPOS[[#This Row],[N° DE SERIE]],BDEGENER[SERIE],0),11),"")</f>
        <v>SAN FERNANDO</v>
      </c>
      <c r="F65" s="776" t="str">
        <f>IFERROR(INDEX(BDEGENER[],MATCH(TODEQUIPOS[[#This Row],[N° DE SERIE]],BDEGENER[SERIE],0),12),"")</f>
        <v>PL-503</v>
      </c>
      <c r="G65" s="802">
        <f>IFERROR(INDEX(BDEGENER[],MATCH(TODEQUIPOS[[#This Row],[N° DE SERIE]],BDEGENER[SERIE],0),10),"")</f>
        <v>44126</v>
      </c>
      <c r="H65" s="777">
        <f>IFERROR(INDEX(BDEGENER[],MATCH(TODEQUIPOS[[#This Row],[N° DE SERIE]],BDEGENER[SERIE],0),31),"")</f>
        <v>2381.3000000000002</v>
      </c>
      <c r="I65" s="775">
        <f>IFERROR(INDEX(BDEGENER[],MATCH(TODEQUIPOS[[#This Row],[N° DE SERIE]],BDEGENER[SERIE],0),47),"")</f>
        <v>1</v>
      </c>
      <c r="J65" s="775">
        <f>IFERROR(INDEX(BDEGENER[],MATCH(TODEQUIPOS[[#This Row],[N° DE SERIE]],BDEGENER[SERIE],0),48),"")</f>
        <v>8</v>
      </c>
      <c r="K65" s="775">
        <f>IFERROR(INDEX(BDEGENER[],MATCH(TODEQUIPOS[[#This Row],[N° DE SERIE]],BDEGENER[SERIE],0),57),"")</f>
        <v>10</v>
      </c>
      <c r="L65" s="775" t="str">
        <f>IF(TODEQUIPOS[[#This Row],[CONTADOR]]=1,"UNICO","DUPLICADO")</f>
        <v>UNICO</v>
      </c>
      <c r="M65" s="775">
        <f>COUNTIF(TODEQUIPOS[N° DE SERIE],TODEQUIPOS[[#This Row],[N° DE SERIE]])</f>
        <v>1</v>
      </c>
    </row>
    <row r="66" spans="2:13" x14ac:dyDescent="0.3">
      <c r="B66">
        <v>3004214491</v>
      </c>
      <c r="C66" s="801" t="str">
        <f>IFERROR(INDEX(BDEGENER[],MATCH(TODEQUIPOS[[#This Row],[N° DE SERIE]],BDEGENER[SERIE],0),26),"")</f>
        <v>GENERAC</v>
      </c>
      <c r="D66" s="775" t="str">
        <f>IFERROR(INDEX(BDEGENER[],MATCH(TODEQUIPOS[[#This Row],[N° DE SERIE]],BDEGENER[SERIE],0),27),"")</f>
        <v>PG090</v>
      </c>
      <c r="E66" s="776" t="str">
        <f>IFERROR(INDEX(BDEGENER[],MATCH(TODEQUIPOS[[#This Row],[N° DE SERIE]],BDEGENER[SERIE],0),11),"")</f>
        <v>SAN FERNANDO</v>
      </c>
      <c r="F66" s="776" t="str">
        <f>IFERROR(INDEX(BDEGENER[],MATCH(TODEQUIPOS[[#This Row],[N° DE SERIE]],BDEGENER[SERIE],0),12),"")</f>
        <v>PL-805</v>
      </c>
      <c r="G66" s="802">
        <f>IFERROR(INDEX(BDEGENER[],MATCH(TODEQUIPOS[[#This Row],[N° DE SERIE]],BDEGENER[SERIE],0),10),"")</f>
        <v>44203</v>
      </c>
      <c r="H66" s="777">
        <f>IFERROR(INDEX(BDEGENER[],MATCH(TODEQUIPOS[[#This Row],[N° DE SERIE]],BDEGENER[SERIE],0),31),"")</f>
        <v>2751</v>
      </c>
      <c r="I66" s="775">
        <f>IFERROR(INDEX(BDEGENER[],MATCH(TODEQUIPOS[[#This Row],[N° DE SERIE]],BDEGENER[SERIE],0),47),"")</f>
        <v>6</v>
      </c>
      <c r="J66" s="775">
        <f>IFERROR(INDEX(BDEGENER[],MATCH(TODEQUIPOS[[#This Row],[N° DE SERIE]],BDEGENER[SERIE],0),48),"")</f>
        <v>9</v>
      </c>
      <c r="K66" s="775">
        <f>IFERROR(INDEX(BDEGENER[],MATCH(TODEQUIPOS[[#This Row],[N° DE SERIE]],BDEGENER[SERIE],0),57),"")</f>
        <v>18</v>
      </c>
      <c r="L66" s="775" t="str">
        <f>IF(TODEQUIPOS[[#This Row],[CONTADOR]]=1,"UNICO","DUPLICADO")</f>
        <v>UNICO</v>
      </c>
      <c r="M66" s="775">
        <f>COUNTIF(TODEQUIPOS[N° DE SERIE],TODEQUIPOS[[#This Row],[N° DE SERIE]])</f>
        <v>1</v>
      </c>
    </row>
    <row r="67" spans="2:13" x14ac:dyDescent="0.3">
      <c r="B67">
        <v>3004336197</v>
      </c>
      <c r="C67" s="801" t="str">
        <f>IFERROR(INDEX(BDEGENER[],MATCH(TODEQUIPOS[[#This Row],[N° DE SERIE]],BDEGENER[SERIE],0),26),"")</f>
        <v>GENERAC</v>
      </c>
      <c r="D67" s="775" t="str">
        <f>IFERROR(INDEX(BDEGENER[],MATCH(TODEQUIPOS[[#This Row],[N° DE SERIE]],BDEGENER[SERIE],0),27),"")</f>
        <v>PG090</v>
      </c>
      <c r="E67" s="776" t="str">
        <f>IFERROR(INDEX(BDEGENER[],MATCH(TODEQUIPOS[[#This Row],[N° DE SERIE]],BDEGENER[SERIE],0),11),"")</f>
        <v>SAN FERNANDO</v>
      </c>
      <c r="F67" s="776" t="str">
        <f>IFERROR(INDEX(BDEGENER[],MATCH(TODEQUIPOS[[#This Row],[N° DE SERIE]],BDEGENER[SERIE],0),12),"")</f>
        <v>PL-807</v>
      </c>
      <c r="G67" s="802">
        <f>IFERROR(INDEX(BDEGENER[],MATCH(TODEQUIPOS[[#This Row],[N° DE SERIE]],BDEGENER[SERIE],0),10),"")</f>
        <v>44200</v>
      </c>
      <c r="H67" s="777">
        <f>IFERROR(INDEX(BDEGENER[],MATCH(TODEQUIPOS[[#This Row],[N° DE SERIE]],BDEGENER[SERIE],0),31),"")</f>
        <v>2922.3</v>
      </c>
      <c r="I67" s="775">
        <f>IFERROR(INDEX(BDEGENER[],MATCH(TODEQUIPOS[[#This Row],[N° DE SERIE]],BDEGENER[SERIE],0),47),"")</f>
        <v>5</v>
      </c>
      <c r="J67" s="775">
        <f>IFERROR(INDEX(BDEGENER[],MATCH(TODEQUIPOS[[#This Row],[N° DE SERIE]],BDEGENER[SERIE],0),48),"")</f>
        <v>9</v>
      </c>
      <c r="K67" s="775">
        <f>IFERROR(INDEX(BDEGENER[],MATCH(TODEQUIPOS[[#This Row],[N° DE SERIE]],BDEGENER[SERIE],0),57),"")</f>
        <v>17</v>
      </c>
      <c r="L67" s="775" t="str">
        <f>IF(TODEQUIPOS[[#This Row],[CONTADOR]]=1,"UNICO","DUPLICADO")</f>
        <v>UNICO</v>
      </c>
      <c r="M67" s="775">
        <f>COUNTIF(TODEQUIPOS[N° DE SERIE],TODEQUIPOS[[#This Row],[N° DE SERIE]])</f>
        <v>1</v>
      </c>
    </row>
    <row r="68" spans="2:13" x14ac:dyDescent="0.3">
      <c r="B68">
        <v>3004597773</v>
      </c>
      <c r="C68" s="801" t="str">
        <f>IFERROR(INDEX(BDEGENER[],MATCH(TODEQUIPOS[[#This Row],[N° DE SERIE]],BDEGENER[SERIE],0),26),"")</f>
        <v>GENERAC</v>
      </c>
      <c r="D68" s="775" t="str">
        <f>IFERROR(INDEX(BDEGENER[],MATCH(TODEQUIPOS[[#This Row],[N° DE SERIE]],BDEGENER[SERIE],0),27),"")</f>
        <v>RG022</v>
      </c>
      <c r="E68" s="776" t="str">
        <f>IFERROR(INDEX(BDEGENER[],MATCH(TODEQUIPOS[[#This Row],[N° DE SERIE]],BDEGENER[SERIE],0),11),"")</f>
        <v>SANTA ELENA</v>
      </c>
      <c r="F68" s="776" t="str">
        <f>IFERROR(INDEX(BDEGENER[],MATCH(TODEQUIPOS[[#This Row],[N° DE SERIE]],BDEGENER[SERIE],0),12),"")</f>
        <v>GRANJA CORILIZ</v>
      </c>
      <c r="G68" s="802">
        <f>IFERROR(INDEX(BDEGENER[],MATCH(TODEQUIPOS[[#This Row],[N° DE SERIE]],BDEGENER[SERIE],0),10),"")</f>
        <v>44123</v>
      </c>
      <c r="H68" s="777">
        <f>IFERROR(INDEX(BDEGENER[],MATCH(TODEQUIPOS[[#This Row],[N° DE SERIE]],BDEGENER[SERIE],0),31),"")</f>
        <v>3087.7</v>
      </c>
      <c r="I68" s="775">
        <f>IFERROR(INDEX(BDEGENER[],MATCH(TODEQUIPOS[[#This Row],[N° DE SERIE]],BDEGENER[SERIE],0),47),"")</f>
        <v>0</v>
      </c>
      <c r="J68" s="775">
        <f>IFERROR(INDEX(BDEGENER[],MATCH(TODEQUIPOS[[#This Row],[N° DE SERIE]],BDEGENER[SERIE],0),48),"")</f>
        <v>9</v>
      </c>
      <c r="K68" s="775">
        <f>IFERROR(INDEX(BDEGENER[],MATCH(TODEQUIPOS[[#This Row],[N° DE SERIE]],BDEGENER[SERIE],0),57),"")</f>
        <v>11</v>
      </c>
      <c r="L68" s="775" t="str">
        <f>IF(TODEQUIPOS[[#This Row],[CONTADOR]]=1,"UNICO","DUPLICADO")</f>
        <v>UNICO</v>
      </c>
      <c r="M68" s="775">
        <f>COUNTIF(TODEQUIPOS[N° DE SERIE],TODEQUIPOS[[#This Row],[N° DE SERIE]])</f>
        <v>1</v>
      </c>
    </row>
    <row r="69" spans="2:13" x14ac:dyDescent="0.3">
      <c r="B69">
        <v>3004336198</v>
      </c>
      <c r="C69" s="801" t="str">
        <f>IFERROR(INDEX(BDEGENER[],MATCH(TODEQUIPOS[[#This Row],[N° DE SERIE]],BDEGENER[SERIE],0),26),"")</f>
        <v>GENERAC</v>
      </c>
      <c r="D69" s="775" t="str">
        <f>IFERROR(INDEX(BDEGENER[],MATCH(TODEQUIPOS[[#This Row],[N° DE SERIE]],BDEGENER[SERIE],0),27),"")</f>
        <v>PG090</v>
      </c>
      <c r="E69" s="776" t="str">
        <f>IFERROR(INDEX(BDEGENER[],MATCH(TODEQUIPOS[[#This Row],[N° DE SERIE]],BDEGENER[SERIE],0),11),"")</f>
        <v>SAN FERNANDO</v>
      </c>
      <c r="F69" s="776" t="str">
        <f>IFERROR(INDEX(BDEGENER[],MATCH(TODEQUIPOS[[#This Row],[N° DE SERIE]],BDEGENER[SERIE],0),12),"")</f>
        <v>PL-502</v>
      </c>
      <c r="G69" s="802">
        <f>IFERROR(INDEX(BDEGENER[],MATCH(TODEQUIPOS[[#This Row],[N° DE SERIE]],BDEGENER[SERIE],0),10),"")</f>
        <v>44120</v>
      </c>
      <c r="H69" s="777">
        <f>IFERROR(INDEX(BDEGENER[],MATCH(TODEQUIPOS[[#This Row],[N° DE SERIE]],BDEGENER[SERIE],0),31),"")</f>
        <v>2049.3000000000002</v>
      </c>
      <c r="I69" s="775">
        <f>IFERROR(INDEX(BDEGENER[],MATCH(TODEQUIPOS[[#This Row],[N° DE SERIE]],BDEGENER[SERIE],0),47),"")</f>
        <v>3</v>
      </c>
      <c r="J69" s="775">
        <f>IFERROR(INDEX(BDEGENER[],MATCH(TODEQUIPOS[[#This Row],[N° DE SERIE]],BDEGENER[SERIE],0),48),"")</f>
        <v>7</v>
      </c>
      <c r="K69" s="775">
        <f>IFERROR(INDEX(BDEGENER[],MATCH(TODEQUIPOS[[#This Row],[N° DE SERIE]],BDEGENER[SERIE],0),57),"")</f>
        <v>12</v>
      </c>
      <c r="L69" s="775" t="str">
        <f>IF(TODEQUIPOS[[#This Row],[CONTADOR]]=1,"UNICO","DUPLICADO")</f>
        <v>UNICO</v>
      </c>
      <c r="M69" s="775">
        <f>COUNTIF(TODEQUIPOS[N° DE SERIE],TODEQUIPOS[[#This Row],[N° DE SERIE]])</f>
        <v>1</v>
      </c>
    </row>
    <row r="70" spans="2:13" x14ac:dyDescent="0.3">
      <c r="B70">
        <v>3004555914</v>
      </c>
      <c r="C70" s="801" t="str">
        <f>IFERROR(INDEX(BDEGENER[],MATCH(TODEQUIPOS[[#This Row],[N° DE SERIE]],BDEGENER[SERIE],0),26),"")</f>
        <v>GENERAC</v>
      </c>
      <c r="D70" s="775" t="str">
        <f>IFERROR(INDEX(BDEGENER[],MATCH(TODEQUIPOS[[#This Row],[N° DE SERIE]],BDEGENER[SERIE],0),27),"")</f>
        <v>RG022</v>
      </c>
      <c r="E70" s="776" t="str">
        <f>IFERROR(INDEX(BDEGENER[],MATCH(TODEQUIPOS[[#This Row],[N° DE SERIE]],BDEGENER[SERIE],0),11),"")</f>
        <v>REDONDOS</v>
      </c>
      <c r="F70" s="776" t="str">
        <f>IFERROR(INDEX(BDEGENER[],MATCH(TODEQUIPOS[[#This Row],[N° DE SERIE]],BDEGENER[SERIE],0),12),"")</f>
        <v>GRANJA PUCUSANA</v>
      </c>
      <c r="G70" s="802">
        <f>IFERROR(INDEX(BDEGENER[],MATCH(TODEQUIPOS[[#This Row],[N° DE SERIE]],BDEGENER[SERIE],0),10),"")</f>
        <v>44113</v>
      </c>
      <c r="H70" s="777">
        <f>IFERROR(INDEX(BDEGENER[],MATCH(TODEQUIPOS[[#This Row],[N° DE SERIE]],BDEGENER[SERIE],0),31),"")</f>
        <v>2894.4</v>
      </c>
      <c r="I70" s="775">
        <f>IFERROR(INDEX(BDEGENER[],MATCH(TODEQUIPOS[[#This Row],[N° DE SERIE]],BDEGENER[SERIE],0),47),"")</f>
        <v>2</v>
      </c>
      <c r="J70" s="775">
        <f>IFERROR(INDEX(BDEGENER[],MATCH(TODEQUIPOS[[#This Row],[N° DE SERIE]],BDEGENER[SERIE],0),48),"")</f>
        <v>5</v>
      </c>
      <c r="K70" s="775">
        <f>IFERROR(INDEX(BDEGENER[],MATCH(TODEQUIPOS[[#This Row],[N° DE SERIE]],BDEGENER[SERIE],0),57),"")</f>
        <v>11</v>
      </c>
      <c r="L70" s="775" t="str">
        <f>IF(TODEQUIPOS[[#This Row],[CONTADOR]]=1,"UNICO","DUPLICADO")</f>
        <v>UNICO</v>
      </c>
      <c r="M70" s="775">
        <f>COUNTIF(TODEQUIPOS[N° DE SERIE],TODEQUIPOS[[#This Row],[N° DE SERIE]])</f>
        <v>1</v>
      </c>
    </row>
    <row r="71" spans="2:13" x14ac:dyDescent="0.3">
      <c r="B71">
        <v>3003415539</v>
      </c>
      <c r="C71" s="801" t="str">
        <f>IFERROR(INDEX(BDEGENER[],MATCH(TODEQUIPOS[[#This Row],[N° DE SERIE]],BDEGENER[SERIE],0),26),"")</f>
        <v>GENERAC</v>
      </c>
      <c r="D71" s="775" t="str">
        <f>IFERROR(INDEX(BDEGENER[],MATCH(TODEQUIPOS[[#This Row],[N° DE SERIE]],BDEGENER[SERIE],0),27),"")</f>
        <v>RG022</v>
      </c>
      <c r="E71" s="776" t="str">
        <f>IFERROR(INDEX(BDEGENER[],MATCH(TODEQUIPOS[[#This Row],[N° DE SERIE]],BDEGENER[SERIE],0),11),"")</f>
        <v>SANTA ELENA</v>
      </c>
      <c r="F71" s="776" t="str">
        <f>IFERROR(INDEX(BDEGENER[],MATCH(TODEQUIPOS[[#This Row],[N° DE SERIE]],BDEGENER[SERIE],0),12),"")</f>
        <v>ASIA 3</v>
      </c>
      <c r="G71" s="802">
        <f>IFERROR(INDEX(BDEGENER[],MATCH(TODEQUIPOS[[#This Row],[N° DE SERIE]],BDEGENER[SERIE],0),10),"")</f>
        <v>44113</v>
      </c>
      <c r="H71" s="777">
        <f>IFERROR(INDEX(BDEGENER[],MATCH(TODEQUIPOS[[#This Row],[N° DE SERIE]],BDEGENER[SERIE],0),31),"")</f>
        <v>5881.6</v>
      </c>
      <c r="I71" s="775">
        <f>IFERROR(INDEX(BDEGENER[],MATCH(TODEQUIPOS[[#This Row],[N° DE SERIE]],BDEGENER[SERIE],0),47),"")</f>
        <v>4</v>
      </c>
      <c r="J71" s="775">
        <f>IFERROR(INDEX(BDEGENER[],MATCH(TODEQUIPOS[[#This Row],[N° DE SERIE]],BDEGENER[SERIE],0),48),"")</f>
        <v>11</v>
      </c>
      <c r="K71" s="775">
        <f>IFERROR(INDEX(BDEGENER[],MATCH(TODEQUIPOS[[#This Row],[N° DE SERIE]],BDEGENER[SERIE],0),57),"")</f>
        <v>16</v>
      </c>
      <c r="L71" s="775" t="str">
        <f>IF(TODEQUIPOS[[#This Row],[CONTADOR]]=1,"UNICO","DUPLICADO")</f>
        <v>UNICO</v>
      </c>
      <c r="M71" s="775">
        <f>COUNTIF(TODEQUIPOS[N° DE SERIE],TODEQUIPOS[[#This Row],[N° DE SERIE]])</f>
        <v>1</v>
      </c>
    </row>
    <row r="72" spans="2:13" x14ac:dyDescent="0.3">
      <c r="B72">
        <v>3003566703</v>
      </c>
      <c r="C72" s="801" t="str">
        <f>IFERROR(INDEX(BDEGENER[],MATCH(TODEQUIPOS[[#This Row],[N° DE SERIE]],BDEGENER[SERIE],0),26),"")</f>
        <v>GENERAC</v>
      </c>
      <c r="D72" s="775" t="str">
        <f>IFERROR(INDEX(BDEGENER[],MATCH(TODEQUIPOS[[#This Row],[N° DE SERIE]],BDEGENER[SERIE],0),27),"")</f>
        <v>PG090</v>
      </c>
      <c r="E72" s="776" t="str">
        <f>IFERROR(INDEX(BDEGENER[],MATCH(TODEQUIPOS[[#This Row],[N° DE SERIE]],BDEGENER[SERIE],0),11),"")</f>
        <v>SANTA ELENA</v>
      </c>
      <c r="F72" s="776" t="str">
        <f>IFERROR(INDEX(BDEGENER[],MATCH(TODEQUIPOS[[#This Row],[N° DE SERIE]],BDEGENER[SERIE],0),12),"")</f>
        <v>DOÑA MARIA 4</v>
      </c>
      <c r="G72" s="802">
        <f>IFERROR(INDEX(BDEGENER[],MATCH(TODEQUIPOS[[#This Row],[N° DE SERIE]],BDEGENER[SERIE],0),10),"")</f>
        <v>44159</v>
      </c>
      <c r="H72" s="777">
        <f>IFERROR(INDEX(BDEGENER[],MATCH(TODEQUIPOS[[#This Row],[N° DE SERIE]],BDEGENER[SERIE],0),31),"")</f>
        <v>6396.5</v>
      </c>
      <c r="I72" s="775">
        <f>IFERROR(INDEX(BDEGENER[],MATCH(TODEQUIPOS[[#This Row],[N° DE SERIE]],BDEGENER[SERIE],0),47),"")</f>
        <v>1</v>
      </c>
      <c r="J72" s="775">
        <f>IFERROR(INDEX(BDEGENER[],MATCH(TODEQUIPOS[[#This Row],[N° DE SERIE]],BDEGENER[SERIE],0),48),"")</f>
        <v>8</v>
      </c>
      <c r="K72" s="775">
        <f>IFERROR(INDEX(BDEGENER[],MATCH(TODEQUIPOS[[#This Row],[N° DE SERIE]],BDEGENER[SERIE],0),57),"")</f>
        <v>11</v>
      </c>
      <c r="L72" s="775" t="str">
        <f>IF(TODEQUIPOS[[#This Row],[CONTADOR]]=1,"UNICO","DUPLICADO")</f>
        <v>UNICO</v>
      </c>
      <c r="M72" s="775">
        <f>COUNTIF(TODEQUIPOS[N° DE SERIE],TODEQUIPOS[[#This Row],[N° DE SERIE]])</f>
        <v>1</v>
      </c>
    </row>
    <row r="73" spans="2:13" x14ac:dyDescent="0.3">
      <c r="B73">
        <v>1603596</v>
      </c>
      <c r="C73" s="801" t="str">
        <f>IFERROR(INDEX(BDEGENER[],MATCH(TODEQUIPOS[[#This Row],[N° DE SERIE]],BDEGENER[SERIE],0),26),"")</f>
        <v>GENERAC</v>
      </c>
      <c r="D73" s="775" t="str">
        <f>IFERROR(INDEX(BDEGENER[],MATCH(TODEQUIPOS[[#This Row],[N° DE SERIE]],BDEGENER[SERIE],0),27),"")</f>
        <v>VT8 K3</v>
      </c>
      <c r="E73" s="776" t="str">
        <f>IFERROR(INDEX(BDEGENER[],MATCH(TODEQUIPOS[[#This Row],[N° DE SERIE]],BDEGENER[SERIE],0),11),"")</f>
        <v>MANTTO SAC</v>
      </c>
      <c r="F73" s="776" t="str">
        <f>IFERROR(INDEX(BDEGENER[],MATCH(TODEQUIPOS[[#This Row],[N° DE SERIE]],BDEGENER[SERIE],0),12),"")</f>
        <v>PUERTO VIEJO - CAÑETE</v>
      </c>
      <c r="G73" s="802">
        <f>IFERROR(INDEX(BDEGENER[],MATCH(TODEQUIPOS[[#This Row],[N° DE SERIE]],BDEGENER[SERIE],0),10),"")</f>
        <v>44111</v>
      </c>
      <c r="H73" s="777">
        <f>IFERROR(INDEX(BDEGENER[],MATCH(TODEQUIPOS[[#This Row],[N° DE SERIE]],BDEGENER[SERIE],0),31),"")</f>
        <v>2004.6</v>
      </c>
      <c r="I73" s="775">
        <f>IFERROR(INDEX(BDEGENER[],MATCH(TODEQUIPOS[[#This Row],[N° DE SERIE]],BDEGENER[SERIE],0),47),"")</f>
        <v>2</v>
      </c>
      <c r="J73" s="775">
        <f>IFERROR(INDEX(BDEGENER[],MATCH(TODEQUIPOS[[#This Row],[N° DE SERIE]],BDEGENER[SERIE],0),48),"")</f>
        <v>4</v>
      </c>
      <c r="K73" s="775">
        <f>IFERROR(INDEX(BDEGENER[],MATCH(TODEQUIPOS[[#This Row],[N° DE SERIE]],BDEGENER[SERIE],0),57),"")</f>
        <v>6</v>
      </c>
      <c r="L73" s="775" t="str">
        <f>IF(TODEQUIPOS[[#This Row],[CONTADOR]]=1,"UNICO","DUPLICADO")</f>
        <v>UNICO</v>
      </c>
      <c r="M73" s="775">
        <f>COUNTIF(TODEQUIPOS[N° DE SERIE],TODEQUIPOS[[#This Row],[N° DE SERIE]])</f>
        <v>1</v>
      </c>
    </row>
    <row r="74" spans="2:13" x14ac:dyDescent="0.3">
      <c r="B74">
        <v>3004337429</v>
      </c>
      <c r="C74" s="801" t="str">
        <f>IFERROR(INDEX(BDEGENER[],MATCH(TODEQUIPOS[[#This Row],[N° DE SERIE]],BDEGENER[SERIE],0),26),"")</f>
        <v>GENERAC</v>
      </c>
      <c r="D74" s="775" t="str">
        <f>IFERROR(INDEX(BDEGENER[],MATCH(TODEQUIPOS[[#This Row],[N° DE SERIE]],BDEGENER[SERIE],0),27),"")</f>
        <v>PG090</v>
      </c>
      <c r="E74" s="776" t="str">
        <f>IFERROR(INDEX(BDEGENER[],MATCH(TODEQUIPOS[[#This Row],[N° DE SERIE]],BDEGENER[SERIE],0),11),"")</f>
        <v>SAN FERNANDO</v>
      </c>
      <c r="F74" s="776" t="str">
        <f>IFERROR(INDEX(BDEGENER[],MATCH(TODEQUIPOS[[#This Row],[N° DE SERIE]],BDEGENER[SERIE],0),12),"")</f>
        <v>PL-805</v>
      </c>
      <c r="G74" s="802">
        <f>IFERROR(INDEX(BDEGENER[],MATCH(TODEQUIPOS[[#This Row],[N° DE SERIE]],BDEGENER[SERIE],0),10),"")</f>
        <v>44203</v>
      </c>
      <c r="H74" s="777">
        <f>IFERROR(INDEX(BDEGENER[],MATCH(TODEQUIPOS[[#This Row],[N° DE SERIE]],BDEGENER[SERIE],0),31),"")</f>
        <v>2207.6999999999998</v>
      </c>
      <c r="I74" s="775">
        <f>IFERROR(INDEX(BDEGENER[],MATCH(TODEQUIPOS[[#This Row],[N° DE SERIE]],BDEGENER[SERIE],0),47),"")</f>
        <v>1</v>
      </c>
      <c r="J74" s="775">
        <f>IFERROR(INDEX(BDEGENER[],MATCH(TODEQUIPOS[[#This Row],[N° DE SERIE]],BDEGENER[SERIE],0),48),"")</f>
        <v>7</v>
      </c>
      <c r="K74" s="775">
        <f>IFERROR(INDEX(BDEGENER[],MATCH(TODEQUIPOS[[#This Row],[N° DE SERIE]],BDEGENER[SERIE],0),57),"")</f>
        <v>9</v>
      </c>
      <c r="L74" s="775" t="str">
        <f>IF(TODEQUIPOS[[#This Row],[CONTADOR]]=1,"UNICO","DUPLICADO")</f>
        <v>UNICO</v>
      </c>
      <c r="M74" s="775">
        <f>COUNTIF(TODEQUIPOS[N° DE SERIE],TODEQUIPOS[[#This Row],[N° DE SERIE]])</f>
        <v>1</v>
      </c>
    </row>
    <row r="75" spans="2:13" x14ac:dyDescent="0.3">
      <c r="B75">
        <v>3005167425</v>
      </c>
      <c r="C75" s="801" t="str">
        <f>IFERROR(INDEX(BDEGENER[],MATCH(TODEQUIPOS[[#This Row],[N° DE SERIE]],BDEGENER[SERIE],0),26),"")</f>
        <v>GENERAC</v>
      </c>
      <c r="D75" s="775" t="str">
        <f>IFERROR(INDEX(BDEGENER[],MATCH(TODEQUIPOS[[#This Row],[N° DE SERIE]],BDEGENER[SERIE],0),27),"")</f>
        <v>SG070</v>
      </c>
      <c r="E75" s="776" t="str">
        <f>IFERROR(INDEX(BDEGENER[],MATCH(TODEQUIPOS[[#This Row],[N° DE SERIE]],BDEGENER[SERIE],0),11),"")</f>
        <v>SAN FERNANDO</v>
      </c>
      <c r="F75" s="776" t="str">
        <f>IFERROR(INDEX(BDEGENER[],MATCH(TODEQUIPOS[[#This Row],[N° DE SERIE]],BDEGENER[SERIE],0),12),"")</f>
        <v>P267-02</v>
      </c>
      <c r="G75" s="802">
        <f>IFERROR(INDEX(BDEGENER[],MATCH(TODEQUIPOS[[#This Row],[N° DE SERIE]],BDEGENER[SERIE],0),10),"")</f>
        <v>44154</v>
      </c>
      <c r="H75" s="777">
        <f>IFERROR(INDEX(BDEGENER[],MATCH(TODEQUIPOS[[#This Row],[N° DE SERIE]],BDEGENER[SERIE],0),31),"")</f>
        <v>1939.8</v>
      </c>
      <c r="I75" s="775">
        <f>IFERROR(INDEX(BDEGENER[],MATCH(TODEQUIPOS[[#This Row],[N° DE SERIE]],BDEGENER[SERIE],0),47),"")</f>
        <v>0</v>
      </c>
      <c r="J75" s="775">
        <f>IFERROR(INDEX(BDEGENER[],MATCH(TODEQUIPOS[[#This Row],[N° DE SERIE]],BDEGENER[SERIE],0),48),"")</f>
        <v>6</v>
      </c>
      <c r="K75" s="775">
        <f>IFERROR(INDEX(BDEGENER[],MATCH(TODEQUIPOS[[#This Row],[N° DE SERIE]],BDEGENER[SERIE],0),57),"")</f>
        <v>7</v>
      </c>
      <c r="L75" s="775" t="str">
        <f>IF(TODEQUIPOS[[#This Row],[CONTADOR]]=1,"UNICO","DUPLICADO")</f>
        <v>UNICO</v>
      </c>
      <c r="M75" s="775">
        <f>COUNTIF(TODEQUIPOS[N° DE SERIE],TODEQUIPOS[[#This Row],[N° DE SERIE]])</f>
        <v>1</v>
      </c>
    </row>
    <row r="76" spans="2:13" x14ac:dyDescent="0.3">
      <c r="B76">
        <v>3004327722</v>
      </c>
      <c r="C76" s="801" t="str">
        <f>IFERROR(INDEX(BDEGENER[],MATCH(TODEQUIPOS[[#This Row],[N° DE SERIE]],BDEGENER[SERIE],0),26),"")</f>
        <v>GENERAC</v>
      </c>
      <c r="D76" s="775" t="str">
        <f>IFERROR(INDEX(BDEGENER[],MATCH(TODEQUIPOS[[#This Row],[N° DE SERIE]],BDEGENER[SERIE],0),27),"")</f>
        <v>PG090</v>
      </c>
      <c r="E76" s="776" t="str">
        <f>IFERROR(INDEX(BDEGENER[],MATCH(TODEQUIPOS[[#This Row],[N° DE SERIE]],BDEGENER[SERIE],0),11),"")</f>
        <v>SAN FERNANDO</v>
      </c>
      <c r="F76" s="776" t="str">
        <f>IFERROR(INDEX(BDEGENER[],MATCH(TODEQUIPOS[[#This Row],[N° DE SERIE]],BDEGENER[SERIE],0),12),"")</f>
        <v>PL-502</v>
      </c>
      <c r="G76" s="802">
        <f>IFERROR(INDEX(BDEGENER[],MATCH(TODEQUIPOS[[#This Row],[N° DE SERIE]],BDEGENER[SERIE],0),10),"")</f>
        <v>44158</v>
      </c>
      <c r="H76" s="777">
        <f>IFERROR(INDEX(BDEGENER[],MATCH(TODEQUIPOS[[#This Row],[N° DE SERIE]],BDEGENER[SERIE],0),31),"")</f>
        <v>2102.5</v>
      </c>
      <c r="I76" s="775">
        <f>IFERROR(INDEX(BDEGENER[],MATCH(TODEQUIPOS[[#This Row],[N° DE SERIE]],BDEGENER[SERIE],0),47),"")</f>
        <v>1</v>
      </c>
      <c r="J76" s="775">
        <f>IFERROR(INDEX(BDEGENER[],MATCH(TODEQUIPOS[[#This Row],[N° DE SERIE]],BDEGENER[SERIE],0),48),"")</f>
        <v>8</v>
      </c>
      <c r="K76" s="775">
        <f>IFERROR(INDEX(BDEGENER[],MATCH(TODEQUIPOS[[#This Row],[N° DE SERIE]],BDEGENER[SERIE],0),57),"")</f>
        <v>10</v>
      </c>
      <c r="L76" s="775" t="str">
        <f>IF(TODEQUIPOS[[#This Row],[CONTADOR]]=1,"UNICO","DUPLICADO")</f>
        <v>UNICO</v>
      </c>
      <c r="M76" s="775">
        <f>COUNTIF(TODEQUIPOS[N° DE SERIE],TODEQUIPOS[[#This Row],[N° DE SERIE]])</f>
        <v>1</v>
      </c>
    </row>
    <row r="77" spans="2:13" x14ac:dyDescent="0.3">
      <c r="B77">
        <v>3004428523</v>
      </c>
      <c r="C77" s="801" t="str">
        <f>IFERROR(INDEX(BDEGENER[],MATCH(TODEQUIPOS[[#This Row],[N° DE SERIE]],BDEGENER[SERIE],0),26),"")</f>
        <v>GENERAC</v>
      </c>
      <c r="D77" s="775" t="str">
        <f>IFERROR(INDEX(BDEGENER[],MATCH(TODEQUIPOS[[#This Row],[N° DE SERIE]],BDEGENER[SERIE],0),27),"")</f>
        <v>PG090</v>
      </c>
      <c r="E77" s="776" t="str">
        <f>IFERROR(INDEX(BDEGENER[],MATCH(TODEQUIPOS[[#This Row],[N° DE SERIE]],BDEGENER[SERIE],0),11),"")</f>
        <v>SAN FERNANDO</v>
      </c>
      <c r="F77" s="776" t="str">
        <f>IFERROR(INDEX(BDEGENER[],MATCH(TODEQUIPOS[[#This Row],[N° DE SERIE]],BDEGENER[SERIE],0),12),"")</f>
        <v>PONEDORAS H17</v>
      </c>
      <c r="G77" s="802">
        <f>IFERROR(INDEX(BDEGENER[],MATCH(TODEQUIPOS[[#This Row],[N° DE SERIE]],BDEGENER[SERIE],0),10),"")</f>
        <v>44162</v>
      </c>
      <c r="H77" s="777">
        <f>IFERROR(INDEX(BDEGENER[],MATCH(TODEQUIPOS[[#This Row],[N° DE SERIE]],BDEGENER[SERIE],0),31),"")</f>
        <v>2439.9</v>
      </c>
      <c r="I77" s="775">
        <f>IFERROR(INDEX(BDEGENER[],MATCH(TODEQUIPOS[[#This Row],[N° DE SERIE]],BDEGENER[SERIE],0),47),"")</f>
        <v>2</v>
      </c>
      <c r="J77" s="775">
        <f>IFERROR(INDEX(BDEGENER[],MATCH(TODEQUIPOS[[#This Row],[N° DE SERIE]],BDEGENER[SERIE],0),48),"")</f>
        <v>9</v>
      </c>
      <c r="K77" s="775">
        <f>IFERROR(INDEX(BDEGENER[],MATCH(TODEQUIPOS[[#This Row],[N° DE SERIE]],BDEGENER[SERIE],0),57),"")</f>
        <v>14</v>
      </c>
      <c r="L77" s="775" t="str">
        <f>IF(TODEQUIPOS[[#This Row],[CONTADOR]]=1,"UNICO","DUPLICADO")</f>
        <v>UNICO</v>
      </c>
      <c r="M77" s="775">
        <f>COUNTIF(TODEQUIPOS[N° DE SERIE],TODEQUIPOS[[#This Row],[N° DE SERIE]])</f>
        <v>1</v>
      </c>
    </row>
    <row r="78" spans="2:13" x14ac:dyDescent="0.3">
      <c r="B78" t="s">
        <v>3367</v>
      </c>
      <c r="C78" s="801" t="str">
        <f>IFERROR(INDEX(BDEGENER[],MATCH(TODEQUIPOS[[#This Row],[N° DE SERIE]],BDEGENER[SERIE],0),26),"")</f>
        <v>FG - WILSON</v>
      </c>
      <c r="D78" s="775" t="str">
        <f>IFERROR(INDEX(BDEGENER[],MATCH(TODEQUIPOS[[#This Row],[N° DE SERIE]],BDEGENER[SERIE],0),27),"")</f>
        <v>PG-90</v>
      </c>
      <c r="E78" s="776" t="str">
        <f>IFERROR(INDEX(BDEGENER[],MATCH(TODEQUIPOS[[#This Row],[N° DE SERIE]],BDEGENER[SERIE],0),11),"")</f>
        <v>SODEXO</v>
      </c>
      <c r="F78" s="776" t="str">
        <f>IFERROR(INDEX(BDEGENER[],MATCH(TODEQUIPOS[[#This Row],[N° DE SERIE]],BDEGENER[SERIE],0),12),"")</f>
        <v>CITIBANK CAMINO REAL</v>
      </c>
      <c r="G78" s="802">
        <f>IFERROR(INDEX(BDEGENER[],MATCH(TODEQUIPOS[[#This Row],[N° DE SERIE]],BDEGENER[SERIE],0),10),"")</f>
        <v>44096</v>
      </c>
      <c r="H78" s="777">
        <f>IFERROR(INDEX(BDEGENER[],MATCH(TODEQUIPOS[[#This Row],[N° DE SERIE]],BDEGENER[SERIE],0),31),"")</f>
        <v>308.3</v>
      </c>
      <c r="I78" s="775">
        <f>IFERROR(INDEX(BDEGENER[],MATCH(TODEQUIPOS[[#This Row],[N° DE SERIE]],BDEGENER[SERIE],0),47),"")</f>
        <v>1</v>
      </c>
      <c r="J78" s="775">
        <f>IFERROR(INDEX(BDEGENER[],MATCH(TODEQUIPOS[[#This Row],[N° DE SERIE]],BDEGENER[SERIE],0),48),"")</f>
        <v>6</v>
      </c>
      <c r="K78" s="775">
        <f>IFERROR(INDEX(BDEGENER[],MATCH(TODEQUIPOS[[#This Row],[N° DE SERIE]],BDEGENER[SERIE],0),57),"")</f>
        <v>7</v>
      </c>
      <c r="L78" s="775" t="str">
        <f>IF(TODEQUIPOS[[#This Row],[CONTADOR]]=1,"UNICO","DUPLICADO")</f>
        <v>UNICO</v>
      </c>
      <c r="M78" s="775">
        <f>COUNTIF(TODEQUIPOS[N° DE SERIE],TODEQUIPOS[[#This Row],[N° DE SERIE]])</f>
        <v>1</v>
      </c>
    </row>
    <row r="79" spans="2:13" x14ac:dyDescent="0.3">
      <c r="B79" t="s">
        <v>2742</v>
      </c>
      <c r="C79" s="801" t="str">
        <f>IFERROR(INDEX(BDEGENER[],MATCH(TODEQUIPOS[[#This Row],[N° DE SERIE]],BDEGENER[SERIE],0),26),"")</f>
        <v>FORD</v>
      </c>
      <c r="D79" s="775" t="str">
        <f>IFERROR(INDEX(BDEGENER[],MATCH(TODEQUIPOS[[#This Row],[N° DE SERIE]],BDEGENER[SERIE],0),27),"")</f>
        <v>ECOSPORT</v>
      </c>
      <c r="E79" s="776" t="str">
        <f>IFERROR(INDEX(BDEGENER[],MATCH(TODEQUIPOS[[#This Row],[N° DE SERIE]],BDEGENER[SERIE],0),11),"")</f>
        <v>EGENER</v>
      </c>
      <c r="F79" s="776" t="str">
        <f>IFERROR(INDEX(BDEGENER[],MATCH(TODEQUIPOS[[#This Row],[N° DE SERIE]],BDEGENER[SERIE],0),12),"")</f>
        <v>ZONA SUR - PISCO</v>
      </c>
      <c r="G79" s="802">
        <f>IFERROR(INDEX(BDEGENER[],MATCH(TODEQUIPOS[[#This Row],[N° DE SERIE]],BDEGENER[SERIE],0),10),"")</f>
        <v>44096</v>
      </c>
      <c r="H79" s="777">
        <f>IFERROR(INDEX(BDEGENER[],MATCH(TODEQUIPOS[[#This Row],[N° DE SERIE]],BDEGENER[SERIE],0),31),"")</f>
        <v>141510</v>
      </c>
      <c r="I79" s="775">
        <f>IFERROR(INDEX(BDEGENER[],MATCH(TODEQUIPOS[[#This Row],[N° DE SERIE]],BDEGENER[SERIE],0),47),"")</f>
        <v>3</v>
      </c>
      <c r="J79" s="775">
        <f>IFERROR(INDEX(BDEGENER[],MATCH(TODEQUIPOS[[#This Row],[N° DE SERIE]],BDEGENER[SERIE],0),48),"")</f>
        <v>3</v>
      </c>
      <c r="K79" s="775">
        <f>IFERROR(INDEX(BDEGENER[],MATCH(TODEQUIPOS[[#This Row],[N° DE SERIE]],BDEGENER[SERIE],0),57),"")</f>
        <v>6</v>
      </c>
      <c r="L79" s="775" t="str">
        <f>IF(TODEQUIPOS[[#This Row],[CONTADOR]]=1,"UNICO","DUPLICADO")</f>
        <v>UNICO</v>
      </c>
      <c r="M79" s="775">
        <f>COUNTIF(TODEQUIPOS[N° DE SERIE],TODEQUIPOS[[#This Row],[N° DE SERIE]])</f>
        <v>1</v>
      </c>
    </row>
    <row r="80" spans="2:13" x14ac:dyDescent="0.3">
      <c r="B80">
        <v>3005005007</v>
      </c>
      <c r="C80" s="801" t="str">
        <f>IFERROR(INDEX(BDEGENER[],MATCH(TODEQUIPOS[[#This Row],[N° DE SERIE]],BDEGENER[SERIE],0),26),"")</f>
        <v>GENERAC</v>
      </c>
      <c r="D80" s="775" t="str">
        <f>IFERROR(INDEX(BDEGENER[],MATCH(TODEQUIPOS[[#This Row],[N° DE SERIE]],BDEGENER[SERIE],0),27),"")</f>
        <v>PG090</v>
      </c>
      <c r="E80" s="776" t="str">
        <f>IFERROR(INDEX(BDEGENER[],MATCH(TODEQUIPOS[[#This Row],[N° DE SERIE]],BDEGENER[SERIE],0),11),"")</f>
        <v>REDONDOS</v>
      </c>
      <c r="F80" s="776" t="str">
        <f>IFERROR(INDEX(BDEGENER[],MATCH(TODEQUIPOS[[#This Row],[N° DE SERIE]],BDEGENER[SERIE],0),12),"")</f>
        <v>LOBITOS 2</v>
      </c>
      <c r="G80" s="802">
        <f>IFERROR(INDEX(BDEGENER[],MATCH(TODEQUIPOS[[#This Row],[N° DE SERIE]],BDEGENER[SERIE],0),10),"")</f>
        <v>44095</v>
      </c>
      <c r="H80" s="777">
        <f>IFERROR(INDEX(BDEGENER[],MATCH(TODEQUIPOS[[#This Row],[N° DE SERIE]],BDEGENER[SERIE],0),31),"")</f>
        <v>2333.3000000000002</v>
      </c>
      <c r="I80" s="775">
        <f>IFERROR(INDEX(BDEGENER[],MATCH(TODEQUIPOS[[#This Row],[N° DE SERIE]],BDEGENER[SERIE],0),47),"")</f>
        <v>1</v>
      </c>
      <c r="J80" s="775">
        <f>IFERROR(INDEX(BDEGENER[],MATCH(TODEQUIPOS[[#This Row],[N° DE SERIE]],BDEGENER[SERIE],0),48),"")</f>
        <v>7</v>
      </c>
      <c r="K80" s="775">
        <f>IFERROR(INDEX(BDEGENER[],MATCH(TODEQUIPOS[[#This Row],[N° DE SERIE]],BDEGENER[SERIE],0),57),"")</f>
        <v>11</v>
      </c>
      <c r="L80" s="775" t="str">
        <f>IF(TODEQUIPOS[[#This Row],[CONTADOR]]=1,"UNICO","DUPLICADO")</f>
        <v>UNICO</v>
      </c>
      <c r="M80" s="775">
        <f>COUNTIF(TODEQUIPOS[N° DE SERIE],TODEQUIPOS[[#This Row],[N° DE SERIE]])</f>
        <v>1</v>
      </c>
    </row>
    <row r="81" spans="2:13" x14ac:dyDescent="0.3">
      <c r="B81">
        <v>9890344</v>
      </c>
      <c r="C81" s="801" t="str">
        <f>IFERROR(INDEX(BDEGENER[],MATCH(TODEQUIPOS[[#This Row],[N° DE SERIE]],BDEGENER[SERIE],0),26),"")</f>
        <v>GENERAC</v>
      </c>
      <c r="D81" s="775" t="str">
        <f>IFERROR(INDEX(BDEGENER[],MATCH(TODEQUIPOS[[#This Row],[N° DE SERIE]],BDEGENER[SERIE],0),27),"")</f>
        <v>PG0080</v>
      </c>
      <c r="E81" s="776" t="str">
        <f>IFERROR(INDEX(BDEGENER[],MATCH(TODEQUIPOS[[#This Row],[N° DE SERIE]],BDEGENER[SERIE],0),11),"")</f>
        <v>SAN FERNANDO</v>
      </c>
      <c r="F81" s="776" t="str">
        <f>IFERROR(INDEX(BDEGENER[],MATCH(TODEQUIPOS[[#This Row],[N° DE SERIE]],BDEGENER[SERIE],0),12),"")</f>
        <v>GRANJA GUADALUPE</v>
      </c>
      <c r="G81" s="802">
        <f>IFERROR(INDEX(BDEGENER[],MATCH(TODEQUIPOS[[#This Row],[N° DE SERIE]],BDEGENER[SERIE],0),10),"")</f>
        <v>44093</v>
      </c>
      <c r="H81" s="777">
        <f>IFERROR(INDEX(BDEGENER[],MATCH(TODEQUIPOS[[#This Row],[N° DE SERIE]],BDEGENER[SERIE],0),31),"")</f>
        <v>8319.1</v>
      </c>
      <c r="I81" s="775">
        <f>IFERROR(INDEX(BDEGENER[],MATCH(TODEQUIPOS[[#This Row],[N° DE SERIE]],BDEGENER[SERIE],0),47),"")</f>
        <v>1</v>
      </c>
      <c r="J81" s="775">
        <f>IFERROR(INDEX(BDEGENER[],MATCH(TODEQUIPOS[[#This Row],[N° DE SERIE]],BDEGENER[SERIE],0),48),"")</f>
        <v>0</v>
      </c>
      <c r="K81" s="775">
        <f>IFERROR(INDEX(BDEGENER[],MATCH(TODEQUIPOS[[#This Row],[N° DE SERIE]],BDEGENER[SERIE],0),57),"")</f>
        <v>1</v>
      </c>
      <c r="L81" s="775" t="str">
        <f>IF(TODEQUIPOS[[#This Row],[CONTADOR]]=1,"UNICO","DUPLICADO")</f>
        <v>UNICO</v>
      </c>
      <c r="M81" s="775">
        <f>COUNTIF(TODEQUIPOS[N° DE SERIE],TODEQUIPOS[[#This Row],[N° DE SERIE]])</f>
        <v>1</v>
      </c>
    </row>
    <row r="82" spans="2:13" x14ac:dyDescent="0.3">
      <c r="B82" t="s">
        <v>3607</v>
      </c>
      <c r="C82" s="801" t="str">
        <f>IFERROR(INDEX(BDEGENER[],MATCH(TODEQUIPOS[[#This Row],[N° DE SERIE]],BDEGENER[SERIE],0),26),"")</f>
        <v/>
      </c>
      <c r="D82" s="775" t="str">
        <f>IFERROR(INDEX(BDEGENER[],MATCH(TODEQUIPOS[[#This Row],[N° DE SERIE]],BDEGENER[SERIE],0),27),"")</f>
        <v/>
      </c>
      <c r="E82" s="776" t="str">
        <f>IFERROR(INDEX(BDEGENER[],MATCH(TODEQUIPOS[[#This Row],[N° DE SERIE]],BDEGENER[SERIE],0),11),"")</f>
        <v>SODEXO</v>
      </c>
      <c r="F82" s="776" t="str">
        <f>IFERROR(INDEX(BDEGENER[],MATCH(TODEQUIPOS[[#This Row],[N° DE SERIE]],BDEGENER[SERIE],0),12),"")</f>
        <v>CITIBANK SAN ISIDRO</v>
      </c>
      <c r="G82" s="802">
        <f>IFERROR(INDEX(BDEGENER[],MATCH(TODEQUIPOS[[#This Row],[N° DE SERIE]],BDEGENER[SERIE],0),10),"")</f>
        <v>44092</v>
      </c>
      <c r="H82" s="777">
        <f>IFERROR(INDEX(BDEGENER[],MATCH(TODEQUIPOS[[#This Row],[N° DE SERIE]],BDEGENER[SERIE],0),31),"")</f>
        <v>84.42</v>
      </c>
      <c r="I82" s="775">
        <f>IFERROR(INDEX(BDEGENER[],MATCH(TODEQUIPOS[[#This Row],[N° DE SERIE]],BDEGENER[SERIE],0),47),"")</f>
        <v>0</v>
      </c>
      <c r="J82" s="775">
        <f>IFERROR(INDEX(BDEGENER[],MATCH(TODEQUIPOS[[#This Row],[N° DE SERIE]],BDEGENER[SERIE],0),48),"")</f>
        <v>1</v>
      </c>
      <c r="K82" s="775">
        <f>IFERROR(INDEX(BDEGENER[],MATCH(TODEQUIPOS[[#This Row],[N° DE SERIE]],BDEGENER[SERIE],0),57),"")</f>
        <v>1</v>
      </c>
      <c r="L82" s="775" t="str">
        <f>IF(TODEQUIPOS[[#This Row],[CONTADOR]]=1,"UNICO","DUPLICADO")</f>
        <v>UNICO</v>
      </c>
      <c r="M82" s="775">
        <f>COUNTIF(TODEQUIPOS[N° DE SERIE],TODEQUIPOS[[#This Row],[N° DE SERIE]])</f>
        <v>1</v>
      </c>
    </row>
    <row r="83" spans="2:13" x14ac:dyDescent="0.3">
      <c r="B83" t="s">
        <v>836</v>
      </c>
      <c r="C83" s="801" t="str">
        <f>IFERROR(INDEX(BDEGENER[],MATCH(TODEQUIPOS[[#This Row],[N° DE SERIE]],BDEGENER[SERIE],0),26),"")</f>
        <v>CATERPILLAR</v>
      </c>
      <c r="D83" s="775" t="str">
        <f>IFERROR(INDEX(BDEGENER[],MATCH(TODEQUIPOS[[#This Row],[N° DE SERIE]],BDEGENER[SERIE],0),27),"")</f>
        <v>SR4</v>
      </c>
      <c r="E83" s="776" t="str">
        <f>IFERROR(INDEX(BDEGENER[],MATCH(TODEQUIPOS[[#This Row],[N° DE SERIE]],BDEGENER[SERIE],0),11),"")</f>
        <v>SODEXO</v>
      </c>
      <c r="F83" s="776" t="str">
        <f>IFERROR(INDEX(BDEGENER[],MATCH(TODEQUIPOS[[#This Row],[N° DE SERIE]],BDEGENER[SERIE],0),12),"")</f>
        <v>CITIBANK SAN ISIDRO</v>
      </c>
      <c r="G83" s="802">
        <f>IFERROR(INDEX(BDEGENER[],MATCH(TODEQUIPOS[[#This Row],[N° DE SERIE]],BDEGENER[SERIE],0),10),"")</f>
        <v>44092</v>
      </c>
      <c r="H83" s="777">
        <f>IFERROR(INDEX(BDEGENER[],MATCH(TODEQUIPOS[[#This Row],[N° DE SERIE]],BDEGENER[SERIE],0),31),"")</f>
        <v>119.6</v>
      </c>
      <c r="I83" s="775">
        <f>IFERROR(INDEX(BDEGENER[],MATCH(TODEQUIPOS[[#This Row],[N° DE SERIE]],BDEGENER[SERIE],0),47),"")</f>
        <v>1</v>
      </c>
      <c r="J83" s="775">
        <f>IFERROR(INDEX(BDEGENER[],MATCH(TODEQUIPOS[[#This Row],[N° DE SERIE]],BDEGENER[SERIE],0),48),"")</f>
        <v>4</v>
      </c>
      <c r="K83" s="775">
        <f>IFERROR(INDEX(BDEGENER[],MATCH(TODEQUIPOS[[#This Row],[N° DE SERIE]],BDEGENER[SERIE],0),57),"")</f>
        <v>6</v>
      </c>
      <c r="L83" s="775" t="str">
        <f>IF(TODEQUIPOS[[#This Row],[CONTADOR]]=1,"UNICO","DUPLICADO")</f>
        <v>UNICO</v>
      </c>
      <c r="M83" s="775">
        <f>COUNTIF(TODEQUIPOS[N° DE SERIE],TODEQUIPOS[[#This Row],[N° DE SERIE]])</f>
        <v>1</v>
      </c>
    </row>
    <row r="84" spans="2:13" x14ac:dyDescent="0.3">
      <c r="B84">
        <v>3004235514</v>
      </c>
      <c r="C84" s="801" t="str">
        <f>IFERROR(INDEX(BDEGENER[],MATCH(TODEQUIPOS[[#This Row],[N° DE SERIE]],BDEGENER[SERIE],0),26),"")</f>
        <v>GENERAC</v>
      </c>
      <c r="D84" s="775" t="str">
        <f>IFERROR(INDEX(BDEGENER[],MATCH(TODEQUIPOS[[#This Row],[N° DE SERIE]],BDEGENER[SERIE],0),27),"")</f>
        <v>PG090</v>
      </c>
      <c r="E84" s="776" t="str">
        <f>IFERROR(INDEX(BDEGENER[],MATCH(TODEQUIPOS[[#This Row],[N° DE SERIE]],BDEGENER[SERIE],0),11),"")</f>
        <v>SAN FERNANDO</v>
      </c>
      <c r="F84" s="776" t="str">
        <f>IFERROR(INDEX(BDEGENER[],MATCH(TODEQUIPOS[[#This Row],[N° DE SERIE]],BDEGENER[SERIE],0),12),"")</f>
        <v>PL-810</v>
      </c>
      <c r="G84" s="802">
        <f>IFERROR(INDEX(BDEGENER[],MATCH(TODEQUIPOS[[#This Row],[N° DE SERIE]],BDEGENER[SERIE],0),10),"")</f>
        <v>44092</v>
      </c>
      <c r="H84" s="777">
        <f>IFERROR(INDEX(BDEGENER[],MATCH(TODEQUIPOS[[#This Row],[N° DE SERIE]],BDEGENER[SERIE],0),31),"")</f>
        <v>2079</v>
      </c>
      <c r="I84" s="775">
        <f>IFERROR(INDEX(BDEGENER[],MATCH(TODEQUIPOS[[#This Row],[N° DE SERIE]],BDEGENER[SERIE],0),47),"")</f>
        <v>2</v>
      </c>
      <c r="J84" s="775">
        <f>IFERROR(INDEX(BDEGENER[],MATCH(TODEQUIPOS[[#This Row],[N° DE SERIE]],BDEGENER[SERIE],0),48),"")</f>
        <v>7</v>
      </c>
      <c r="K84" s="775">
        <f>IFERROR(INDEX(BDEGENER[],MATCH(TODEQUIPOS[[#This Row],[N° DE SERIE]],BDEGENER[SERIE],0),57),"")</f>
        <v>10</v>
      </c>
      <c r="L84" s="775" t="str">
        <f>IF(TODEQUIPOS[[#This Row],[CONTADOR]]=1,"UNICO","DUPLICADO")</f>
        <v>UNICO</v>
      </c>
      <c r="M84" s="775">
        <f>COUNTIF(TODEQUIPOS[N° DE SERIE],TODEQUIPOS[[#This Row],[N° DE SERIE]])</f>
        <v>1</v>
      </c>
    </row>
    <row r="85" spans="2:13" x14ac:dyDescent="0.3">
      <c r="B85" t="s">
        <v>2644</v>
      </c>
      <c r="C85" s="801" t="str">
        <f>IFERROR(INDEX(BDEGENER[],MATCH(TODEQUIPOS[[#This Row],[N° DE SERIE]],BDEGENER[SERIE],0),26),"")</f>
        <v>FG - WILSON</v>
      </c>
      <c r="D85" s="775" t="str">
        <f>IFERROR(INDEX(BDEGENER[],MATCH(TODEQUIPOS[[#This Row],[N° DE SERIE]],BDEGENER[SERIE],0),27),"")</f>
        <v>P110E</v>
      </c>
      <c r="E85" s="776" t="str">
        <f>IFERROR(INDEX(BDEGENER[],MATCH(TODEQUIPOS[[#This Row],[N° DE SERIE]],BDEGENER[SERIE],0),11),"")</f>
        <v>SCOTIABANK</v>
      </c>
      <c r="F85" s="776" t="str">
        <f>IFERROR(INDEX(BDEGENER[],MATCH(TODEQUIPOS[[#This Row],[N° DE SERIE]],BDEGENER[SERIE],0),12),"")</f>
        <v>CSF - OFICINA PRINCIPAL</v>
      </c>
      <c r="G85" s="802">
        <f>IFERROR(INDEX(BDEGENER[],MATCH(TODEQUIPOS[[#This Row],[N° DE SERIE]],BDEGENER[SERIE],0),10),"")</f>
        <v>44087</v>
      </c>
      <c r="H85" s="777">
        <f>IFERROR(INDEX(BDEGENER[],MATCH(TODEQUIPOS[[#This Row],[N° DE SERIE]],BDEGENER[SERIE],0),31),"")</f>
        <v>203.3</v>
      </c>
      <c r="I85" s="775">
        <f>IFERROR(INDEX(BDEGENER[],MATCH(TODEQUIPOS[[#This Row],[N° DE SERIE]],BDEGENER[SERIE],0),47),"")</f>
        <v>3</v>
      </c>
      <c r="J85" s="775">
        <f>IFERROR(INDEX(BDEGENER[],MATCH(TODEQUIPOS[[#This Row],[N° DE SERIE]],BDEGENER[SERIE],0),48),"")</f>
        <v>2</v>
      </c>
      <c r="K85" s="775">
        <f>IFERROR(INDEX(BDEGENER[],MATCH(TODEQUIPOS[[#This Row],[N° DE SERIE]],BDEGENER[SERIE],0),57),"")</f>
        <v>7</v>
      </c>
      <c r="L85" s="775" t="str">
        <f>IF(TODEQUIPOS[[#This Row],[CONTADOR]]=1,"UNICO","DUPLICADO")</f>
        <v>UNICO</v>
      </c>
      <c r="M85" s="775">
        <f>COUNTIF(TODEQUIPOS[N° DE SERIE],TODEQUIPOS[[#This Row],[N° DE SERIE]])</f>
        <v>1</v>
      </c>
    </row>
    <row r="86" spans="2:13" x14ac:dyDescent="0.3">
      <c r="B86" t="s">
        <v>1437</v>
      </c>
      <c r="C86" s="801" t="str">
        <f>IFERROR(INDEX(BDEGENER[],MATCH(TODEQUIPOS[[#This Row],[N° DE SERIE]],BDEGENER[SERIE],0),26),"")</f>
        <v>CATERPILLAR</v>
      </c>
      <c r="D86" s="775">
        <f>IFERROR(INDEX(BDEGENER[],MATCH(TODEQUIPOS[[#This Row],[N° DE SERIE]],BDEGENER[SERIE],0),27),"")</f>
        <v>3412</v>
      </c>
      <c r="E86" s="776" t="str">
        <f>IFERROR(INDEX(BDEGENER[],MATCH(TODEQUIPOS[[#This Row],[N° DE SERIE]],BDEGENER[SERIE],0),11),"")</f>
        <v>SCOTIABANK</v>
      </c>
      <c r="F86" s="776" t="str">
        <f>IFERROR(INDEX(BDEGENER[],MATCH(TODEQUIPOS[[#This Row],[N° DE SERIE]],BDEGENER[SERIE],0),12),"")</f>
        <v>SCOTIABANK SAN ISIDRO</v>
      </c>
      <c r="G86" s="802">
        <f>IFERROR(INDEX(BDEGENER[],MATCH(TODEQUIPOS[[#This Row],[N° DE SERIE]],BDEGENER[SERIE],0),10),"")</f>
        <v>44086</v>
      </c>
      <c r="H86" s="777">
        <f>IFERROR(INDEX(BDEGENER[],MATCH(TODEQUIPOS[[#This Row],[N° DE SERIE]],BDEGENER[SERIE],0),31),"")</f>
        <v>2737.2</v>
      </c>
      <c r="I86" s="775">
        <f>IFERROR(INDEX(BDEGENER[],MATCH(TODEQUIPOS[[#This Row],[N° DE SERIE]],BDEGENER[SERIE],0),47),"")</f>
        <v>0</v>
      </c>
      <c r="J86" s="775">
        <f>IFERROR(INDEX(BDEGENER[],MATCH(TODEQUIPOS[[#This Row],[N° DE SERIE]],BDEGENER[SERIE],0),48),"")</f>
        <v>2</v>
      </c>
      <c r="K86" s="775">
        <f>IFERROR(INDEX(BDEGENER[],MATCH(TODEQUIPOS[[#This Row],[N° DE SERIE]],BDEGENER[SERIE],0),57),"")</f>
        <v>2</v>
      </c>
      <c r="L86" s="775" t="str">
        <f>IF(TODEQUIPOS[[#This Row],[CONTADOR]]=1,"UNICO","DUPLICADO")</f>
        <v>UNICO</v>
      </c>
      <c r="M86" s="775">
        <f>COUNTIF(TODEQUIPOS[N° DE SERIE],TODEQUIPOS[[#This Row],[N° DE SERIE]])</f>
        <v>1</v>
      </c>
    </row>
    <row r="87" spans="2:13" x14ac:dyDescent="0.3">
      <c r="B87">
        <v>3005786155</v>
      </c>
      <c r="C87" s="801" t="str">
        <f>IFERROR(INDEX(BDEGENER[],MATCH(TODEQUIPOS[[#This Row],[N° DE SERIE]],BDEGENER[SERIE],0),26),"")</f>
        <v>GENERAC</v>
      </c>
      <c r="D87" s="775" t="str">
        <f>IFERROR(INDEX(BDEGENER[],MATCH(TODEQUIPOS[[#This Row],[N° DE SERIE]],BDEGENER[SERIE],0),27),"")</f>
        <v>PLY250</v>
      </c>
      <c r="E87" s="776" t="str">
        <f>IFERROR(INDEX(BDEGENER[],MATCH(TODEQUIPOS[[#This Row],[N° DE SERIE]],BDEGENER[SERIE],0),11),"")</f>
        <v>REDONDOS</v>
      </c>
      <c r="F87" s="776" t="str">
        <f>IFERROR(INDEX(BDEGENER[],MATCH(TODEQUIPOS[[#This Row],[N° DE SERIE]],BDEGENER[SERIE],0),12),"")</f>
        <v>PAMPA COLORADA</v>
      </c>
      <c r="G87" s="802">
        <f>IFERROR(INDEX(BDEGENER[],MATCH(TODEQUIPOS[[#This Row],[N° DE SERIE]],BDEGENER[SERIE],0),10),"")</f>
        <v>44083</v>
      </c>
      <c r="H87" s="777">
        <f>IFERROR(INDEX(BDEGENER[],MATCH(TODEQUIPOS[[#This Row],[N° DE SERIE]],BDEGENER[SERIE],0),31),"")</f>
        <v>48.4</v>
      </c>
      <c r="I87" s="775">
        <f>IFERROR(INDEX(BDEGENER[],MATCH(TODEQUIPOS[[#This Row],[N° DE SERIE]],BDEGENER[SERIE],0),47),"")</f>
        <v>0</v>
      </c>
      <c r="J87" s="775">
        <f>IFERROR(INDEX(BDEGENER[],MATCH(TODEQUIPOS[[#This Row],[N° DE SERIE]],BDEGENER[SERIE],0),48),"")</f>
        <v>1</v>
      </c>
      <c r="K87" s="775">
        <f>IFERROR(INDEX(BDEGENER[],MATCH(TODEQUIPOS[[#This Row],[N° DE SERIE]],BDEGENER[SERIE],0),57),"")</f>
        <v>2</v>
      </c>
      <c r="L87" s="775" t="str">
        <f>IF(TODEQUIPOS[[#This Row],[CONTADOR]]=1,"UNICO","DUPLICADO")</f>
        <v>UNICO</v>
      </c>
      <c r="M87" s="775">
        <f>COUNTIF(TODEQUIPOS[N° DE SERIE],TODEQUIPOS[[#This Row],[N° DE SERIE]])</f>
        <v>1</v>
      </c>
    </row>
    <row r="88" spans="2:13" x14ac:dyDescent="0.3">
      <c r="B88">
        <v>1603587</v>
      </c>
      <c r="C88" s="801" t="str">
        <f>IFERROR(INDEX(BDEGENER[],MATCH(TODEQUIPOS[[#This Row],[N° DE SERIE]],BDEGENER[SERIE],0),26),"")</f>
        <v>GENERAC</v>
      </c>
      <c r="D88" s="775" t="str">
        <f>IFERROR(INDEX(BDEGENER[],MATCH(TODEQUIPOS[[#This Row],[N° DE SERIE]],BDEGENER[SERIE],0),27),"")</f>
        <v>VT8 K3</v>
      </c>
      <c r="E88" s="776" t="str">
        <f>IFERROR(INDEX(BDEGENER[],MATCH(TODEQUIPOS[[#This Row],[N° DE SERIE]],BDEGENER[SERIE],0),11),"")</f>
        <v>KALANI</v>
      </c>
      <c r="F88" s="776" t="str">
        <f>IFERROR(INDEX(BDEGENER[],MATCH(TODEQUIPOS[[#This Row],[N° DE SERIE]],BDEGENER[SERIE],0),12),"")</f>
        <v>OBRA KALANI</v>
      </c>
      <c r="G88" s="802">
        <f>IFERROR(INDEX(BDEGENER[],MATCH(TODEQUIPOS[[#This Row],[N° DE SERIE]],BDEGENER[SERIE],0),10),"")</f>
        <v>44082</v>
      </c>
      <c r="H88" s="777">
        <f>IFERROR(INDEX(BDEGENER[],MATCH(TODEQUIPOS[[#This Row],[N° DE SERIE]],BDEGENER[SERIE],0),31),"")</f>
        <v>1781.5</v>
      </c>
      <c r="I88" s="775">
        <f>IFERROR(INDEX(BDEGENER[],MATCH(TODEQUIPOS[[#This Row],[N° DE SERIE]],BDEGENER[SERIE],0),47),"")</f>
        <v>1</v>
      </c>
      <c r="J88" s="775">
        <f>IFERROR(INDEX(BDEGENER[],MATCH(TODEQUIPOS[[#This Row],[N° DE SERIE]],BDEGENER[SERIE],0),48),"")</f>
        <v>5</v>
      </c>
      <c r="K88" s="775">
        <f>IFERROR(INDEX(BDEGENER[],MATCH(TODEQUIPOS[[#This Row],[N° DE SERIE]],BDEGENER[SERIE],0),57),"")</f>
        <v>6</v>
      </c>
      <c r="L88" s="775" t="str">
        <f>IF(TODEQUIPOS[[#This Row],[CONTADOR]]=1,"UNICO","DUPLICADO")</f>
        <v>UNICO</v>
      </c>
      <c r="M88" s="775">
        <f>COUNTIF(TODEQUIPOS[N° DE SERIE],TODEQUIPOS[[#This Row],[N° DE SERIE]])</f>
        <v>1</v>
      </c>
    </row>
    <row r="89" spans="2:13" x14ac:dyDescent="0.3">
      <c r="B89" t="s">
        <v>783</v>
      </c>
      <c r="C89" s="801" t="str">
        <f>IFERROR(INDEX(BDEGENER[],MATCH(TODEQUIPOS[[#This Row],[N° DE SERIE]],BDEGENER[SERIE],0),26),"")</f>
        <v>CUMMINS</v>
      </c>
      <c r="D89" s="775" t="str">
        <f>IFERROR(INDEX(BDEGENER[],MATCH(TODEQUIPOS[[#This Row],[N° DE SERIE]],BDEGENER[SERIE],0),27),"")</f>
        <v>0B400K-DW63</v>
      </c>
      <c r="E89" s="776" t="str">
        <f>IFERROR(INDEX(BDEGENER[],MATCH(TODEQUIPOS[[#This Row],[N° DE SERIE]],BDEGENER[SERIE],0),11),"")</f>
        <v>SCOTIABANK</v>
      </c>
      <c r="F89" s="776" t="str">
        <f>IFERROR(INDEX(BDEGENER[],MATCH(TODEQUIPOS[[#This Row],[N° DE SERIE]],BDEGENER[SERIE],0),12),"")</f>
        <v>SCOTIABANK CENTRO HISTORICO</v>
      </c>
      <c r="G89" s="802">
        <f>IFERROR(INDEX(BDEGENER[],MATCH(TODEQUIPOS[[#This Row],[N° DE SERIE]],BDEGENER[SERIE],0),10),"")</f>
        <v>44078</v>
      </c>
      <c r="H89" s="777">
        <f>IFERROR(INDEX(BDEGENER[],MATCH(TODEQUIPOS[[#This Row],[N° DE SERIE]],BDEGENER[SERIE],0),31),"")</f>
        <v>2096.6</v>
      </c>
      <c r="I89" s="775">
        <f>IFERROR(INDEX(BDEGENER[],MATCH(TODEQUIPOS[[#This Row],[N° DE SERIE]],BDEGENER[SERIE],0),47),"")</f>
        <v>0</v>
      </c>
      <c r="J89" s="775">
        <f>IFERROR(INDEX(BDEGENER[],MATCH(TODEQUIPOS[[#This Row],[N° DE SERIE]],BDEGENER[SERIE],0),48),"")</f>
        <v>2</v>
      </c>
      <c r="K89" s="775">
        <f>IFERROR(INDEX(BDEGENER[],MATCH(TODEQUIPOS[[#This Row],[N° DE SERIE]],BDEGENER[SERIE],0),57),"")</f>
        <v>4</v>
      </c>
      <c r="L89" s="775" t="str">
        <f>IF(TODEQUIPOS[[#This Row],[CONTADOR]]=1,"UNICO","DUPLICADO")</f>
        <v>UNICO</v>
      </c>
      <c r="M89" s="775">
        <f>COUNTIF(TODEQUIPOS[N° DE SERIE],TODEQUIPOS[[#This Row],[N° DE SERIE]])</f>
        <v>1</v>
      </c>
    </row>
    <row r="90" spans="2:13" x14ac:dyDescent="0.3">
      <c r="B90">
        <v>3004290368</v>
      </c>
      <c r="C90" s="801" t="str">
        <f>IFERROR(INDEX(BDEGENER[],MATCH(TODEQUIPOS[[#This Row],[N° DE SERIE]],BDEGENER[SERIE],0),26),"")</f>
        <v>GENERAC</v>
      </c>
      <c r="D90" s="775" t="str">
        <f>IFERROR(INDEX(BDEGENER[],MATCH(TODEQUIPOS[[#This Row],[N° DE SERIE]],BDEGENER[SERIE],0),27),"")</f>
        <v>PG090</v>
      </c>
      <c r="E90" s="776" t="str">
        <f>IFERROR(INDEX(BDEGENER[],MATCH(TODEQUIPOS[[#This Row],[N° DE SERIE]],BDEGENER[SERIE],0),11),"")</f>
        <v>SAN FERNANDO</v>
      </c>
      <c r="F90" s="776" t="str">
        <f>IFERROR(INDEX(BDEGENER[],MATCH(TODEQUIPOS[[#This Row],[N° DE SERIE]],BDEGENER[SERIE],0),12),"")</f>
        <v>TALLER EGENER</v>
      </c>
      <c r="G90" s="802">
        <f>IFERROR(INDEX(BDEGENER[],MATCH(TODEQUIPOS[[#This Row],[N° DE SERIE]],BDEGENER[SERIE],0),10),"")</f>
        <v>44192</v>
      </c>
      <c r="H90" s="777" t="str">
        <f>IFERROR(INDEX(BDEGENER[],MATCH(TODEQUIPOS[[#This Row],[N° DE SERIE]],BDEGENER[SERIE],0),31),"")</f>
        <v>NR</v>
      </c>
      <c r="I90" s="775">
        <f>IFERROR(INDEX(BDEGENER[],MATCH(TODEQUIPOS[[#This Row],[N° DE SERIE]],BDEGENER[SERIE],0),47),"")</f>
        <v>3</v>
      </c>
      <c r="J90" s="775">
        <f>IFERROR(INDEX(BDEGENER[],MATCH(TODEQUIPOS[[#This Row],[N° DE SERIE]],BDEGENER[SERIE],0),48),"")</f>
        <v>6</v>
      </c>
      <c r="K90" s="775">
        <f>IFERROR(INDEX(BDEGENER[],MATCH(TODEQUIPOS[[#This Row],[N° DE SERIE]],BDEGENER[SERIE],0),57),"")</f>
        <v>15</v>
      </c>
      <c r="L90" s="775" t="str">
        <f>IF(TODEQUIPOS[[#This Row],[CONTADOR]]=1,"UNICO","DUPLICADO")</f>
        <v>UNICO</v>
      </c>
      <c r="M90" s="775">
        <f>COUNTIF(TODEQUIPOS[N° DE SERIE],TODEQUIPOS[[#This Row],[N° DE SERIE]])</f>
        <v>1</v>
      </c>
    </row>
    <row r="91" spans="2:13" x14ac:dyDescent="0.3">
      <c r="B91" t="s">
        <v>1965</v>
      </c>
      <c r="C91" s="801" t="str">
        <f>IFERROR(INDEX(BDEGENER[],MATCH(TODEQUIPOS[[#This Row],[N° DE SERIE]],BDEGENER[SERIE],0),26),"")</f>
        <v>CUMMINS</v>
      </c>
      <c r="D91" s="775" t="str">
        <f>IFERROR(INDEX(BDEGENER[],MATCH(TODEQUIPOS[[#This Row],[N° DE SERIE]],BDEGENER[SERIE],0),27),"")</f>
        <v>EDC-3051</v>
      </c>
      <c r="E91" s="776" t="str">
        <f>IFERROR(INDEX(BDEGENER[],MATCH(TODEQUIPOS[[#This Row],[N° DE SERIE]],BDEGENER[SERIE],0),11),"")</f>
        <v>Mantenimiento construccion y proyectos grales SAC</v>
      </c>
      <c r="F91" s="776" t="str">
        <f>IFERROR(INDEX(BDEGENER[],MATCH(TODEQUIPOS[[#This Row],[N° DE SERIE]],BDEGENER[SERIE],0),12),"")</f>
        <v>TALLER EGENER</v>
      </c>
      <c r="G91" s="802">
        <f>IFERROR(INDEX(BDEGENER[],MATCH(TODEQUIPOS[[#This Row],[N° DE SERIE]],BDEGENER[SERIE],0),10),"")</f>
        <v>44055</v>
      </c>
      <c r="H91" s="777">
        <f>IFERROR(INDEX(BDEGENER[],MATCH(TODEQUIPOS[[#This Row],[N° DE SERIE]],BDEGENER[SERIE],0),31),"")</f>
        <v>1648.59</v>
      </c>
      <c r="I91" s="775">
        <f>IFERROR(INDEX(BDEGENER[],MATCH(TODEQUIPOS[[#This Row],[N° DE SERIE]],BDEGENER[SERIE],0),47),"")</f>
        <v>0</v>
      </c>
      <c r="J91" s="775">
        <f>IFERROR(INDEX(BDEGENER[],MATCH(TODEQUIPOS[[#This Row],[N° DE SERIE]],BDEGENER[SERIE],0),48),"")</f>
        <v>1</v>
      </c>
      <c r="K91" s="775">
        <f>IFERROR(INDEX(BDEGENER[],MATCH(TODEQUIPOS[[#This Row],[N° DE SERIE]],BDEGENER[SERIE],0),57),"")</f>
        <v>2</v>
      </c>
      <c r="L91" s="775" t="str">
        <f>IF(TODEQUIPOS[[#This Row],[CONTADOR]]=1,"UNICO","DUPLICADO")</f>
        <v>UNICO</v>
      </c>
      <c r="M91" s="775">
        <f>COUNTIF(TODEQUIPOS[N° DE SERIE],TODEQUIPOS[[#This Row],[N° DE SERIE]])</f>
        <v>1</v>
      </c>
    </row>
    <row r="92" spans="2:13" x14ac:dyDescent="0.3">
      <c r="B92">
        <v>3003415540</v>
      </c>
      <c r="C92" s="801" t="str">
        <f>IFERROR(INDEX(BDEGENER[],MATCH(TODEQUIPOS[[#This Row],[N° DE SERIE]],BDEGENER[SERIE],0),26),"")</f>
        <v>GENERAC</v>
      </c>
      <c r="D92" s="775" t="str">
        <f>IFERROR(INDEX(BDEGENER[],MATCH(TODEQUIPOS[[#This Row],[N° DE SERIE]],BDEGENER[SERIE],0),27),"")</f>
        <v>RG022</v>
      </c>
      <c r="E92" s="776" t="str">
        <f>IFERROR(INDEX(BDEGENER[],MATCH(TODEQUIPOS[[#This Row],[N° DE SERIE]],BDEGENER[SERIE],0),11),"")</f>
        <v>SANTA ELENA</v>
      </c>
      <c r="F92" s="776" t="str">
        <f>IFERROR(INDEX(BDEGENER[],MATCH(TODEQUIPOS[[#This Row],[N° DE SERIE]],BDEGENER[SERIE],0),12),"")</f>
        <v>PL-310C</v>
      </c>
      <c r="G92" s="802">
        <f>IFERROR(INDEX(BDEGENER[],MATCH(TODEQUIPOS[[#This Row],[N° DE SERIE]],BDEGENER[SERIE],0),10),"")</f>
        <v>44054</v>
      </c>
      <c r="H92" s="777">
        <f>IFERROR(INDEX(BDEGENER[],MATCH(TODEQUIPOS[[#This Row],[N° DE SERIE]],BDEGENER[SERIE],0),31),"")</f>
        <v>4522.8999999999996</v>
      </c>
      <c r="I92" s="775">
        <f>IFERROR(INDEX(BDEGENER[],MATCH(TODEQUIPOS[[#This Row],[N° DE SERIE]],BDEGENER[SERIE],0),47),"")</f>
        <v>0</v>
      </c>
      <c r="J92" s="775">
        <f>IFERROR(INDEX(BDEGENER[],MATCH(TODEQUIPOS[[#This Row],[N° DE SERIE]],BDEGENER[SERIE],0),48),"")</f>
        <v>6</v>
      </c>
      <c r="K92" s="775">
        <f>IFERROR(INDEX(BDEGENER[],MATCH(TODEQUIPOS[[#This Row],[N° DE SERIE]],BDEGENER[SERIE],0),57),"")</f>
        <v>6</v>
      </c>
      <c r="L92" s="775" t="str">
        <f>IF(TODEQUIPOS[[#This Row],[CONTADOR]]=1,"UNICO","DUPLICADO")</f>
        <v>UNICO</v>
      </c>
      <c r="M92" s="775">
        <f>COUNTIF(TODEQUIPOS[N° DE SERIE],TODEQUIPOS[[#This Row],[N° DE SERIE]])</f>
        <v>1</v>
      </c>
    </row>
    <row r="93" spans="2:13" x14ac:dyDescent="0.3">
      <c r="B93">
        <v>3003963149</v>
      </c>
      <c r="C93" s="801" t="str">
        <f>IFERROR(INDEX(BDEGENER[],MATCH(TODEQUIPOS[[#This Row],[N° DE SERIE]],BDEGENER[SERIE],0),26),"")</f>
        <v>GENERAC</v>
      </c>
      <c r="D93" s="775" t="str">
        <f>IFERROR(INDEX(BDEGENER[],MATCH(TODEQUIPOS[[#This Row],[N° DE SERIE]],BDEGENER[SERIE],0),27),"")</f>
        <v>PG090</v>
      </c>
      <c r="E93" s="776" t="str">
        <f>IFERROR(INDEX(BDEGENER[],MATCH(TODEQUIPOS[[#This Row],[N° DE SERIE]],BDEGENER[SERIE],0),11),"")</f>
        <v>SANTA ELENA</v>
      </c>
      <c r="F93" s="776" t="str">
        <f>IFERROR(INDEX(BDEGENER[],MATCH(TODEQUIPOS[[#This Row],[N° DE SERIE]],BDEGENER[SERIE],0),12),"")</f>
        <v>GRANJA ROSARIO</v>
      </c>
      <c r="G93" s="802">
        <f>IFERROR(INDEX(BDEGENER[],MATCH(TODEQUIPOS[[#This Row],[N° DE SERIE]],BDEGENER[SERIE],0),10),"")</f>
        <v>44053</v>
      </c>
      <c r="H93" s="777">
        <f>IFERROR(INDEX(BDEGENER[],MATCH(TODEQUIPOS[[#This Row],[N° DE SERIE]],BDEGENER[SERIE],0),31),"")</f>
        <v>3959.4</v>
      </c>
      <c r="I93" s="775">
        <f>IFERROR(INDEX(BDEGENER[],MATCH(TODEQUIPOS[[#This Row],[N° DE SERIE]],BDEGENER[SERIE],0),47),"")</f>
        <v>3</v>
      </c>
      <c r="J93" s="775">
        <f>IFERROR(INDEX(BDEGENER[],MATCH(TODEQUIPOS[[#This Row],[N° DE SERIE]],BDEGENER[SERIE],0),48),"")</f>
        <v>6</v>
      </c>
      <c r="K93" s="775">
        <f>IFERROR(INDEX(BDEGENER[],MATCH(TODEQUIPOS[[#This Row],[N° DE SERIE]],BDEGENER[SERIE],0),57),"")</f>
        <v>12</v>
      </c>
      <c r="L93" s="775" t="str">
        <f>IF(TODEQUIPOS[[#This Row],[CONTADOR]]=1,"UNICO","DUPLICADO")</f>
        <v>UNICO</v>
      </c>
      <c r="M93" s="775">
        <f>COUNTIF(TODEQUIPOS[N° DE SERIE],TODEQUIPOS[[#This Row],[N° DE SERIE]])</f>
        <v>1</v>
      </c>
    </row>
    <row r="94" spans="2:13" x14ac:dyDescent="0.3">
      <c r="B94">
        <v>3004290366</v>
      </c>
      <c r="C94" s="801" t="str">
        <f>IFERROR(INDEX(BDEGENER[],MATCH(TODEQUIPOS[[#This Row],[N° DE SERIE]],BDEGENER[SERIE],0),26),"")</f>
        <v>GENERAC</v>
      </c>
      <c r="D94" s="775" t="str">
        <f>IFERROR(INDEX(BDEGENER[],MATCH(TODEQUIPOS[[#This Row],[N° DE SERIE]],BDEGENER[SERIE],0),27),"")</f>
        <v>PG090</v>
      </c>
      <c r="E94" s="776" t="str">
        <f>IFERROR(INDEX(BDEGENER[],MATCH(TODEQUIPOS[[#This Row],[N° DE SERIE]],BDEGENER[SERIE],0),11),"")</f>
        <v>SAN FERNANDO</v>
      </c>
      <c r="F94" s="776" t="str">
        <f>IFERROR(INDEX(BDEGENER[],MATCH(TODEQUIPOS[[#This Row],[N° DE SERIE]],BDEGENER[SERIE],0),12),"")</f>
        <v>PL-804</v>
      </c>
      <c r="G94" s="802">
        <f>IFERROR(INDEX(BDEGENER[],MATCH(TODEQUIPOS[[#This Row],[N° DE SERIE]],BDEGENER[SERIE],0),10),"")</f>
        <v>44205</v>
      </c>
      <c r="H94" s="777">
        <f>IFERROR(INDEX(BDEGENER[],MATCH(TODEQUIPOS[[#This Row],[N° DE SERIE]],BDEGENER[SERIE],0),31),"")</f>
        <v>2629.6</v>
      </c>
      <c r="I94" s="775">
        <f>IFERROR(INDEX(BDEGENER[],MATCH(TODEQUIPOS[[#This Row],[N° DE SERIE]],BDEGENER[SERIE],0),47),"")</f>
        <v>2</v>
      </c>
      <c r="J94" s="775">
        <f>IFERROR(INDEX(BDEGENER[],MATCH(TODEQUIPOS[[#This Row],[N° DE SERIE]],BDEGENER[SERIE],0),48),"")</f>
        <v>7</v>
      </c>
      <c r="K94" s="775">
        <f>IFERROR(INDEX(BDEGENER[],MATCH(TODEQUIPOS[[#This Row],[N° DE SERIE]],BDEGENER[SERIE],0),57),"")</f>
        <v>14</v>
      </c>
      <c r="L94" s="775" t="str">
        <f>IF(TODEQUIPOS[[#This Row],[CONTADOR]]=1,"UNICO","DUPLICADO")</f>
        <v>UNICO</v>
      </c>
      <c r="M94" s="775">
        <f>COUNTIF(TODEQUIPOS[N° DE SERIE],TODEQUIPOS[[#This Row],[N° DE SERIE]])</f>
        <v>1</v>
      </c>
    </row>
    <row r="95" spans="2:13" x14ac:dyDescent="0.3">
      <c r="B95" t="s">
        <v>2432</v>
      </c>
      <c r="C95" s="801" t="str">
        <f>IFERROR(INDEX(BDEGENER[],MATCH(TODEQUIPOS[[#This Row],[N° DE SERIE]],BDEGENER[SERIE],0),26),"")</f>
        <v>MODASA</v>
      </c>
      <c r="D95" s="775" t="str">
        <f>IFERROR(INDEX(BDEGENER[],MATCH(TODEQUIPOS[[#This Row],[N° DE SERIE]],BDEGENER[SERIE],0),27),"")</f>
        <v>MP-400</v>
      </c>
      <c r="E95" s="776" t="str">
        <f>IFERROR(INDEX(BDEGENER[],MATCH(TODEQUIPOS[[#This Row],[N° DE SERIE]],BDEGENER[SERIE],0),11),"")</f>
        <v>SCOTIABANK</v>
      </c>
      <c r="F95" s="776" t="str">
        <f>IFERROR(INDEX(BDEGENER[],MATCH(TODEQUIPOS[[#This Row],[N° DE SERIE]],BDEGENER[SERIE],0),12),"")</f>
        <v>SCOTIABANK CENTRO HISTORICO</v>
      </c>
      <c r="G95" s="802">
        <f>IFERROR(INDEX(BDEGENER[],MATCH(TODEQUIPOS[[#This Row],[N° DE SERIE]],BDEGENER[SERIE],0),10),"")</f>
        <v>44032</v>
      </c>
      <c r="H95" s="777">
        <f>IFERROR(INDEX(BDEGENER[],MATCH(TODEQUIPOS[[#This Row],[N° DE SERIE]],BDEGENER[SERIE],0),31),"")</f>
        <v>60.54</v>
      </c>
      <c r="I95" s="775">
        <f>IFERROR(INDEX(BDEGENER[],MATCH(TODEQUIPOS[[#This Row],[N° DE SERIE]],BDEGENER[SERIE],0),47),"")</f>
        <v>1</v>
      </c>
      <c r="J95" s="775">
        <f>IFERROR(INDEX(BDEGENER[],MATCH(TODEQUIPOS[[#This Row],[N° DE SERIE]],BDEGENER[SERIE],0),48),"")</f>
        <v>2</v>
      </c>
      <c r="K95" s="775">
        <f>IFERROR(INDEX(BDEGENER[],MATCH(TODEQUIPOS[[#This Row],[N° DE SERIE]],BDEGENER[SERIE],0),57),"")</f>
        <v>3</v>
      </c>
      <c r="L95" s="775" t="str">
        <f>IF(TODEQUIPOS[[#This Row],[CONTADOR]]=1,"UNICO","DUPLICADO")</f>
        <v>UNICO</v>
      </c>
      <c r="M95" s="775">
        <f>COUNTIF(TODEQUIPOS[N° DE SERIE],TODEQUIPOS[[#This Row],[N° DE SERIE]])</f>
        <v>1</v>
      </c>
    </row>
    <row r="96" spans="2:13" x14ac:dyDescent="0.3">
      <c r="B96" t="s">
        <v>1634</v>
      </c>
      <c r="C96" s="801" t="str">
        <f>IFERROR(INDEX(BDEGENER[],MATCH(TODEQUIPOS[[#This Row],[N° DE SERIE]],BDEGENER[SERIE],0),26),"")</f>
        <v>GENERAC</v>
      </c>
      <c r="D96" s="775" t="str">
        <f>IFERROR(INDEX(BDEGENER[],MATCH(TODEQUIPOS[[#This Row],[N° DE SERIE]],BDEGENER[SERIE],0),27),"")</f>
        <v>PMY20B</v>
      </c>
      <c r="E96" s="776" t="str">
        <f>IFERROR(INDEX(BDEGENER[],MATCH(TODEQUIPOS[[#This Row],[N° DE SERIE]],BDEGENER[SERIE],0),11),"")</f>
        <v>REDONDOS</v>
      </c>
      <c r="F96" s="776" t="str">
        <f>IFERROR(INDEX(BDEGENER[],MATCH(TODEQUIPOS[[#This Row],[N° DE SERIE]],BDEGENER[SERIE],0),12),"")</f>
        <v>GRANJA CIELO</v>
      </c>
      <c r="G96" s="802">
        <f>IFERROR(INDEX(BDEGENER[],MATCH(TODEQUIPOS[[#This Row],[N° DE SERIE]],BDEGENER[SERIE],0),10),"")</f>
        <v>44025</v>
      </c>
      <c r="H96" s="777">
        <f>IFERROR(INDEX(BDEGENER[],MATCH(TODEQUIPOS[[#This Row],[N° DE SERIE]],BDEGENER[SERIE],0),31),"")</f>
        <v>482.3</v>
      </c>
      <c r="I96" s="775">
        <f>IFERROR(INDEX(BDEGENER[],MATCH(TODEQUIPOS[[#This Row],[N° DE SERIE]],BDEGENER[SERIE],0),47),"")</f>
        <v>0</v>
      </c>
      <c r="J96" s="775">
        <f>IFERROR(INDEX(BDEGENER[],MATCH(TODEQUIPOS[[#This Row],[N° DE SERIE]],BDEGENER[SERIE],0),48),"")</f>
        <v>2</v>
      </c>
      <c r="K96" s="775">
        <f>IFERROR(INDEX(BDEGENER[],MATCH(TODEQUIPOS[[#This Row],[N° DE SERIE]],BDEGENER[SERIE],0),57),"")</f>
        <v>4</v>
      </c>
      <c r="L96" s="775" t="str">
        <f>IF(TODEQUIPOS[[#This Row],[CONTADOR]]=1,"UNICO","DUPLICADO")</f>
        <v>UNICO</v>
      </c>
      <c r="M96" s="775">
        <f>COUNTIF(TODEQUIPOS[N° DE SERIE],TODEQUIPOS[[#This Row],[N° DE SERIE]])</f>
        <v>1</v>
      </c>
    </row>
    <row r="97" spans="2:13" x14ac:dyDescent="0.3">
      <c r="B97">
        <v>2117417</v>
      </c>
      <c r="C97" s="801" t="str">
        <f>IFERROR(INDEX(BDEGENER[],MATCH(TODEQUIPOS[[#This Row],[N° DE SERIE]],BDEGENER[SERIE],0),26),"")</f>
        <v>GENERAC</v>
      </c>
      <c r="D97" s="775" t="str">
        <f>IFERROR(INDEX(BDEGENER[],MATCH(TODEQUIPOS[[#This Row],[N° DE SERIE]],BDEGENER[SERIE],0),27),"")</f>
        <v/>
      </c>
      <c r="E97" s="776" t="str">
        <f>IFERROR(INDEX(BDEGENER[],MATCH(TODEQUIPOS[[#This Row],[N° DE SERIE]],BDEGENER[SERIE],0),11),"")</f>
        <v>SAN FERNANDO</v>
      </c>
      <c r="F97" s="776" t="str">
        <f>IFERROR(INDEX(BDEGENER[],MATCH(TODEQUIPOS[[#This Row],[N° DE SERIE]],BDEGENER[SERIE],0),12),"")</f>
        <v>AGRI</v>
      </c>
      <c r="G97" s="802">
        <f>IFERROR(INDEX(BDEGENER[],MATCH(TODEQUIPOS[[#This Row],[N° DE SERIE]],BDEGENER[SERIE],0),10),"")</f>
        <v>44008</v>
      </c>
      <c r="H97" s="777">
        <f>IFERROR(INDEX(BDEGENER[],MATCH(TODEQUIPOS[[#This Row],[N° DE SERIE]],BDEGENER[SERIE],0),31),"")</f>
        <v>3503.4</v>
      </c>
      <c r="I97" s="775">
        <f>IFERROR(INDEX(BDEGENER[],MATCH(TODEQUIPOS[[#This Row],[N° DE SERIE]],BDEGENER[SERIE],0),47),"")</f>
        <v>1</v>
      </c>
      <c r="J97" s="775">
        <f>IFERROR(INDEX(BDEGENER[],MATCH(TODEQUIPOS[[#This Row],[N° DE SERIE]],BDEGENER[SERIE],0),48),"")</f>
        <v>0</v>
      </c>
      <c r="K97" s="775">
        <f>IFERROR(INDEX(BDEGENER[],MATCH(TODEQUIPOS[[#This Row],[N° DE SERIE]],BDEGENER[SERIE],0),57),"")</f>
        <v>2</v>
      </c>
      <c r="L97" s="775" t="str">
        <f>IF(TODEQUIPOS[[#This Row],[CONTADOR]]=1,"UNICO","DUPLICADO")</f>
        <v>UNICO</v>
      </c>
      <c r="M97" s="775">
        <f>COUNTIF(TODEQUIPOS[N° DE SERIE],TODEQUIPOS[[#This Row],[N° DE SERIE]])</f>
        <v>1</v>
      </c>
    </row>
    <row r="98" spans="2:13" x14ac:dyDescent="0.3">
      <c r="B98">
        <v>2117413</v>
      </c>
      <c r="C98" s="801" t="str">
        <f>IFERROR(INDEX(BDEGENER[],MATCH(TODEQUIPOS[[#This Row],[N° DE SERIE]],BDEGENER[SERIE],0),26),"")</f>
        <v>GENERAC</v>
      </c>
      <c r="D98" s="775" t="str">
        <f>IFERROR(INDEX(BDEGENER[],MATCH(TODEQUIPOS[[#This Row],[N° DE SERIE]],BDEGENER[SERIE],0),27),"")</f>
        <v/>
      </c>
      <c r="E98" s="776" t="str">
        <f>IFERROR(INDEX(BDEGENER[],MATCH(TODEQUIPOS[[#This Row],[N° DE SERIE]],BDEGENER[SERIE],0),11),"")</f>
        <v>SAN FERNANDO</v>
      </c>
      <c r="F98" s="776" t="str">
        <f>IFERROR(INDEX(BDEGENER[],MATCH(TODEQUIPOS[[#This Row],[N° DE SERIE]],BDEGENER[SERIE],0),12),"")</f>
        <v>AGRI</v>
      </c>
      <c r="G98" s="802">
        <f>IFERROR(INDEX(BDEGENER[],MATCH(TODEQUIPOS[[#This Row],[N° DE SERIE]],BDEGENER[SERIE],0),10),"")</f>
        <v>44008</v>
      </c>
      <c r="H98" s="777">
        <f>IFERROR(INDEX(BDEGENER[],MATCH(TODEQUIPOS[[#This Row],[N° DE SERIE]],BDEGENER[SERIE],0),31),"")</f>
        <v>2628.3</v>
      </c>
      <c r="I98" s="775">
        <f>IFERROR(INDEX(BDEGENER[],MATCH(TODEQUIPOS[[#This Row],[N° DE SERIE]],BDEGENER[SERIE],0),47),"")</f>
        <v>1</v>
      </c>
      <c r="J98" s="775">
        <f>IFERROR(INDEX(BDEGENER[],MATCH(TODEQUIPOS[[#This Row],[N° DE SERIE]],BDEGENER[SERIE],0),48),"")</f>
        <v>0</v>
      </c>
      <c r="K98" s="775">
        <f>IFERROR(INDEX(BDEGENER[],MATCH(TODEQUIPOS[[#This Row],[N° DE SERIE]],BDEGENER[SERIE],0),57),"")</f>
        <v>2</v>
      </c>
      <c r="L98" s="775" t="str">
        <f>IF(TODEQUIPOS[[#This Row],[CONTADOR]]=1,"UNICO","DUPLICADO")</f>
        <v>UNICO</v>
      </c>
      <c r="M98" s="775">
        <f>COUNTIF(TODEQUIPOS[N° DE SERIE],TODEQUIPOS[[#This Row],[N° DE SERIE]])</f>
        <v>1</v>
      </c>
    </row>
    <row r="99" spans="2:13" x14ac:dyDescent="0.3">
      <c r="B99" t="s">
        <v>3320</v>
      </c>
      <c r="C99" s="801" t="str">
        <f>IFERROR(INDEX(BDEGENER[],MATCH(TODEQUIPOS[[#This Row],[N° DE SERIE]],BDEGENER[SERIE],0),26),"")</f>
        <v>NISSAN</v>
      </c>
      <c r="D99" s="775" t="str">
        <f>IFERROR(INDEX(BDEGENER[],MATCH(TODEQUIPOS[[#This Row],[N° DE SERIE]],BDEGENER[SERIE],0),27),"")</f>
        <v>FRONTIER</v>
      </c>
      <c r="E99" s="776" t="str">
        <f>IFERROR(INDEX(BDEGENER[],MATCH(TODEQUIPOS[[#This Row],[N° DE SERIE]],BDEGENER[SERIE],0),11),"")</f>
        <v>EGENER</v>
      </c>
      <c r="F99" s="776" t="str">
        <f>IFERROR(INDEX(BDEGENER[],MATCH(TODEQUIPOS[[#This Row],[N° DE SERIE]],BDEGENER[SERIE],0),12),"")</f>
        <v>TALLER EGENER</v>
      </c>
      <c r="G99" s="802">
        <f>IFERROR(INDEX(BDEGENER[],MATCH(TODEQUIPOS[[#This Row],[N° DE SERIE]],BDEGENER[SERIE],0),10),"")</f>
        <v>43998</v>
      </c>
      <c r="H99" s="777">
        <f>IFERROR(INDEX(BDEGENER[],MATCH(TODEQUIPOS[[#This Row],[N° DE SERIE]],BDEGENER[SERIE],0),31),"")</f>
        <v>290185</v>
      </c>
      <c r="I99" s="775">
        <f>IFERROR(INDEX(BDEGENER[],MATCH(TODEQUIPOS[[#This Row],[N° DE SERIE]],BDEGENER[SERIE],0),47),"")</f>
        <v>5</v>
      </c>
      <c r="J99" s="775">
        <f>IFERROR(INDEX(BDEGENER[],MATCH(TODEQUIPOS[[#This Row],[N° DE SERIE]],BDEGENER[SERIE],0),48),"")</f>
        <v>3</v>
      </c>
      <c r="K99" s="775">
        <f>IFERROR(INDEX(BDEGENER[],MATCH(TODEQUIPOS[[#This Row],[N° DE SERIE]],BDEGENER[SERIE],0),57),"")</f>
        <v>8</v>
      </c>
      <c r="L99" s="775" t="str">
        <f>IF(TODEQUIPOS[[#This Row],[CONTADOR]]=1,"UNICO","DUPLICADO")</f>
        <v>UNICO</v>
      </c>
      <c r="M99" s="775">
        <f>COUNTIF(TODEQUIPOS[N° DE SERIE],TODEQUIPOS[[#This Row],[N° DE SERIE]])</f>
        <v>1</v>
      </c>
    </row>
    <row r="100" spans="2:13" x14ac:dyDescent="0.3">
      <c r="B100" t="s">
        <v>2674</v>
      </c>
      <c r="C100" s="801" t="str">
        <f>IFERROR(INDEX(BDEGENER[],MATCH(TODEQUIPOS[[#This Row],[N° DE SERIE]],BDEGENER[SERIE],0),26),"")</f>
        <v>GENERAC</v>
      </c>
      <c r="D100" s="775" t="str">
        <f>IFERROR(INDEX(BDEGENER[],MATCH(TODEQUIPOS[[#This Row],[N° DE SERIE]],BDEGENER[SERIE],0),27),"")</f>
        <v/>
      </c>
      <c r="E100" s="776" t="str">
        <f>IFERROR(INDEX(BDEGENER[],MATCH(TODEQUIPOS[[#This Row],[N° DE SERIE]],BDEGENER[SERIE],0),11),"")</f>
        <v>SAN FERNANDO</v>
      </c>
      <c r="F100" s="776" t="str">
        <f>IFERROR(INDEX(BDEGENER[],MATCH(TODEQUIPOS[[#This Row],[N° DE SERIE]],BDEGENER[SERIE],0),12),"")</f>
        <v>AGRI</v>
      </c>
      <c r="G100" s="802">
        <f>IFERROR(INDEX(BDEGENER[],MATCH(TODEQUIPOS[[#This Row],[N° DE SERIE]],BDEGENER[SERIE],0),10),"")</f>
        <v>43998</v>
      </c>
      <c r="H100" s="777" t="str">
        <f>IFERROR(INDEX(BDEGENER[],MATCH(TODEQUIPOS[[#This Row],[N° DE SERIE]],BDEGENER[SERIE],0),31),"")</f>
        <v>NR</v>
      </c>
      <c r="I100" s="775">
        <f>IFERROR(INDEX(BDEGENER[],MATCH(TODEQUIPOS[[#This Row],[N° DE SERIE]],BDEGENER[SERIE],0),47),"")</f>
        <v>1</v>
      </c>
      <c r="J100" s="775">
        <f>IFERROR(INDEX(BDEGENER[],MATCH(TODEQUIPOS[[#This Row],[N° DE SERIE]],BDEGENER[SERIE],0),48),"")</f>
        <v>0</v>
      </c>
      <c r="K100" s="775">
        <f>IFERROR(INDEX(BDEGENER[],MATCH(TODEQUIPOS[[#This Row],[N° DE SERIE]],BDEGENER[SERIE],0),57),"")</f>
        <v>1</v>
      </c>
      <c r="L100" s="775" t="str">
        <f>IF(TODEQUIPOS[[#This Row],[CONTADOR]]=1,"UNICO","DUPLICADO")</f>
        <v>UNICO</v>
      </c>
      <c r="M100" s="775">
        <f>COUNTIF(TODEQUIPOS[N° DE SERIE],TODEQUIPOS[[#This Row],[N° DE SERIE]])</f>
        <v>1</v>
      </c>
    </row>
    <row r="101" spans="2:13" x14ac:dyDescent="0.3">
      <c r="B101" t="s">
        <v>2672</v>
      </c>
      <c r="C101" s="801" t="str">
        <f>IFERROR(INDEX(BDEGENER[],MATCH(TODEQUIPOS[[#This Row],[N° DE SERIE]],BDEGENER[SERIE],0),26),"")</f>
        <v>GAMMA</v>
      </c>
      <c r="D101" s="775" t="str">
        <f>IFERROR(INDEX(BDEGENER[],MATCH(TODEQUIPOS[[#This Row],[N° DE SERIE]],BDEGENER[SERIE],0),27),"")</f>
        <v>N/V</v>
      </c>
      <c r="E101" s="776" t="str">
        <f>IFERROR(INDEX(BDEGENER[],MATCH(TODEQUIPOS[[#This Row],[N° DE SERIE]],BDEGENER[SERIE],0),11),"")</f>
        <v>SODEXO</v>
      </c>
      <c r="F101" s="776" t="str">
        <f>IFERROR(INDEX(BDEGENER[],MATCH(TODEQUIPOS[[#This Row],[N° DE SERIE]],BDEGENER[SERIE],0),12),"")</f>
        <v>BANBIF - CALLAO</v>
      </c>
      <c r="G101" s="802">
        <f>IFERROR(INDEX(BDEGENER[],MATCH(TODEQUIPOS[[#This Row],[N° DE SERIE]],BDEGENER[SERIE],0),10),"")</f>
        <v>43994</v>
      </c>
      <c r="H101" s="777">
        <f>IFERROR(INDEX(BDEGENER[],MATCH(TODEQUIPOS[[#This Row],[N° DE SERIE]],BDEGENER[SERIE],0),31),"")</f>
        <v>169.1</v>
      </c>
      <c r="I101" s="775">
        <f>IFERROR(INDEX(BDEGENER[],MATCH(TODEQUIPOS[[#This Row],[N° DE SERIE]],BDEGENER[SERIE],0),47),"")</f>
        <v>0</v>
      </c>
      <c r="J101" s="775">
        <f>IFERROR(INDEX(BDEGENER[],MATCH(TODEQUIPOS[[#This Row],[N° DE SERIE]],BDEGENER[SERIE],0),48),"")</f>
        <v>0</v>
      </c>
      <c r="K101" s="775">
        <f>IFERROR(INDEX(BDEGENER[],MATCH(TODEQUIPOS[[#This Row],[N° DE SERIE]],BDEGENER[SERIE],0),57),"")</f>
        <v>1</v>
      </c>
      <c r="L101" s="775" t="str">
        <f>IF(TODEQUIPOS[[#This Row],[CONTADOR]]=1,"UNICO","DUPLICADO")</f>
        <v>UNICO</v>
      </c>
      <c r="M101" s="775">
        <f>COUNTIF(TODEQUIPOS[N° DE SERIE],TODEQUIPOS[[#This Row],[N° DE SERIE]])</f>
        <v>1</v>
      </c>
    </row>
    <row r="102" spans="2:13" x14ac:dyDescent="0.3">
      <c r="B102">
        <v>3004982864</v>
      </c>
      <c r="C102" s="801" t="str">
        <f>IFERROR(INDEX(BDEGENER[],MATCH(TODEQUIPOS[[#This Row],[N° DE SERIE]],BDEGENER[SERIE],0),26),"")</f>
        <v>SELMEC</v>
      </c>
      <c r="D102" s="775" t="str">
        <f>IFERROR(INDEX(BDEGENER[],MATCH(TODEQUIPOS[[#This Row],[N° DE SERIE]],BDEGENER[SERIE],0),27),"")</f>
        <v>TLY 1250</v>
      </c>
      <c r="E102" s="776" t="str">
        <f>IFERROR(INDEX(BDEGENER[],MATCH(TODEQUIPOS[[#This Row],[N° DE SERIE]],BDEGENER[SERIE],0),11),"")</f>
        <v>AMERICA MOVIL PERU</v>
      </c>
      <c r="F102" s="776" t="str">
        <f>IFERROR(INDEX(BDEGENER[],MATCH(TODEQUIPOS[[#This Row],[N° DE SERIE]],BDEGENER[SERIE],0),12),"")</f>
        <v>SEGUNDO POLO - CLARO</v>
      </c>
      <c r="G102" s="802">
        <f>IFERROR(INDEX(BDEGENER[],MATCH(TODEQUIPOS[[#This Row],[N° DE SERIE]],BDEGENER[SERIE],0),10),"")</f>
        <v>43993</v>
      </c>
      <c r="H102" s="777">
        <f>IFERROR(INDEX(BDEGENER[],MATCH(TODEQUIPOS[[#This Row],[N° DE SERIE]],BDEGENER[SERIE],0),31),"")</f>
        <v>0</v>
      </c>
      <c r="I102" s="775">
        <f>IFERROR(INDEX(BDEGENER[],MATCH(TODEQUIPOS[[#This Row],[N° DE SERIE]],BDEGENER[SERIE],0),47),"")</f>
        <v>0</v>
      </c>
      <c r="J102" s="775">
        <f>IFERROR(INDEX(BDEGENER[],MATCH(TODEQUIPOS[[#This Row],[N° DE SERIE]],BDEGENER[SERIE],0),48),"")</f>
        <v>0</v>
      </c>
      <c r="K102" s="775">
        <f>IFERROR(INDEX(BDEGENER[],MATCH(TODEQUIPOS[[#This Row],[N° DE SERIE]],BDEGENER[SERIE],0),57),"")</f>
        <v>1</v>
      </c>
      <c r="L102" s="775" t="str">
        <f>IF(TODEQUIPOS[[#This Row],[CONTADOR]]=1,"UNICO","DUPLICADO")</f>
        <v>UNICO</v>
      </c>
      <c r="M102" s="775">
        <f>COUNTIF(TODEQUIPOS[N° DE SERIE],TODEQUIPOS[[#This Row],[N° DE SERIE]])</f>
        <v>1</v>
      </c>
    </row>
    <row r="103" spans="2:13" x14ac:dyDescent="0.3">
      <c r="B103">
        <v>3004982850</v>
      </c>
      <c r="C103" s="801" t="str">
        <f>IFERROR(INDEX(BDEGENER[],MATCH(TODEQUIPOS[[#This Row],[N° DE SERIE]],BDEGENER[SERIE],0),26),"")</f>
        <v>SELMEC</v>
      </c>
      <c r="D103" s="775" t="str">
        <f>IFERROR(INDEX(BDEGENER[],MATCH(TODEQUIPOS[[#This Row],[N° DE SERIE]],BDEGENER[SERIE],0),27),"")</f>
        <v>TLY 1250</v>
      </c>
      <c r="E103" s="776" t="str">
        <f>IFERROR(INDEX(BDEGENER[],MATCH(TODEQUIPOS[[#This Row],[N° DE SERIE]],BDEGENER[SERIE],0),11),"")</f>
        <v>AMERICA MOVIL PERU</v>
      </c>
      <c r="F103" s="776" t="str">
        <f>IFERROR(INDEX(BDEGENER[],MATCH(TODEQUIPOS[[#This Row],[N° DE SERIE]],BDEGENER[SERIE],0),12),"")</f>
        <v>SEGUNDO POLO - CLARO</v>
      </c>
      <c r="G103" s="802">
        <f>IFERROR(INDEX(BDEGENER[],MATCH(TODEQUIPOS[[#This Row],[N° DE SERIE]],BDEGENER[SERIE],0),10),"")</f>
        <v>43993</v>
      </c>
      <c r="H103" s="777">
        <f>IFERROR(INDEX(BDEGENER[],MATCH(TODEQUIPOS[[#This Row],[N° DE SERIE]],BDEGENER[SERIE],0),31),"")</f>
        <v>0</v>
      </c>
      <c r="I103" s="775">
        <f>IFERROR(INDEX(BDEGENER[],MATCH(TODEQUIPOS[[#This Row],[N° DE SERIE]],BDEGENER[SERIE],0),47),"")</f>
        <v>0</v>
      </c>
      <c r="J103" s="775">
        <f>IFERROR(INDEX(BDEGENER[],MATCH(TODEQUIPOS[[#This Row],[N° DE SERIE]],BDEGENER[SERIE],0),48),"")</f>
        <v>0</v>
      </c>
      <c r="K103" s="775">
        <f>IFERROR(INDEX(BDEGENER[],MATCH(TODEQUIPOS[[#This Row],[N° DE SERIE]],BDEGENER[SERIE],0),57),"")</f>
        <v>1</v>
      </c>
      <c r="L103" s="775" t="str">
        <f>IF(TODEQUIPOS[[#This Row],[CONTADOR]]=1,"UNICO","DUPLICADO")</f>
        <v>UNICO</v>
      </c>
      <c r="M103" s="775">
        <f>COUNTIF(TODEQUIPOS[N° DE SERIE],TODEQUIPOS[[#This Row],[N° DE SERIE]])</f>
        <v>1</v>
      </c>
    </row>
    <row r="104" spans="2:13" x14ac:dyDescent="0.3">
      <c r="B104">
        <v>8754673</v>
      </c>
      <c r="C104" s="801" t="str">
        <f>IFERROR(INDEX(BDEGENER[],MATCH(TODEQUIPOS[[#This Row],[N° DE SERIE]],BDEGENER[SERIE],0),26),"")</f>
        <v>GAMMA</v>
      </c>
      <c r="D104" s="775" t="str">
        <f>IFERROR(INDEX(BDEGENER[],MATCH(TODEQUIPOS[[#This Row],[N° DE SERIE]],BDEGENER[SERIE],0),27),"")</f>
        <v>GPLS-400I</v>
      </c>
      <c r="E104" s="776" t="str">
        <f>IFERROR(INDEX(BDEGENER[],MATCH(TODEQUIPOS[[#This Row],[N° DE SERIE]],BDEGENER[SERIE],0),11),"")</f>
        <v>SCOTIABANK</v>
      </c>
      <c r="F104" s="776" t="str">
        <f>IFERROR(INDEX(BDEGENER[],MATCH(TODEQUIPOS[[#This Row],[N° DE SERIE]],BDEGENER[SERIE],0),12),"")</f>
        <v>SCOTIABANK JESUS MARIA - ARENALES</v>
      </c>
      <c r="G104" s="802">
        <f>IFERROR(INDEX(BDEGENER[],MATCH(TODEQUIPOS[[#This Row],[N° DE SERIE]],BDEGENER[SERIE],0),10),"")</f>
        <v>43987</v>
      </c>
      <c r="H104" s="777">
        <f>IFERROR(INDEX(BDEGENER[],MATCH(TODEQUIPOS[[#This Row],[N° DE SERIE]],BDEGENER[SERIE],0),31),"")</f>
        <v>153.19999999999999</v>
      </c>
      <c r="I104" s="775">
        <f>IFERROR(INDEX(BDEGENER[],MATCH(TODEQUIPOS[[#This Row],[N° DE SERIE]],BDEGENER[SERIE],0),47),"")</f>
        <v>1</v>
      </c>
      <c r="J104" s="775">
        <f>IFERROR(INDEX(BDEGENER[],MATCH(TODEQUIPOS[[#This Row],[N° DE SERIE]],BDEGENER[SERIE],0),48),"")</f>
        <v>2</v>
      </c>
      <c r="K104" s="775">
        <f>IFERROR(INDEX(BDEGENER[],MATCH(TODEQUIPOS[[#This Row],[N° DE SERIE]],BDEGENER[SERIE],0),57),"")</f>
        <v>6</v>
      </c>
      <c r="L104" s="775" t="str">
        <f>IF(TODEQUIPOS[[#This Row],[CONTADOR]]=1,"UNICO","DUPLICADO")</f>
        <v>UNICO</v>
      </c>
      <c r="M104" s="775">
        <f>COUNTIF(TODEQUIPOS[N° DE SERIE],TODEQUIPOS[[#This Row],[N° DE SERIE]])</f>
        <v>1</v>
      </c>
    </row>
    <row r="105" spans="2:13" x14ac:dyDescent="0.3">
      <c r="B105" t="s">
        <v>784</v>
      </c>
      <c r="C105" s="801" t="str">
        <f>IFERROR(INDEX(BDEGENER[],MATCH(TODEQUIPOS[[#This Row],[N° DE SERIE]],BDEGENER[SERIE],0),26),"")</f>
        <v>GAMMA</v>
      </c>
      <c r="D105" s="775" t="str">
        <f>IFERROR(INDEX(BDEGENER[],MATCH(TODEQUIPOS[[#This Row],[N° DE SERIE]],BDEGENER[SERIE],0),27),"")</f>
        <v>GCLS-150I</v>
      </c>
      <c r="E105" s="776" t="str">
        <f>IFERROR(INDEX(BDEGENER[],MATCH(TODEQUIPOS[[#This Row],[N° DE SERIE]],BDEGENER[SERIE],0),11),"")</f>
        <v>SCOTIABANK</v>
      </c>
      <c r="F105" s="776" t="str">
        <f>IFERROR(INDEX(BDEGENER[],MATCH(TODEQUIPOS[[#This Row],[N° DE SERIE]],BDEGENER[SERIE],0),12),"")</f>
        <v>Sede SCI Pierola - SCOTIABANK</v>
      </c>
      <c r="G105" s="802">
        <f>IFERROR(INDEX(BDEGENER[],MATCH(TODEQUIPOS[[#This Row],[N° DE SERIE]],BDEGENER[SERIE],0),10),"")</f>
        <v>43974</v>
      </c>
      <c r="H105" s="777">
        <f>IFERROR(INDEX(BDEGENER[],MATCH(TODEQUIPOS[[#This Row],[N° DE SERIE]],BDEGENER[SERIE],0),31),"")</f>
        <v>30.1</v>
      </c>
      <c r="I105" s="775">
        <f>IFERROR(INDEX(BDEGENER[],MATCH(TODEQUIPOS[[#This Row],[N° DE SERIE]],BDEGENER[SERIE],0),47),"")</f>
        <v>0</v>
      </c>
      <c r="J105" s="775">
        <f>IFERROR(INDEX(BDEGENER[],MATCH(TODEQUIPOS[[#This Row],[N° DE SERIE]],BDEGENER[SERIE],0),48),"")</f>
        <v>2</v>
      </c>
      <c r="K105" s="775">
        <f>IFERROR(INDEX(BDEGENER[],MATCH(TODEQUIPOS[[#This Row],[N° DE SERIE]],BDEGENER[SERIE],0),57),"")</f>
        <v>2</v>
      </c>
      <c r="L105" s="775" t="str">
        <f>IF(TODEQUIPOS[[#This Row],[CONTADOR]]=1,"UNICO","DUPLICADO")</f>
        <v>UNICO</v>
      </c>
      <c r="M105" s="775">
        <f>COUNTIF(TODEQUIPOS[N° DE SERIE],TODEQUIPOS[[#This Row],[N° DE SERIE]])</f>
        <v>1</v>
      </c>
    </row>
    <row r="106" spans="2:13" x14ac:dyDescent="0.3">
      <c r="B106" t="s">
        <v>1216</v>
      </c>
      <c r="C106" s="801" t="str">
        <f>IFERROR(INDEX(BDEGENER[],MATCH(TODEQUIPOS[[#This Row],[N° DE SERIE]],BDEGENER[SERIE],0),26),"")</f>
        <v>MODASA</v>
      </c>
      <c r="D106" s="775" t="str">
        <f>IFERROR(INDEX(BDEGENER[],MATCH(TODEQUIPOS[[#This Row],[N° DE SERIE]],BDEGENER[SERIE],0),27),"")</f>
        <v>MP-20I</v>
      </c>
      <c r="E106" s="776" t="str">
        <f>IFERROR(INDEX(BDEGENER[],MATCH(TODEQUIPOS[[#This Row],[N° DE SERIE]],BDEGENER[SERIE],0),11),"")</f>
        <v>SCOTIABANK</v>
      </c>
      <c r="F106" s="776" t="str">
        <f>IFERROR(INDEX(BDEGENER[],MATCH(TODEQUIPOS[[#This Row],[N° DE SERIE]],BDEGENER[SERIE],0),12),"")</f>
        <v>SCOTIABANK LIMA</v>
      </c>
      <c r="G106" s="802">
        <f>IFERROR(INDEX(BDEGENER[],MATCH(TODEQUIPOS[[#This Row],[N° DE SERIE]],BDEGENER[SERIE],0),10),"")</f>
        <v>43973</v>
      </c>
      <c r="H106" s="777">
        <f>IFERROR(INDEX(BDEGENER[],MATCH(TODEQUIPOS[[#This Row],[N° DE SERIE]],BDEGENER[SERIE],0),31),"")</f>
        <v>863.53</v>
      </c>
      <c r="I106" s="775">
        <f>IFERROR(INDEX(BDEGENER[],MATCH(TODEQUIPOS[[#This Row],[N° DE SERIE]],BDEGENER[SERIE],0),47),"")</f>
        <v>0</v>
      </c>
      <c r="J106" s="775">
        <f>IFERROR(INDEX(BDEGENER[],MATCH(TODEQUIPOS[[#This Row],[N° DE SERIE]],BDEGENER[SERIE],0),48),"")</f>
        <v>2</v>
      </c>
      <c r="K106" s="775">
        <f>IFERROR(INDEX(BDEGENER[],MATCH(TODEQUIPOS[[#This Row],[N° DE SERIE]],BDEGENER[SERIE],0),57),"")</f>
        <v>2</v>
      </c>
      <c r="L106" s="775" t="str">
        <f>IF(TODEQUIPOS[[#This Row],[CONTADOR]]=1,"UNICO","DUPLICADO")</f>
        <v>UNICO</v>
      </c>
      <c r="M106" s="775">
        <f>COUNTIF(TODEQUIPOS[N° DE SERIE],TODEQUIPOS[[#This Row],[N° DE SERIE]])</f>
        <v>1</v>
      </c>
    </row>
    <row r="107" spans="2:13" x14ac:dyDescent="0.3">
      <c r="B107" t="s">
        <v>1219</v>
      </c>
      <c r="C107" s="801" t="str">
        <f>IFERROR(INDEX(BDEGENER[],MATCH(TODEQUIPOS[[#This Row],[N° DE SERIE]],BDEGENER[SERIE],0),26),"")</f>
        <v>MODASA</v>
      </c>
      <c r="D107" s="775" t="str">
        <f>IFERROR(INDEX(BDEGENER[],MATCH(TODEQUIPOS[[#This Row],[N° DE SERIE]],BDEGENER[SERIE],0),27),"")</f>
        <v>MP-20I</v>
      </c>
      <c r="E107" s="776" t="str">
        <f>IFERROR(INDEX(BDEGENER[],MATCH(TODEQUIPOS[[#This Row],[N° DE SERIE]],BDEGENER[SERIE],0),11),"")</f>
        <v>SCOTIABANK</v>
      </c>
      <c r="F107" s="776" t="str">
        <f>IFERROR(INDEX(BDEGENER[],MATCH(TODEQUIPOS[[#This Row],[N° DE SERIE]],BDEGENER[SERIE],0),12),"")</f>
        <v>SCOTIABANK LIMA</v>
      </c>
      <c r="G107" s="802">
        <f>IFERROR(INDEX(BDEGENER[],MATCH(TODEQUIPOS[[#This Row],[N° DE SERIE]],BDEGENER[SERIE],0),10),"")</f>
        <v>43973</v>
      </c>
      <c r="H107" s="777">
        <f>IFERROR(INDEX(BDEGENER[],MATCH(TODEQUIPOS[[#This Row],[N° DE SERIE]],BDEGENER[SERIE],0),31),"")</f>
        <v>900.33</v>
      </c>
      <c r="I107" s="775">
        <f>IFERROR(INDEX(BDEGENER[],MATCH(TODEQUIPOS[[#This Row],[N° DE SERIE]],BDEGENER[SERIE],0),47),"")</f>
        <v>0</v>
      </c>
      <c r="J107" s="775">
        <f>IFERROR(INDEX(BDEGENER[],MATCH(TODEQUIPOS[[#This Row],[N° DE SERIE]],BDEGENER[SERIE],0),48),"")</f>
        <v>2</v>
      </c>
      <c r="K107" s="775">
        <f>IFERROR(INDEX(BDEGENER[],MATCH(TODEQUIPOS[[#This Row],[N° DE SERIE]],BDEGENER[SERIE],0),57),"")</f>
        <v>2</v>
      </c>
      <c r="L107" s="775" t="str">
        <f>IF(TODEQUIPOS[[#This Row],[CONTADOR]]=1,"UNICO","DUPLICADO")</f>
        <v>UNICO</v>
      </c>
      <c r="M107" s="775">
        <f>COUNTIF(TODEQUIPOS[N° DE SERIE],TODEQUIPOS[[#This Row],[N° DE SERIE]])</f>
        <v>1</v>
      </c>
    </row>
    <row r="108" spans="2:13" x14ac:dyDescent="0.3">
      <c r="B108" t="s">
        <v>837</v>
      </c>
      <c r="C108" s="801" t="str">
        <f>IFERROR(INDEX(BDEGENER[],MATCH(TODEQUIPOS[[#This Row],[N° DE SERIE]],BDEGENER[SERIE],0),26),"")</f>
        <v>KATOLIGHT</v>
      </c>
      <c r="D108" s="775" t="str">
        <f>IFERROR(INDEX(BDEGENER[],MATCH(TODEQUIPOS[[#This Row],[N° DE SERIE]],BDEGENER[SERIE],0),27),"")</f>
        <v>SEN25FGN4</v>
      </c>
      <c r="E108" s="776" t="str">
        <f>IFERROR(INDEX(BDEGENER[],MATCH(TODEQUIPOS[[#This Row],[N° DE SERIE]],BDEGENER[SERIE],0),11),"")</f>
        <v>SODEXO</v>
      </c>
      <c r="F108" s="776" t="str">
        <f>IFERROR(INDEX(BDEGENER[],MATCH(TODEQUIPOS[[#This Row],[N° DE SERIE]],BDEGENER[SERIE],0),12),"")</f>
        <v>ANGLOAMERICANA LA MOLINA</v>
      </c>
      <c r="G108" s="802">
        <f>IFERROR(INDEX(BDEGENER[],MATCH(TODEQUIPOS[[#This Row],[N° DE SERIE]],BDEGENER[SERIE],0),10),"")</f>
        <v>43955</v>
      </c>
      <c r="H108" s="777">
        <f>IFERROR(INDEX(BDEGENER[],MATCH(TODEQUIPOS[[#This Row],[N° DE SERIE]],BDEGENER[SERIE],0),31),"")</f>
        <v>383</v>
      </c>
      <c r="I108" s="775">
        <f>IFERROR(INDEX(BDEGENER[],MATCH(TODEQUIPOS[[#This Row],[N° DE SERIE]],BDEGENER[SERIE],0),47),"")</f>
        <v>1</v>
      </c>
      <c r="J108" s="775">
        <f>IFERROR(INDEX(BDEGENER[],MATCH(TODEQUIPOS[[#This Row],[N° DE SERIE]],BDEGENER[SERIE],0),48),"")</f>
        <v>4</v>
      </c>
      <c r="K108" s="775">
        <f>IFERROR(INDEX(BDEGENER[],MATCH(TODEQUIPOS[[#This Row],[N° DE SERIE]],BDEGENER[SERIE],0),57),"")</f>
        <v>5</v>
      </c>
      <c r="L108" s="775" t="str">
        <f>IF(TODEQUIPOS[[#This Row],[CONTADOR]]=1,"UNICO","DUPLICADO")</f>
        <v>UNICO</v>
      </c>
      <c r="M108" s="775">
        <f>COUNTIF(TODEQUIPOS[N° DE SERIE],TODEQUIPOS[[#This Row],[N° DE SERIE]])</f>
        <v>1</v>
      </c>
    </row>
    <row r="109" spans="2:13" x14ac:dyDescent="0.3">
      <c r="B109" t="s">
        <v>838</v>
      </c>
      <c r="C109" s="801" t="str">
        <f>IFERROR(INDEX(BDEGENER[],MATCH(TODEQUIPOS[[#This Row],[N° DE SERIE]],BDEGENER[SERIE],0),26),"")</f>
        <v>KATOLIGHT</v>
      </c>
      <c r="D109" s="775" t="str">
        <f>IFERROR(INDEX(BDEGENER[],MATCH(TODEQUIPOS[[#This Row],[N° DE SERIE]],BDEGENER[SERIE],0),27),"")</f>
        <v>GEN40FPG4</v>
      </c>
      <c r="E109" s="776" t="str">
        <f>IFERROR(INDEX(BDEGENER[],MATCH(TODEQUIPOS[[#This Row],[N° DE SERIE]],BDEGENER[SERIE],0),11),"")</f>
        <v>SODEXO</v>
      </c>
      <c r="F109" s="776" t="str">
        <f>IFERROR(INDEX(BDEGENER[],MATCH(TODEQUIPOS[[#This Row],[N° DE SERIE]],BDEGENER[SERIE],0),12),"")</f>
        <v>ANGLOAMERICANA SAN ISIDRO</v>
      </c>
      <c r="G109" s="802">
        <f>IFERROR(INDEX(BDEGENER[],MATCH(TODEQUIPOS[[#This Row],[N° DE SERIE]],BDEGENER[SERIE],0),10),"")</f>
        <v>43955</v>
      </c>
      <c r="H109" s="777">
        <f>IFERROR(INDEX(BDEGENER[],MATCH(TODEQUIPOS[[#This Row],[N° DE SERIE]],BDEGENER[SERIE],0),31),"")</f>
        <v>90</v>
      </c>
      <c r="I109" s="775">
        <f>IFERROR(INDEX(BDEGENER[],MATCH(TODEQUIPOS[[#This Row],[N° DE SERIE]],BDEGENER[SERIE],0),47),"")</f>
        <v>0</v>
      </c>
      <c r="J109" s="775">
        <f>IFERROR(INDEX(BDEGENER[],MATCH(TODEQUIPOS[[#This Row],[N° DE SERIE]],BDEGENER[SERIE],0),48),"")</f>
        <v>4</v>
      </c>
      <c r="K109" s="775">
        <f>IFERROR(INDEX(BDEGENER[],MATCH(TODEQUIPOS[[#This Row],[N° DE SERIE]],BDEGENER[SERIE],0),57),"")</f>
        <v>5</v>
      </c>
      <c r="L109" s="775" t="str">
        <f>IF(TODEQUIPOS[[#This Row],[CONTADOR]]=1,"UNICO","DUPLICADO")</f>
        <v>UNICO</v>
      </c>
      <c r="M109" s="775">
        <f>COUNTIF(TODEQUIPOS[N° DE SERIE],TODEQUIPOS[[#This Row],[N° DE SERIE]])</f>
        <v>1</v>
      </c>
    </row>
    <row r="110" spans="2:13" x14ac:dyDescent="0.3">
      <c r="B110" t="s">
        <v>1752</v>
      </c>
      <c r="C110" s="801" t="str">
        <f>IFERROR(INDEX(BDEGENER[],MATCH(TODEQUIPOS[[#This Row],[N° DE SERIE]],BDEGENER[SERIE],0),26),"")</f>
        <v>GENERAC</v>
      </c>
      <c r="D110" s="775" t="str">
        <f>IFERROR(INDEX(BDEGENER[],MATCH(TODEQUIPOS[[#This Row],[N° DE SERIE]],BDEGENER[SERIE],0),27),"")</f>
        <v>PMY20B</v>
      </c>
      <c r="E110" s="776" t="str">
        <f>IFERROR(INDEX(BDEGENER[],MATCH(TODEQUIPOS[[#This Row],[N° DE SERIE]],BDEGENER[SERIE],0),11),"")</f>
        <v>REDONDOS</v>
      </c>
      <c r="F110" s="776" t="str">
        <f>IFERROR(INDEX(BDEGENER[],MATCH(TODEQUIPOS[[#This Row],[N° DE SERIE]],BDEGENER[SERIE],0),12),"")</f>
        <v>ESPERANZA - PARAMONGA</v>
      </c>
      <c r="G110" s="802">
        <f>IFERROR(INDEX(BDEGENER[],MATCH(TODEQUIPOS[[#This Row],[N° DE SERIE]],BDEGENER[SERIE],0),10),"")</f>
        <v>43944</v>
      </c>
      <c r="H110" s="777">
        <f>IFERROR(INDEX(BDEGENER[],MATCH(TODEQUIPOS[[#This Row],[N° DE SERIE]],BDEGENER[SERIE],0),31),"")</f>
        <v>119.9</v>
      </c>
      <c r="I110" s="775">
        <f>IFERROR(INDEX(BDEGENER[],MATCH(TODEQUIPOS[[#This Row],[N° DE SERIE]],BDEGENER[SERIE],0),47),"")</f>
        <v>0</v>
      </c>
      <c r="J110" s="775">
        <f>IFERROR(INDEX(BDEGENER[],MATCH(TODEQUIPOS[[#This Row],[N° DE SERIE]],BDEGENER[SERIE],0),48),"")</f>
        <v>1</v>
      </c>
      <c r="K110" s="775">
        <f>IFERROR(INDEX(BDEGENER[],MATCH(TODEQUIPOS[[#This Row],[N° DE SERIE]],BDEGENER[SERIE],0),57),"")</f>
        <v>3</v>
      </c>
      <c r="L110" s="775" t="str">
        <f>IF(TODEQUIPOS[[#This Row],[CONTADOR]]=1,"UNICO","DUPLICADO")</f>
        <v>UNICO</v>
      </c>
      <c r="M110" s="775">
        <f>COUNTIF(TODEQUIPOS[N° DE SERIE],TODEQUIPOS[[#This Row],[N° DE SERIE]])</f>
        <v>1</v>
      </c>
    </row>
    <row r="111" spans="2:13" x14ac:dyDescent="0.3">
      <c r="B111" t="s">
        <v>1928</v>
      </c>
      <c r="C111" s="801" t="str">
        <f>IFERROR(INDEX(BDEGENER[],MATCH(TODEQUIPOS[[#This Row],[N° DE SERIE]],BDEGENER[SERIE],0),26),"")</f>
        <v>MTU</v>
      </c>
      <c r="D111" s="775" t="str">
        <f>IFERROR(INDEX(BDEGENER[],MATCH(TODEQUIPOS[[#This Row],[N° DE SERIE]],BDEGENER[SERIE],0),27),"")</f>
        <v>9001XC6DT2</v>
      </c>
      <c r="E111" s="776" t="str">
        <f>IFERROR(INDEX(BDEGENER[],MATCH(TODEQUIPOS[[#This Row],[N° DE SERIE]],BDEGENER[SERIE],0),11),"")</f>
        <v>SODEXO</v>
      </c>
      <c r="F111" s="776" t="str">
        <f>IFERROR(INDEX(BDEGENER[],MATCH(TODEQUIPOS[[#This Row],[N° DE SERIE]],BDEGENER[SERIE],0),12),"")</f>
        <v>ANGLOAMERICANA SAN ISIDRO</v>
      </c>
      <c r="G111" s="802">
        <f>IFERROR(INDEX(BDEGENER[],MATCH(TODEQUIPOS[[#This Row],[N° DE SERIE]],BDEGENER[SERIE],0),10),"")</f>
        <v>43901</v>
      </c>
      <c r="H111" s="777">
        <f>IFERROR(INDEX(BDEGENER[],MATCH(TODEQUIPOS[[#This Row],[N° DE SERIE]],BDEGENER[SERIE],0),31),"")</f>
        <v>116.48</v>
      </c>
      <c r="I111" s="775">
        <f>IFERROR(INDEX(BDEGENER[],MATCH(TODEQUIPOS[[#This Row],[N° DE SERIE]],BDEGENER[SERIE],0),47),"")</f>
        <v>0</v>
      </c>
      <c r="J111" s="775">
        <f>IFERROR(INDEX(BDEGENER[],MATCH(TODEQUIPOS[[#This Row],[N° DE SERIE]],BDEGENER[SERIE],0),48),"")</f>
        <v>2</v>
      </c>
      <c r="K111" s="775">
        <f>IFERROR(INDEX(BDEGENER[],MATCH(TODEQUIPOS[[#This Row],[N° DE SERIE]],BDEGENER[SERIE],0),57),"")</f>
        <v>2</v>
      </c>
      <c r="L111" s="775" t="str">
        <f>IF(TODEQUIPOS[[#This Row],[CONTADOR]]=1,"UNICO","DUPLICADO")</f>
        <v>UNICO</v>
      </c>
      <c r="M111" s="775">
        <f>COUNTIF(TODEQUIPOS[N° DE SERIE],TODEQUIPOS[[#This Row],[N° DE SERIE]])</f>
        <v>1</v>
      </c>
    </row>
    <row r="112" spans="2:13" x14ac:dyDescent="0.3">
      <c r="B112">
        <v>3005125863</v>
      </c>
      <c r="C112" s="801" t="str">
        <f>IFERROR(INDEX(BDEGENER[],MATCH(TODEQUIPOS[[#This Row],[N° DE SERIE]],BDEGENER[SERIE],0),26),"")</f>
        <v>GENERAC</v>
      </c>
      <c r="D112" s="775" t="str">
        <f>IFERROR(INDEX(BDEGENER[],MATCH(TODEQUIPOS[[#This Row],[N° DE SERIE]],BDEGENER[SERIE],0),27),"")</f>
        <v>RG06024</v>
      </c>
      <c r="E112" s="776" t="str">
        <f>IFERROR(INDEX(BDEGENER[],MATCH(TODEQUIPOS[[#This Row],[N° DE SERIE]],BDEGENER[SERIE],0),11),"")</f>
        <v>STS. ARQUITECTOS</v>
      </c>
      <c r="F112" s="776" t="str">
        <f>IFERROR(INDEX(BDEGENER[],MATCH(TODEQUIPOS[[#This Row],[N° DE SERIE]],BDEGENER[SERIE],0),12),"")</f>
        <v>STS AQUITECTOS/ CASA LA QUEBRADA</v>
      </c>
      <c r="G112" s="802">
        <f>IFERROR(INDEX(BDEGENER[],MATCH(TODEQUIPOS[[#This Row],[N° DE SERIE]],BDEGENER[SERIE],0),10),"")</f>
        <v>43900</v>
      </c>
      <c r="H112" s="777">
        <f>IFERROR(INDEX(BDEGENER[],MATCH(TODEQUIPOS[[#This Row],[N° DE SERIE]],BDEGENER[SERIE],0),31),"")</f>
        <v>0.3</v>
      </c>
      <c r="I112" s="775">
        <f>IFERROR(INDEX(BDEGENER[],MATCH(TODEQUIPOS[[#This Row],[N° DE SERIE]],BDEGENER[SERIE],0),47),"")</f>
        <v>0</v>
      </c>
      <c r="J112" s="775">
        <f>IFERROR(INDEX(BDEGENER[],MATCH(TODEQUIPOS[[#This Row],[N° DE SERIE]],BDEGENER[SERIE],0),48),"")</f>
        <v>0</v>
      </c>
      <c r="K112" s="775">
        <f>IFERROR(INDEX(BDEGENER[],MATCH(TODEQUIPOS[[#This Row],[N° DE SERIE]],BDEGENER[SERIE],0),57),"")</f>
        <v>1</v>
      </c>
      <c r="L112" s="775" t="str">
        <f>IF(TODEQUIPOS[[#This Row],[CONTADOR]]=1,"UNICO","DUPLICADO")</f>
        <v>UNICO</v>
      </c>
      <c r="M112" s="775">
        <f>COUNTIF(TODEQUIPOS[N° DE SERIE],TODEQUIPOS[[#This Row],[N° DE SERIE]])</f>
        <v>1</v>
      </c>
    </row>
    <row r="113" spans="2:13" x14ac:dyDescent="0.3">
      <c r="B113" t="s">
        <v>1685</v>
      </c>
      <c r="C113" s="801" t="str">
        <f>IFERROR(INDEX(BDEGENER[],MATCH(TODEQUIPOS[[#This Row],[N° DE SERIE]],BDEGENER[SERIE],0),26),"")</f>
        <v>GENERAC</v>
      </c>
      <c r="D113" s="775" t="str">
        <f>IFERROR(INDEX(BDEGENER[],MATCH(TODEQUIPOS[[#This Row],[N° DE SERIE]],BDEGENER[SERIE],0),27),"")</f>
        <v>PMY20B</v>
      </c>
      <c r="E113" s="776" t="str">
        <f>IFERROR(INDEX(BDEGENER[],MATCH(TODEQUIPOS[[#This Row],[N° DE SERIE]],BDEGENER[SERIE],0),11),"")</f>
        <v>INTERNO</v>
      </c>
      <c r="F113" s="776" t="str">
        <f>IFERROR(INDEX(BDEGENER[],MATCH(TODEQUIPOS[[#This Row],[N° DE SERIE]],BDEGENER[SERIE],0),12),"")</f>
        <v>TALLER EGENER</v>
      </c>
      <c r="G113" s="802">
        <f>IFERROR(INDEX(BDEGENER[],MATCH(TODEQUIPOS[[#This Row],[N° DE SERIE]],BDEGENER[SERIE],0),10),"")</f>
        <v>43892</v>
      </c>
      <c r="H113" s="777">
        <f>IFERROR(INDEX(BDEGENER[],MATCH(TODEQUIPOS[[#This Row],[N° DE SERIE]],BDEGENER[SERIE],0),31),"")</f>
        <v>0</v>
      </c>
      <c r="I113" s="775">
        <f>IFERROR(INDEX(BDEGENER[],MATCH(TODEQUIPOS[[#This Row],[N° DE SERIE]],BDEGENER[SERIE],0),47),"")</f>
        <v>0</v>
      </c>
      <c r="J113" s="775">
        <f>IFERROR(INDEX(BDEGENER[],MATCH(TODEQUIPOS[[#This Row],[N° DE SERIE]],BDEGENER[SERIE],0),48),"")</f>
        <v>0</v>
      </c>
      <c r="K113" s="775">
        <f>IFERROR(INDEX(BDEGENER[],MATCH(TODEQUIPOS[[#This Row],[N° DE SERIE]],BDEGENER[SERIE],0),57),"")</f>
        <v>1</v>
      </c>
      <c r="L113" s="775" t="str">
        <f>IF(TODEQUIPOS[[#This Row],[CONTADOR]]=1,"UNICO","DUPLICADO")</f>
        <v>UNICO</v>
      </c>
      <c r="M113" s="775">
        <f>COUNTIF(TODEQUIPOS[N° DE SERIE],TODEQUIPOS[[#This Row],[N° DE SERIE]])</f>
        <v>1</v>
      </c>
    </row>
    <row r="114" spans="2:13" x14ac:dyDescent="0.3">
      <c r="B114">
        <v>3003953458</v>
      </c>
      <c r="C114" s="801" t="str">
        <f>IFERROR(INDEX(BDEGENER[],MATCH(TODEQUIPOS[[#This Row],[N° DE SERIE]],BDEGENER[SERIE],0),26),"")</f>
        <v>GENERAC</v>
      </c>
      <c r="D114" s="775" t="str">
        <f>IFERROR(INDEX(BDEGENER[],MATCH(TODEQUIPOS[[#This Row],[N° DE SERIE]],BDEGENER[SERIE],0),27),"")</f>
        <v>PLY100</v>
      </c>
      <c r="E114" s="776" t="str">
        <f>IFERROR(INDEX(BDEGENER[],MATCH(TODEQUIPOS[[#This Row],[N° DE SERIE]],BDEGENER[SERIE],0),11),"")</f>
        <v>CMO Group S.A.</v>
      </c>
      <c r="F114" s="776" t="str">
        <f>IFERROR(INDEX(BDEGENER[],MATCH(TODEQUIPOS[[#This Row],[N° DE SERIE]],BDEGENER[SERIE],0),12),"")</f>
        <v>TALLER EGENER</v>
      </c>
      <c r="G114" s="802">
        <f>IFERROR(INDEX(BDEGENER[],MATCH(TODEQUIPOS[[#This Row],[N° DE SERIE]],BDEGENER[SERIE],0),10),"")</f>
        <v>43886</v>
      </c>
      <c r="H114" s="777">
        <f>IFERROR(INDEX(BDEGENER[],MATCH(TODEQUIPOS[[#This Row],[N° DE SERIE]],BDEGENER[SERIE],0),31),"")</f>
        <v>927</v>
      </c>
      <c r="I114" s="775">
        <f>IFERROR(INDEX(BDEGENER[],MATCH(TODEQUIPOS[[#This Row],[N° DE SERIE]],BDEGENER[SERIE],0),47),"")</f>
        <v>0</v>
      </c>
      <c r="J114" s="775">
        <f>IFERROR(INDEX(BDEGENER[],MATCH(TODEQUIPOS[[#This Row],[N° DE SERIE]],BDEGENER[SERIE],0),48),"")</f>
        <v>1</v>
      </c>
      <c r="K114" s="775">
        <f>IFERROR(INDEX(BDEGENER[],MATCH(TODEQUIPOS[[#This Row],[N° DE SERIE]],BDEGENER[SERIE],0),57),"")</f>
        <v>3</v>
      </c>
      <c r="L114" s="775" t="str">
        <f>IF(TODEQUIPOS[[#This Row],[CONTADOR]]=1,"UNICO","DUPLICADO")</f>
        <v>UNICO</v>
      </c>
      <c r="M114" s="775">
        <f>COUNTIF(TODEQUIPOS[N° DE SERIE],TODEQUIPOS[[#This Row],[N° DE SERIE]])</f>
        <v>1</v>
      </c>
    </row>
    <row r="115" spans="2:13" x14ac:dyDescent="0.3">
      <c r="B115" t="s">
        <v>1499</v>
      </c>
      <c r="C115" s="801" t="str">
        <f>IFERROR(INDEX(BDEGENER[],MATCH(TODEQUIPOS[[#This Row],[N° DE SERIE]],BDEGENER[SERIE],0),26),"")</f>
        <v>GENERAC</v>
      </c>
      <c r="D115" s="775" t="str">
        <f>IFERROR(INDEX(BDEGENER[],MATCH(TODEQUIPOS[[#This Row],[N° DE SERIE]],BDEGENER[SERIE],0),27),"")</f>
        <v>PMY20B</v>
      </c>
      <c r="E115" s="776" t="str">
        <f>IFERROR(INDEX(BDEGENER[],MATCH(TODEQUIPOS[[#This Row],[N° DE SERIE]],BDEGENER[SERIE],0),11),"")</f>
        <v>REDONDOS</v>
      </c>
      <c r="F115" s="776" t="str">
        <f>IFERROR(INDEX(BDEGENER[],MATCH(TODEQUIPOS[[#This Row],[N° DE SERIE]],BDEGENER[SERIE],0),12),"")</f>
        <v>CIELO 2</v>
      </c>
      <c r="G115" s="802">
        <f>IFERROR(INDEX(BDEGENER[],MATCH(TODEQUIPOS[[#This Row],[N° DE SERIE]],BDEGENER[SERIE],0),10),"")</f>
        <v>43879</v>
      </c>
      <c r="H115" s="777">
        <f>IFERROR(INDEX(BDEGENER[],MATCH(TODEQUIPOS[[#This Row],[N° DE SERIE]],BDEGENER[SERIE],0),31),"")</f>
        <v>117.6</v>
      </c>
      <c r="I115" s="775">
        <f>IFERROR(INDEX(BDEGENER[],MATCH(TODEQUIPOS[[#This Row],[N° DE SERIE]],BDEGENER[SERIE],0),47),"")</f>
        <v>0</v>
      </c>
      <c r="J115" s="775">
        <f>IFERROR(INDEX(BDEGENER[],MATCH(TODEQUIPOS[[#This Row],[N° DE SERIE]],BDEGENER[SERIE],0),48),"")</f>
        <v>1</v>
      </c>
      <c r="K115" s="775">
        <f>IFERROR(INDEX(BDEGENER[],MATCH(TODEQUIPOS[[#This Row],[N° DE SERIE]],BDEGENER[SERIE],0),57),"")</f>
        <v>1</v>
      </c>
      <c r="L115" s="775" t="str">
        <f>IF(TODEQUIPOS[[#This Row],[CONTADOR]]=1,"UNICO","DUPLICADO")</f>
        <v>UNICO</v>
      </c>
      <c r="M115" s="775">
        <f>COUNTIF(TODEQUIPOS[N° DE SERIE],TODEQUIPOS[[#This Row],[N° DE SERIE]])</f>
        <v>1</v>
      </c>
    </row>
    <row r="116" spans="2:13" x14ac:dyDescent="0.3">
      <c r="B116" t="s">
        <v>1466</v>
      </c>
      <c r="C116" s="801" t="str">
        <f>IFERROR(INDEX(BDEGENER[],MATCH(TODEQUIPOS[[#This Row],[N° DE SERIE]],BDEGENER[SERIE],0),26),"")</f>
        <v>GENERAC</v>
      </c>
      <c r="D116" s="775" t="str">
        <f>IFERROR(INDEX(BDEGENER[],MATCH(TODEQUIPOS[[#This Row],[N° DE SERIE]],BDEGENER[SERIE],0),27),"")</f>
        <v>GMH-65P</v>
      </c>
      <c r="E116" s="776" t="str">
        <f>IFERROR(INDEX(BDEGENER[],MATCH(TODEQUIPOS[[#This Row],[N° DE SERIE]],BDEGENER[SERIE],0),11),"")</f>
        <v>CONSORCIO SALUD HAQUIRA</v>
      </c>
      <c r="F116" s="776" t="str">
        <f>IFERROR(INDEX(BDEGENER[],MATCH(TODEQUIPOS[[#This Row],[N° DE SERIE]],BDEGENER[SERIE],0),12),"")</f>
        <v>HOSPITAL DE HAQUIRA</v>
      </c>
      <c r="G116" s="802">
        <f>IFERROR(INDEX(BDEGENER[],MATCH(TODEQUIPOS[[#This Row],[N° DE SERIE]],BDEGENER[SERIE],0),10),"")</f>
        <v>43871</v>
      </c>
      <c r="H116" s="777">
        <f>IFERROR(INDEX(BDEGENER[],MATCH(TODEQUIPOS[[#This Row],[N° DE SERIE]],BDEGENER[SERIE],0),31),"")</f>
        <v>34.4</v>
      </c>
      <c r="I116" s="775">
        <f>IFERROR(INDEX(BDEGENER[],MATCH(TODEQUIPOS[[#This Row],[N° DE SERIE]],BDEGENER[SERIE],0),47),"")</f>
        <v>0</v>
      </c>
      <c r="J116" s="775">
        <f>IFERROR(INDEX(BDEGENER[],MATCH(TODEQUIPOS[[#This Row],[N° DE SERIE]],BDEGENER[SERIE],0),48),"")</f>
        <v>0</v>
      </c>
      <c r="K116" s="775">
        <f>IFERROR(INDEX(BDEGENER[],MATCH(TODEQUIPOS[[#This Row],[N° DE SERIE]],BDEGENER[SERIE],0),57),"")</f>
        <v>1</v>
      </c>
      <c r="L116" s="775" t="str">
        <f>IF(TODEQUIPOS[[#This Row],[CONTADOR]]=1,"UNICO","DUPLICADO")</f>
        <v>UNICO</v>
      </c>
      <c r="M116" s="775">
        <f>COUNTIF(TODEQUIPOS[N° DE SERIE],TODEQUIPOS[[#This Row],[N° DE SERIE]])</f>
        <v>1</v>
      </c>
    </row>
    <row r="117" spans="2:13" x14ac:dyDescent="0.3">
      <c r="B117">
        <v>1603597</v>
      </c>
      <c r="C117" s="801" t="str">
        <f>IFERROR(INDEX(BDEGENER[],MATCH(TODEQUIPOS[[#This Row],[N° DE SERIE]],BDEGENER[SERIE],0),26),"")</f>
        <v>GENERAC</v>
      </c>
      <c r="D117" s="775" t="str">
        <f>IFERROR(INDEX(BDEGENER[],MATCH(TODEQUIPOS[[#This Row],[N° DE SERIE]],BDEGENER[SERIE],0),27),"")</f>
        <v>VT8 K3</v>
      </c>
      <c r="E117" s="776" t="str">
        <f>IFERROR(INDEX(BDEGENER[],MATCH(TODEQUIPOS[[#This Row],[N° DE SERIE]],BDEGENER[SERIE],0),11),"")</f>
        <v>INTERNO</v>
      </c>
      <c r="F117" s="776" t="str">
        <f>IFERROR(INDEX(BDEGENER[],MATCH(TODEQUIPOS[[#This Row],[N° DE SERIE]],BDEGENER[SERIE],0),12),"")</f>
        <v>TALLER EGENER</v>
      </c>
      <c r="G117" s="802">
        <f>IFERROR(INDEX(BDEGENER[],MATCH(TODEQUIPOS[[#This Row],[N° DE SERIE]],BDEGENER[SERIE],0),10),"")</f>
        <v>43826</v>
      </c>
      <c r="H117" s="777">
        <f>IFERROR(INDEX(BDEGENER[],MATCH(TODEQUIPOS[[#This Row],[N° DE SERIE]],BDEGENER[SERIE],0),31),"")</f>
        <v>1468</v>
      </c>
      <c r="I117" s="775">
        <f>IFERROR(INDEX(BDEGENER[],MATCH(TODEQUIPOS[[#This Row],[N° DE SERIE]],BDEGENER[SERIE],0),47),"")</f>
        <v>1</v>
      </c>
      <c r="J117" s="775">
        <f>IFERROR(INDEX(BDEGENER[],MATCH(TODEQUIPOS[[#This Row],[N° DE SERIE]],BDEGENER[SERIE],0),48),"")</f>
        <v>2</v>
      </c>
      <c r="K117" s="775">
        <f>IFERROR(INDEX(BDEGENER[],MATCH(TODEQUIPOS[[#This Row],[N° DE SERIE]],BDEGENER[SERIE],0),57),"")</f>
        <v>3</v>
      </c>
      <c r="L117" s="775" t="str">
        <f>IF(TODEQUIPOS[[#This Row],[CONTADOR]]=1,"UNICO","DUPLICADO")</f>
        <v>UNICO</v>
      </c>
      <c r="M117" s="775">
        <f>COUNTIF(TODEQUIPOS[N° DE SERIE],TODEQUIPOS[[#This Row],[N° DE SERIE]])</f>
        <v>1</v>
      </c>
    </row>
    <row r="118" spans="2:13" x14ac:dyDescent="0.3">
      <c r="B118">
        <v>1603600</v>
      </c>
      <c r="C118" s="801" t="str">
        <f>IFERROR(INDEX(BDEGENER[],MATCH(TODEQUIPOS[[#This Row],[N° DE SERIE]],BDEGENER[SERIE],0),26),"")</f>
        <v>GENERAC</v>
      </c>
      <c r="D118" s="775" t="str">
        <f>IFERROR(INDEX(BDEGENER[],MATCH(TODEQUIPOS[[#This Row],[N° DE SERIE]],BDEGENER[SERIE],0),27),"")</f>
        <v>VT8 K3</v>
      </c>
      <c r="E118" s="776" t="str">
        <f>IFERROR(INDEX(BDEGENER[],MATCH(TODEQUIPOS[[#This Row],[N° DE SERIE]],BDEGENER[SERIE],0),11),"")</f>
        <v>PENAL DE ICA</v>
      </c>
      <c r="F118" s="776" t="str">
        <f>IFERROR(INDEX(BDEGENER[],MATCH(TODEQUIPOS[[#This Row],[N° DE SERIE]],BDEGENER[SERIE],0),12),"")</f>
        <v>PENAL DE ICA</v>
      </c>
      <c r="G118" s="802">
        <f>IFERROR(INDEX(BDEGENER[],MATCH(TODEQUIPOS[[#This Row],[N° DE SERIE]],BDEGENER[SERIE],0),10),"")</f>
        <v>43803</v>
      </c>
      <c r="H118" s="777">
        <f>IFERROR(INDEX(BDEGENER[],MATCH(TODEQUIPOS[[#This Row],[N° DE SERIE]],BDEGENER[SERIE],0),31),"")</f>
        <v>1493</v>
      </c>
      <c r="I118" s="775">
        <f>IFERROR(INDEX(BDEGENER[],MATCH(TODEQUIPOS[[#This Row],[N° DE SERIE]],BDEGENER[SERIE],0),47),"")</f>
        <v>0</v>
      </c>
      <c r="J118" s="775">
        <f>IFERROR(INDEX(BDEGENER[],MATCH(TODEQUIPOS[[#This Row],[N° DE SERIE]],BDEGENER[SERIE],0),48),"")</f>
        <v>4</v>
      </c>
      <c r="K118" s="775">
        <f>IFERROR(INDEX(BDEGENER[],MATCH(TODEQUIPOS[[#This Row],[N° DE SERIE]],BDEGENER[SERIE],0),57),"")</f>
        <v>4</v>
      </c>
      <c r="L118" s="775" t="str">
        <f>IF(TODEQUIPOS[[#This Row],[CONTADOR]]=1,"UNICO","DUPLICADO")</f>
        <v>UNICO</v>
      </c>
      <c r="M118" s="775">
        <f>COUNTIF(TODEQUIPOS[N° DE SERIE],TODEQUIPOS[[#This Row],[N° DE SERIE]])</f>
        <v>1</v>
      </c>
    </row>
    <row r="119" spans="2:13" x14ac:dyDescent="0.3">
      <c r="B119">
        <v>3003932013</v>
      </c>
      <c r="C119" s="801" t="str">
        <f>IFERROR(INDEX(BDEGENER[],MATCH(TODEQUIPOS[[#This Row],[N° DE SERIE]],BDEGENER[SERIE],0),26),"")</f>
        <v>GENERAC</v>
      </c>
      <c r="D119" s="775" t="str">
        <f>IFERROR(INDEX(BDEGENER[],MATCH(TODEQUIPOS[[#This Row],[N° DE SERIE]],BDEGENER[SERIE],0),27),"")</f>
        <v>XD5000E</v>
      </c>
      <c r="E119" s="776" t="str">
        <f>IFERROR(INDEX(BDEGENER[],MATCH(TODEQUIPOS[[#This Row],[N° DE SERIE]],BDEGENER[SERIE],0),11),"")</f>
        <v>REDONDOS</v>
      </c>
      <c r="F119" s="776" t="str">
        <f>IFERROR(INDEX(BDEGENER[],MATCH(TODEQUIPOS[[#This Row],[N° DE SERIE]],BDEGENER[SERIE],0),12),"")</f>
        <v>Nucleo Trebol</v>
      </c>
      <c r="G119" s="802">
        <f>IFERROR(INDEX(BDEGENER[],MATCH(TODEQUIPOS[[#This Row],[N° DE SERIE]],BDEGENER[SERIE],0),10),"")</f>
        <v>43798</v>
      </c>
      <c r="H119" s="777">
        <f>IFERROR(INDEX(BDEGENER[],MATCH(TODEQUIPOS[[#This Row],[N° DE SERIE]],BDEGENER[SERIE],0),31),"")</f>
        <v>1332.4</v>
      </c>
      <c r="I119" s="775">
        <f>IFERROR(INDEX(BDEGENER[],MATCH(TODEQUIPOS[[#This Row],[N° DE SERIE]],BDEGENER[SERIE],0),47),"")</f>
        <v>1</v>
      </c>
      <c r="J119" s="775">
        <f>IFERROR(INDEX(BDEGENER[],MATCH(TODEQUIPOS[[#This Row],[N° DE SERIE]],BDEGENER[SERIE],0),48),"")</f>
        <v>1</v>
      </c>
      <c r="K119" s="775">
        <f>IFERROR(INDEX(BDEGENER[],MATCH(TODEQUIPOS[[#This Row],[N° DE SERIE]],BDEGENER[SERIE],0),57),"")</f>
        <v>5</v>
      </c>
      <c r="L119" s="775" t="str">
        <f>IF(TODEQUIPOS[[#This Row],[CONTADOR]]=1,"UNICO","DUPLICADO")</f>
        <v>UNICO</v>
      </c>
      <c r="M119" s="775">
        <f>COUNTIF(TODEQUIPOS[N° DE SERIE],TODEQUIPOS[[#This Row],[N° DE SERIE]])</f>
        <v>1</v>
      </c>
    </row>
    <row r="120" spans="2:13" x14ac:dyDescent="0.3">
      <c r="B120">
        <v>9073651</v>
      </c>
      <c r="C120" s="801" t="str">
        <f>IFERROR(INDEX(BDEGENER[],MATCH(TODEQUIPOS[[#This Row],[N° DE SERIE]],BDEGENER[SERIE],0),26),"")</f>
        <v>GENERAC</v>
      </c>
      <c r="D120" s="775" t="str">
        <f>IFERROR(INDEX(BDEGENER[],MATCH(TODEQUIPOS[[#This Row],[N° DE SERIE]],BDEGENER[SERIE],0),27),"")</f>
        <v>PG040</v>
      </c>
      <c r="E120" s="776" t="str">
        <f>IFERROR(INDEX(BDEGENER[],MATCH(TODEQUIPOS[[#This Row],[N° DE SERIE]],BDEGENER[SERIE],0),11),"")</f>
        <v>SAN FERNANDO</v>
      </c>
      <c r="F120" s="776" t="str">
        <f>IFERROR(INDEX(BDEGENER[],MATCH(TODEQUIPOS[[#This Row],[N° DE SERIE]],BDEGENER[SERIE],0),12),"")</f>
        <v>RAMADAL</v>
      </c>
      <c r="G120" s="802">
        <f>IFERROR(INDEX(BDEGENER[],MATCH(TODEQUIPOS[[#This Row],[N° DE SERIE]],BDEGENER[SERIE],0),10),"")</f>
        <v>43754</v>
      </c>
      <c r="H120" s="777">
        <f>IFERROR(INDEX(BDEGENER[],MATCH(TODEQUIPOS[[#This Row],[N° DE SERIE]],BDEGENER[SERIE],0),31),"")</f>
        <v>3706.9</v>
      </c>
      <c r="I120" s="775">
        <f>IFERROR(INDEX(BDEGENER[],MATCH(TODEQUIPOS[[#This Row],[N° DE SERIE]],BDEGENER[SERIE],0),47),"")</f>
        <v>1</v>
      </c>
      <c r="J120" s="775">
        <f>IFERROR(INDEX(BDEGENER[],MATCH(TODEQUIPOS[[#This Row],[N° DE SERIE]],BDEGENER[SERIE],0),48),"")</f>
        <v>0</v>
      </c>
      <c r="K120" s="775">
        <f>IFERROR(INDEX(BDEGENER[],MATCH(TODEQUIPOS[[#This Row],[N° DE SERIE]],BDEGENER[SERIE],0),57),"")</f>
        <v>1</v>
      </c>
      <c r="L120" s="775" t="str">
        <f>IF(TODEQUIPOS[[#This Row],[CONTADOR]]=1,"UNICO","DUPLICADO")</f>
        <v>UNICO</v>
      </c>
      <c r="M120" s="775">
        <f>COUNTIF(TODEQUIPOS[N° DE SERIE],TODEQUIPOS[[#This Row],[N° DE SERIE]])</f>
        <v>1</v>
      </c>
    </row>
    <row r="121" spans="2:13" x14ac:dyDescent="0.3">
      <c r="B121">
        <v>9227292</v>
      </c>
      <c r="C121" s="801" t="str">
        <f>IFERROR(INDEX(BDEGENER[],MATCH(TODEQUIPOS[[#This Row],[N° DE SERIE]],BDEGENER[SERIE],0),26),"")</f>
        <v>GENERAC</v>
      </c>
      <c r="D121" s="775" t="str">
        <f>IFERROR(INDEX(BDEGENER[],MATCH(TODEQUIPOS[[#This Row],[N° DE SERIE]],BDEGENER[SERIE],0),27),"")</f>
        <v>PG040</v>
      </c>
      <c r="E121" s="776" t="str">
        <f>IFERROR(INDEX(BDEGENER[],MATCH(TODEQUIPOS[[#This Row],[N° DE SERIE]],BDEGENER[SERIE],0),11),"")</f>
        <v>SAN FERNANDO</v>
      </c>
      <c r="F121" s="776" t="str">
        <f>IFERROR(INDEX(BDEGENER[],MATCH(TODEQUIPOS[[#This Row],[N° DE SERIE]],BDEGENER[SERIE],0),12),"")</f>
        <v>RAMADAL</v>
      </c>
      <c r="G121" s="802">
        <f>IFERROR(INDEX(BDEGENER[],MATCH(TODEQUIPOS[[#This Row],[N° DE SERIE]],BDEGENER[SERIE],0),10),"")</f>
        <v>43754</v>
      </c>
      <c r="H121" s="777">
        <f>IFERROR(INDEX(BDEGENER[],MATCH(TODEQUIPOS[[#This Row],[N° DE SERIE]],BDEGENER[SERIE],0),31),"")</f>
        <v>2574.4</v>
      </c>
      <c r="I121" s="775">
        <f>IFERROR(INDEX(BDEGENER[],MATCH(TODEQUIPOS[[#This Row],[N° DE SERIE]],BDEGENER[SERIE],0),47),"")</f>
        <v>1</v>
      </c>
      <c r="J121" s="775">
        <f>IFERROR(INDEX(BDEGENER[],MATCH(TODEQUIPOS[[#This Row],[N° DE SERIE]],BDEGENER[SERIE],0),48),"")</f>
        <v>0</v>
      </c>
      <c r="K121" s="775">
        <f>IFERROR(INDEX(BDEGENER[],MATCH(TODEQUIPOS[[#This Row],[N° DE SERIE]],BDEGENER[SERIE],0),57),"")</f>
        <v>1</v>
      </c>
      <c r="L121" s="775" t="str">
        <f>IF(TODEQUIPOS[[#This Row],[CONTADOR]]=1,"UNICO","DUPLICADO")</f>
        <v>UNICO</v>
      </c>
      <c r="M121" s="775">
        <f>COUNTIF(TODEQUIPOS[N° DE SERIE],TODEQUIPOS[[#This Row],[N° DE SERIE]])</f>
        <v>1</v>
      </c>
    </row>
    <row r="122" spans="2:13" x14ac:dyDescent="0.3">
      <c r="B122" t="s">
        <v>499</v>
      </c>
      <c r="C122" s="801" t="str">
        <f>IFERROR(INDEX(BDEGENER[],MATCH(TODEQUIPOS[[#This Row],[N° DE SERIE]],BDEGENER[SERIE],0),26),"")</f>
        <v>GENERAC</v>
      </c>
      <c r="D122" s="775" t="str">
        <f>IFERROR(INDEX(BDEGENER[],MATCH(TODEQUIPOS[[#This Row],[N° DE SERIE]],BDEGENER[SERIE],0),27),"")</f>
        <v>PMY20B</v>
      </c>
      <c r="E122" s="776" t="str">
        <f>IFERROR(INDEX(BDEGENER[],MATCH(TODEQUIPOS[[#This Row],[N° DE SERIE]],BDEGENER[SERIE],0),11),"")</f>
        <v>REDONDOS</v>
      </c>
      <c r="F122" s="776" t="str">
        <f>IFERROR(INDEX(BDEGENER[],MATCH(TODEQUIPOS[[#This Row],[N° DE SERIE]],BDEGENER[SERIE],0),12),"")</f>
        <v>TALLER PSP</v>
      </c>
      <c r="G122" s="802">
        <f>IFERROR(INDEX(BDEGENER[],MATCH(TODEQUIPOS[[#This Row],[N° DE SERIE]],BDEGENER[SERIE],0),10),"")</f>
        <v>43749</v>
      </c>
      <c r="H122" s="777">
        <f>IFERROR(INDEX(BDEGENER[],MATCH(TODEQUIPOS[[#This Row],[N° DE SERIE]],BDEGENER[SERIE],0),31),"")</f>
        <v>171.6</v>
      </c>
      <c r="I122" s="775">
        <f>IFERROR(INDEX(BDEGENER[],MATCH(TODEQUIPOS[[#This Row],[N° DE SERIE]],BDEGENER[SERIE],0),47),"")</f>
        <v>1</v>
      </c>
      <c r="J122" s="775">
        <f>IFERROR(INDEX(BDEGENER[],MATCH(TODEQUIPOS[[#This Row],[N° DE SERIE]],BDEGENER[SERIE],0),48),"")</f>
        <v>0</v>
      </c>
      <c r="K122" s="775">
        <f>IFERROR(INDEX(BDEGENER[],MATCH(TODEQUIPOS[[#This Row],[N° DE SERIE]],BDEGENER[SERIE],0),57),"")</f>
        <v>1</v>
      </c>
      <c r="L122" s="775" t="str">
        <f>IF(TODEQUIPOS[[#This Row],[CONTADOR]]=1,"UNICO","DUPLICADO")</f>
        <v>UNICO</v>
      </c>
      <c r="M122" s="775">
        <f>COUNTIF(TODEQUIPOS[N° DE SERIE],TODEQUIPOS[[#This Row],[N° DE SERIE]])</f>
        <v>1</v>
      </c>
    </row>
    <row r="123" spans="2:13" x14ac:dyDescent="0.3">
      <c r="B123" t="s">
        <v>177</v>
      </c>
      <c r="C123" s="801">
        <f>IFERROR(INDEX(BDEGENER[],MATCH(TODEQUIPOS[[#This Row],[N° DE SERIE]],BDEGENER[SERIE],0),26),"")</f>
        <v>0</v>
      </c>
      <c r="D123" s="775">
        <f>IFERROR(INDEX(BDEGENER[],MATCH(TODEQUIPOS[[#This Row],[N° DE SERIE]],BDEGENER[SERIE],0),27),"")</f>
        <v>0</v>
      </c>
      <c r="E123" s="776" t="str">
        <f>IFERROR(INDEX(BDEGENER[],MATCH(TODEQUIPOS[[#This Row],[N° DE SERIE]],BDEGENER[SERIE],0),11),"")</f>
        <v>REDONDOS</v>
      </c>
      <c r="F123" s="776" t="str">
        <f>IFERROR(INDEX(BDEGENER[],MATCH(TODEQUIPOS[[#This Row],[N° DE SERIE]],BDEGENER[SERIE],0),12),"")</f>
        <v>BANDERAS 2</v>
      </c>
      <c r="G123" s="802">
        <f>IFERROR(INDEX(BDEGENER[],MATCH(TODEQUIPOS[[#This Row],[N° DE SERIE]],BDEGENER[SERIE],0),10),"")</f>
        <v>43735</v>
      </c>
      <c r="H123" s="777">
        <f>IFERROR(INDEX(BDEGENER[],MATCH(TODEQUIPOS[[#This Row],[N° DE SERIE]],BDEGENER[SERIE],0),31),"")</f>
        <v>3078.9</v>
      </c>
      <c r="I123" s="775">
        <f>IFERROR(INDEX(BDEGENER[],MATCH(TODEQUIPOS[[#This Row],[N° DE SERIE]],BDEGENER[SERIE],0),47),"")</f>
        <v>1</v>
      </c>
      <c r="J123" s="775">
        <f>IFERROR(INDEX(BDEGENER[],MATCH(TODEQUIPOS[[#This Row],[N° DE SERIE]],BDEGENER[SERIE],0),48),"")</f>
        <v>0</v>
      </c>
      <c r="K123" s="775">
        <f>IFERROR(INDEX(BDEGENER[],MATCH(TODEQUIPOS[[#This Row],[N° DE SERIE]],BDEGENER[SERIE],0),57),"")</f>
        <v>5</v>
      </c>
      <c r="L123" s="775" t="str">
        <f>IF(TODEQUIPOS[[#This Row],[CONTADOR]]=1,"UNICO","DUPLICADO")</f>
        <v>UNICO</v>
      </c>
      <c r="M123" s="775">
        <f>COUNTIF(TODEQUIPOS[N° DE SERIE],TODEQUIPOS[[#This Row],[N° DE SERIE]])</f>
        <v>1</v>
      </c>
    </row>
    <row r="124" spans="2:13" x14ac:dyDescent="0.3">
      <c r="B124" t="s">
        <v>503</v>
      </c>
      <c r="C124" s="801" t="str">
        <f>IFERROR(INDEX(BDEGENER[],MATCH(TODEQUIPOS[[#This Row],[N° DE SERIE]],BDEGENER[SERIE],0),26),"")</f>
        <v>GENERAC</v>
      </c>
      <c r="D124" s="775" t="str">
        <f>IFERROR(INDEX(BDEGENER[],MATCH(TODEQUIPOS[[#This Row],[N° DE SERIE]],BDEGENER[SERIE],0),27),"")</f>
        <v>PMY20B</v>
      </c>
      <c r="E124" s="776" t="str">
        <f>IFERROR(INDEX(BDEGENER[],MATCH(TODEQUIPOS[[#This Row],[N° DE SERIE]],BDEGENER[SERIE],0),11),"")</f>
        <v>REDONDOS</v>
      </c>
      <c r="F124" s="776" t="str">
        <f>IFERROR(INDEX(BDEGENER[],MATCH(TODEQUIPOS[[#This Row],[N° DE SERIE]],BDEGENER[SERIE],0),12),"")</f>
        <v>Albufera D</v>
      </c>
      <c r="G124" s="802">
        <f>IFERROR(INDEX(BDEGENER[],MATCH(TODEQUIPOS[[#This Row],[N° DE SERIE]],BDEGENER[SERIE],0),10),"")</f>
        <v>43734</v>
      </c>
      <c r="H124" s="777">
        <f>IFERROR(INDEX(BDEGENER[],MATCH(TODEQUIPOS[[#This Row],[N° DE SERIE]],BDEGENER[SERIE],0),31),"")</f>
        <v>151.80000000000001</v>
      </c>
      <c r="I124" s="775">
        <f>IFERROR(INDEX(BDEGENER[],MATCH(TODEQUIPOS[[#This Row],[N° DE SERIE]],BDEGENER[SERIE],0),47),"")</f>
        <v>0</v>
      </c>
      <c r="J124" s="775">
        <f>IFERROR(INDEX(BDEGENER[],MATCH(TODEQUIPOS[[#This Row],[N° DE SERIE]],BDEGENER[SERIE],0),48),"")</f>
        <v>1</v>
      </c>
      <c r="K124" s="775">
        <f>IFERROR(INDEX(BDEGENER[],MATCH(TODEQUIPOS[[#This Row],[N° DE SERIE]],BDEGENER[SERIE],0),57),"")</f>
        <v>1</v>
      </c>
      <c r="L124" s="775" t="str">
        <f>IF(TODEQUIPOS[[#This Row],[CONTADOR]]=1,"UNICO","DUPLICADO")</f>
        <v>UNICO</v>
      </c>
      <c r="M124" s="775">
        <f>COUNTIF(TODEQUIPOS[N° DE SERIE],TODEQUIPOS[[#This Row],[N° DE SERIE]])</f>
        <v>1</v>
      </c>
    </row>
    <row r="125" spans="2:13" x14ac:dyDescent="0.3">
      <c r="B125" t="s">
        <v>504</v>
      </c>
      <c r="C125" s="801" t="str">
        <f>IFERROR(INDEX(BDEGENER[],MATCH(TODEQUIPOS[[#This Row],[N° DE SERIE]],BDEGENER[SERIE],0),26),"")</f>
        <v>GENERAC</v>
      </c>
      <c r="D125" s="775" t="str">
        <f>IFERROR(INDEX(BDEGENER[],MATCH(TODEQUIPOS[[#This Row],[N° DE SERIE]],BDEGENER[SERIE],0),27),"")</f>
        <v>PMY20B</v>
      </c>
      <c r="E125" s="776" t="str">
        <f>IFERROR(INDEX(BDEGENER[],MATCH(TODEQUIPOS[[#This Row],[N° DE SERIE]],BDEGENER[SERIE],0),11),"")</f>
        <v>REDONDOS</v>
      </c>
      <c r="F125" s="776" t="str">
        <f>IFERROR(INDEX(BDEGENER[],MATCH(TODEQUIPOS[[#This Row],[N° DE SERIE]],BDEGENER[SERIE],0),12),"")</f>
        <v>Albufera C</v>
      </c>
      <c r="G125" s="802">
        <f>IFERROR(INDEX(BDEGENER[],MATCH(TODEQUIPOS[[#This Row],[N° DE SERIE]],BDEGENER[SERIE],0),10),"")</f>
        <v>43734</v>
      </c>
      <c r="H125" s="777">
        <f>IFERROR(INDEX(BDEGENER[],MATCH(TODEQUIPOS[[#This Row],[N° DE SERIE]],BDEGENER[SERIE],0),31),"")</f>
        <v>192.1</v>
      </c>
      <c r="I125" s="775">
        <f>IFERROR(INDEX(BDEGENER[],MATCH(TODEQUIPOS[[#This Row],[N° DE SERIE]],BDEGENER[SERIE],0),47),"")</f>
        <v>0</v>
      </c>
      <c r="J125" s="775">
        <f>IFERROR(INDEX(BDEGENER[],MATCH(TODEQUIPOS[[#This Row],[N° DE SERIE]],BDEGENER[SERIE],0),48),"")</f>
        <v>1</v>
      </c>
      <c r="K125" s="775">
        <f>IFERROR(INDEX(BDEGENER[],MATCH(TODEQUIPOS[[#This Row],[N° DE SERIE]],BDEGENER[SERIE],0),57),"")</f>
        <v>1</v>
      </c>
      <c r="L125" s="775" t="str">
        <f>IF(TODEQUIPOS[[#This Row],[CONTADOR]]=1,"UNICO","DUPLICADO")</f>
        <v>UNICO</v>
      </c>
      <c r="M125" s="775">
        <f>COUNTIF(TODEQUIPOS[N° DE SERIE],TODEQUIPOS[[#This Row],[N° DE SERIE]])</f>
        <v>1</v>
      </c>
    </row>
    <row r="126" spans="2:13" x14ac:dyDescent="0.3">
      <c r="B126">
        <v>3003932011</v>
      </c>
      <c r="C126" s="801" t="str">
        <f>IFERROR(INDEX(BDEGENER[],MATCH(TODEQUIPOS[[#This Row],[N° DE SERIE]],BDEGENER[SERIE],0),26),"")</f>
        <v>GENERAC</v>
      </c>
      <c r="D126" s="775" t="str">
        <f>IFERROR(INDEX(BDEGENER[],MATCH(TODEQUIPOS[[#This Row],[N° DE SERIE]],BDEGENER[SERIE],0),27),"")</f>
        <v>XD5000E</v>
      </c>
      <c r="E126" s="776" t="str">
        <f>IFERROR(INDEX(BDEGENER[],MATCH(TODEQUIPOS[[#This Row],[N° DE SERIE]],BDEGENER[SERIE],0),11),"")</f>
        <v>REDONDOS</v>
      </c>
      <c r="F126" s="776" t="str">
        <f>IFERROR(INDEX(BDEGENER[],MATCH(TODEQUIPOS[[#This Row],[N° DE SERIE]],BDEGENER[SERIE],0),12),"")</f>
        <v xml:space="preserve">Bermejo 6 </v>
      </c>
      <c r="G126" s="802">
        <f>IFERROR(INDEX(BDEGENER[],MATCH(TODEQUIPOS[[#This Row],[N° DE SERIE]],BDEGENER[SERIE],0),10),"")</f>
        <v>43734</v>
      </c>
      <c r="H126" s="777">
        <f>IFERROR(INDEX(BDEGENER[],MATCH(TODEQUIPOS[[#This Row],[N° DE SERIE]],BDEGENER[SERIE],0),31),"")</f>
        <v>141</v>
      </c>
      <c r="I126" s="775">
        <f>IFERROR(INDEX(BDEGENER[],MATCH(TODEQUIPOS[[#This Row],[N° DE SERIE]],BDEGENER[SERIE],0),47),"")</f>
        <v>0</v>
      </c>
      <c r="J126" s="775">
        <f>IFERROR(INDEX(BDEGENER[],MATCH(TODEQUIPOS[[#This Row],[N° DE SERIE]],BDEGENER[SERIE],0),48),"")</f>
        <v>2</v>
      </c>
      <c r="K126" s="775">
        <f>IFERROR(INDEX(BDEGENER[],MATCH(TODEQUIPOS[[#This Row],[N° DE SERIE]],BDEGENER[SERIE],0),57),"")</f>
        <v>2</v>
      </c>
      <c r="L126" s="775" t="str">
        <f>IF(TODEQUIPOS[[#This Row],[CONTADOR]]=1,"UNICO","DUPLICADO")</f>
        <v>UNICO</v>
      </c>
      <c r="M126" s="775">
        <f>COUNTIF(TODEQUIPOS[N° DE SERIE],TODEQUIPOS[[#This Row],[N° DE SERIE]])</f>
        <v>1</v>
      </c>
    </row>
    <row r="127" spans="2:13" x14ac:dyDescent="0.3">
      <c r="B127">
        <v>3003932010</v>
      </c>
      <c r="C127" s="801" t="str">
        <f>IFERROR(INDEX(BDEGENER[],MATCH(TODEQUIPOS[[#This Row],[N° DE SERIE]],BDEGENER[SERIE],0),26),"")</f>
        <v>GENERAC</v>
      </c>
      <c r="D127" s="775" t="str">
        <f>IFERROR(INDEX(BDEGENER[],MATCH(TODEQUIPOS[[#This Row],[N° DE SERIE]],BDEGENER[SERIE],0),27),"")</f>
        <v>XD5000E</v>
      </c>
      <c r="E127" s="776" t="str">
        <f>IFERROR(INDEX(BDEGENER[],MATCH(TODEQUIPOS[[#This Row],[N° DE SERIE]],BDEGENER[SERIE],0),11),"")</f>
        <v>REDONDOS</v>
      </c>
      <c r="F127" s="776" t="str">
        <f>IFERROR(INDEX(BDEGENER[],MATCH(TODEQUIPOS[[#This Row],[N° DE SERIE]],BDEGENER[SERIE],0),12),"")</f>
        <v xml:space="preserve">Bermejo 6 </v>
      </c>
      <c r="G127" s="802">
        <f>IFERROR(INDEX(BDEGENER[],MATCH(TODEQUIPOS[[#This Row],[N° DE SERIE]],BDEGENER[SERIE],0),10),"")</f>
        <v>43734</v>
      </c>
      <c r="H127" s="777">
        <f>IFERROR(INDEX(BDEGENER[],MATCH(TODEQUIPOS[[#This Row],[N° DE SERIE]],BDEGENER[SERIE],0),31),"")</f>
        <v>218.3</v>
      </c>
      <c r="I127" s="775">
        <f>IFERROR(INDEX(BDEGENER[],MATCH(TODEQUIPOS[[#This Row],[N° DE SERIE]],BDEGENER[SERIE],0),47),"")</f>
        <v>1</v>
      </c>
      <c r="J127" s="775">
        <f>IFERROR(INDEX(BDEGENER[],MATCH(TODEQUIPOS[[#This Row],[N° DE SERIE]],BDEGENER[SERIE],0),48),"")</f>
        <v>2</v>
      </c>
      <c r="K127" s="775">
        <f>IFERROR(INDEX(BDEGENER[],MATCH(TODEQUIPOS[[#This Row],[N° DE SERIE]],BDEGENER[SERIE],0),57),"")</f>
        <v>3</v>
      </c>
      <c r="L127" s="775" t="str">
        <f>IF(TODEQUIPOS[[#This Row],[CONTADOR]]=1,"UNICO","DUPLICADO")</f>
        <v>UNICO</v>
      </c>
      <c r="M127" s="775">
        <f>COUNTIF(TODEQUIPOS[N° DE SERIE],TODEQUIPOS[[#This Row],[N° DE SERIE]])</f>
        <v>1</v>
      </c>
    </row>
    <row r="128" spans="2:13" x14ac:dyDescent="0.3">
      <c r="B128">
        <v>1603595</v>
      </c>
      <c r="C128" s="801" t="str">
        <f>IFERROR(INDEX(BDEGENER[],MATCH(TODEQUIPOS[[#This Row],[N° DE SERIE]],BDEGENER[SERIE],0),26),"")</f>
        <v>GENERAC</v>
      </c>
      <c r="D128" s="775" t="str">
        <f>IFERROR(INDEX(BDEGENER[],MATCH(TODEQUIPOS[[#This Row],[N° DE SERIE]],BDEGENER[SERIE],0),27),"")</f>
        <v>VT8 K3</v>
      </c>
      <c r="E128" s="776" t="str">
        <f>IFERROR(INDEX(BDEGENER[],MATCH(TODEQUIPOS[[#This Row],[N° DE SERIE]],BDEGENER[SERIE],0),11),"")</f>
        <v>PENAL DE ICA</v>
      </c>
      <c r="F128" s="776" t="str">
        <f>IFERROR(INDEX(BDEGENER[],MATCH(TODEQUIPOS[[#This Row],[N° DE SERIE]],BDEGENER[SERIE],0),12),"")</f>
        <v>PENAL DE ICA</v>
      </c>
      <c r="G128" s="802">
        <f>IFERROR(INDEX(BDEGENER[],MATCH(TODEQUIPOS[[#This Row],[N° DE SERIE]],BDEGENER[SERIE],0),10),"")</f>
        <v>43731</v>
      </c>
      <c r="H128" s="777">
        <f>IFERROR(INDEX(BDEGENER[],MATCH(TODEQUIPOS[[#This Row],[N° DE SERIE]],BDEGENER[SERIE],0),31),"")</f>
        <v>1242</v>
      </c>
      <c r="I128" s="775">
        <f>IFERROR(INDEX(BDEGENER[],MATCH(TODEQUIPOS[[#This Row],[N° DE SERIE]],BDEGENER[SERIE],0),47),"")</f>
        <v>1</v>
      </c>
      <c r="J128" s="775">
        <f>IFERROR(INDEX(BDEGENER[],MATCH(TODEQUIPOS[[#This Row],[N° DE SERIE]],BDEGENER[SERIE],0),48),"")</f>
        <v>3</v>
      </c>
      <c r="K128" s="775">
        <f>IFERROR(INDEX(BDEGENER[],MATCH(TODEQUIPOS[[#This Row],[N° DE SERIE]],BDEGENER[SERIE],0),57),"")</f>
        <v>4</v>
      </c>
      <c r="L128" s="775" t="str">
        <f>IF(TODEQUIPOS[[#This Row],[CONTADOR]]=1,"UNICO","DUPLICADO")</f>
        <v>UNICO</v>
      </c>
      <c r="M128" s="775">
        <f>COUNTIF(TODEQUIPOS[N° DE SERIE],TODEQUIPOS[[#This Row],[N° DE SERIE]])</f>
        <v>1</v>
      </c>
    </row>
    <row r="129" spans="2:13" x14ac:dyDescent="0.3">
      <c r="B129">
        <v>9319809</v>
      </c>
      <c r="C129" s="801" t="str">
        <f>IFERROR(INDEX(BDEGENER[],MATCH(TODEQUIPOS[[#This Row],[N° DE SERIE]],BDEGENER[SERIE],0),26),"")</f>
        <v>GENERAC</v>
      </c>
      <c r="D129" s="775">
        <f>IFERROR(INDEX(BDEGENER[],MATCH(TODEQUIPOS[[#This Row],[N° DE SERIE]],BDEGENER[SERIE],0),27),"")</f>
        <v>65610</v>
      </c>
      <c r="E129" s="776" t="str">
        <f>IFERROR(INDEX(BDEGENER[],MATCH(TODEQUIPOS[[#This Row],[N° DE SERIE]],BDEGENER[SERIE],0),11),"")</f>
        <v>REDONDOS</v>
      </c>
      <c r="F129" s="776" t="str">
        <f>IFERROR(INDEX(BDEGENER[],MATCH(TODEQUIPOS[[#This Row],[N° DE SERIE]],BDEGENER[SERIE],0),12),"")</f>
        <v>VIÑOS 2</v>
      </c>
      <c r="G129" s="802">
        <f>IFERROR(INDEX(BDEGENER[],MATCH(TODEQUIPOS[[#This Row],[N° DE SERIE]],BDEGENER[SERIE],0),10),"")</f>
        <v>43721</v>
      </c>
      <c r="H129" s="777">
        <f>IFERROR(INDEX(BDEGENER[],MATCH(TODEQUIPOS[[#This Row],[N° DE SERIE]],BDEGENER[SERIE],0),31),"")</f>
        <v>427.41</v>
      </c>
      <c r="I129" s="775">
        <f>IFERROR(INDEX(BDEGENER[],MATCH(TODEQUIPOS[[#This Row],[N° DE SERIE]],BDEGENER[SERIE],0),47),"")</f>
        <v>4</v>
      </c>
      <c r="J129" s="775">
        <f>IFERROR(INDEX(BDEGENER[],MATCH(TODEQUIPOS[[#This Row],[N° DE SERIE]],BDEGENER[SERIE],0),48),"")</f>
        <v>2</v>
      </c>
      <c r="K129" s="775">
        <f>IFERROR(INDEX(BDEGENER[],MATCH(TODEQUIPOS[[#This Row],[N° DE SERIE]],BDEGENER[SERIE],0),57),"")</f>
        <v>8</v>
      </c>
      <c r="L129" s="775" t="str">
        <f>IF(TODEQUIPOS[[#This Row],[CONTADOR]]=1,"UNICO","DUPLICADO")</f>
        <v>UNICO</v>
      </c>
      <c r="M129" s="775">
        <f>COUNTIF(TODEQUIPOS[N° DE SERIE],TODEQUIPOS[[#This Row],[N° DE SERIE]])</f>
        <v>1</v>
      </c>
    </row>
    <row r="130" spans="2:13" x14ac:dyDescent="0.3">
      <c r="B130">
        <v>9319804</v>
      </c>
      <c r="C130" s="801" t="str">
        <f>IFERROR(INDEX(BDEGENER[],MATCH(TODEQUIPOS[[#This Row],[N° DE SERIE]],BDEGENER[SERIE],0),26),"")</f>
        <v>GENERAC</v>
      </c>
      <c r="D130" s="775">
        <f>IFERROR(INDEX(BDEGENER[],MATCH(TODEQUIPOS[[#This Row],[N° DE SERIE]],BDEGENER[SERIE],0),27),"")</f>
        <v>65610</v>
      </c>
      <c r="E130" s="776" t="str">
        <f>IFERROR(INDEX(BDEGENER[],MATCH(TODEQUIPOS[[#This Row],[N° DE SERIE]],BDEGENER[SERIE],0),11),"")</f>
        <v>REDONDOS</v>
      </c>
      <c r="F130" s="776" t="str">
        <f>IFERROR(INDEX(BDEGENER[],MATCH(TODEQUIPOS[[#This Row],[N° DE SERIE]],BDEGENER[SERIE],0),12),"")</f>
        <v>ALBUFERAS C</v>
      </c>
      <c r="G130" s="802">
        <f>IFERROR(INDEX(BDEGENER[],MATCH(TODEQUIPOS[[#This Row],[N° DE SERIE]],BDEGENER[SERIE],0),10),"")</f>
        <v>43721</v>
      </c>
      <c r="H130" s="777">
        <f>IFERROR(INDEX(BDEGENER[],MATCH(TODEQUIPOS[[#This Row],[N° DE SERIE]],BDEGENER[SERIE],0),31),"")</f>
        <v>1383.3</v>
      </c>
      <c r="I130" s="775">
        <f>IFERROR(INDEX(BDEGENER[],MATCH(TODEQUIPOS[[#This Row],[N° DE SERIE]],BDEGENER[SERIE],0),47),"")</f>
        <v>7</v>
      </c>
      <c r="J130" s="775">
        <f>IFERROR(INDEX(BDEGENER[],MATCH(TODEQUIPOS[[#This Row],[N° DE SERIE]],BDEGENER[SERIE],0),48),"")</f>
        <v>2</v>
      </c>
      <c r="K130" s="775">
        <f>IFERROR(INDEX(BDEGENER[],MATCH(TODEQUIPOS[[#This Row],[N° DE SERIE]],BDEGENER[SERIE],0),57),"")</f>
        <v>10</v>
      </c>
      <c r="L130" s="775" t="str">
        <f>IF(TODEQUIPOS[[#This Row],[CONTADOR]]=1,"UNICO","DUPLICADO")</f>
        <v>UNICO</v>
      </c>
      <c r="M130" s="775">
        <f>COUNTIF(TODEQUIPOS[N° DE SERIE],TODEQUIPOS[[#This Row],[N° DE SERIE]])</f>
        <v>1</v>
      </c>
    </row>
    <row r="131" spans="2:13" x14ac:dyDescent="0.3">
      <c r="B131">
        <v>7965980</v>
      </c>
      <c r="C131" s="801">
        <f>IFERROR(INDEX(BDEGENER[],MATCH(TODEQUIPOS[[#This Row],[N° DE SERIE]],BDEGENER[SERIE],0),26),"")</f>
        <v>0</v>
      </c>
      <c r="D131" s="775" t="str">
        <f>IFERROR(INDEX(BDEGENER[],MATCH(TODEQUIPOS[[#This Row],[N° DE SERIE]],BDEGENER[SERIE],0),27),"")</f>
        <v>SG050</v>
      </c>
      <c r="E131" s="776" t="str">
        <f>IFERROR(INDEX(BDEGENER[],MATCH(TODEQUIPOS[[#This Row],[N° DE SERIE]],BDEGENER[SERIE],0),11),"")</f>
        <v>SAN FERNANDO</v>
      </c>
      <c r="F131" s="776" t="str">
        <f>IFERROR(INDEX(BDEGENER[],MATCH(TODEQUIPOS[[#This Row],[N° DE SERIE]],BDEGENER[SERIE],0),12),"")</f>
        <v>Soxa</v>
      </c>
      <c r="G131" s="802">
        <f>IFERROR(INDEX(BDEGENER[],MATCH(TODEQUIPOS[[#This Row],[N° DE SERIE]],BDEGENER[SERIE],0),10),"")</f>
        <v>43713</v>
      </c>
      <c r="H131" s="777">
        <f>IFERROR(INDEX(BDEGENER[],MATCH(TODEQUIPOS[[#This Row],[N° DE SERIE]],BDEGENER[SERIE],0),31),"")</f>
        <v>5769.4</v>
      </c>
      <c r="I131" s="775">
        <f>IFERROR(INDEX(BDEGENER[],MATCH(TODEQUIPOS[[#This Row],[N° DE SERIE]],BDEGENER[SERIE],0),47),"")</f>
        <v>1</v>
      </c>
      <c r="J131" s="775">
        <f>IFERROR(INDEX(BDEGENER[],MATCH(TODEQUIPOS[[#This Row],[N° DE SERIE]],BDEGENER[SERIE],0),48),"")</f>
        <v>0</v>
      </c>
      <c r="K131" s="775">
        <f>IFERROR(INDEX(BDEGENER[],MATCH(TODEQUIPOS[[#This Row],[N° DE SERIE]],BDEGENER[SERIE],0),57),"")</f>
        <v>1</v>
      </c>
      <c r="L131" s="775" t="str">
        <f>IF(TODEQUIPOS[[#This Row],[CONTADOR]]=1,"UNICO","DUPLICADO")</f>
        <v>UNICO</v>
      </c>
      <c r="M131" s="775">
        <f>COUNTIF(TODEQUIPOS[N° DE SERIE],TODEQUIPOS[[#This Row],[N° DE SERIE]])</f>
        <v>1</v>
      </c>
    </row>
    <row r="132" spans="2:13" x14ac:dyDescent="0.3">
      <c r="B132" t="s">
        <v>505</v>
      </c>
      <c r="C132" s="801" t="str">
        <f>IFERROR(INDEX(BDEGENER[],MATCH(TODEQUIPOS[[#This Row],[N° DE SERIE]],BDEGENER[SERIE],0),26),"")</f>
        <v>GENERAC</v>
      </c>
      <c r="D132" s="775" t="str">
        <f>IFERROR(INDEX(BDEGENER[],MATCH(TODEQUIPOS[[#This Row],[N° DE SERIE]],BDEGENER[SERIE],0),27),"")</f>
        <v>PMY20B</v>
      </c>
      <c r="E132" s="776" t="str">
        <f>IFERROR(INDEX(BDEGENER[],MATCH(TODEQUIPOS[[#This Row],[N° DE SERIE]],BDEGENER[SERIE],0),11),"")</f>
        <v>REDONDOS</v>
      </c>
      <c r="F132" s="776" t="str">
        <f>IFERROR(INDEX(BDEGENER[],MATCH(TODEQUIPOS[[#This Row],[N° DE SERIE]],BDEGENER[SERIE],0),12),"")</f>
        <v>Bermejo 8</v>
      </c>
      <c r="G132" s="802">
        <f>IFERROR(INDEX(BDEGENER[],MATCH(TODEQUIPOS[[#This Row],[N° DE SERIE]],BDEGENER[SERIE],0),10),"")</f>
        <v>43711</v>
      </c>
      <c r="H132" s="777">
        <f>IFERROR(INDEX(BDEGENER[],MATCH(TODEQUIPOS[[#This Row],[N° DE SERIE]],BDEGENER[SERIE],0),31),"")</f>
        <v>328.6</v>
      </c>
      <c r="I132" s="775">
        <f>IFERROR(INDEX(BDEGENER[],MATCH(TODEQUIPOS[[#This Row],[N° DE SERIE]],BDEGENER[SERIE],0),47),"")</f>
        <v>0</v>
      </c>
      <c r="J132" s="775">
        <f>IFERROR(INDEX(BDEGENER[],MATCH(TODEQUIPOS[[#This Row],[N° DE SERIE]],BDEGENER[SERIE],0),48),"")</f>
        <v>2</v>
      </c>
      <c r="K132" s="775">
        <f>IFERROR(INDEX(BDEGENER[],MATCH(TODEQUIPOS[[#This Row],[N° DE SERIE]],BDEGENER[SERIE],0),57),"")</f>
        <v>2</v>
      </c>
      <c r="L132" s="775" t="str">
        <f>IF(TODEQUIPOS[[#This Row],[CONTADOR]]=1,"UNICO","DUPLICADO")</f>
        <v>UNICO</v>
      </c>
      <c r="M132" s="775">
        <f>COUNTIF(TODEQUIPOS[N° DE SERIE],TODEQUIPOS[[#This Row],[N° DE SERIE]])</f>
        <v>1</v>
      </c>
    </row>
    <row r="133" spans="2:13" x14ac:dyDescent="0.3">
      <c r="B133" t="s">
        <v>506</v>
      </c>
      <c r="C133" s="801" t="str">
        <f>IFERROR(INDEX(BDEGENER[],MATCH(TODEQUIPOS[[#This Row],[N° DE SERIE]],BDEGENER[SERIE],0),26),"")</f>
        <v>GENERAC</v>
      </c>
      <c r="D133" s="775" t="str">
        <f>IFERROR(INDEX(BDEGENER[],MATCH(TODEQUIPOS[[#This Row],[N° DE SERIE]],BDEGENER[SERIE],0),27),"")</f>
        <v>PMY20B</v>
      </c>
      <c r="E133" s="776" t="str">
        <f>IFERROR(INDEX(BDEGENER[],MATCH(TODEQUIPOS[[#This Row],[N° DE SERIE]],BDEGENER[SERIE],0),11),"")</f>
        <v>REDONDOS</v>
      </c>
      <c r="F133" s="776" t="str">
        <f>IFERROR(INDEX(BDEGENER[],MATCH(TODEQUIPOS[[#This Row],[N° DE SERIE]],BDEGENER[SERIE],0),12),"")</f>
        <v>Bermejo</v>
      </c>
      <c r="G133" s="802">
        <f>IFERROR(INDEX(BDEGENER[],MATCH(TODEQUIPOS[[#This Row],[N° DE SERIE]],BDEGENER[SERIE],0),10),"")</f>
        <v>43711</v>
      </c>
      <c r="H133" s="777">
        <f>IFERROR(INDEX(BDEGENER[],MATCH(TODEQUIPOS[[#This Row],[N° DE SERIE]],BDEGENER[SERIE],0),31),"")</f>
        <v>351.5</v>
      </c>
      <c r="I133" s="775">
        <f>IFERROR(INDEX(BDEGENER[],MATCH(TODEQUIPOS[[#This Row],[N° DE SERIE]],BDEGENER[SERIE],0),47),"")</f>
        <v>0</v>
      </c>
      <c r="J133" s="775">
        <f>IFERROR(INDEX(BDEGENER[],MATCH(TODEQUIPOS[[#This Row],[N° DE SERIE]],BDEGENER[SERIE],0),48),"")</f>
        <v>2</v>
      </c>
      <c r="K133" s="775">
        <f>IFERROR(INDEX(BDEGENER[],MATCH(TODEQUIPOS[[#This Row],[N° DE SERIE]],BDEGENER[SERIE],0),57),"")</f>
        <v>2</v>
      </c>
      <c r="L133" s="775" t="str">
        <f>IF(TODEQUIPOS[[#This Row],[CONTADOR]]=1,"UNICO","DUPLICADO")</f>
        <v>UNICO</v>
      </c>
      <c r="M133" s="775">
        <f>COUNTIF(TODEQUIPOS[N° DE SERIE],TODEQUIPOS[[#This Row],[N° DE SERIE]])</f>
        <v>1</v>
      </c>
    </row>
    <row r="134" spans="2:13" x14ac:dyDescent="0.3">
      <c r="B134">
        <v>9658426</v>
      </c>
      <c r="C134" s="801" t="str">
        <f>IFERROR(INDEX(BDEGENER[],MATCH(TODEQUIPOS[[#This Row],[N° DE SERIE]],BDEGENER[SERIE],0),26),"")</f>
        <v>GENERAC</v>
      </c>
      <c r="D134" s="775" t="str">
        <f>IFERROR(INDEX(BDEGENER[],MATCH(TODEQUIPOS[[#This Row],[N° DE SERIE]],BDEGENER[SERIE],0),27),"")</f>
        <v>RG022</v>
      </c>
      <c r="E134" s="776" t="str">
        <f>IFERROR(INDEX(BDEGENER[],MATCH(TODEQUIPOS[[#This Row],[N° DE SERIE]],BDEGENER[SERIE],0),11),"")</f>
        <v>SAN FERNANDO</v>
      </c>
      <c r="F134" s="776" t="str">
        <f>IFERROR(INDEX(BDEGENER[],MATCH(TODEQUIPOS[[#This Row],[N° DE SERIE]],BDEGENER[SERIE],0),12),"")</f>
        <v>RAMADAL</v>
      </c>
      <c r="G134" s="802">
        <f>IFERROR(INDEX(BDEGENER[],MATCH(TODEQUIPOS[[#This Row],[N° DE SERIE]],BDEGENER[SERIE],0),10),"")</f>
        <v>43682</v>
      </c>
      <c r="H134" s="777">
        <f>IFERROR(INDEX(BDEGENER[],MATCH(TODEQUIPOS[[#This Row],[N° DE SERIE]],BDEGENER[SERIE],0),31),"")</f>
        <v>5863.9</v>
      </c>
      <c r="I134" s="775">
        <f>IFERROR(INDEX(BDEGENER[],MATCH(TODEQUIPOS[[#This Row],[N° DE SERIE]],BDEGENER[SERIE],0),47),"")</f>
        <v>3</v>
      </c>
      <c r="J134" s="775">
        <f>IFERROR(INDEX(BDEGENER[],MATCH(TODEQUIPOS[[#This Row],[N° DE SERIE]],BDEGENER[SERIE],0),48),"")</f>
        <v>0</v>
      </c>
      <c r="K134" s="775">
        <f>IFERROR(INDEX(BDEGENER[],MATCH(TODEQUIPOS[[#This Row],[N° DE SERIE]],BDEGENER[SERIE],0),57),"")</f>
        <v>3</v>
      </c>
      <c r="L134" s="775" t="str">
        <f>IF(TODEQUIPOS[[#This Row],[CONTADOR]]=1,"UNICO","DUPLICADO")</f>
        <v>UNICO</v>
      </c>
      <c r="M134" s="775">
        <f>COUNTIF(TODEQUIPOS[N° DE SERIE],TODEQUIPOS[[#This Row],[N° DE SERIE]])</f>
        <v>1</v>
      </c>
    </row>
    <row r="135" spans="2:13" x14ac:dyDescent="0.3">
      <c r="B135">
        <v>9658425</v>
      </c>
      <c r="C135" s="801" t="str">
        <f>IFERROR(INDEX(BDEGENER[],MATCH(TODEQUIPOS[[#This Row],[N° DE SERIE]],BDEGENER[SERIE],0),26),"")</f>
        <v>GENERAC</v>
      </c>
      <c r="D135" s="775" t="str">
        <f>IFERROR(INDEX(BDEGENER[],MATCH(TODEQUIPOS[[#This Row],[N° DE SERIE]],BDEGENER[SERIE],0),27),"")</f>
        <v>RG022</v>
      </c>
      <c r="E135" s="776" t="str">
        <f>IFERROR(INDEX(BDEGENER[],MATCH(TODEQUIPOS[[#This Row],[N° DE SERIE]],BDEGENER[SERIE],0),11),"")</f>
        <v>SAN FERNANDO</v>
      </c>
      <c r="F135" s="776" t="str">
        <f>IFERROR(INDEX(BDEGENER[],MATCH(TODEQUIPOS[[#This Row],[N° DE SERIE]],BDEGENER[SERIE],0),12),"")</f>
        <v>RAMADAL</v>
      </c>
      <c r="G135" s="802">
        <f>IFERROR(INDEX(BDEGENER[],MATCH(TODEQUIPOS[[#This Row],[N° DE SERIE]],BDEGENER[SERIE],0),10),"")</f>
        <v>43682</v>
      </c>
      <c r="H135" s="777">
        <f>IFERROR(INDEX(BDEGENER[],MATCH(TODEQUIPOS[[#This Row],[N° DE SERIE]],BDEGENER[SERIE],0),31),"")</f>
        <v>3305.2</v>
      </c>
      <c r="I135" s="775">
        <f>IFERROR(INDEX(BDEGENER[],MATCH(TODEQUIPOS[[#This Row],[N° DE SERIE]],BDEGENER[SERIE],0),47),"")</f>
        <v>2</v>
      </c>
      <c r="J135" s="775">
        <f>IFERROR(INDEX(BDEGENER[],MATCH(TODEQUIPOS[[#This Row],[N° DE SERIE]],BDEGENER[SERIE],0),48),"")</f>
        <v>0</v>
      </c>
      <c r="K135" s="775">
        <f>IFERROR(INDEX(BDEGENER[],MATCH(TODEQUIPOS[[#This Row],[N° DE SERIE]],BDEGENER[SERIE],0),57),"")</f>
        <v>2</v>
      </c>
      <c r="L135" s="775" t="str">
        <f>IF(TODEQUIPOS[[#This Row],[CONTADOR]]=1,"UNICO","DUPLICADO")</f>
        <v>UNICO</v>
      </c>
      <c r="M135" s="775">
        <f>COUNTIF(TODEQUIPOS[N° DE SERIE],TODEQUIPOS[[#This Row],[N° DE SERIE]])</f>
        <v>1</v>
      </c>
    </row>
    <row r="136" spans="2:13" x14ac:dyDescent="0.3">
      <c r="B136" t="s">
        <v>175</v>
      </c>
      <c r="C136" s="801" t="str">
        <f>IFERROR(INDEX(BDEGENER[],MATCH(TODEQUIPOS[[#This Row],[N° DE SERIE]],BDEGENER[SERIE],0),26),"")</f>
        <v>GENERAC</v>
      </c>
      <c r="D136" s="775" t="str">
        <f>IFERROR(INDEX(BDEGENER[],MATCH(TODEQUIPOS[[#This Row],[N° DE SERIE]],BDEGENER[SERIE],0),27),"")</f>
        <v>H100</v>
      </c>
      <c r="E136" s="776" t="str">
        <f>IFERROR(INDEX(BDEGENER[],MATCH(TODEQUIPOS[[#This Row],[N° DE SERIE]],BDEGENER[SERIE],0),11),"")</f>
        <v>SAN FERNANDO</v>
      </c>
      <c r="F136" s="776" t="str">
        <f>IFERROR(INDEX(BDEGENER[],MATCH(TODEQUIPOS[[#This Row],[N° DE SERIE]],BDEGENER[SERIE],0),12),"")</f>
        <v>Supe</v>
      </c>
      <c r="G136" s="802">
        <f>IFERROR(INDEX(BDEGENER[],MATCH(TODEQUIPOS[[#This Row],[N° DE SERIE]],BDEGENER[SERIE],0),10),"")</f>
        <v>43651</v>
      </c>
      <c r="H136" s="777">
        <f>IFERROR(INDEX(BDEGENER[],MATCH(TODEQUIPOS[[#This Row],[N° DE SERIE]],BDEGENER[SERIE],0),31),"")</f>
        <v>9437.2999999999993</v>
      </c>
      <c r="I136" s="775">
        <f>IFERROR(INDEX(BDEGENER[],MATCH(TODEQUIPOS[[#This Row],[N° DE SERIE]],BDEGENER[SERIE],0),47),"")</f>
        <v>1</v>
      </c>
      <c r="J136" s="775">
        <f>IFERROR(INDEX(BDEGENER[],MATCH(TODEQUIPOS[[#This Row],[N° DE SERIE]],BDEGENER[SERIE],0),48),"")</f>
        <v>0</v>
      </c>
      <c r="K136" s="775">
        <f>IFERROR(INDEX(BDEGENER[],MATCH(TODEQUIPOS[[#This Row],[N° DE SERIE]],BDEGENER[SERIE],0),57),"")</f>
        <v>1</v>
      </c>
      <c r="L136" s="775" t="str">
        <f>IF(TODEQUIPOS[[#This Row],[CONTADOR]]=1,"UNICO","DUPLICADO")</f>
        <v>UNICO</v>
      </c>
      <c r="M136" s="775">
        <f>COUNTIF(TODEQUIPOS[N° DE SERIE],TODEQUIPOS[[#This Row],[N° DE SERIE]])</f>
        <v>1</v>
      </c>
    </row>
    <row r="137" spans="2:13" x14ac:dyDescent="0.3">
      <c r="B137" t="s">
        <v>176</v>
      </c>
      <c r="C137" s="801" t="str">
        <f>IFERROR(INDEX(BDEGENER[],MATCH(TODEQUIPOS[[#This Row],[N° DE SERIE]],BDEGENER[SERIE],0),26),"")</f>
        <v>MODASA</v>
      </c>
      <c r="D137" s="775" t="str">
        <f>IFERROR(INDEX(BDEGENER[],MATCH(TODEQUIPOS[[#This Row],[N° DE SERIE]],BDEGENER[SERIE],0),27),"")</f>
        <v>X20577B</v>
      </c>
      <c r="E137" s="776" t="str">
        <f>IFERROR(INDEX(BDEGENER[],MATCH(TODEQUIPOS[[#This Row],[N° DE SERIE]],BDEGENER[SERIE],0),11),"")</f>
        <v>SAN FERNANDO</v>
      </c>
      <c r="F137" s="776">
        <f>IFERROR(INDEX(BDEGENER[],MATCH(TODEQUIPOS[[#This Row],[N° DE SERIE]],BDEGENER[SERIE],0),12),"")</f>
        <v>0</v>
      </c>
      <c r="G137" s="802">
        <f>IFERROR(INDEX(BDEGENER[],MATCH(TODEQUIPOS[[#This Row],[N° DE SERIE]],BDEGENER[SERIE],0),10),"")</f>
        <v>43628</v>
      </c>
      <c r="H137" s="777" t="str">
        <f>IFERROR(INDEX(BDEGENER[],MATCH(TODEQUIPOS[[#This Row],[N° DE SERIE]],BDEGENER[SERIE],0),31),"")</f>
        <v>NR</v>
      </c>
      <c r="I137" s="775">
        <f>IFERROR(INDEX(BDEGENER[],MATCH(TODEQUIPOS[[#This Row],[N° DE SERIE]],BDEGENER[SERIE],0),47),"")</f>
        <v>0</v>
      </c>
      <c r="J137" s="775">
        <f>IFERROR(INDEX(BDEGENER[],MATCH(TODEQUIPOS[[#This Row],[N° DE SERIE]],BDEGENER[SERIE],0),48),"")</f>
        <v>0</v>
      </c>
      <c r="K137" s="775">
        <f>IFERROR(INDEX(BDEGENER[],MATCH(TODEQUIPOS[[#This Row],[N° DE SERIE]],BDEGENER[SERIE],0),57),"")</f>
        <v>1</v>
      </c>
      <c r="L137" s="775" t="str">
        <f>IF(TODEQUIPOS[[#This Row],[CONTADOR]]=1,"UNICO","DUPLICADO")</f>
        <v>UNICO</v>
      </c>
      <c r="M137" s="775">
        <f>COUNTIF(TODEQUIPOS[N° DE SERIE],TODEQUIPOS[[#This Row],[N° DE SERIE]])</f>
        <v>1</v>
      </c>
    </row>
    <row r="138" spans="2:13" x14ac:dyDescent="0.3">
      <c r="B138">
        <v>7954602</v>
      </c>
      <c r="C138" s="801" t="str">
        <f>IFERROR(INDEX(BDEGENER[],MATCH(TODEQUIPOS[[#This Row],[N° DE SERIE]],BDEGENER[SERIE],0),26),"")</f>
        <v>GENERAC</v>
      </c>
      <c r="D138" s="775" t="str">
        <f>IFERROR(INDEX(BDEGENER[],MATCH(TODEQUIPOS[[#This Row],[N° DE SERIE]],BDEGENER[SERIE],0),27),"")</f>
        <v>H100</v>
      </c>
      <c r="E138" s="776" t="str">
        <f>IFERROR(INDEX(BDEGENER[],MATCH(TODEQUIPOS[[#This Row],[N° DE SERIE]],BDEGENER[SERIE],0),11),"")</f>
        <v>SAN FERNANDO</v>
      </c>
      <c r="F138" s="776" t="str">
        <f>IFERROR(INDEX(BDEGENER[],MATCH(TODEQUIPOS[[#This Row],[N° DE SERIE]],BDEGENER[SERIE],0),12),"")</f>
        <v>REPRODUCTORA SUPE</v>
      </c>
      <c r="G138" s="802">
        <f>IFERROR(INDEX(BDEGENER[],MATCH(TODEQUIPOS[[#This Row],[N° DE SERIE]],BDEGENER[SERIE],0),10),"")</f>
        <v>43607</v>
      </c>
      <c r="H138" s="777">
        <f>IFERROR(INDEX(BDEGENER[],MATCH(TODEQUIPOS[[#This Row],[N° DE SERIE]],BDEGENER[SERIE],0),31),"")</f>
        <v>3486.2</v>
      </c>
      <c r="I138" s="775">
        <f>IFERROR(INDEX(BDEGENER[],MATCH(TODEQUIPOS[[#This Row],[N° DE SERIE]],BDEGENER[SERIE],0),47),"")</f>
        <v>1</v>
      </c>
      <c r="J138" s="775">
        <f>IFERROR(INDEX(BDEGENER[],MATCH(TODEQUIPOS[[#This Row],[N° DE SERIE]],BDEGENER[SERIE],0),48),"")</f>
        <v>0</v>
      </c>
      <c r="K138" s="775">
        <f>IFERROR(INDEX(BDEGENER[],MATCH(TODEQUIPOS[[#This Row],[N° DE SERIE]],BDEGENER[SERIE],0),57),"")</f>
        <v>2</v>
      </c>
      <c r="L138" s="775" t="str">
        <f>IF(TODEQUIPOS[[#This Row],[CONTADOR]]=1,"UNICO","DUPLICADO")</f>
        <v>UNICO</v>
      </c>
      <c r="M138" s="775">
        <f>COUNTIF(TODEQUIPOS[N° DE SERIE],TODEQUIPOS[[#This Row],[N° DE SERIE]])</f>
        <v>1</v>
      </c>
    </row>
    <row r="139" spans="2:13" x14ac:dyDescent="0.3">
      <c r="B139">
        <v>3003932012</v>
      </c>
      <c r="C139" s="801" t="str">
        <f>IFERROR(INDEX(BDEGENER[],MATCH(TODEQUIPOS[[#This Row],[N° DE SERIE]],BDEGENER[SERIE],0),26),"")</f>
        <v>GENERAC</v>
      </c>
      <c r="D139" s="775" t="str">
        <f>IFERROR(INDEX(BDEGENER[],MATCH(TODEQUIPOS[[#This Row],[N° DE SERIE]],BDEGENER[SERIE],0),27),"")</f>
        <v>XD5000E</v>
      </c>
      <c r="E139" s="776" t="str">
        <f>IFERROR(INDEX(BDEGENER[],MATCH(TODEQUIPOS[[#This Row],[N° DE SERIE]],BDEGENER[SERIE],0),11),"")</f>
        <v>REDONDOS</v>
      </c>
      <c r="F139" s="776" t="str">
        <f>IFERROR(INDEX(BDEGENER[],MATCH(TODEQUIPOS[[#This Row],[N° DE SERIE]],BDEGENER[SERIE],0),12),"")</f>
        <v>NUCLEO TREBOL</v>
      </c>
      <c r="G139" s="802">
        <f>IFERROR(INDEX(BDEGENER[],MATCH(TODEQUIPOS[[#This Row],[N° DE SERIE]],BDEGENER[SERIE],0),10),"")</f>
        <v>43601</v>
      </c>
      <c r="H139" s="777">
        <f>IFERROR(INDEX(BDEGENER[],MATCH(TODEQUIPOS[[#This Row],[N° DE SERIE]],BDEGENER[SERIE],0),31),"")</f>
        <v>388</v>
      </c>
      <c r="I139" s="775">
        <f>IFERROR(INDEX(BDEGENER[],MATCH(TODEQUIPOS[[#This Row],[N° DE SERIE]],BDEGENER[SERIE],0),47),"")</f>
        <v>0</v>
      </c>
      <c r="J139" s="775">
        <f>IFERROR(INDEX(BDEGENER[],MATCH(TODEQUIPOS[[#This Row],[N° DE SERIE]],BDEGENER[SERIE],0),48),"")</f>
        <v>1</v>
      </c>
      <c r="K139" s="775">
        <f>IFERROR(INDEX(BDEGENER[],MATCH(TODEQUIPOS[[#This Row],[N° DE SERIE]],BDEGENER[SERIE],0),57),"")</f>
        <v>2</v>
      </c>
      <c r="L139" s="775" t="str">
        <f>IF(TODEQUIPOS[[#This Row],[CONTADOR]]=1,"UNICO","DUPLICADO")</f>
        <v>UNICO</v>
      </c>
      <c r="M139" s="775">
        <f>COUNTIF(TODEQUIPOS[N° DE SERIE],TODEQUIPOS[[#This Row],[N° DE SERIE]])</f>
        <v>1</v>
      </c>
    </row>
    <row r="140" spans="2:13" x14ac:dyDescent="0.3">
      <c r="B140" t="s">
        <v>178</v>
      </c>
      <c r="C140" s="801">
        <f>IFERROR(INDEX(BDEGENER[],MATCH(TODEQUIPOS[[#This Row],[N° DE SERIE]],BDEGENER[SERIE],0),26),"")</f>
        <v>0</v>
      </c>
      <c r="D140" s="775">
        <f>IFERROR(INDEX(BDEGENER[],MATCH(TODEQUIPOS[[#This Row],[N° DE SERIE]],BDEGENER[SERIE],0),27),"")</f>
        <v>2812330100</v>
      </c>
      <c r="E140" s="776" t="str">
        <f>IFERROR(INDEX(BDEGENER[],MATCH(TODEQUIPOS[[#This Row],[N° DE SERIE]],BDEGENER[SERIE],0),11),"")</f>
        <v>SAN FERNANDO</v>
      </c>
      <c r="F140" s="776" t="str">
        <f>IFERROR(INDEX(BDEGENER[],MATCH(TODEQUIPOS[[#This Row],[N° DE SERIE]],BDEGENER[SERIE],0),12),"")</f>
        <v>PV06</v>
      </c>
      <c r="G140" s="802">
        <f>IFERROR(INDEX(BDEGENER[],MATCH(TODEQUIPOS[[#This Row],[N° DE SERIE]],BDEGENER[SERIE],0),10),"")</f>
        <v>43542</v>
      </c>
      <c r="H140" s="777">
        <f>IFERROR(INDEX(BDEGENER[],MATCH(TODEQUIPOS[[#This Row],[N° DE SERIE]],BDEGENER[SERIE],0),31),"")</f>
        <v>0.18</v>
      </c>
      <c r="I140" s="775">
        <f>IFERROR(INDEX(BDEGENER[],MATCH(TODEQUIPOS[[#This Row],[N° DE SERIE]],BDEGENER[SERIE],0),47),"")</f>
        <v>2</v>
      </c>
      <c r="J140" s="775">
        <f>IFERROR(INDEX(BDEGENER[],MATCH(TODEQUIPOS[[#This Row],[N° DE SERIE]],BDEGENER[SERIE],0),48),"")</f>
        <v>0</v>
      </c>
      <c r="K140" s="775">
        <f>IFERROR(INDEX(BDEGENER[],MATCH(TODEQUIPOS[[#This Row],[N° DE SERIE]],BDEGENER[SERIE],0),57),"")</f>
        <v>2</v>
      </c>
      <c r="L140" s="775" t="str">
        <f>IF(TODEQUIPOS[[#This Row],[CONTADOR]]=1,"UNICO","DUPLICADO")</f>
        <v>UNICO</v>
      </c>
      <c r="M140" s="775">
        <f>COUNTIF(TODEQUIPOS[N° DE SERIE],TODEQUIPOS[[#This Row],[N° DE SERIE]])</f>
        <v>1</v>
      </c>
    </row>
    <row r="141" spans="2:13" x14ac:dyDescent="0.3">
      <c r="B141">
        <v>2070022</v>
      </c>
      <c r="C141" s="801">
        <f>IFERROR(INDEX(BDEGENER[],MATCH(TODEQUIPOS[[#This Row],[N° DE SERIE]],BDEGENER[SERIE],0),26),"")</f>
        <v>0</v>
      </c>
      <c r="D141" s="775">
        <f>IFERROR(INDEX(BDEGENER[],MATCH(TODEQUIPOS[[#This Row],[N° DE SERIE]],BDEGENER[SERIE],0),27),"")</f>
        <v>2812330100</v>
      </c>
      <c r="E141" s="776" t="str">
        <f>IFERROR(INDEX(BDEGENER[],MATCH(TODEQUIPOS[[#This Row],[N° DE SERIE]],BDEGENER[SERIE],0),11),"")</f>
        <v>SAN FERNANDO</v>
      </c>
      <c r="F141" s="776" t="str">
        <f>IFERROR(INDEX(BDEGENER[],MATCH(TODEQUIPOS[[#This Row],[N° DE SERIE]],BDEGENER[SERIE],0),12),"")</f>
        <v>Cabeza Toro</v>
      </c>
      <c r="G141" s="802">
        <f>IFERROR(INDEX(BDEGENER[],MATCH(TODEQUIPOS[[#This Row],[N° DE SERIE]],BDEGENER[SERIE],0),10),"")</f>
        <v>43542</v>
      </c>
      <c r="H141" s="777">
        <f>IFERROR(INDEX(BDEGENER[],MATCH(TODEQUIPOS[[#This Row],[N° DE SERIE]],BDEGENER[SERIE],0),31),"")</f>
        <v>0.17</v>
      </c>
      <c r="I141" s="775">
        <f>IFERROR(INDEX(BDEGENER[],MATCH(TODEQUIPOS[[#This Row],[N° DE SERIE]],BDEGENER[SERIE],0),47),"")</f>
        <v>2</v>
      </c>
      <c r="J141" s="775">
        <f>IFERROR(INDEX(BDEGENER[],MATCH(TODEQUIPOS[[#This Row],[N° DE SERIE]],BDEGENER[SERIE],0),48),"")</f>
        <v>0</v>
      </c>
      <c r="K141" s="775">
        <f>IFERROR(INDEX(BDEGENER[],MATCH(TODEQUIPOS[[#This Row],[N° DE SERIE]],BDEGENER[SERIE],0),57),"")</f>
        <v>2</v>
      </c>
      <c r="L141" s="775" t="str">
        <f>IF(TODEQUIPOS[[#This Row],[CONTADOR]]=1,"UNICO","DUPLICADO")</f>
        <v>UNICO</v>
      </c>
      <c r="M141" s="775">
        <f>COUNTIF(TODEQUIPOS[N° DE SERIE],TODEQUIPOS[[#This Row],[N° DE SERIE]])</f>
        <v>1</v>
      </c>
    </row>
    <row r="142" spans="2:13" x14ac:dyDescent="0.3">
      <c r="B142" t="s">
        <v>179</v>
      </c>
      <c r="C142" s="801">
        <f>IFERROR(INDEX(BDEGENER[],MATCH(TODEQUIPOS[[#This Row],[N° DE SERIE]],BDEGENER[SERIE],0),26),"")</f>
        <v>0</v>
      </c>
      <c r="D142" s="775">
        <f>IFERROR(INDEX(BDEGENER[],MATCH(TODEQUIPOS[[#This Row],[N° DE SERIE]],BDEGENER[SERIE],0),27),"")</f>
        <v>0</v>
      </c>
      <c r="E142" s="776" t="str">
        <f>IFERROR(INDEX(BDEGENER[],MATCH(TODEQUIPOS[[#This Row],[N° DE SERIE]],BDEGENER[SERIE],0),11),"")</f>
        <v>SAN FERNANDO</v>
      </c>
      <c r="F142" s="776" t="str">
        <f>IFERROR(INDEX(BDEGENER[],MATCH(TODEQUIPOS[[#This Row],[N° DE SERIE]],BDEGENER[SERIE],0),12),"")</f>
        <v>Soxa</v>
      </c>
      <c r="G142" s="802">
        <f>IFERROR(INDEX(BDEGENER[],MATCH(TODEQUIPOS[[#This Row],[N° DE SERIE]],BDEGENER[SERIE],0),10),"")</f>
        <v>43539</v>
      </c>
      <c r="H142" s="777">
        <f>IFERROR(INDEX(BDEGENER[],MATCH(TODEQUIPOS[[#This Row],[N° DE SERIE]],BDEGENER[SERIE],0),31),"")</f>
        <v>0</v>
      </c>
      <c r="I142" s="775">
        <f>IFERROR(INDEX(BDEGENER[],MATCH(TODEQUIPOS[[#This Row],[N° DE SERIE]],BDEGENER[SERIE],0),47),"")</f>
        <v>1</v>
      </c>
      <c r="J142" s="775">
        <f>IFERROR(INDEX(BDEGENER[],MATCH(TODEQUIPOS[[#This Row],[N° DE SERIE]],BDEGENER[SERIE],0),48),"")</f>
        <v>0</v>
      </c>
      <c r="K142" s="775">
        <f>IFERROR(INDEX(BDEGENER[],MATCH(TODEQUIPOS[[#This Row],[N° DE SERIE]],BDEGENER[SERIE],0),57),"")</f>
        <v>1</v>
      </c>
      <c r="L142" s="775" t="str">
        <f>IF(TODEQUIPOS[[#This Row],[CONTADOR]]=1,"UNICO","DUPLICADO")</f>
        <v>UNICO</v>
      </c>
      <c r="M142" s="775">
        <f>COUNTIF(TODEQUIPOS[N° DE SERIE],TODEQUIPOS[[#This Row],[N° DE SERIE]])</f>
        <v>1</v>
      </c>
    </row>
    <row r="143" spans="2:13" x14ac:dyDescent="0.3">
      <c r="B143" t="s">
        <v>785</v>
      </c>
      <c r="C143" s="801">
        <f>IFERROR(INDEX(BDEGENER[],MATCH(TODEQUIPOS[[#This Row],[N° DE SERIE]],BDEGENER[SERIE],0),26),"")</f>
        <v>0</v>
      </c>
      <c r="D143" s="775" t="str">
        <f>IFERROR(INDEX(BDEGENER[],MATCH(TODEQUIPOS[[#This Row],[N° DE SERIE]],BDEGENER[SERIE],0),27),"")</f>
        <v>PLY30</v>
      </c>
      <c r="E143" s="776" t="str">
        <f>IFERROR(INDEX(BDEGENER[],MATCH(TODEQUIPOS[[#This Row],[N° DE SERIE]],BDEGENER[SERIE],0),11),"")</f>
        <v>SCOTIABANK</v>
      </c>
      <c r="F143" s="776" t="str">
        <f>IFERROR(INDEX(BDEGENER[],MATCH(TODEQUIPOS[[#This Row],[N° DE SERIE]],BDEGENER[SERIE],0),12),"")</f>
        <v>COES  SINAC</v>
      </c>
      <c r="G143" s="802">
        <f>IFERROR(INDEX(BDEGENER[],MATCH(TODEQUIPOS[[#This Row],[N° DE SERIE]],BDEGENER[SERIE],0),10),"")</f>
        <v>43511</v>
      </c>
      <c r="H143" s="777">
        <f>IFERROR(INDEX(BDEGENER[],MATCH(TODEQUIPOS[[#This Row],[N° DE SERIE]],BDEGENER[SERIE],0),31),"")</f>
        <v>0</v>
      </c>
      <c r="I143" s="775">
        <f>IFERROR(INDEX(BDEGENER[],MATCH(TODEQUIPOS[[#This Row],[N° DE SERIE]],BDEGENER[SERIE],0),47),"")</f>
        <v>0</v>
      </c>
      <c r="J143" s="775">
        <f>IFERROR(INDEX(BDEGENER[],MATCH(TODEQUIPOS[[#This Row],[N° DE SERIE]],BDEGENER[SERIE],0),48),"")</f>
        <v>1</v>
      </c>
      <c r="K143" s="775">
        <f>IFERROR(INDEX(BDEGENER[],MATCH(TODEQUIPOS[[#This Row],[N° DE SERIE]],BDEGENER[SERIE],0),57),"")</f>
        <v>1</v>
      </c>
      <c r="L143" s="775" t="str">
        <f>IF(TODEQUIPOS[[#This Row],[CONTADOR]]=1,"UNICO","DUPLICADO")</f>
        <v>UNICO</v>
      </c>
      <c r="M143" s="775">
        <f>COUNTIF(TODEQUIPOS[N° DE SERIE],TODEQUIPOS[[#This Row],[N° DE SERIE]])</f>
        <v>1</v>
      </c>
    </row>
    <row r="144" spans="2:13" x14ac:dyDescent="0.3">
      <c r="B144">
        <v>2070094</v>
      </c>
      <c r="C144" s="801" t="str">
        <f>IFERROR(INDEX(BDEGENER[],MATCH(TODEQUIPOS[[#This Row],[N° DE SERIE]],BDEGENER[SERIE],0),26),"")</f>
        <v>GENERAC</v>
      </c>
      <c r="D144" s="775" t="str">
        <f>IFERROR(INDEX(BDEGENER[],MATCH(TODEQUIPOS[[#This Row],[N° DE SERIE]],BDEGENER[SERIE],0),27),"")</f>
        <v xml:space="preserve"> </v>
      </c>
      <c r="E144" s="776" t="str">
        <f>IFERROR(INDEX(BDEGENER[],MATCH(TODEQUIPOS[[#This Row],[N° DE SERIE]],BDEGENER[SERIE],0),11),"")</f>
        <v>SAN FERNANDO</v>
      </c>
      <c r="F144" s="776">
        <f>IFERROR(INDEX(BDEGENER[],MATCH(TODEQUIPOS[[#This Row],[N° DE SERIE]],BDEGENER[SERIE],0),12),"")</f>
        <v>0</v>
      </c>
      <c r="G144" s="802">
        <f>IFERROR(INDEX(BDEGENER[],MATCH(TODEQUIPOS[[#This Row],[N° DE SERIE]],BDEGENER[SERIE],0),10),"")</f>
        <v>43502</v>
      </c>
      <c r="H144" s="777" t="str">
        <f>IFERROR(INDEX(BDEGENER[],MATCH(TODEQUIPOS[[#This Row],[N° DE SERIE]],BDEGENER[SERIE],0),31),"")</f>
        <v>NR</v>
      </c>
      <c r="I144" s="775">
        <f>IFERROR(INDEX(BDEGENER[],MATCH(TODEQUIPOS[[#This Row],[N° DE SERIE]],BDEGENER[SERIE],0),47),"")</f>
        <v>1</v>
      </c>
      <c r="J144" s="775">
        <f>IFERROR(INDEX(BDEGENER[],MATCH(TODEQUIPOS[[#This Row],[N° DE SERIE]],BDEGENER[SERIE],0),48),"")</f>
        <v>0</v>
      </c>
      <c r="K144" s="775">
        <f>IFERROR(INDEX(BDEGENER[],MATCH(TODEQUIPOS[[#This Row],[N° DE SERIE]],BDEGENER[SERIE],0),57),"")</f>
        <v>1</v>
      </c>
      <c r="L144" s="775" t="str">
        <f>IF(TODEQUIPOS[[#This Row],[CONTADOR]]=1,"UNICO","DUPLICADO")</f>
        <v>UNICO</v>
      </c>
      <c r="M144" s="775">
        <f>COUNTIF(TODEQUIPOS[N° DE SERIE],TODEQUIPOS[[#This Row],[N° DE SERIE]])</f>
        <v>1</v>
      </c>
    </row>
    <row r="145" spans="2:13" x14ac:dyDescent="0.3">
      <c r="B145">
        <v>3002933955</v>
      </c>
      <c r="C145" s="801" t="str">
        <f>IFERROR(INDEX(BDEGENER[],MATCH(TODEQUIPOS[[#This Row],[N° DE SERIE]],BDEGENER[SERIE],0),26),"")</f>
        <v>GENERAC</v>
      </c>
      <c r="D145" s="775">
        <f>IFERROR(INDEX(BDEGENER[],MATCH(TODEQUIPOS[[#This Row],[N° DE SERIE]],BDEGENER[SERIE],0),27),"")</f>
        <v>60720</v>
      </c>
      <c r="E145" s="776" t="str">
        <f>IFERROR(INDEX(BDEGENER[],MATCH(TODEQUIPOS[[#This Row],[N° DE SERIE]],BDEGENER[SERIE],0),11),"")</f>
        <v>REDONDOS</v>
      </c>
      <c r="F145" s="776" t="str">
        <f>IFERROR(INDEX(BDEGENER[],MATCH(TODEQUIPOS[[#This Row],[N° DE SERIE]],BDEGENER[SERIE],0),12),"")</f>
        <v>Lomas</v>
      </c>
      <c r="G145" s="802">
        <f>IFERROR(INDEX(BDEGENER[],MATCH(TODEQUIPOS[[#This Row],[N° DE SERIE]],BDEGENER[SERIE],0),10),"")</f>
        <v>43500</v>
      </c>
      <c r="H145" s="777">
        <f>IFERROR(INDEX(BDEGENER[],MATCH(TODEQUIPOS[[#This Row],[N° DE SERIE]],BDEGENER[SERIE],0),31),"")</f>
        <v>1092</v>
      </c>
      <c r="I145" s="775">
        <f>IFERROR(INDEX(BDEGENER[],MATCH(TODEQUIPOS[[#This Row],[N° DE SERIE]],BDEGENER[SERIE],0),47),"")</f>
        <v>1</v>
      </c>
      <c r="J145" s="775">
        <f>IFERROR(INDEX(BDEGENER[],MATCH(TODEQUIPOS[[#This Row],[N° DE SERIE]],BDEGENER[SERIE],0),48),"")</f>
        <v>3</v>
      </c>
      <c r="K145" s="775">
        <f>IFERROR(INDEX(BDEGENER[],MATCH(TODEQUIPOS[[#This Row],[N° DE SERIE]],BDEGENER[SERIE],0),57),"")</f>
        <v>4</v>
      </c>
      <c r="L145" s="775" t="str">
        <f>IF(TODEQUIPOS[[#This Row],[CONTADOR]]=1,"UNICO","DUPLICADO")</f>
        <v>UNICO</v>
      </c>
      <c r="M145" s="775">
        <f>COUNTIF(TODEQUIPOS[N° DE SERIE],TODEQUIPOS[[#This Row],[N° DE SERIE]])</f>
        <v>1</v>
      </c>
    </row>
    <row r="146" spans="2:13" x14ac:dyDescent="0.3">
      <c r="B146">
        <v>3002933971</v>
      </c>
      <c r="C146" s="801" t="str">
        <f>IFERROR(INDEX(BDEGENER[],MATCH(TODEQUIPOS[[#This Row],[N° DE SERIE]],BDEGENER[SERIE],0),26),"")</f>
        <v>GENERAC</v>
      </c>
      <c r="D146" s="775" t="str">
        <f>IFERROR(INDEX(BDEGENER[],MATCH(TODEQUIPOS[[#This Row],[N° DE SERIE]],BDEGENER[SERIE],0),27),"")</f>
        <v>PLY125</v>
      </c>
      <c r="E146" s="776" t="str">
        <f>IFERROR(INDEX(BDEGENER[],MATCH(TODEQUIPOS[[#This Row],[N° DE SERIE]],BDEGENER[SERIE],0),11),"")</f>
        <v>REDONDOS</v>
      </c>
      <c r="F146" s="776" t="str">
        <f>IFERROR(INDEX(BDEGENER[],MATCH(TODEQUIPOS[[#This Row],[N° DE SERIE]],BDEGENER[SERIE],0),12),"")</f>
        <v>Gramadal</v>
      </c>
      <c r="G146" s="802">
        <f>IFERROR(INDEX(BDEGENER[],MATCH(TODEQUIPOS[[#This Row],[N° DE SERIE]],BDEGENER[SERIE],0),10),"")</f>
        <v>43500</v>
      </c>
      <c r="H146" s="777">
        <f>IFERROR(INDEX(BDEGENER[],MATCH(TODEQUIPOS[[#This Row],[N° DE SERIE]],BDEGENER[SERIE],0),31),"")</f>
        <v>1681</v>
      </c>
      <c r="I146" s="775">
        <f>IFERROR(INDEX(BDEGENER[],MATCH(TODEQUIPOS[[#This Row],[N° DE SERIE]],BDEGENER[SERIE],0),47),"")</f>
        <v>0</v>
      </c>
      <c r="J146" s="775">
        <f>IFERROR(INDEX(BDEGENER[],MATCH(TODEQUIPOS[[#This Row],[N° DE SERIE]],BDEGENER[SERIE],0),48),"")</f>
        <v>3</v>
      </c>
      <c r="K146" s="775">
        <f>IFERROR(INDEX(BDEGENER[],MATCH(TODEQUIPOS[[#This Row],[N° DE SERIE]],BDEGENER[SERIE],0),57),"")</f>
        <v>3</v>
      </c>
      <c r="L146" s="775" t="str">
        <f>IF(TODEQUIPOS[[#This Row],[CONTADOR]]=1,"UNICO","DUPLICADO")</f>
        <v>UNICO</v>
      </c>
      <c r="M146" s="775">
        <f>COUNTIF(TODEQUIPOS[N° DE SERIE],TODEQUIPOS[[#This Row],[N° DE SERIE]])</f>
        <v>1</v>
      </c>
    </row>
    <row r="147" spans="2:13" x14ac:dyDescent="0.3">
      <c r="B147" t="s">
        <v>180</v>
      </c>
      <c r="C147" s="801">
        <f>IFERROR(INDEX(BDEGENER[],MATCH(TODEQUIPOS[[#This Row],[N° DE SERIE]],BDEGENER[SERIE],0),26),"")</f>
        <v>0</v>
      </c>
      <c r="D147" s="775">
        <f>IFERROR(INDEX(BDEGENER[],MATCH(TODEQUIPOS[[#This Row],[N° DE SERIE]],BDEGENER[SERIE],0),27),"")</f>
        <v>0</v>
      </c>
      <c r="E147" s="776" t="str">
        <f>IFERROR(INDEX(BDEGENER[],MATCH(TODEQUIPOS[[#This Row],[N° DE SERIE]],BDEGENER[SERIE],0),11),"")</f>
        <v>SAN FERNANDO</v>
      </c>
      <c r="F147" s="776" t="str">
        <f>IFERROR(INDEX(BDEGENER[],MATCH(TODEQUIPOS[[#This Row],[N° DE SERIE]],BDEGENER[SERIE],0),12),"")</f>
        <v>SUPE</v>
      </c>
      <c r="G147" s="802">
        <f>IFERROR(INDEX(BDEGENER[],MATCH(TODEQUIPOS[[#This Row],[N° DE SERIE]],BDEGENER[SERIE],0),10),"")</f>
        <v>43495</v>
      </c>
      <c r="H147" s="777">
        <f>IFERROR(INDEX(BDEGENER[],MATCH(TODEQUIPOS[[#This Row],[N° DE SERIE]],BDEGENER[SERIE],0),31),"")</f>
        <v>8836.09</v>
      </c>
      <c r="I147" s="775">
        <f>IFERROR(INDEX(BDEGENER[],MATCH(TODEQUIPOS[[#This Row],[N° DE SERIE]],BDEGENER[SERIE],0),47),"")</f>
        <v>0</v>
      </c>
      <c r="J147" s="775">
        <f>IFERROR(INDEX(BDEGENER[],MATCH(TODEQUIPOS[[#This Row],[N° DE SERIE]],BDEGENER[SERIE],0),48),"")</f>
        <v>0</v>
      </c>
      <c r="K147" s="775">
        <f>IFERROR(INDEX(BDEGENER[],MATCH(TODEQUIPOS[[#This Row],[N° DE SERIE]],BDEGENER[SERIE],0),57),"")</f>
        <v>1</v>
      </c>
      <c r="L147" s="775" t="str">
        <f>IF(TODEQUIPOS[[#This Row],[CONTADOR]]=1,"UNICO","DUPLICADO")</f>
        <v>UNICO</v>
      </c>
      <c r="M147" s="775">
        <f>COUNTIF(TODEQUIPOS[N° DE SERIE],TODEQUIPOS[[#This Row],[N° DE SERIE]])</f>
        <v>1</v>
      </c>
    </row>
    <row r="148" spans="2:13" x14ac:dyDescent="0.3">
      <c r="B148" t="s">
        <v>507</v>
      </c>
      <c r="C148" s="801" t="str">
        <f>IFERROR(INDEX(BDEGENER[],MATCH(TODEQUIPOS[[#This Row],[N° DE SERIE]],BDEGENER[SERIE],0),26),"")</f>
        <v>GENERAC</v>
      </c>
      <c r="D148" s="775" t="str">
        <f>IFERROR(INDEX(BDEGENER[],MATCH(TODEQUIPOS[[#This Row],[N° DE SERIE]],BDEGENER[SERIE],0),27),"")</f>
        <v>PMY20B</v>
      </c>
      <c r="E148" s="776" t="str">
        <f>IFERROR(INDEX(BDEGENER[],MATCH(TODEQUIPOS[[#This Row],[N° DE SERIE]],BDEGENER[SERIE],0),11),"")</f>
        <v>REDONDOS</v>
      </c>
      <c r="F148" s="776" t="str">
        <f>IFERROR(INDEX(BDEGENER[],MATCH(TODEQUIPOS[[#This Row],[N° DE SERIE]],BDEGENER[SERIE],0),12),"")</f>
        <v>Albufera A y B</v>
      </c>
      <c r="G148" s="802">
        <f>IFERROR(INDEX(BDEGENER[],MATCH(TODEQUIPOS[[#This Row],[N° DE SERIE]],BDEGENER[SERIE],0),10),"")</f>
        <v>43488</v>
      </c>
      <c r="H148" s="777">
        <f>IFERROR(INDEX(BDEGENER[],MATCH(TODEQUIPOS[[#This Row],[N° DE SERIE]],BDEGENER[SERIE],0),31),"")</f>
        <v>2735.6</v>
      </c>
      <c r="I148" s="775">
        <f>IFERROR(INDEX(BDEGENER[],MATCH(TODEQUIPOS[[#This Row],[N° DE SERIE]],BDEGENER[SERIE],0),47),"")</f>
        <v>0</v>
      </c>
      <c r="J148" s="775">
        <f>IFERROR(INDEX(BDEGENER[],MATCH(TODEQUIPOS[[#This Row],[N° DE SERIE]],BDEGENER[SERIE],0),48),"")</f>
        <v>4</v>
      </c>
      <c r="K148" s="775">
        <f>IFERROR(INDEX(BDEGENER[],MATCH(TODEQUIPOS[[#This Row],[N° DE SERIE]],BDEGENER[SERIE],0),57),"")</f>
        <v>4</v>
      </c>
      <c r="L148" s="775" t="str">
        <f>IF(TODEQUIPOS[[#This Row],[CONTADOR]]=1,"UNICO","DUPLICADO")</f>
        <v>UNICO</v>
      </c>
      <c r="M148" s="775">
        <f>COUNTIF(TODEQUIPOS[N° DE SERIE],TODEQUIPOS[[#This Row],[N° DE SERIE]])</f>
        <v>1</v>
      </c>
    </row>
    <row r="149" spans="2:13" x14ac:dyDescent="0.3">
      <c r="B149">
        <v>3002933962</v>
      </c>
      <c r="C149" s="801">
        <f>IFERROR(INDEX(BDEGENER[],MATCH(TODEQUIPOS[[#This Row],[N° DE SERIE]],BDEGENER[SERIE],0),26),"")</f>
        <v>0</v>
      </c>
      <c r="D149" s="775" t="str">
        <f>IFERROR(INDEX(BDEGENER[],MATCH(TODEQUIPOS[[#This Row],[N° DE SERIE]],BDEGENER[SERIE],0),27),"")</f>
        <v>Perkins</v>
      </c>
      <c r="E149" s="776" t="str">
        <f>IFERROR(INDEX(BDEGENER[],MATCH(TODEQUIPOS[[#This Row],[N° DE SERIE]],BDEGENER[SERIE],0),11),"")</f>
        <v>REDONDOS</v>
      </c>
      <c r="F149" s="776" t="str">
        <f>IFERROR(INDEX(BDEGENER[],MATCH(TODEQUIPOS[[#This Row],[N° DE SERIE]],BDEGENER[SERIE],0),12),"")</f>
        <v>CANOAS</v>
      </c>
      <c r="G149" s="802">
        <f>IFERROR(INDEX(BDEGENER[],MATCH(TODEQUIPOS[[#This Row],[N° DE SERIE]],BDEGENER[SERIE],0),10),"")</f>
        <v>43488</v>
      </c>
      <c r="H149" s="777">
        <f>IFERROR(INDEX(BDEGENER[],MATCH(TODEQUIPOS[[#This Row],[N° DE SERIE]],BDEGENER[SERIE],0),31),"")</f>
        <v>744.4</v>
      </c>
      <c r="I149" s="775">
        <f>IFERROR(INDEX(BDEGENER[],MATCH(TODEQUIPOS[[#This Row],[N° DE SERIE]],BDEGENER[SERIE],0),47),"")</f>
        <v>0</v>
      </c>
      <c r="J149" s="775">
        <f>IFERROR(INDEX(BDEGENER[],MATCH(TODEQUIPOS[[#This Row],[N° DE SERIE]],BDEGENER[SERIE],0),48),"")</f>
        <v>2</v>
      </c>
      <c r="K149" s="775">
        <f>IFERROR(INDEX(BDEGENER[],MATCH(TODEQUIPOS[[#This Row],[N° DE SERIE]],BDEGENER[SERIE],0),57),"")</f>
        <v>2</v>
      </c>
      <c r="L149" s="775" t="str">
        <f>IF(TODEQUIPOS[[#This Row],[CONTADOR]]=1,"UNICO","DUPLICADO")</f>
        <v>UNICO</v>
      </c>
      <c r="M149" s="775">
        <f>COUNTIF(TODEQUIPOS[N° DE SERIE],TODEQUIPOS[[#This Row],[N° DE SERIE]])</f>
        <v>1</v>
      </c>
    </row>
    <row r="150" spans="2:13" x14ac:dyDescent="0.3">
      <c r="B150">
        <v>7965981</v>
      </c>
      <c r="C150" s="801">
        <f>IFERROR(INDEX(BDEGENER[],MATCH(TODEQUIPOS[[#This Row],[N° DE SERIE]],BDEGENER[SERIE],0),26),"")</f>
        <v>0</v>
      </c>
      <c r="D150" s="775">
        <f>IFERROR(INDEX(BDEGENER[],MATCH(TODEQUIPOS[[#This Row],[N° DE SERIE]],BDEGENER[SERIE],0),27),"")</f>
        <v>0</v>
      </c>
      <c r="E150" s="776" t="str">
        <f>IFERROR(INDEX(BDEGENER[],MATCH(TODEQUIPOS[[#This Row],[N° DE SERIE]],BDEGENER[SERIE],0),11),"")</f>
        <v>SAN FERNANDO</v>
      </c>
      <c r="F150" s="776" t="str">
        <f>IFERROR(INDEX(BDEGENER[],MATCH(TODEQUIPOS[[#This Row],[N° DE SERIE]],BDEGENER[SERIE],0),12),"")</f>
        <v>Supe</v>
      </c>
      <c r="G150" s="802">
        <f>IFERROR(INDEX(BDEGENER[],MATCH(TODEQUIPOS[[#This Row],[N° DE SERIE]],BDEGENER[SERIE],0),10),"")</f>
        <v>43484</v>
      </c>
      <c r="H150" s="777">
        <f>IFERROR(INDEX(BDEGENER[],MATCH(TODEQUIPOS[[#This Row],[N° DE SERIE]],BDEGENER[SERIE],0),31),"")</f>
        <v>3093.9</v>
      </c>
      <c r="I150" s="775">
        <f>IFERROR(INDEX(BDEGENER[],MATCH(TODEQUIPOS[[#This Row],[N° DE SERIE]],BDEGENER[SERIE],0),47),"")</f>
        <v>1</v>
      </c>
      <c r="J150" s="775">
        <f>IFERROR(INDEX(BDEGENER[],MATCH(TODEQUIPOS[[#This Row],[N° DE SERIE]],BDEGENER[SERIE],0),48),"")</f>
        <v>0</v>
      </c>
      <c r="K150" s="775">
        <f>IFERROR(INDEX(BDEGENER[],MATCH(TODEQUIPOS[[#This Row],[N° DE SERIE]],BDEGENER[SERIE],0),57),"")</f>
        <v>1</v>
      </c>
      <c r="L150" s="775" t="str">
        <f>IF(TODEQUIPOS[[#This Row],[CONTADOR]]=1,"UNICO","DUPLICADO")</f>
        <v>UNICO</v>
      </c>
      <c r="M150" s="775">
        <f>COUNTIF(TODEQUIPOS[N° DE SERIE],TODEQUIPOS[[#This Row],[N° DE SERIE]])</f>
        <v>1</v>
      </c>
    </row>
    <row r="151" spans="2:13" x14ac:dyDescent="0.3">
      <c r="B151">
        <v>3002933961</v>
      </c>
      <c r="C151" s="801" t="str">
        <f>IFERROR(INDEX(BDEGENER[],MATCH(TODEQUIPOS[[#This Row],[N° DE SERIE]],BDEGENER[SERIE],0),26),"")</f>
        <v>GENERAC</v>
      </c>
      <c r="D151" s="775" t="str">
        <f>IFERROR(INDEX(BDEGENER[],MATCH(TODEQUIPOS[[#This Row],[N° DE SERIE]],BDEGENER[SERIE],0),27),"")</f>
        <v>PMY20B</v>
      </c>
      <c r="E151" s="776" t="str">
        <f>IFERROR(INDEX(BDEGENER[],MATCH(TODEQUIPOS[[#This Row],[N° DE SERIE]],BDEGENER[SERIE],0),11),"")</f>
        <v>REDONDOS</v>
      </c>
      <c r="F151" s="776" t="str">
        <f>IFERROR(INDEX(BDEGENER[],MATCH(TODEQUIPOS[[#This Row],[N° DE SERIE]],BDEGENER[SERIE],0),12),"")</f>
        <v>Lomas</v>
      </c>
      <c r="G151" s="802">
        <f>IFERROR(INDEX(BDEGENER[],MATCH(TODEQUIPOS[[#This Row],[N° DE SERIE]],BDEGENER[SERIE],0),10),"")</f>
        <v>43480</v>
      </c>
      <c r="H151" s="777">
        <f>IFERROR(INDEX(BDEGENER[],MATCH(TODEQUIPOS[[#This Row],[N° DE SERIE]],BDEGENER[SERIE],0),31),"")</f>
        <v>1025.51</v>
      </c>
      <c r="I151" s="775">
        <f>IFERROR(INDEX(BDEGENER[],MATCH(TODEQUIPOS[[#This Row],[N° DE SERIE]],BDEGENER[SERIE],0),47),"")</f>
        <v>0</v>
      </c>
      <c r="J151" s="775">
        <f>IFERROR(INDEX(BDEGENER[],MATCH(TODEQUIPOS[[#This Row],[N° DE SERIE]],BDEGENER[SERIE],0),48),"")</f>
        <v>2</v>
      </c>
      <c r="K151" s="775">
        <f>IFERROR(INDEX(BDEGENER[],MATCH(TODEQUIPOS[[#This Row],[N° DE SERIE]],BDEGENER[SERIE],0),57),"")</f>
        <v>2</v>
      </c>
      <c r="L151" s="775" t="str">
        <f>IF(TODEQUIPOS[[#This Row],[CONTADOR]]=1,"UNICO","DUPLICADO")</f>
        <v>UNICO</v>
      </c>
      <c r="M151" s="775">
        <f>COUNTIF(TODEQUIPOS[N° DE SERIE],TODEQUIPOS[[#This Row],[N° DE SERIE]])</f>
        <v>1</v>
      </c>
    </row>
    <row r="152" spans="2:13" x14ac:dyDescent="0.3">
      <c r="B152">
        <v>3000172178</v>
      </c>
      <c r="C152" s="801" t="str">
        <f>IFERROR(INDEX(BDEGENER[],MATCH(TODEQUIPOS[[#This Row],[N° DE SERIE]],BDEGENER[SERIE],0),26),"")</f>
        <v>GENERAC</v>
      </c>
      <c r="D152" s="775" t="str">
        <f>IFERROR(INDEX(BDEGENER[],MATCH(TODEQUIPOS[[#This Row],[N° DE SERIE]],BDEGENER[SERIE],0),27),"")</f>
        <v>SG100</v>
      </c>
      <c r="E152" s="776" t="str">
        <f>IFERROR(INDEX(BDEGENER[],MATCH(TODEQUIPOS[[#This Row],[N° DE SERIE]],BDEGENER[SERIE],0),11),"")</f>
        <v>REDONDOS</v>
      </c>
      <c r="F152" s="776" t="str">
        <f>IFERROR(INDEX(BDEGENER[],MATCH(TODEQUIPOS[[#This Row],[N° DE SERIE]],BDEGENER[SERIE],0),12),"")</f>
        <v>BERNARDO</v>
      </c>
      <c r="G152" s="802">
        <f>IFERROR(INDEX(BDEGENER[],MATCH(TODEQUIPOS[[#This Row],[N° DE SERIE]],BDEGENER[SERIE],0),10),"")</f>
        <v>43477</v>
      </c>
      <c r="H152" s="777">
        <f>IFERROR(INDEX(BDEGENER[],MATCH(TODEQUIPOS[[#This Row],[N° DE SERIE]],BDEGENER[SERIE],0),31),"")</f>
        <v>2824.4</v>
      </c>
      <c r="I152" s="775">
        <f>IFERROR(INDEX(BDEGENER[],MATCH(TODEQUIPOS[[#This Row],[N° DE SERIE]],BDEGENER[SERIE],0),47),"")</f>
        <v>0</v>
      </c>
      <c r="J152" s="775">
        <f>IFERROR(INDEX(BDEGENER[],MATCH(TODEQUIPOS[[#This Row],[N° DE SERIE]],BDEGENER[SERIE],0),48),"")</f>
        <v>2</v>
      </c>
      <c r="K152" s="775">
        <f>IFERROR(INDEX(BDEGENER[],MATCH(TODEQUIPOS[[#This Row],[N° DE SERIE]],BDEGENER[SERIE],0),57),"")</f>
        <v>3</v>
      </c>
      <c r="L152" s="775" t="str">
        <f>IF(TODEQUIPOS[[#This Row],[CONTADOR]]=1,"UNICO","DUPLICADO")</f>
        <v>UNICO</v>
      </c>
      <c r="M152" s="775">
        <f>COUNTIF(TODEQUIPOS[N° DE SERIE],TODEQUIPOS[[#This Row],[N° DE SERIE]])</f>
        <v>1</v>
      </c>
    </row>
    <row r="153" spans="2:13" x14ac:dyDescent="0.3">
      <c r="B153" t="s">
        <v>508</v>
      </c>
      <c r="C153" s="801" t="str">
        <f>IFERROR(INDEX(BDEGENER[],MATCH(TODEQUIPOS[[#This Row],[N° DE SERIE]],BDEGENER[SERIE],0),26),"")</f>
        <v>GENERAC</v>
      </c>
      <c r="D153" s="775" t="str">
        <f>IFERROR(INDEX(BDEGENER[],MATCH(TODEQUIPOS[[#This Row],[N° DE SERIE]],BDEGENER[SERIE],0),27),"")</f>
        <v>GOO68640</v>
      </c>
      <c r="E153" s="776" t="str">
        <f>IFERROR(INDEX(BDEGENER[],MATCH(TODEQUIPOS[[#This Row],[N° DE SERIE]],BDEGENER[SERIE],0),11),"")</f>
        <v>REDONDOS</v>
      </c>
      <c r="F153" s="776" t="str">
        <f>IFERROR(INDEX(BDEGENER[],MATCH(TODEQUIPOS[[#This Row],[N° DE SERIE]],BDEGENER[SERIE],0),12),"")</f>
        <v>NUCLEO ZODIACO</v>
      </c>
      <c r="G153" s="802">
        <f>IFERROR(INDEX(BDEGENER[],MATCH(TODEQUIPOS[[#This Row],[N° DE SERIE]],BDEGENER[SERIE],0),10),"")</f>
        <v>43476</v>
      </c>
      <c r="H153" s="777">
        <f>IFERROR(INDEX(BDEGENER[],MATCH(TODEQUIPOS[[#This Row],[N° DE SERIE]],BDEGENER[SERIE],0),31),"")</f>
        <v>1975</v>
      </c>
      <c r="I153" s="775">
        <f>IFERROR(INDEX(BDEGENER[],MATCH(TODEQUIPOS[[#This Row],[N° DE SERIE]],BDEGENER[SERIE],0),47),"")</f>
        <v>0</v>
      </c>
      <c r="J153" s="775">
        <f>IFERROR(INDEX(BDEGENER[],MATCH(TODEQUIPOS[[#This Row],[N° DE SERIE]],BDEGENER[SERIE],0),48),"")</f>
        <v>2</v>
      </c>
      <c r="K153" s="775">
        <f>IFERROR(INDEX(BDEGENER[],MATCH(TODEQUIPOS[[#This Row],[N° DE SERIE]],BDEGENER[SERIE],0),57),"")</f>
        <v>2</v>
      </c>
      <c r="L153" s="775" t="str">
        <f>IF(TODEQUIPOS[[#This Row],[CONTADOR]]=1,"UNICO","DUPLICADO")</f>
        <v>UNICO</v>
      </c>
      <c r="M153" s="775">
        <f>COUNTIF(TODEQUIPOS[N° DE SERIE],TODEQUIPOS[[#This Row],[N° DE SERIE]])</f>
        <v>1</v>
      </c>
    </row>
    <row r="154" spans="2:13" x14ac:dyDescent="0.3">
      <c r="B154">
        <v>3003953373</v>
      </c>
      <c r="C154" s="801" t="str">
        <f>IFERROR(INDEX(BDEGENER[],MATCH(TODEQUIPOS[[#This Row],[N° DE SERIE]],BDEGENER[SERIE],0),26),"")</f>
        <v xml:space="preserve"> </v>
      </c>
      <c r="D154" s="775" t="str">
        <f>IFERROR(INDEX(BDEGENER[],MATCH(TODEQUIPOS[[#This Row],[N° DE SERIE]],BDEGENER[SERIE],0),27),"")</f>
        <v xml:space="preserve"> </v>
      </c>
      <c r="E154" s="776" t="str">
        <f>IFERROR(INDEX(BDEGENER[],MATCH(TODEQUIPOS[[#This Row],[N° DE SERIE]],BDEGENER[SERIE],0),11),"")</f>
        <v>SAN FERNANDO</v>
      </c>
      <c r="F154" s="776" t="str">
        <f>IFERROR(INDEX(BDEGENER[],MATCH(TODEQUIPOS[[#This Row],[N° DE SERIE]],BDEGENER[SERIE],0),12),"")</f>
        <v>granja con con</v>
      </c>
      <c r="G154" s="802">
        <f>IFERROR(INDEX(BDEGENER[],MATCH(TODEQUIPOS[[#This Row],[N° DE SERIE]],BDEGENER[SERIE],0),10),"")</f>
        <v>43468</v>
      </c>
      <c r="H154" s="777">
        <f>IFERROR(INDEX(BDEGENER[],MATCH(TODEQUIPOS[[#This Row],[N° DE SERIE]],BDEGENER[SERIE],0),31),"")</f>
        <v>0</v>
      </c>
      <c r="I154" s="775">
        <f>IFERROR(INDEX(BDEGENER[],MATCH(TODEQUIPOS[[#This Row],[N° DE SERIE]],BDEGENER[SERIE],0),47),"")</f>
        <v>0</v>
      </c>
      <c r="J154" s="775">
        <f>IFERROR(INDEX(BDEGENER[],MATCH(TODEQUIPOS[[#This Row],[N° DE SERIE]],BDEGENER[SERIE],0),48),"")</f>
        <v>0</v>
      </c>
      <c r="K154" s="775">
        <f>IFERROR(INDEX(BDEGENER[],MATCH(TODEQUIPOS[[#This Row],[N° DE SERIE]],BDEGENER[SERIE],0),57),"")</f>
        <v>1</v>
      </c>
      <c r="L154" s="775" t="str">
        <f>IF(TODEQUIPOS[[#This Row],[CONTADOR]]=1,"UNICO","DUPLICADO")</f>
        <v>UNICO</v>
      </c>
      <c r="M154" s="775">
        <f>COUNTIF(TODEQUIPOS[N° DE SERIE],TODEQUIPOS[[#This Row],[N° DE SERIE]])</f>
        <v>1</v>
      </c>
    </row>
    <row r="155" spans="2:13" x14ac:dyDescent="0.3">
      <c r="B155">
        <v>9301206</v>
      </c>
      <c r="C155" s="801">
        <f>IFERROR(INDEX(BDEGENER[],MATCH(TODEQUIPOS[[#This Row],[N° DE SERIE]],BDEGENER[SERIE],0),26),"")</f>
        <v>0</v>
      </c>
      <c r="D155" s="775" t="str">
        <f>IFERROR(INDEX(BDEGENER[],MATCH(TODEQUIPOS[[#This Row],[N° DE SERIE]],BDEGENER[SERIE],0),27),"")</f>
        <v>G006841</v>
      </c>
      <c r="E155" s="776" t="str">
        <f>IFERROR(INDEX(BDEGENER[],MATCH(TODEQUIPOS[[#This Row],[N° DE SERIE]],BDEGENER[SERIE],0),11),"")</f>
        <v>REDONDOS</v>
      </c>
      <c r="F155" s="776" t="str">
        <f>IFERROR(INDEX(BDEGENER[],MATCH(TODEQUIPOS[[#This Row],[N° DE SERIE]],BDEGENER[SERIE],0),12),"")</f>
        <v>Nucleo Trebol</v>
      </c>
      <c r="G155" s="802">
        <f>IFERROR(INDEX(BDEGENER[],MATCH(TODEQUIPOS[[#This Row],[N° DE SERIE]],BDEGENER[SERIE],0),10),"")</f>
        <v>43462</v>
      </c>
      <c r="H155" s="777">
        <f>IFERROR(INDEX(BDEGENER[],MATCH(TODEQUIPOS[[#This Row],[N° DE SERIE]],BDEGENER[SERIE],0),31),"")</f>
        <v>2784</v>
      </c>
      <c r="I155" s="775">
        <f>IFERROR(INDEX(BDEGENER[],MATCH(TODEQUIPOS[[#This Row],[N° DE SERIE]],BDEGENER[SERIE],0),47),"")</f>
        <v>2</v>
      </c>
      <c r="J155" s="775">
        <f>IFERROR(INDEX(BDEGENER[],MATCH(TODEQUIPOS[[#This Row],[N° DE SERIE]],BDEGENER[SERIE],0),48),"")</f>
        <v>4</v>
      </c>
      <c r="K155" s="775">
        <f>IFERROR(INDEX(BDEGENER[],MATCH(TODEQUIPOS[[#This Row],[N° DE SERIE]],BDEGENER[SERIE],0),57),"")</f>
        <v>6</v>
      </c>
      <c r="L155" s="775" t="str">
        <f>IF(TODEQUIPOS[[#This Row],[CONTADOR]]=1,"UNICO","DUPLICADO")</f>
        <v>UNICO</v>
      </c>
      <c r="M155" s="775">
        <f>COUNTIF(TODEQUIPOS[N° DE SERIE],TODEQUIPOS[[#This Row],[N° DE SERIE]])</f>
        <v>1</v>
      </c>
    </row>
    <row r="156" spans="2:13" x14ac:dyDescent="0.3">
      <c r="B156" t="s">
        <v>510</v>
      </c>
      <c r="C156" s="801" t="str">
        <f>IFERROR(INDEX(BDEGENER[],MATCH(TODEQUIPOS[[#This Row],[N° DE SERIE]],BDEGENER[SERIE],0),26),"")</f>
        <v>GENERAC</v>
      </c>
      <c r="D156" s="775" t="str">
        <f>IFERROR(INDEX(BDEGENER[],MATCH(TODEQUIPOS[[#This Row],[N° DE SERIE]],BDEGENER[SERIE],0),27),"")</f>
        <v>PMY20B</v>
      </c>
      <c r="E156" s="776" t="str">
        <f>IFERROR(INDEX(BDEGENER[],MATCH(TODEQUIPOS[[#This Row],[N° DE SERIE]],BDEGENER[SERIE],0),11),"")</f>
        <v>REDONDOS</v>
      </c>
      <c r="F156" s="776" t="str">
        <f>IFERROR(INDEX(BDEGENER[],MATCH(TODEQUIPOS[[#This Row],[N° DE SERIE]],BDEGENER[SERIE],0),12),"")</f>
        <v>Esperanza</v>
      </c>
      <c r="G156" s="802">
        <f>IFERROR(INDEX(BDEGENER[],MATCH(TODEQUIPOS[[#This Row],[N° DE SERIE]],BDEGENER[SERIE],0),10),"")</f>
        <v>43462</v>
      </c>
      <c r="H156" s="777">
        <f>IFERROR(INDEX(BDEGENER[],MATCH(TODEQUIPOS[[#This Row],[N° DE SERIE]],BDEGENER[SERIE],0),31),"")</f>
        <v>2165.5</v>
      </c>
      <c r="I156" s="775">
        <f>IFERROR(INDEX(BDEGENER[],MATCH(TODEQUIPOS[[#This Row],[N° DE SERIE]],BDEGENER[SERIE],0),47),"")</f>
        <v>0</v>
      </c>
      <c r="J156" s="775">
        <f>IFERROR(INDEX(BDEGENER[],MATCH(TODEQUIPOS[[#This Row],[N° DE SERIE]],BDEGENER[SERIE],0),48),"")</f>
        <v>4</v>
      </c>
      <c r="K156" s="775">
        <f>IFERROR(INDEX(BDEGENER[],MATCH(TODEQUIPOS[[#This Row],[N° DE SERIE]],BDEGENER[SERIE],0),57),"")</f>
        <v>4</v>
      </c>
      <c r="L156" s="775" t="str">
        <f>IF(TODEQUIPOS[[#This Row],[CONTADOR]]=1,"UNICO","DUPLICADO")</f>
        <v>UNICO</v>
      </c>
      <c r="M156" s="775">
        <f>COUNTIF(TODEQUIPOS[N° DE SERIE],TODEQUIPOS[[#This Row],[N° DE SERIE]])</f>
        <v>1</v>
      </c>
    </row>
    <row r="157" spans="2:13" x14ac:dyDescent="0.3">
      <c r="B157" t="s">
        <v>511</v>
      </c>
      <c r="C157" s="801" t="str">
        <f>IFERROR(INDEX(BDEGENER[],MATCH(TODEQUIPOS[[#This Row],[N° DE SERIE]],BDEGENER[SERIE],0),26),"")</f>
        <v>GENERAC</v>
      </c>
      <c r="D157" s="775" t="str">
        <f>IFERROR(INDEX(BDEGENER[],MATCH(TODEQUIPOS[[#This Row],[N° DE SERIE]],BDEGENER[SERIE],0),27),"")</f>
        <v>PMY20B</v>
      </c>
      <c r="E157" s="776" t="str">
        <f>IFERROR(INDEX(BDEGENER[],MATCH(TODEQUIPOS[[#This Row],[N° DE SERIE]],BDEGENER[SERIE],0),11),"")</f>
        <v>REDONDOS</v>
      </c>
      <c r="F157" s="776" t="str">
        <f>IFERROR(INDEX(BDEGENER[],MATCH(TODEQUIPOS[[#This Row],[N° DE SERIE]],BDEGENER[SERIE],0),12),"")</f>
        <v>Hornillos</v>
      </c>
      <c r="G157" s="802">
        <f>IFERROR(INDEX(BDEGENER[],MATCH(TODEQUIPOS[[#This Row],[N° DE SERIE]],BDEGENER[SERIE],0),10),"")</f>
        <v>43462</v>
      </c>
      <c r="H157" s="777">
        <f>IFERROR(INDEX(BDEGENER[],MATCH(TODEQUIPOS[[#This Row],[N° DE SERIE]],BDEGENER[SERIE],0),31),"")</f>
        <v>178.7</v>
      </c>
      <c r="I157" s="775">
        <f>IFERROR(INDEX(BDEGENER[],MATCH(TODEQUIPOS[[#This Row],[N° DE SERIE]],BDEGENER[SERIE],0),47),"")</f>
        <v>0</v>
      </c>
      <c r="J157" s="775">
        <f>IFERROR(INDEX(BDEGENER[],MATCH(TODEQUIPOS[[#This Row],[N° DE SERIE]],BDEGENER[SERIE],0),48),"")</f>
        <v>1</v>
      </c>
      <c r="K157" s="775">
        <f>IFERROR(INDEX(BDEGENER[],MATCH(TODEQUIPOS[[#This Row],[N° DE SERIE]],BDEGENER[SERIE],0),57),"")</f>
        <v>1</v>
      </c>
      <c r="L157" s="775" t="str">
        <f>IF(TODEQUIPOS[[#This Row],[CONTADOR]]=1,"UNICO","DUPLICADO")</f>
        <v>UNICO</v>
      </c>
      <c r="M157" s="775">
        <f>COUNTIF(TODEQUIPOS[N° DE SERIE],TODEQUIPOS[[#This Row],[N° DE SERIE]])</f>
        <v>1</v>
      </c>
    </row>
    <row r="158" spans="2:13" x14ac:dyDescent="0.3">
      <c r="B158">
        <v>9319845</v>
      </c>
      <c r="C158" s="801">
        <f>IFERROR(INDEX(BDEGENER[],MATCH(TODEQUIPOS[[#This Row],[N° DE SERIE]],BDEGENER[SERIE],0),26),"")</f>
        <v>0</v>
      </c>
      <c r="D158" s="775">
        <f>IFERROR(INDEX(BDEGENER[],MATCH(TODEQUIPOS[[#This Row],[N° DE SERIE]],BDEGENER[SERIE],0),27),"")</f>
        <v>0</v>
      </c>
      <c r="E158" s="776" t="str">
        <f>IFERROR(INDEX(BDEGENER[],MATCH(TODEQUIPOS[[#This Row],[N° DE SERIE]],BDEGENER[SERIE],0),11),"")</f>
        <v>REDONDOS</v>
      </c>
      <c r="F158" s="776" t="str">
        <f>IFERROR(INDEX(BDEGENER[],MATCH(TODEQUIPOS[[#This Row],[N° DE SERIE]],BDEGENER[SERIE],0),12),"")</f>
        <v>Banderas</v>
      </c>
      <c r="G158" s="802">
        <f>IFERROR(INDEX(BDEGENER[],MATCH(TODEQUIPOS[[#This Row],[N° DE SERIE]],BDEGENER[SERIE],0),10),"")</f>
        <v>43462</v>
      </c>
      <c r="H158" s="777">
        <f>IFERROR(INDEX(BDEGENER[],MATCH(TODEQUIPOS[[#This Row],[N° DE SERIE]],BDEGENER[SERIE],0),31),"")</f>
        <v>385.21</v>
      </c>
      <c r="I158" s="775">
        <f>IFERROR(INDEX(BDEGENER[],MATCH(TODEQUIPOS[[#This Row],[N° DE SERIE]],BDEGENER[SERIE],0),47),"")</f>
        <v>0</v>
      </c>
      <c r="J158" s="775">
        <f>IFERROR(INDEX(BDEGENER[],MATCH(TODEQUIPOS[[#This Row],[N° DE SERIE]],BDEGENER[SERIE],0),48),"")</f>
        <v>1</v>
      </c>
      <c r="K158" s="775">
        <f>IFERROR(INDEX(BDEGENER[],MATCH(TODEQUIPOS[[#This Row],[N° DE SERIE]],BDEGENER[SERIE],0),57),"")</f>
        <v>2</v>
      </c>
      <c r="L158" s="775" t="str">
        <f>IF(TODEQUIPOS[[#This Row],[CONTADOR]]=1,"UNICO","DUPLICADO")</f>
        <v>UNICO</v>
      </c>
      <c r="M158" s="775">
        <f>COUNTIF(TODEQUIPOS[N° DE SERIE],TODEQUIPOS[[#This Row],[N° DE SERIE]])</f>
        <v>1</v>
      </c>
    </row>
    <row r="159" spans="2:13" x14ac:dyDescent="0.3">
      <c r="B159">
        <v>9301207</v>
      </c>
      <c r="C159" s="801">
        <f>IFERROR(INDEX(BDEGENER[],MATCH(TODEQUIPOS[[#This Row],[N° DE SERIE]],BDEGENER[SERIE],0),26),"")</f>
        <v>0</v>
      </c>
      <c r="D159" s="775" t="str">
        <f>IFERROR(INDEX(BDEGENER[],MATCH(TODEQUIPOS[[#This Row],[N° DE SERIE]],BDEGENER[SERIE],0),27),"")</f>
        <v xml:space="preserve">POWER PACT </v>
      </c>
      <c r="E159" s="776" t="str">
        <f>IFERROR(INDEX(BDEGENER[],MATCH(TODEQUIPOS[[#This Row],[N° DE SERIE]],BDEGENER[SERIE],0),11),"")</f>
        <v>REDONDOS</v>
      </c>
      <c r="F159" s="776" t="str">
        <f>IFERROR(INDEX(BDEGENER[],MATCH(TODEQUIPOS[[#This Row],[N° DE SERIE]],BDEGENER[SERIE],0),12),"")</f>
        <v>VIÑOS 1</v>
      </c>
      <c r="G159" s="802">
        <f>IFERROR(INDEX(BDEGENER[],MATCH(TODEQUIPOS[[#This Row],[N° DE SERIE]],BDEGENER[SERIE],0),10),"")</f>
        <v>43375</v>
      </c>
      <c r="H159" s="777">
        <f>IFERROR(INDEX(BDEGENER[],MATCH(TODEQUIPOS[[#This Row],[N° DE SERIE]],BDEGENER[SERIE],0),31),"")</f>
        <v>1270.81</v>
      </c>
      <c r="I159" s="775">
        <f>IFERROR(INDEX(BDEGENER[],MATCH(TODEQUIPOS[[#This Row],[N° DE SERIE]],BDEGENER[SERIE],0),47),"")</f>
        <v>4</v>
      </c>
      <c r="J159" s="775">
        <f>IFERROR(INDEX(BDEGENER[],MATCH(TODEQUIPOS[[#This Row],[N° DE SERIE]],BDEGENER[SERIE],0),48),"")</f>
        <v>3</v>
      </c>
      <c r="K159" s="775">
        <f>IFERROR(INDEX(BDEGENER[],MATCH(TODEQUIPOS[[#This Row],[N° DE SERIE]],BDEGENER[SERIE],0),57),"")</f>
        <v>8</v>
      </c>
      <c r="L159" s="775" t="str">
        <f>IF(TODEQUIPOS[[#This Row],[CONTADOR]]=1,"UNICO","DUPLICADO")</f>
        <v>UNICO</v>
      </c>
      <c r="M159" s="775">
        <f>COUNTIF(TODEQUIPOS[N° DE SERIE],TODEQUIPOS[[#This Row],[N° DE SERIE]])</f>
        <v>1</v>
      </c>
    </row>
    <row r="160" spans="2:13" x14ac:dyDescent="0.3">
      <c r="B160" t="s">
        <v>514</v>
      </c>
      <c r="C160" s="801">
        <f>IFERROR(INDEX(BDEGENER[],MATCH(TODEQUIPOS[[#This Row],[N° DE SERIE]],BDEGENER[SERIE],0),26),"")</f>
        <v>0</v>
      </c>
      <c r="D160" s="775">
        <f>IFERROR(INDEX(BDEGENER[],MATCH(TODEQUIPOS[[#This Row],[N° DE SERIE]],BDEGENER[SERIE],0),27),"")</f>
        <v>0</v>
      </c>
      <c r="E160" s="776" t="str">
        <f>IFERROR(INDEX(BDEGENER[],MATCH(TODEQUIPOS[[#This Row],[N° DE SERIE]],BDEGENER[SERIE],0),11),"")</f>
        <v>REDONDOS</v>
      </c>
      <c r="F160" s="776" t="str">
        <f>IFERROR(INDEX(BDEGENER[],MATCH(TODEQUIPOS[[#This Row],[N° DE SERIE]],BDEGENER[SERIE],0),12),"")</f>
        <v>LITERA-3</v>
      </c>
      <c r="G160" s="802">
        <f>IFERROR(INDEX(BDEGENER[],MATCH(TODEQUIPOS[[#This Row],[N° DE SERIE]],BDEGENER[SERIE],0),10),"")</f>
        <v>43375</v>
      </c>
      <c r="H160" s="777">
        <f>IFERROR(INDEX(BDEGENER[],MATCH(TODEQUIPOS[[#This Row],[N° DE SERIE]],BDEGENER[SERIE],0),31),"")</f>
        <v>847</v>
      </c>
      <c r="I160" s="775">
        <f>IFERROR(INDEX(BDEGENER[],MATCH(TODEQUIPOS[[#This Row],[N° DE SERIE]],BDEGENER[SERIE],0),47),"")</f>
        <v>0</v>
      </c>
      <c r="J160" s="775">
        <f>IFERROR(INDEX(BDEGENER[],MATCH(TODEQUIPOS[[#This Row],[N° DE SERIE]],BDEGENER[SERIE],0),48),"")</f>
        <v>1</v>
      </c>
      <c r="K160" s="775">
        <f>IFERROR(INDEX(BDEGENER[],MATCH(TODEQUIPOS[[#This Row],[N° DE SERIE]],BDEGENER[SERIE],0),57),"")</f>
        <v>1</v>
      </c>
      <c r="L160" s="775" t="str">
        <f>IF(TODEQUIPOS[[#This Row],[CONTADOR]]=1,"UNICO","DUPLICADO")</f>
        <v>UNICO</v>
      </c>
      <c r="M160" s="775">
        <f>COUNTIF(TODEQUIPOS[N° DE SERIE],TODEQUIPOS[[#This Row],[N° DE SERIE]])</f>
        <v>1</v>
      </c>
    </row>
    <row r="161" spans="2:13" x14ac:dyDescent="0.3">
      <c r="B161">
        <v>9301202</v>
      </c>
      <c r="C161" s="801">
        <f>IFERROR(INDEX(BDEGENER[],MATCH(TODEQUIPOS[[#This Row],[N° DE SERIE]],BDEGENER[SERIE],0),26),"")</f>
        <v>0</v>
      </c>
      <c r="D161" s="775">
        <f>IFERROR(INDEX(BDEGENER[],MATCH(TODEQUIPOS[[#This Row],[N° DE SERIE]],BDEGENER[SERIE],0),27),"")</f>
        <v>0</v>
      </c>
      <c r="E161" s="776" t="str">
        <f>IFERROR(INDEX(BDEGENER[],MATCH(TODEQUIPOS[[#This Row],[N° DE SERIE]],BDEGENER[SERIE],0),11),"")</f>
        <v>REDONDOS</v>
      </c>
      <c r="F161" s="776" t="str">
        <f>IFERROR(INDEX(BDEGENER[],MATCH(TODEQUIPOS[[#This Row],[N° DE SERIE]],BDEGENER[SERIE],0),12),"")</f>
        <v>nucleo banderas - vivienda</v>
      </c>
      <c r="G161" s="802">
        <f>IFERROR(INDEX(BDEGENER[],MATCH(TODEQUIPOS[[#This Row],[N° DE SERIE]],BDEGENER[SERIE],0),10),"")</f>
        <v>43362</v>
      </c>
      <c r="H161" s="777">
        <f>IFERROR(INDEX(BDEGENER[],MATCH(TODEQUIPOS[[#This Row],[N° DE SERIE]],BDEGENER[SERIE],0),31),"")</f>
        <v>158.08000000000001</v>
      </c>
      <c r="I161" s="775">
        <f>IFERROR(INDEX(BDEGENER[],MATCH(TODEQUIPOS[[#This Row],[N° DE SERIE]],BDEGENER[SERIE],0),47),"")</f>
        <v>0</v>
      </c>
      <c r="J161" s="775">
        <f>IFERROR(INDEX(BDEGENER[],MATCH(TODEQUIPOS[[#This Row],[N° DE SERIE]],BDEGENER[SERIE],0),48),"")</f>
        <v>1</v>
      </c>
      <c r="K161" s="775">
        <f>IFERROR(INDEX(BDEGENER[],MATCH(TODEQUIPOS[[#This Row],[N° DE SERIE]],BDEGENER[SERIE],0),57),"")</f>
        <v>2</v>
      </c>
      <c r="L161" s="775" t="str">
        <f>IF(TODEQUIPOS[[#This Row],[CONTADOR]]=1,"UNICO","DUPLICADO")</f>
        <v>UNICO</v>
      </c>
      <c r="M161" s="775">
        <f>COUNTIF(TODEQUIPOS[N° DE SERIE],TODEQUIPOS[[#This Row],[N° DE SERIE]])</f>
        <v>1</v>
      </c>
    </row>
    <row r="162" spans="2:13" x14ac:dyDescent="0.3">
      <c r="B162" t="s">
        <v>515</v>
      </c>
      <c r="C162" s="801" t="str">
        <f>IFERROR(INDEX(BDEGENER[],MATCH(TODEQUIPOS[[#This Row],[N° DE SERIE]],BDEGENER[SERIE],0),26),"")</f>
        <v>GENERAC</v>
      </c>
      <c r="D162" s="775" t="str">
        <f>IFERROR(INDEX(BDEGENER[],MATCH(TODEQUIPOS[[#This Row],[N° DE SERIE]],BDEGENER[SERIE],0),27),"")</f>
        <v>PMY20B</v>
      </c>
      <c r="E162" s="776" t="str">
        <f>IFERROR(INDEX(BDEGENER[],MATCH(TODEQUIPOS[[#This Row],[N° DE SERIE]],BDEGENER[SERIE],0),11),"")</f>
        <v>REDONDOS</v>
      </c>
      <c r="F162" s="776" t="str">
        <f>IFERROR(INDEX(BDEGENER[],MATCH(TODEQUIPOS[[#This Row],[N° DE SERIE]],BDEGENER[SERIE],0),12),"")</f>
        <v>NUCLEO ZODIACO</v>
      </c>
      <c r="G162" s="802">
        <f>IFERROR(INDEX(BDEGENER[],MATCH(TODEQUIPOS[[#This Row],[N° DE SERIE]],BDEGENER[SERIE],0),10),"")</f>
        <v>43362</v>
      </c>
      <c r="H162" s="777" t="str">
        <f>IFERROR(INDEX(BDEGENER[],MATCH(TODEQUIPOS[[#This Row],[N° DE SERIE]],BDEGENER[SERIE],0),31),"")</f>
        <v>1466,6</v>
      </c>
      <c r="I162" s="775">
        <f>IFERROR(INDEX(BDEGENER[],MATCH(TODEQUIPOS[[#This Row],[N° DE SERIE]],BDEGENER[SERIE],0),47),"")</f>
        <v>0</v>
      </c>
      <c r="J162" s="775">
        <f>IFERROR(INDEX(BDEGENER[],MATCH(TODEQUIPOS[[#This Row],[N° DE SERIE]],BDEGENER[SERIE],0),48),"")</f>
        <v>1</v>
      </c>
      <c r="K162" s="775">
        <f>IFERROR(INDEX(BDEGENER[],MATCH(TODEQUIPOS[[#This Row],[N° DE SERIE]],BDEGENER[SERIE],0),57),"")</f>
        <v>1</v>
      </c>
      <c r="L162" s="775" t="str">
        <f>IF(TODEQUIPOS[[#This Row],[CONTADOR]]=1,"UNICO","DUPLICADO")</f>
        <v>UNICO</v>
      </c>
      <c r="M162" s="775">
        <f>COUNTIF(TODEQUIPOS[N° DE SERIE],TODEQUIPOS[[#This Row],[N° DE SERIE]])</f>
        <v>1</v>
      </c>
    </row>
    <row r="163" spans="2:13" x14ac:dyDescent="0.3">
      <c r="B163" t="s">
        <v>516</v>
      </c>
      <c r="C163" s="801" t="str">
        <f>IFERROR(INDEX(BDEGENER[],MATCH(TODEQUIPOS[[#This Row],[N° DE SERIE]],BDEGENER[SERIE],0),26),"")</f>
        <v>GENERAC</v>
      </c>
      <c r="D163" s="775" t="str">
        <f>IFERROR(INDEX(BDEGENER[],MATCH(TODEQUIPOS[[#This Row],[N° DE SERIE]],BDEGENER[SERIE],0),27),"")</f>
        <v>GOO68640</v>
      </c>
      <c r="E163" s="776" t="str">
        <f>IFERROR(INDEX(BDEGENER[],MATCH(TODEQUIPOS[[#This Row],[N° DE SERIE]],BDEGENER[SERIE],0),11),"")</f>
        <v>REDONDOS</v>
      </c>
      <c r="F163" s="776" t="str">
        <f>IFERROR(INDEX(BDEGENER[],MATCH(TODEQUIPOS[[#This Row],[N° DE SERIE]],BDEGENER[SERIE],0),12),"")</f>
        <v>NUCLEO ZODIACO</v>
      </c>
      <c r="G163" s="802">
        <f>IFERROR(INDEX(BDEGENER[],MATCH(TODEQUIPOS[[#This Row],[N° DE SERIE]],BDEGENER[SERIE],0),10),"")</f>
        <v>43361</v>
      </c>
      <c r="H163" s="777" t="str">
        <f>IFERROR(INDEX(BDEGENER[],MATCH(TODEQUIPOS[[#This Row],[N° DE SERIE]],BDEGENER[SERIE],0),31),"")</f>
        <v>791,6</v>
      </c>
      <c r="I163" s="775">
        <f>IFERROR(INDEX(BDEGENER[],MATCH(TODEQUIPOS[[#This Row],[N° DE SERIE]],BDEGENER[SERIE],0),47),"")</f>
        <v>0</v>
      </c>
      <c r="J163" s="775">
        <f>IFERROR(INDEX(BDEGENER[],MATCH(TODEQUIPOS[[#This Row],[N° DE SERIE]],BDEGENER[SERIE],0),48),"")</f>
        <v>1</v>
      </c>
      <c r="K163" s="775">
        <f>IFERROR(INDEX(BDEGENER[],MATCH(TODEQUIPOS[[#This Row],[N° DE SERIE]],BDEGENER[SERIE],0),57),"")</f>
        <v>1</v>
      </c>
      <c r="L163" s="775" t="str">
        <f>IF(TODEQUIPOS[[#This Row],[CONTADOR]]=1,"UNICO","DUPLICADO")</f>
        <v>UNICO</v>
      </c>
      <c r="M163" s="775">
        <f>COUNTIF(TODEQUIPOS[N° DE SERIE],TODEQUIPOS[[#This Row],[N° DE SERIE]])</f>
        <v>1</v>
      </c>
    </row>
    <row r="164" spans="2:13" x14ac:dyDescent="0.3">
      <c r="B164" t="s">
        <v>517</v>
      </c>
      <c r="C164" s="801" t="str">
        <f>IFERROR(INDEX(BDEGENER[],MATCH(TODEQUIPOS[[#This Row],[N° DE SERIE]],BDEGENER[SERIE],0),26),"")</f>
        <v>GENERAC</v>
      </c>
      <c r="D164" s="775" t="str">
        <f>IFERROR(INDEX(BDEGENER[],MATCH(TODEQUIPOS[[#This Row],[N° DE SERIE]],BDEGENER[SERIE],0),27),"")</f>
        <v>GOO68640</v>
      </c>
      <c r="E164" s="776" t="str">
        <f>IFERROR(INDEX(BDEGENER[],MATCH(TODEQUIPOS[[#This Row],[N° DE SERIE]],BDEGENER[SERIE],0),11),"")</f>
        <v>REDONDOS</v>
      </c>
      <c r="F164" s="776" t="str">
        <f>IFERROR(INDEX(BDEGENER[],MATCH(TODEQUIPOS[[#This Row],[N° DE SERIE]],BDEGENER[SERIE],0),12),"")</f>
        <v>NUCLEO ZODIACO</v>
      </c>
      <c r="G164" s="802">
        <f>IFERROR(INDEX(BDEGENER[],MATCH(TODEQUIPOS[[#This Row],[N° DE SERIE]],BDEGENER[SERIE],0),10),"")</f>
        <v>43354</v>
      </c>
      <c r="H164" s="777" t="str">
        <f>IFERROR(INDEX(BDEGENER[],MATCH(TODEQUIPOS[[#This Row],[N° DE SERIE]],BDEGENER[SERIE],0),31),"")</f>
        <v>666,1</v>
      </c>
      <c r="I164" s="775">
        <f>IFERROR(INDEX(BDEGENER[],MATCH(TODEQUIPOS[[#This Row],[N° DE SERIE]],BDEGENER[SERIE],0),47),"")</f>
        <v>0</v>
      </c>
      <c r="J164" s="775">
        <f>IFERROR(INDEX(BDEGENER[],MATCH(TODEQUIPOS[[#This Row],[N° DE SERIE]],BDEGENER[SERIE],0),48),"")</f>
        <v>3</v>
      </c>
      <c r="K164" s="775">
        <f>IFERROR(INDEX(BDEGENER[],MATCH(TODEQUIPOS[[#This Row],[N° DE SERIE]],BDEGENER[SERIE],0),57),"")</f>
        <v>3</v>
      </c>
      <c r="L164" s="775" t="str">
        <f>IF(TODEQUIPOS[[#This Row],[CONTADOR]]=1,"UNICO","DUPLICADO")</f>
        <v>UNICO</v>
      </c>
      <c r="M164" s="775">
        <f>COUNTIF(TODEQUIPOS[N° DE SERIE],TODEQUIPOS[[#This Row],[N° DE SERIE]])</f>
        <v>1</v>
      </c>
    </row>
    <row r="165" spans="2:13" x14ac:dyDescent="0.3">
      <c r="B165">
        <v>9301205</v>
      </c>
      <c r="C165" s="801">
        <f>IFERROR(INDEX(BDEGENER[],MATCH(TODEQUIPOS[[#This Row],[N° DE SERIE]],BDEGENER[SERIE],0),26),"")</f>
        <v>0</v>
      </c>
      <c r="D165" s="775">
        <f>IFERROR(INDEX(BDEGENER[],MATCH(TODEQUIPOS[[#This Row],[N° DE SERIE]],BDEGENER[SERIE],0),27),"")</f>
        <v>0</v>
      </c>
      <c r="E165" s="776" t="str">
        <f>IFERROR(INDEX(BDEGENER[],MATCH(TODEQUIPOS[[#This Row],[N° DE SERIE]],BDEGENER[SERIE],0),11),"")</f>
        <v>REDONDOS</v>
      </c>
      <c r="F165" s="776" t="str">
        <f>IFERROR(INDEX(BDEGENER[],MATCH(TODEQUIPOS[[#This Row],[N° DE SERIE]],BDEGENER[SERIE],0),12),"")</f>
        <v>VIÑOS 2</v>
      </c>
      <c r="G165" s="802">
        <f>IFERROR(INDEX(BDEGENER[],MATCH(TODEQUIPOS[[#This Row],[N° DE SERIE]],BDEGENER[SERIE],0),10),"")</f>
        <v>43333</v>
      </c>
      <c r="H165" s="777" t="str">
        <f>IFERROR(INDEX(BDEGENER[],MATCH(TODEQUIPOS[[#This Row],[N° DE SERIE]],BDEGENER[SERIE],0),31),"")</f>
        <v>1051,19</v>
      </c>
      <c r="I165" s="775">
        <f>IFERROR(INDEX(BDEGENER[],MATCH(TODEQUIPOS[[#This Row],[N° DE SERIE]],BDEGENER[SERIE],0),47),"")</f>
        <v>4</v>
      </c>
      <c r="J165" s="775">
        <f>IFERROR(INDEX(BDEGENER[],MATCH(TODEQUIPOS[[#This Row],[N° DE SERIE]],BDEGENER[SERIE],0),48),"")</f>
        <v>2</v>
      </c>
      <c r="K165" s="775">
        <f>IFERROR(INDEX(BDEGENER[],MATCH(TODEQUIPOS[[#This Row],[N° DE SERIE]],BDEGENER[SERIE],0),57),"")</f>
        <v>6</v>
      </c>
      <c r="L165" s="775" t="str">
        <f>IF(TODEQUIPOS[[#This Row],[CONTADOR]]=1,"UNICO","DUPLICADO")</f>
        <v>UNICO</v>
      </c>
      <c r="M165" s="775">
        <f>COUNTIF(TODEQUIPOS[N° DE SERIE],TODEQUIPOS[[#This Row],[N° DE SERIE]])</f>
        <v>1</v>
      </c>
    </row>
    <row r="166" spans="2:13" x14ac:dyDescent="0.3">
      <c r="B166">
        <v>9304206</v>
      </c>
      <c r="C166" s="801">
        <f>IFERROR(INDEX(BDEGENER[],MATCH(TODEQUIPOS[[#This Row],[N° DE SERIE]],BDEGENER[SERIE],0),26),"")</f>
        <v>0</v>
      </c>
      <c r="D166" s="775">
        <f>IFERROR(INDEX(BDEGENER[],MATCH(TODEQUIPOS[[#This Row],[N° DE SERIE]],BDEGENER[SERIE],0),27),"")</f>
        <v>0</v>
      </c>
      <c r="E166" s="776" t="str">
        <f>IFERROR(INDEX(BDEGENER[],MATCH(TODEQUIPOS[[#This Row],[N° DE SERIE]],BDEGENER[SERIE],0),11),"")</f>
        <v>REDONDOS</v>
      </c>
      <c r="F166" s="776" t="str">
        <f>IFERROR(INDEX(BDEGENER[],MATCH(TODEQUIPOS[[#This Row],[N° DE SERIE]],BDEGENER[SERIE],0),12),"")</f>
        <v>Nucleo Trebol</v>
      </c>
      <c r="G166" s="802">
        <f>IFERROR(INDEX(BDEGENER[],MATCH(TODEQUIPOS[[#This Row],[N° DE SERIE]],BDEGENER[SERIE],0),10),"")</f>
        <v>43333</v>
      </c>
      <c r="H166" s="777" t="str">
        <f>IFERROR(INDEX(BDEGENER[],MATCH(TODEQUIPOS[[#This Row],[N° DE SERIE]],BDEGENER[SERIE],0),31),"")</f>
        <v>2102,52</v>
      </c>
      <c r="I166" s="775">
        <f>IFERROR(INDEX(BDEGENER[],MATCH(TODEQUIPOS[[#This Row],[N° DE SERIE]],BDEGENER[SERIE],0),47),"")</f>
        <v>0</v>
      </c>
      <c r="J166" s="775">
        <f>IFERROR(INDEX(BDEGENER[],MATCH(TODEQUIPOS[[#This Row],[N° DE SERIE]],BDEGENER[SERIE],0),48),"")</f>
        <v>1</v>
      </c>
      <c r="K166" s="775">
        <f>IFERROR(INDEX(BDEGENER[],MATCH(TODEQUIPOS[[#This Row],[N° DE SERIE]],BDEGENER[SERIE],0),57),"")</f>
        <v>1</v>
      </c>
      <c r="L166" s="775" t="str">
        <f>IF(TODEQUIPOS[[#This Row],[CONTADOR]]=1,"UNICO","DUPLICADO")</f>
        <v>UNICO</v>
      </c>
      <c r="M166" s="775">
        <f>COUNTIF(TODEQUIPOS[N° DE SERIE],TODEQUIPOS[[#This Row],[N° DE SERIE]])</f>
        <v>1</v>
      </c>
    </row>
    <row r="167" spans="2:13" x14ac:dyDescent="0.3">
      <c r="B167" t="s">
        <v>518</v>
      </c>
      <c r="C167" s="801">
        <f>IFERROR(INDEX(BDEGENER[],MATCH(TODEQUIPOS[[#This Row],[N° DE SERIE]],BDEGENER[SERIE],0),26),"")</f>
        <v>0</v>
      </c>
      <c r="D167" s="775">
        <f>IFERROR(INDEX(BDEGENER[],MATCH(TODEQUIPOS[[#This Row],[N° DE SERIE]],BDEGENER[SERIE],0),27),"")</f>
        <v>0</v>
      </c>
      <c r="E167" s="776" t="str">
        <f>IFERROR(INDEX(BDEGENER[],MATCH(TODEQUIPOS[[#This Row],[N° DE SERIE]],BDEGENER[SERIE],0),11),"")</f>
        <v>REDONDOS</v>
      </c>
      <c r="F167" s="776" t="str">
        <f>IFERROR(INDEX(BDEGENER[],MATCH(TODEQUIPOS[[#This Row],[N° DE SERIE]],BDEGENER[SERIE],0),12),"")</f>
        <v>llanos 2</v>
      </c>
      <c r="G167" s="802">
        <f>IFERROR(INDEX(BDEGENER[],MATCH(TODEQUIPOS[[#This Row],[N° DE SERIE]],BDEGENER[SERIE],0),10),"")</f>
        <v>43333</v>
      </c>
      <c r="H167" s="777">
        <f>IFERROR(INDEX(BDEGENER[],MATCH(TODEQUIPOS[[#This Row],[N° DE SERIE]],BDEGENER[SERIE],0),31),"")</f>
        <v>1041</v>
      </c>
      <c r="I167" s="775">
        <f>IFERROR(INDEX(BDEGENER[],MATCH(TODEQUIPOS[[#This Row],[N° DE SERIE]],BDEGENER[SERIE],0),47),"")</f>
        <v>0</v>
      </c>
      <c r="J167" s="775">
        <f>IFERROR(INDEX(BDEGENER[],MATCH(TODEQUIPOS[[#This Row],[N° DE SERIE]],BDEGENER[SERIE],0),48),"")</f>
        <v>1</v>
      </c>
      <c r="K167" s="775">
        <f>IFERROR(INDEX(BDEGENER[],MATCH(TODEQUIPOS[[#This Row],[N° DE SERIE]],BDEGENER[SERIE],0),57),"")</f>
        <v>1</v>
      </c>
      <c r="L167" s="775" t="str">
        <f>IF(TODEQUIPOS[[#This Row],[CONTADOR]]=1,"UNICO","DUPLICADO")</f>
        <v>UNICO</v>
      </c>
      <c r="M167" s="775">
        <f>COUNTIF(TODEQUIPOS[N° DE SERIE],TODEQUIPOS[[#This Row],[N° DE SERIE]])</f>
        <v>1</v>
      </c>
    </row>
    <row r="168" spans="2:13" x14ac:dyDescent="0.3">
      <c r="B168" t="s">
        <v>519</v>
      </c>
      <c r="C168" s="801">
        <f>IFERROR(INDEX(BDEGENER[],MATCH(TODEQUIPOS[[#This Row],[N° DE SERIE]],BDEGENER[SERIE],0),26),"")</f>
        <v>0</v>
      </c>
      <c r="D168" s="775">
        <f>IFERROR(INDEX(BDEGENER[],MATCH(TODEQUIPOS[[#This Row],[N° DE SERIE]],BDEGENER[SERIE],0),27),"")</f>
        <v>0</v>
      </c>
      <c r="E168" s="776" t="str">
        <f>IFERROR(INDEX(BDEGENER[],MATCH(TODEQUIPOS[[#This Row],[N° DE SERIE]],BDEGENER[SERIE],0),11),"")</f>
        <v>REDONDOS</v>
      </c>
      <c r="F168" s="776" t="str">
        <f>IFERROR(INDEX(BDEGENER[],MATCH(TODEQUIPOS[[#This Row],[N° DE SERIE]],BDEGENER[SERIE],0),12),"")</f>
        <v>NUCLEO ZODIACO</v>
      </c>
      <c r="G168" s="802">
        <f>IFERROR(INDEX(BDEGENER[],MATCH(TODEQUIPOS[[#This Row],[N° DE SERIE]],BDEGENER[SERIE],0),10),"")</f>
        <v>43300</v>
      </c>
      <c r="H168" s="777">
        <f>IFERROR(INDEX(BDEGENER[],MATCH(TODEQUIPOS[[#This Row],[N° DE SERIE]],BDEGENER[SERIE],0),31),"")</f>
        <v>51</v>
      </c>
      <c r="I168" s="775">
        <f>IFERROR(INDEX(BDEGENER[],MATCH(TODEQUIPOS[[#This Row],[N° DE SERIE]],BDEGENER[SERIE],0),47),"")</f>
        <v>0</v>
      </c>
      <c r="J168" s="775">
        <f>IFERROR(INDEX(BDEGENER[],MATCH(TODEQUIPOS[[#This Row],[N° DE SERIE]],BDEGENER[SERIE],0),48),"")</f>
        <v>1</v>
      </c>
      <c r="K168" s="775">
        <f>IFERROR(INDEX(BDEGENER[],MATCH(TODEQUIPOS[[#This Row],[N° DE SERIE]],BDEGENER[SERIE],0),57),"")</f>
        <v>1</v>
      </c>
      <c r="L168" s="775" t="str">
        <f>IF(TODEQUIPOS[[#This Row],[CONTADOR]]=1,"UNICO","DUPLICADO")</f>
        <v>UNICO</v>
      </c>
      <c r="M168" s="775">
        <f>COUNTIF(TODEQUIPOS[N° DE SERIE],TODEQUIPOS[[#This Row],[N° DE SERIE]])</f>
        <v>1</v>
      </c>
    </row>
    <row r="169" spans="2:13" x14ac:dyDescent="0.3">
      <c r="B169">
        <v>9319843</v>
      </c>
      <c r="C169" s="801">
        <f>IFERROR(INDEX(BDEGENER[],MATCH(TODEQUIPOS[[#This Row],[N° DE SERIE]],BDEGENER[SERIE],0),26),"")</f>
        <v>0</v>
      </c>
      <c r="D169" s="775">
        <f>IFERROR(INDEX(BDEGENER[],MATCH(TODEQUIPOS[[#This Row],[N° DE SERIE]],BDEGENER[SERIE],0),27),"")</f>
        <v>0</v>
      </c>
      <c r="E169" s="776" t="str">
        <f>IFERROR(INDEX(BDEGENER[],MATCH(TODEQUIPOS[[#This Row],[N° DE SERIE]],BDEGENER[SERIE],0),11),"")</f>
        <v>REDONDOS</v>
      </c>
      <c r="F169" s="776" t="str">
        <f>IFERROR(INDEX(BDEGENER[],MATCH(TODEQUIPOS[[#This Row],[N° DE SERIE]],BDEGENER[SERIE],0),12),"")</f>
        <v>ALBUFERA D</v>
      </c>
      <c r="G169" s="802">
        <f>IFERROR(INDEX(BDEGENER[],MATCH(TODEQUIPOS[[#This Row],[N° DE SERIE]],BDEGENER[SERIE],0),10),"")</f>
        <v>43300</v>
      </c>
      <c r="H169" s="777">
        <f>IFERROR(INDEX(BDEGENER[],MATCH(TODEQUIPOS[[#This Row],[N° DE SERIE]],BDEGENER[SERIE],0),31),"")</f>
        <v>1554.11</v>
      </c>
      <c r="I169" s="775">
        <f>IFERROR(INDEX(BDEGENER[],MATCH(TODEQUIPOS[[#This Row],[N° DE SERIE]],BDEGENER[SERIE],0),47),"")</f>
        <v>1</v>
      </c>
      <c r="J169" s="775">
        <f>IFERROR(INDEX(BDEGENER[],MATCH(TODEQUIPOS[[#This Row],[N° DE SERIE]],BDEGENER[SERIE],0),48),"")</f>
        <v>3</v>
      </c>
      <c r="K169" s="775">
        <f>IFERROR(INDEX(BDEGENER[],MATCH(TODEQUIPOS[[#This Row],[N° DE SERIE]],BDEGENER[SERIE],0),57),"")</f>
        <v>4</v>
      </c>
      <c r="L169" s="775" t="str">
        <f>IF(TODEQUIPOS[[#This Row],[CONTADOR]]=1,"UNICO","DUPLICADO")</f>
        <v>UNICO</v>
      </c>
      <c r="M169" s="775">
        <f>COUNTIF(TODEQUIPOS[N° DE SERIE],TODEQUIPOS[[#This Row],[N° DE SERIE]])</f>
        <v>1</v>
      </c>
    </row>
    <row r="170" spans="2:13" x14ac:dyDescent="0.3">
      <c r="B170" t="s">
        <v>520</v>
      </c>
      <c r="C170" s="801">
        <f>IFERROR(INDEX(BDEGENER[],MATCH(TODEQUIPOS[[#This Row],[N° DE SERIE]],BDEGENER[SERIE],0),26),"")</f>
        <v>0</v>
      </c>
      <c r="D170" s="775">
        <f>IFERROR(INDEX(BDEGENER[],MATCH(TODEQUIPOS[[#This Row],[N° DE SERIE]],BDEGENER[SERIE],0),27),"")</f>
        <v>0</v>
      </c>
      <c r="E170" s="776" t="str">
        <f>IFERROR(INDEX(BDEGENER[],MATCH(TODEQUIPOS[[#This Row],[N° DE SERIE]],BDEGENER[SERIE],0),11),"")</f>
        <v>REDONDOS</v>
      </c>
      <c r="F170" s="776" t="str">
        <f>IFERROR(INDEX(BDEGENER[],MATCH(TODEQUIPOS[[#This Row],[N° DE SERIE]],BDEGENER[SERIE],0),12),"")</f>
        <v>SAGITARIO</v>
      </c>
      <c r="G170" s="802">
        <f>IFERROR(INDEX(BDEGENER[],MATCH(TODEQUIPOS[[#This Row],[N° DE SERIE]],BDEGENER[SERIE],0),10),"")</f>
        <v>43300</v>
      </c>
      <c r="H170" s="777">
        <f>IFERROR(INDEX(BDEGENER[],MATCH(TODEQUIPOS[[#This Row],[N° DE SERIE]],BDEGENER[SERIE],0),31),"")</f>
        <v>2252.6999999999998</v>
      </c>
      <c r="I170" s="775">
        <f>IFERROR(INDEX(BDEGENER[],MATCH(TODEQUIPOS[[#This Row],[N° DE SERIE]],BDEGENER[SERIE],0),47),"")</f>
        <v>0</v>
      </c>
      <c r="J170" s="775">
        <f>IFERROR(INDEX(BDEGENER[],MATCH(TODEQUIPOS[[#This Row],[N° DE SERIE]],BDEGENER[SERIE],0),48),"")</f>
        <v>1</v>
      </c>
      <c r="K170" s="775">
        <f>IFERROR(INDEX(BDEGENER[],MATCH(TODEQUIPOS[[#This Row],[N° DE SERIE]],BDEGENER[SERIE],0),57),"")</f>
        <v>1</v>
      </c>
      <c r="L170" s="775" t="str">
        <f>IF(TODEQUIPOS[[#This Row],[CONTADOR]]=1,"UNICO","DUPLICADO")</f>
        <v>UNICO</v>
      </c>
      <c r="M170" s="775">
        <f>COUNTIF(TODEQUIPOS[N° DE SERIE],TODEQUIPOS[[#This Row],[N° DE SERIE]])</f>
        <v>1</v>
      </c>
    </row>
    <row r="171" spans="2:13" x14ac:dyDescent="0.3">
      <c r="B171" t="s">
        <v>501</v>
      </c>
      <c r="C171" s="801">
        <f>IFERROR(INDEX(BDEGENER[],MATCH(TODEQUIPOS[[#This Row],[N° DE SERIE]],BDEGENER[SERIE],0),26),"")</f>
        <v>0</v>
      </c>
      <c r="D171" s="775" t="str">
        <f>IFERROR(INDEX(BDEGENER[],MATCH(TODEQUIPOS[[#This Row],[N° DE SERIE]],BDEGENER[SERIE],0),27),"")</f>
        <v xml:space="preserve">POWER PACT </v>
      </c>
      <c r="E171" s="776" t="str">
        <f>IFERROR(INDEX(BDEGENER[],MATCH(TODEQUIPOS[[#This Row],[N° DE SERIE]],BDEGENER[SERIE],0),11),"")</f>
        <v>REDONDOS</v>
      </c>
      <c r="F171" s="776" t="str">
        <f>IFERROR(INDEX(BDEGENER[],MATCH(TODEQUIPOS[[#This Row],[N° DE SERIE]],BDEGENER[SERIE],0),12),"")</f>
        <v>VIÑOS 1</v>
      </c>
      <c r="G171" s="802">
        <f>IFERROR(INDEX(BDEGENER[],MATCH(TODEQUIPOS[[#This Row],[N° DE SERIE]],BDEGENER[SERIE],0),10),"")</f>
        <v>43294</v>
      </c>
      <c r="H171" s="777">
        <f>IFERROR(INDEX(BDEGENER[],MATCH(TODEQUIPOS[[#This Row],[N° DE SERIE]],BDEGENER[SERIE],0),31),"")</f>
        <v>1050.5</v>
      </c>
      <c r="I171" s="775">
        <f>IFERROR(INDEX(BDEGENER[],MATCH(TODEQUIPOS[[#This Row],[N° DE SERIE]],BDEGENER[SERIE],0),47),"")</f>
        <v>1</v>
      </c>
      <c r="J171" s="775">
        <f>IFERROR(INDEX(BDEGENER[],MATCH(TODEQUIPOS[[#This Row],[N° DE SERIE]],BDEGENER[SERIE],0),48),"")</f>
        <v>0</v>
      </c>
      <c r="K171" s="775">
        <f>IFERROR(INDEX(BDEGENER[],MATCH(TODEQUIPOS[[#This Row],[N° DE SERIE]],BDEGENER[SERIE],0),57),"")</f>
        <v>1</v>
      </c>
      <c r="L171" s="775" t="str">
        <f>IF(TODEQUIPOS[[#This Row],[CONTADOR]]=1,"UNICO","DUPLICADO")</f>
        <v>UNICO</v>
      </c>
      <c r="M171" s="775">
        <f>COUNTIF(TODEQUIPOS[N° DE SERIE],TODEQUIPOS[[#This Row],[N° DE SERIE]])</f>
        <v>1</v>
      </c>
    </row>
    <row r="172" spans="2:13" x14ac:dyDescent="0.3">
      <c r="B172" t="s">
        <v>521</v>
      </c>
      <c r="C172" s="801">
        <f>IFERROR(INDEX(BDEGENER[],MATCH(TODEQUIPOS[[#This Row],[N° DE SERIE]],BDEGENER[SERIE],0),26),"")</f>
        <v>0</v>
      </c>
      <c r="D172" s="775">
        <f>IFERROR(INDEX(BDEGENER[],MATCH(TODEQUIPOS[[#This Row],[N° DE SERIE]],BDEGENER[SERIE],0),27),"")</f>
        <v>0</v>
      </c>
      <c r="E172" s="776" t="str">
        <f>IFERROR(INDEX(BDEGENER[],MATCH(TODEQUIPOS[[#This Row],[N° DE SERIE]],BDEGENER[SERIE],0),11),"")</f>
        <v>REDONDOS</v>
      </c>
      <c r="F172" s="776" t="str">
        <f>IFERROR(INDEX(BDEGENER[],MATCH(TODEQUIPOS[[#This Row],[N° DE SERIE]],BDEGENER[SERIE],0),12),"")</f>
        <v>llanos 2</v>
      </c>
      <c r="G172" s="802">
        <f>IFERROR(INDEX(BDEGENER[],MATCH(TODEQUIPOS[[#This Row],[N° DE SERIE]],BDEGENER[SERIE],0),10),"")</f>
        <v>43270</v>
      </c>
      <c r="H172" s="777">
        <f>IFERROR(INDEX(BDEGENER[],MATCH(TODEQUIPOS[[#This Row],[N° DE SERIE]],BDEGENER[SERIE],0),31),"")</f>
        <v>744</v>
      </c>
      <c r="I172" s="775">
        <f>IFERROR(INDEX(BDEGENER[],MATCH(TODEQUIPOS[[#This Row],[N° DE SERIE]],BDEGENER[SERIE],0),47),"")</f>
        <v>0</v>
      </c>
      <c r="J172" s="775">
        <f>IFERROR(INDEX(BDEGENER[],MATCH(TODEQUIPOS[[#This Row],[N° DE SERIE]],BDEGENER[SERIE],0),48),"")</f>
        <v>2</v>
      </c>
      <c r="K172" s="775">
        <f>IFERROR(INDEX(BDEGENER[],MATCH(TODEQUIPOS[[#This Row],[N° DE SERIE]],BDEGENER[SERIE],0),57),"")</f>
        <v>2</v>
      </c>
      <c r="L172" s="775" t="str">
        <f>IF(TODEQUIPOS[[#This Row],[CONTADOR]]=1,"UNICO","DUPLICADO")</f>
        <v>UNICO</v>
      </c>
      <c r="M172" s="775">
        <f>COUNTIF(TODEQUIPOS[N° DE SERIE],TODEQUIPOS[[#This Row],[N° DE SERIE]])</f>
        <v>1</v>
      </c>
    </row>
    <row r="173" spans="2:13" x14ac:dyDescent="0.3">
      <c r="B173" t="s">
        <v>522</v>
      </c>
      <c r="C173" s="801" t="str">
        <f>IFERROR(INDEX(BDEGENER[],MATCH(TODEQUIPOS[[#This Row],[N° DE SERIE]],BDEGENER[SERIE],0),26),"")</f>
        <v>YANMAR</v>
      </c>
      <c r="D173" s="775" t="str">
        <f>IFERROR(INDEX(BDEGENER[],MATCH(TODEQUIPOS[[#This Row],[N° DE SERIE]],BDEGENER[SERIE],0),27),"")</f>
        <v>GSW25</v>
      </c>
      <c r="E173" s="776" t="str">
        <f>IFERROR(INDEX(BDEGENER[],MATCH(TODEQUIPOS[[#This Row],[N° DE SERIE]],BDEGENER[SERIE],0),11),"")</f>
        <v>REDONDOS</v>
      </c>
      <c r="F173" s="776" t="str">
        <f>IFERROR(INDEX(BDEGENER[],MATCH(TODEQUIPOS[[#This Row],[N° DE SERIE]],BDEGENER[SERIE],0),12),"")</f>
        <v>CANCER</v>
      </c>
      <c r="G173" s="802">
        <f>IFERROR(INDEX(BDEGENER[],MATCH(TODEQUIPOS[[#This Row],[N° DE SERIE]],BDEGENER[SERIE],0),10),"")</f>
        <v>43223</v>
      </c>
      <c r="H173" s="777">
        <f>IFERROR(INDEX(BDEGENER[],MATCH(TODEQUIPOS[[#This Row],[N° DE SERIE]],BDEGENER[SERIE],0),31),"")</f>
        <v>1779</v>
      </c>
      <c r="I173" s="775">
        <f>IFERROR(INDEX(BDEGENER[],MATCH(TODEQUIPOS[[#This Row],[N° DE SERIE]],BDEGENER[SERIE],0),47),"")</f>
        <v>0</v>
      </c>
      <c r="J173" s="775">
        <f>IFERROR(INDEX(BDEGENER[],MATCH(TODEQUIPOS[[#This Row],[N° DE SERIE]],BDEGENER[SERIE],0),48),"")</f>
        <v>1</v>
      </c>
      <c r="K173" s="775">
        <f>IFERROR(INDEX(BDEGENER[],MATCH(TODEQUIPOS[[#This Row],[N° DE SERIE]],BDEGENER[SERIE],0),57),"")</f>
        <v>1</v>
      </c>
      <c r="L173" s="775" t="str">
        <f>IF(TODEQUIPOS[[#This Row],[CONTADOR]]=1,"UNICO","DUPLICADO")</f>
        <v>UNICO</v>
      </c>
      <c r="M173" s="775">
        <f>COUNTIF(TODEQUIPOS[N° DE SERIE],TODEQUIPOS[[#This Row],[N° DE SERIE]])</f>
        <v>1</v>
      </c>
    </row>
    <row r="174" spans="2:13" x14ac:dyDescent="0.3">
      <c r="B174" t="s">
        <v>525</v>
      </c>
      <c r="C174" s="801" t="str">
        <f>IFERROR(INDEX(BDEGENER[],MATCH(TODEQUIPOS[[#This Row],[N° DE SERIE]],BDEGENER[SERIE],0),26),"")</f>
        <v>G.E FORD MECALTE</v>
      </c>
      <c r="D174" s="775" t="str">
        <f>IFERROR(INDEX(BDEGENER[],MATCH(TODEQUIPOS[[#This Row],[N° DE SERIE]],BDEGENER[SERIE],0),27),"")</f>
        <v>W5G-1068</v>
      </c>
      <c r="E174" s="776" t="str">
        <f>IFERROR(INDEX(BDEGENER[],MATCH(TODEQUIPOS[[#This Row],[N° DE SERIE]],BDEGENER[SERIE],0),11),"")</f>
        <v>REDONDOS</v>
      </c>
      <c r="F174" s="776" t="str">
        <f>IFERROR(INDEX(BDEGENER[],MATCH(TODEQUIPOS[[#This Row],[N° DE SERIE]],BDEGENER[SERIE],0),12),"")</f>
        <v>BERNARDO</v>
      </c>
      <c r="G174" s="802">
        <f>IFERROR(INDEX(BDEGENER[],MATCH(TODEQUIPOS[[#This Row],[N° DE SERIE]],BDEGENER[SERIE],0),10),"")</f>
        <v>43216</v>
      </c>
      <c r="H174" s="777">
        <f>IFERROR(INDEX(BDEGENER[],MATCH(TODEQUIPOS[[#This Row],[N° DE SERIE]],BDEGENER[SERIE],0),31),"")</f>
        <v>557</v>
      </c>
      <c r="I174" s="775">
        <f>IFERROR(INDEX(BDEGENER[],MATCH(TODEQUIPOS[[#This Row],[N° DE SERIE]],BDEGENER[SERIE],0),47),"")</f>
        <v>1</v>
      </c>
      <c r="J174" s="775">
        <f>IFERROR(INDEX(BDEGENER[],MATCH(TODEQUIPOS[[#This Row],[N° DE SERIE]],BDEGENER[SERIE],0),48),"")</f>
        <v>0</v>
      </c>
      <c r="K174" s="775">
        <f>IFERROR(INDEX(BDEGENER[],MATCH(TODEQUIPOS[[#This Row],[N° DE SERIE]],BDEGENER[SERIE],0),57),"")</f>
        <v>1</v>
      </c>
      <c r="L174" s="775" t="str">
        <f>IF(TODEQUIPOS[[#This Row],[CONTADOR]]=1,"UNICO","DUPLICADO")</f>
        <v>UNICO</v>
      </c>
      <c r="M174" s="775">
        <f>COUNTIF(TODEQUIPOS[N° DE SERIE],TODEQUIPOS[[#This Row],[N° DE SERIE]])</f>
        <v>1</v>
      </c>
    </row>
  </sheetData>
  <mergeCells count="1">
    <mergeCell ref="B1:F1"/>
  </mergeCells>
  <conditionalFormatting sqref="J1:J3 J175:J1048576 L4:L174">
    <cfRule type="containsText" dxfId="49" priority="1" operator="containsText" text="DUPLICADO">
      <formula>NOT(ISERROR(SEARCH("DUPLICADO",J1)))</formula>
    </cfRule>
    <cfRule type="containsText" dxfId="48" priority="2" operator="containsText" text="UNICO">
      <formula>NOT(ISERROR(SEARCH("UNICO",J1)))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RegistrarNuevoEquipo">
                <anchor moveWithCells="1" sizeWithCells="1">
                  <from>
                    <xdr:col>3</xdr:col>
                    <xdr:colOff>274320</xdr:colOff>
                    <xdr:row>1</xdr:row>
                    <xdr:rowOff>60960</xdr:rowOff>
                  </from>
                  <to>
                    <xdr:col>4</xdr:col>
                    <xdr:colOff>297180</xdr:colOff>
                    <xdr:row>2</xdr:row>
                    <xdr:rowOff>137160</xdr:rowOff>
                  </to>
                </anchor>
              </controlPr>
            </control>
          </mc:Choice>
        </mc:AlternateContent>
        <mc:AlternateContent xmlns:mc="http://schemas.openxmlformats.org/markup-compatibility/2006">
          <mc:Choice Requires="x14">
            <control shapeId="20482" r:id="rId4" name="Button 2">
              <controlPr defaultSize="0" print="0" autoFill="0" autoPict="0" macro="[0]!IrMenuPrincipal">
                <anchor>
                  <from>
                    <xdr:col>4</xdr:col>
                    <xdr:colOff>899160</xdr:colOff>
                    <xdr:row>1</xdr:row>
                    <xdr:rowOff>60960</xdr:rowOff>
                  </from>
                  <to>
                    <xdr:col>5</xdr:col>
                    <xdr:colOff>365760</xdr:colOff>
                    <xdr:row>2</xdr:row>
                    <xdr:rowOff>144780</xdr:rowOff>
                  </to>
                </anchor>
              </controlPr>
            </control>
          </mc:Choice>
        </mc:AlternateContent>
      </controls>
    </mc:Choice>
  </mc:AlternateContent>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5"/>
  <dimension ref="A1:Q431"/>
  <sheetViews>
    <sheetView zoomScale="82" zoomScaleNormal="82" workbookViewId="0">
      <pane xSplit="2" ySplit="3" topLeftCell="C4" activePane="bottomRight" state="frozen"/>
      <selection pane="topRight" activeCell="C1" sqref="C1"/>
      <selection pane="bottomLeft" activeCell="A6" sqref="A6"/>
      <selection pane="bottomRight" activeCell="C1" sqref="C1"/>
    </sheetView>
  </sheetViews>
  <sheetFormatPr baseColWidth="10" defaultColWidth="0" defaultRowHeight="14.4" x14ac:dyDescent="0.3"/>
  <cols>
    <col min="1" max="1" width="6.44140625" customWidth="1"/>
    <col min="2" max="2" width="16" customWidth="1"/>
    <col min="3" max="3" width="15" style="159" customWidth="1"/>
    <col min="4" max="4" width="35.88671875" customWidth="1"/>
    <col min="5" max="5" width="45.33203125" style="159" customWidth="1"/>
    <col min="6" max="6" width="15.5546875" customWidth="1"/>
    <col min="7" max="7" width="39.5546875" customWidth="1"/>
    <col min="8" max="8" width="12.6640625" customWidth="1"/>
    <col min="9" max="9" width="19.33203125" customWidth="1"/>
    <col min="10" max="10" width="16.88671875" hidden="1" customWidth="1"/>
    <col min="11" max="11" width="11.6640625" customWidth="1"/>
    <col min="12" max="17" width="0" hidden="1" customWidth="1"/>
    <col min="18" max="16384" width="11.44140625" hidden="1"/>
  </cols>
  <sheetData>
    <row r="1" spans="1:17" x14ac:dyDescent="0.3">
      <c r="A1" s="549"/>
      <c r="B1" s="549"/>
      <c r="C1" s="551"/>
      <c r="D1" s="549"/>
      <c r="E1" s="551"/>
      <c r="F1" s="549"/>
      <c r="G1" s="549"/>
      <c r="H1" s="549"/>
      <c r="I1" s="549"/>
      <c r="J1" s="549"/>
      <c r="K1" s="549"/>
      <c r="L1" s="549"/>
      <c r="M1" s="549"/>
      <c r="N1" s="549"/>
      <c r="O1" s="549"/>
      <c r="P1" s="549"/>
      <c r="Q1" s="549"/>
    </row>
    <row r="2" spans="1:17" ht="24.9" customHeight="1" x14ac:dyDescent="0.3">
      <c r="A2" s="550"/>
      <c r="B2" s="1114" t="s">
        <v>1681</v>
      </c>
      <c r="C2" s="1114"/>
      <c r="D2" s="1114"/>
      <c r="E2" s="1114"/>
      <c r="F2" s="1114"/>
      <c r="G2" s="1114"/>
      <c r="H2" s="1114"/>
      <c r="I2" s="1114"/>
      <c r="J2" s="512"/>
      <c r="K2" s="549"/>
      <c r="L2" s="549"/>
      <c r="M2" s="549"/>
      <c r="N2" s="549"/>
      <c r="O2" s="549"/>
      <c r="P2" s="549"/>
    </row>
    <row r="3" spans="1:17" ht="41.4" x14ac:dyDescent="0.3">
      <c r="A3" s="549"/>
      <c r="B3" s="163" t="s">
        <v>1295</v>
      </c>
      <c r="C3" s="162" t="s">
        <v>1294</v>
      </c>
      <c r="D3" s="161" t="s">
        <v>1293</v>
      </c>
      <c r="E3" s="161" t="s">
        <v>1292</v>
      </c>
      <c r="F3" s="162" t="s">
        <v>1291</v>
      </c>
      <c r="G3" s="161" t="s">
        <v>1290</v>
      </c>
      <c r="H3" s="160" t="s">
        <v>1289</v>
      </c>
      <c r="I3" s="160" t="s">
        <v>1296</v>
      </c>
      <c r="J3" s="161" t="s">
        <v>1185</v>
      </c>
      <c r="K3" s="549"/>
      <c r="L3" s="549"/>
      <c r="M3" s="549"/>
      <c r="N3" s="549"/>
      <c r="O3" s="549"/>
      <c r="P3" s="549"/>
    </row>
    <row r="4" spans="1:17" x14ac:dyDescent="0.3">
      <c r="A4" s="549"/>
      <c r="B4" s="14">
        <v>3004290366</v>
      </c>
      <c r="C4" s="723" t="s">
        <v>177</v>
      </c>
      <c r="D4" s="85" t="s">
        <v>2184</v>
      </c>
      <c r="E4" s="510" t="s">
        <v>2185</v>
      </c>
      <c r="F4" s="723">
        <v>43943</v>
      </c>
      <c r="G4" s="85" t="s">
        <v>1262</v>
      </c>
      <c r="H4" s="12">
        <v>1906.5</v>
      </c>
      <c r="I4" s="515" t="str">
        <f>CONCATENATE("FALLA N°",REPORTEFALLAS[[#This Row],[CONTADOR]])</f>
        <v>FALLA N°5</v>
      </c>
      <c r="J4" s="164">
        <f>COUNTIF(B4:B2000,REPORTEFALLAS[[#This Row],[N°SERIE]])</f>
        <v>5</v>
      </c>
      <c r="K4" s="549"/>
      <c r="L4" s="549"/>
      <c r="M4" s="549"/>
      <c r="N4" s="549"/>
      <c r="O4" s="549"/>
      <c r="P4" s="549"/>
    </row>
    <row r="5" spans="1:17" x14ac:dyDescent="0.3">
      <c r="A5" s="549"/>
      <c r="B5" s="14">
        <v>3004290368</v>
      </c>
      <c r="C5" s="513" t="s">
        <v>177</v>
      </c>
      <c r="D5" s="85" t="s">
        <v>2184</v>
      </c>
      <c r="E5" s="510" t="s">
        <v>2185</v>
      </c>
      <c r="F5" s="513">
        <v>43938</v>
      </c>
      <c r="G5" s="85" t="s">
        <v>1262</v>
      </c>
      <c r="H5" s="12">
        <v>1696.1</v>
      </c>
      <c r="I5" s="515" t="str">
        <f>CONCATENATE("FALLA N°",REPORTEFALLAS[[#This Row],[CONTADOR]])</f>
        <v>FALLA N°6</v>
      </c>
      <c r="J5" s="164">
        <f>COUNTIF(B5:B2001,REPORTEFALLAS[[#This Row],[N°SERIE]])</f>
        <v>6</v>
      </c>
      <c r="K5" s="549"/>
      <c r="L5" s="549"/>
      <c r="M5" s="549"/>
      <c r="N5" s="549"/>
      <c r="O5" s="549"/>
      <c r="P5" s="549"/>
    </row>
    <row r="6" spans="1:17" ht="27.6" x14ac:dyDescent="0.3">
      <c r="A6" s="549"/>
      <c r="B6" s="14">
        <v>3004336196</v>
      </c>
      <c r="C6" s="513" t="s">
        <v>177</v>
      </c>
      <c r="D6" s="85" t="s">
        <v>1994</v>
      </c>
      <c r="E6" s="683" t="s">
        <v>2096</v>
      </c>
      <c r="F6" s="513">
        <v>43924</v>
      </c>
      <c r="G6" s="683" t="s">
        <v>2099</v>
      </c>
      <c r="H6" s="684">
        <v>1132.4000000000001</v>
      </c>
      <c r="I6" s="515" t="str">
        <f>CONCATENATE("FALLA N°",REPORTEFALLAS[[#This Row],[CONTADOR]])</f>
        <v>FALLA N°4</v>
      </c>
      <c r="J6" s="164">
        <f>COUNTIF(B6:B2002,REPORTEFALLAS[[#This Row],[N°SERIE]])</f>
        <v>4</v>
      </c>
      <c r="K6" s="549"/>
      <c r="L6" s="549"/>
      <c r="M6" s="549"/>
      <c r="N6" s="549"/>
      <c r="O6" s="549"/>
      <c r="P6" s="549"/>
    </row>
    <row r="7" spans="1:17" x14ac:dyDescent="0.3">
      <c r="A7" s="549"/>
      <c r="B7" s="14">
        <v>3004344014</v>
      </c>
      <c r="C7" s="513" t="s">
        <v>177</v>
      </c>
      <c r="D7" s="85" t="s">
        <v>1285</v>
      </c>
      <c r="E7" s="683" t="s">
        <v>2083</v>
      </c>
      <c r="F7" s="513">
        <v>43921</v>
      </c>
      <c r="G7" s="683" t="s">
        <v>2085</v>
      </c>
      <c r="H7" s="684">
        <v>1045.4000000000001</v>
      </c>
      <c r="I7" s="515" t="str">
        <f>CONCATENATE("FALLA N°",REPORTEFALLAS[[#This Row],[CONTADOR]])</f>
        <v>FALLA N°7</v>
      </c>
      <c r="J7" s="164">
        <f>COUNTIF(B7:B2003,REPORTEFALLAS[[#This Row],[N°SERIE]])</f>
        <v>7</v>
      </c>
      <c r="K7" s="549"/>
      <c r="L7" s="549"/>
      <c r="M7" s="549"/>
      <c r="N7" s="549"/>
      <c r="O7" s="549"/>
      <c r="P7" s="549"/>
    </row>
    <row r="8" spans="1:17" x14ac:dyDescent="0.3">
      <c r="A8" s="549"/>
      <c r="B8" s="14">
        <v>3004402506</v>
      </c>
      <c r="C8" s="513">
        <v>43912</v>
      </c>
      <c r="D8" s="85" t="s">
        <v>1863</v>
      </c>
      <c r="E8" s="510" t="s">
        <v>2040</v>
      </c>
      <c r="F8" s="513">
        <v>43917</v>
      </c>
      <c r="G8" s="85" t="s">
        <v>2077</v>
      </c>
      <c r="H8" s="684">
        <v>1534</v>
      </c>
      <c r="I8" s="515" t="str">
        <f>CONCATENATE("FALLA N°",REPORTEFALLAS[[#This Row],[CONTADOR]])</f>
        <v>FALLA N°6</v>
      </c>
      <c r="J8" s="164">
        <f>COUNTIF(B8:B2004,REPORTEFALLAS[[#This Row],[N°SERIE]])</f>
        <v>6</v>
      </c>
      <c r="K8" s="549"/>
      <c r="L8" s="549"/>
      <c r="M8" s="549"/>
      <c r="N8" s="549"/>
      <c r="O8" s="549"/>
      <c r="P8" s="549"/>
    </row>
    <row r="9" spans="1:17" x14ac:dyDescent="0.3">
      <c r="A9" s="549"/>
      <c r="B9" s="14">
        <v>3004416582</v>
      </c>
      <c r="C9" s="513">
        <v>43912</v>
      </c>
      <c r="D9" s="85" t="s">
        <v>1863</v>
      </c>
      <c r="E9" s="510" t="s">
        <v>2040</v>
      </c>
      <c r="F9" s="513">
        <v>43916</v>
      </c>
      <c r="G9" s="85" t="s">
        <v>2077</v>
      </c>
      <c r="H9" s="684">
        <v>1008.7</v>
      </c>
      <c r="I9" s="515" t="str">
        <f>CONCATENATE("FALLA N°",REPORTEFALLAS[[#This Row],[CONTADOR]])</f>
        <v>FALLA N°4</v>
      </c>
      <c r="J9" s="164">
        <f>COUNTIF(B9:B2005,REPORTEFALLAS[[#This Row],[N°SERIE]])</f>
        <v>4</v>
      </c>
      <c r="K9" s="549"/>
      <c r="L9" s="549"/>
      <c r="M9" s="549"/>
      <c r="N9" s="549"/>
      <c r="O9" s="549"/>
      <c r="P9" s="549"/>
    </row>
    <row r="10" spans="1:17" x14ac:dyDescent="0.3">
      <c r="A10" s="549"/>
      <c r="B10" s="687">
        <v>3004336197</v>
      </c>
      <c r="C10" s="682">
        <v>43906</v>
      </c>
      <c r="D10" s="85" t="s">
        <v>1998</v>
      </c>
      <c r="E10" s="699" t="s">
        <v>1999</v>
      </c>
      <c r="F10" s="682">
        <v>43908</v>
      </c>
      <c r="G10" s="85" t="s">
        <v>1987</v>
      </c>
      <c r="H10" s="684">
        <v>865.2</v>
      </c>
      <c r="I10" s="515" t="str">
        <f>CONCATENATE("FALLA N°",REPORTEFALLAS[[#This Row],[CONTADOR]])</f>
        <v>FALLA N°9</v>
      </c>
      <c r="J10" s="164">
        <f>COUNTIF(B10:B2006,REPORTEFALLAS[[#This Row],[N°SERIE]])</f>
        <v>9</v>
      </c>
      <c r="K10" s="549"/>
      <c r="L10" s="549"/>
      <c r="M10" s="549"/>
      <c r="N10" s="549"/>
      <c r="O10" s="549"/>
      <c r="P10" s="549"/>
    </row>
    <row r="11" spans="1:17" x14ac:dyDescent="0.3">
      <c r="A11" s="549"/>
      <c r="B11" s="687">
        <v>3004227749</v>
      </c>
      <c r="C11" s="682">
        <v>43906</v>
      </c>
      <c r="D11" s="85" t="s">
        <v>1998</v>
      </c>
      <c r="E11" s="699" t="s">
        <v>1999</v>
      </c>
      <c r="F11" s="682">
        <v>43907</v>
      </c>
      <c r="G11" s="85" t="s">
        <v>1987</v>
      </c>
      <c r="H11" s="684">
        <v>808.7</v>
      </c>
      <c r="I11" s="515" t="str">
        <f>CONCATENATE("FALLA N°",REPORTEFALLAS[[#This Row],[CONTADOR]])</f>
        <v>FALLA N°8</v>
      </c>
      <c r="J11" s="164">
        <f>COUNTIF(B11:B2007,REPORTEFALLAS[[#This Row],[N°SERIE]])</f>
        <v>8</v>
      </c>
      <c r="K11" s="549"/>
      <c r="L11" s="549"/>
      <c r="M11" s="549"/>
      <c r="N11" s="549"/>
      <c r="O11" s="549"/>
      <c r="P11" s="549"/>
    </row>
    <row r="12" spans="1:17" x14ac:dyDescent="0.3">
      <c r="A12" s="549"/>
      <c r="B12" s="15">
        <v>3004331708</v>
      </c>
      <c r="C12" s="131">
        <v>43876</v>
      </c>
      <c r="D12" s="85" t="s">
        <v>1995</v>
      </c>
      <c r="E12" s="85" t="s">
        <v>1989</v>
      </c>
      <c r="F12" s="131">
        <v>43903</v>
      </c>
      <c r="G12" s="85" t="s">
        <v>1992</v>
      </c>
      <c r="H12" s="132">
        <v>997.8</v>
      </c>
      <c r="I12" s="515" t="str">
        <f>CONCATENATE("FALLA N°",REPORTEFALLAS[[#This Row],[CONTADOR]])</f>
        <v>FALLA N°7</v>
      </c>
      <c r="J12" s="164">
        <f>COUNTIF(B12:B2008,REPORTEFALLAS[[#This Row],[N°SERIE]])</f>
        <v>7</v>
      </c>
      <c r="K12" s="549"/>
      <c r="L12" s="549"/>
      <c r="M12" s="549"/>
      <c r="N12" s="549"/>
      <c r="O12" s="549"/>
      <c r="P12" s="549"/>
    </row>
    <row r="13" spans="1:17" ht="27.6" x14ac:dyDescent="0.3">
      <c r="A13" s="549"/>
      <c r="B13" s="15">
        <v>3004331709</v>
      </c>
      <c r="C13" s="131">
        <v>43886</v>
      </c>
      <c r="D13" s="85" t="s">
        <v>1996</v>
      </c>
      <c r="E13" s="85" t="s">
        <v>1984</v>
      </c>
      <c r="F13" s="131">
        <v>43903</v>
      </c>
      <c r="G13" s="85" t="s">
        <v>1987</v>
      </c>
      <c r="H13" s="132">
        <v>1206.7</v>
      </c>
      <c r="I13" s="515" t="str">
        <f>CONCATENATE("FALLA N°",REPORTEFALLAS[[#This Row],[CONTADOR]])</f>
        <v>FALLA N°7</v>
      </c>
      <c r="J13" s="164">
        <f>COUNTIF(B13:B2009,REPORTEFALLAS[[#This Row],[N°SERIE]])</f>
        <v>7</v>
      </c>
      <c r="K13" s="549"/>
      <c r="L13" s="549"/>
      <c r="M13" s="549"/>
      <c r="N13" s="549"/>
      <c r="O13" s="549"/>
      <c r="P13" s="549"/>
    </row>
    <row r="14" spans="1:17" x14ac:dyDescent="0.3">
      <c r="A14" s="549"/>
      <c r="B14" s="14">
        <v>3004336197</v>
      </c>
      <c r="C14" s="513">
        <v>43902</v>
      </c>
      <c r="D14" s="85" t="s">
        <v>1272</v>
      </c>
      <c r="E14" s="510" t="s">
        <v>1997</v>
      </c>
      <c r="F14" s="513">
        <v>43902</v>
      </c>
      <c r="G14" s="85" t="s">
        <v>1270</v>
      </c>
      <c r="H14" s="514">
        <v>865.2</v>
      </c>
      <c r="I14" s="515" t="str">
        <f>CONCATENATE("FALLA N°",REPORTEFALLAS[[#This Row],[CONTADOR]])</f>
        <v>FALLA N°8</v>
      </c>
      <c r="J14" s="164">
        <f>COUNTIF(B14:B2010,REPORTEFALLAS[[#This Row],[N°SERIE]])</f>
        <v>8</v>
      </c>
      <c r="K14" s="549"/>
      <c r="L14" s="549"/>
      <c r="M14" s="549"/>
      <c r="N14" s="549"/>
      <c r="O14" s="549"/>
      <c r="P14" s="549"/>
    </row>
    <row r="15" spans="1:17" x14ac:dyDescent="0.3">
      <c r="A15" s="549"/>
      <c r="B15" s="697">
        <v>3004227749</v>
      </c>
      <c r="C15" s="698">
        <v>43902</v>
      </c>
      <c r="D15" s="85" t="s">
        <v>1998</v>
      </c>
      <c r="E15" s="699" t="s">
        <v>1999</v>
      </c>
      <c r="F15" s="698">
        <v>43902</v>
      </c>
      <c r="G15" s="683" t="s">
        <v>2000</v>
      </c>
      <c r="H15" s="700">
        <v>761.6</v>
      </c>
      <c r="I15" s="515" t="str">
        <f>CONCATENATE("FALLA N°",REPORTEFALLAS[[#This Row],[CONTADOR]])</f>
        <v>FALLA N°7</v>
      </c>
      <c r="J15" s="164">
        <f>COUNTIF(B15:B2011,REPORTEFALLAS[[#This Row],[N°SERIE]])</f>
        <v>7</v>
      </c>
      <c r="K15" s="549"/>
      <c r="L15" s="549"/>
      <c r="M15" s="549"/>
      <c r="N15" s="549"/>
      <c r="O15" s="549"/>
      <c r="P15" s="549"/>
    </row>
    <row r="16" spans="1:17" ht="27.6" x14ac:dyDescent="0.3">
      <c r="A16" s="549"/>
      <c r="B16" s="14">
        <v>3004290368</v>
      </c>
      <c r="C16" s="513" t="s">
        <v>177</v>
      </c>
      <c r="D16" s="85" t="s">
        <v>1994</v>
      </c>
      <c r="E16" s="85" t="s">
        <v>1914</v>
      </c>
      <c r="F16" s="513">
        <v>43901</v>
      </c>
      <c r="G16" s="85" t="s">
        <v>1915</v>
      </c>
      <c r="H16" s="514">
        <v>1239.2</v>
      </c>
      <c r="I16" s="515" t="str">
        <f>CONCATENATE("FALLA N°",REPORTEFALLAS[[#This Row],[CONTADOR]])</f>
        <v>FALLA N°5</v>
      </c>
      <c r="J16" s="164">
        <f>COUNTIF(B16:B2012,REPORTEFALLAS[[#This Row],[N°SERIE]])</f>
        <v>5</v>
      </c>
      <c r="K16" s="549"/>
      <c r="L16" s="549"/>
      <c r="M16" s="549"/>
      <c r="N16" s="549"/>
      <c r="O16" s="549"/>
      <c r="P16" s="549"/>
    </row>
    <row r="17" spans="1:16" x14ac:dyDescent="0.3">
      <c r="A17" s="549"/>
      <c r="B17" s="14">
        <v>3004336197</v>
      </c>
      <c r="C17" s="513" t="s">
        <v>177</v>
      </c>
      <c r="D17" s="85" t="s">
        <v>1863</v>
      </c>
      <c r="E17" s="510" t="s">
        <v>1864</v>
      </c>
      <c r="F17" s="513">
        <v>43896</v>
      </c>
      <c r="G17" s="85" t="s">
        <v>1883</v>
      </c>
      <c r="H17" s="514">
        <v>833.3</v>
      </c>
      <c r="I17" s="515" t="str">
        <f>CONCATENATE("FALLA N°",REPORTEFALLAS[[#This Row],[CONTADOR]])</f>
        <v>FALLA N°7</v>
      </c>
      <c r="J17" s="164">
        <f>COUNTIF(B17:B2013,REPORTEFALLAS[[#This Row],[N°SERIE]])</f>
        <v>7</v>
      </c>
      <c r="K17" s="549"/>
      <c r="L17" s="549"/>
      <c r="M17" s="549"/>
      <c r="N17" s="549"/>
      <c r="O17" s="549"/>
      <c r="P17" s="549"/>
    </row>
    <row r="18" spans="1:16" x14ac:dyDescent="0.3">
      <c r="A18" s="549"/>
      <c r="B18" s="14">
        <v>3004418791</v>
      </c>
      <c r="C18" s="513">
        <v>43892</v>
      </c>
      <c r="D18" s="85" t="s">
        <v>1863</v>
      </c>
      <c r="E18" s="510" t="s">
        <v>1864</v>
      </c>
      <c r="F18" s="513">
        <v>43896</v>
      </c>
      <c r="G18" s="85" t="s">
        <v>1313</v>
      </c>
      <c r="H18" s="514">
        <v>1222.5999999999999</v>
      </c>
      <c r="I18" s="515" t="str">
        <f>CONCATENATE("FALLA N°",REPORTEFALLAS[[#This Row],[CONTADOR]])</f>
        <v>FALLA N°5</v>
      </c>
      <c r="J18" s="164">
        <f>COUNTIF(B18:B2014,REPORTEFALLAS[[#This Row],[N°SERIE]])</f>
        <v>5</v>
      </c>
      <c r="K18" s="549"/>
      <c r="L18" s="549"/>
      <c r="M18" s="549"/>
      <c r="N18" s="549"/>
      <c r="O18" s="549"/>
      <c r="P18" s="549"/>
    </row>
    <row r="19" spans="1:16" ht="27.6" x14ac:dyDescent="0.3">
      <c r="A19" s="549"/>
      <c r="B19" s="14">
        <v>3004327724</v>
      </c>
      <c r="C19" s="513">
        <v>43888</v>
      </c>
      <c r="D19" s="85" t="s">
        <v>1269</v>
      </c>
      <c r="E19" s="510" t="s">
        <v>1675</v>
      </c>
      <c r="F19" s="513">
        <v>43890</v>
      </c>
      <c r="G19" s="85" t="s">
        <v>1674</v>
      </c>
      <c r="H19" s="514">
        <v>1102</v>
      </c>
      <c r="I19" s="515" t="str">
        <f>CONCATENATE("FALLA N°",REPORTEFALLAS[[#This Row],[CONTADOR]])</f>
        <v>FALLA N°7</v>
      </c>
      <c r="J19" s="164">
        <f>COUNTIF(B19:B2017,REPORTEFALLAS[[#This Row],[N°SERIE]])</f>
        <v>7</v>
      </c>
      <c r="K19" s="549"/>
      <c r="L19" s="549"/>
      <c r="M19" s="549"/>
      <c r="N19" s="549"/>
      <c r="O19" s="549"/>
      <c r="P19" s="549"/>
    </row>
    <row r="20" spans="1:16" x14ac:dyDescent="0.3">
      <c r="A20" s="549"/>
      <c r="B20" s="14">
        <v>3004214491</v>
      </c>
      <c r="C20" s="4">
        <v>43862</v>
      </c>
      <c r="D20" s="85" t="s">
        <v>1304</v>
      </c>
      <c r="E20" s="510" t="s">
        <v>1310</v>
      </c>
      <c r="F20" s="4">
        <v>43864</v>
      </c>
      <c r="G20" s="85" t="s">
        <v>1312</v>
      </c>
      <c r="H20" s="514">
        <v>470.3</v>
      </c>
      <c r="I20" s="515" t="str">
        <f>CONCATENATE("FALLA N°",REPORTEFALLAS[[#This Row],[CONTADOR]])</f>
        <v>FALLA N°6</v>
      </c>
      <c r="J20" s="164">
        <f>COUNTIF(B20:B2012,REPORTEFALLAS[[#This Row],[N°SERIE]])</f>
        <v>6</v>
      </c>
      <c r="K20" s="549"/>
      <c r="L20" s="549"/>
      <c r="M20" s="549"/>
      <c r="N20" s="549"/>
      <c r="O20" s="549"/>
      <c r="P20" s="549"/>
    </row>
    <row r="21" spans="1:16" ht="27.6" x14ac:dyDescent="0.3">
      <c r="A21" s="549"/>
      <c r="B21" s="14">
        <v>3004402507</v>
      </c>
      <c r="C21" s="4">
        <v>43857</v>
      </c>
      <c r="D21" s="85" t="s">
        <v>1301</v>
      </c>
      <c r="E21" s="510" t="s">
        <v>1308</v>
      </c>
      <c r="F21" s="4">
        <v>43858</v>
      </c>
      <c r="G21" s="85" t="s">
        <v>1313</v>
      </c>
      <c r="H21" s="514">
        <v>1227.5999999999999</v>
      </c>
      <c r="I21" s="515" t="str">
        <f>CONCATENATE("FALLA N°",REPORTEFALLAS[[#This Row],[CONTADOR]])</f>
        <v>FALLA N°6</v>
      </c>
      <c r="J21" s="164">
        <f>COUNTIF(B21:B2014,REPORTEFALLAS[[#This Row],[N°SERIE]])</f>
        <v>6</v>
      </c>
      <c r="K21" s="549"/>
      <c r="L21" s="549"/>
      <c r="M21" s="549"/>
      <c r="N21" s="549"/>
      <c r="O21" s="549"/>
      <c r="P21" s="549"/>
    </row>
    <row r="22" spans="1:16" ht="27.6" x14ac:dyDescent="0.3">
      <c r="A22" s="549"/>
      <c r="B22" s="14">
        <v>3004381437</v>
      </c>
      <c r="C22" s="4">
        <v>43857</v>
      </c>
      <c r="D22" s="85" t="s">
        <v>1302</v>
      </c>
      <c r="E22" s="510" t="s">
        <v>1303</v>
      </c>
      <c r="F22" s="4">
        <v>43858</v>
      </c>
      <c r="G22" s="85" t="s">
        <v>1314</v>
      </c>
      <c r="H22" s="514" t="s">
        <v>177</v>
      </c>
      <c r="I22" s="515" t="str">
        <f>CONCATENATE("FALLA N°",REPORTEFALLAS[[#This Row],[CONTADOR]])</f>
        <v>FALLA N°6</v>
      </c>
      <c r="J22" s="164">
        <f>COUNTIF(B22:B2014,REPORTEFALLAS[[#This Row],[N°SERIE]])</f>
        <v>6</v>
      </c>
      <c r="K22" s="549"/>
      <c r="L22" s="549"/>
      <c r="M22" s="549"/>
      <c r="N22" s="549"/>
      <c r="O22" s="549"/>
      <c r="P22" s="549"/>
    </row>
    <row r="23" spans="1:16" x14ac:dyDescent="0.3">
      <c r="A23" s="549"/>
      <c r="B23" s="14">
        <v>3004290369</v>
      </c>
      <c r="C23" s="4">
        <v>43857</v>
      </c>
      <c r="D23" s="85" t="s">
        <v>1303</v>
      </c>
      <c r="E23" s="510" t="s">
        <v>1309</v>
      </c>
      <c r="F23" s="4">
        <v>43858</v>
      </c>
      <c r="G23" s="85"/>
      <c r="H23" s="514">
        <v>147.1</v>
      </c>
      <c r="I23" s="515" t="str">
        <f>CONCATENATE("FALLA N°",REPORTEFALLAS[[#This Row],[CONTADOR]])</f>
        <v>FALLA N°5</v>
      </c>
      <c r="J23" s="164">
        <f>COUNTIF(B23:B2015,REPORTEFALLAS[[#This Row],[N°SERIE]])</f>
        <v>5</v>
      </c>
      <c r="K23" s="549"/>
      <c r="L23" s="549"/>
      <c r="M23" s="549"/>
      <c r="N23" s="549"/>
      <c r="O23" s="549"/>
      <c r="P23" s="549"/>
    </row>
    <row r="24" spans="1:16" x14ac:dyDescent="0.3">
      <c r="A24" s="549"/>
      <c r="B24" s="14">
        <v>3004337427</v>
      </c>
      <c r="C24" s="4">
        <v>43855</v>
      </c>
      <c r="D24" s="85" t="s">
        <v>1298</v>
      </c>
      <c r="E24" s="510" t="s">
        <v>1305</v>
      </c>
      <c r="F24" s="4">
        <v>43857</v>
      </c>
      <c r="G24" s="85" t="s">
        <v>1311</v>
      </c>
      <c r="H24" s="514">
        <v>672</v>
      </c>
      <c r="I24" s="515" t="str">
        <f>CONCATENATE("FALLA N°",REPORTEFALLAS[[#This Row],[CONTADOR]])</f>
        <v>FALLA N°5</v>
      </c>
      <c r="J24" s="164">
        <f>COUNTIF(B24:B2021,REPORTEFALLAS[[#This Row],[N°SERIE]])</f>
        <v>5</v>
      </c>
      <c r="K24" s="549"/>
      <c r="L24" s="549"/>
      <c r="M24" s="549"/>
      <c r="N24" s="549"/>
      <c r="O24" s="549"/>
      <c r="P24" s="549"/>
    </row>
    <row r="25" spans="1:16" x14ac:dyDescent="0.3">
      <c r="A25" s="549"/>
      <c r="B25" s="14">
        <v>3004256777</v>
      </c>
      <c r="C25" s="4">
        <v>43854</v>
      </c>
      <c r="D25" s="85" t="s">
        <v>1299</v>
      </c>
      <c r="E25" s="510" t="s">
        <v>1306</v>
      </c>
      <c r="F25" s="4">
        <v>43855</v>
      </c>
      <c r="G25" s="85" t="s">
        <v>1312</v>
      </c>
      <c r="H25" s="514">
        <v>273.2</v>
      </c>
      <c r="I25" s="515" t="str">
        <f>CONCATENATE("FALLA N°",REPORTEFALLAS[[#This Row],[CONTADOR]])</f>
        <v>FALLA N°6</v>
      </c>
      <c r="J25" s="164">
        <f>COUNTIF(B25:B2021,REPORTEFALLAS[[#This Row],[N°SERIE]])</f>
        <v>6</v>
      </c>
      <c r="K25" s="549"/>
      <c r="L25" s="549"/>
      <c r="M25" s="549"/>
      <c r="N25" s="549"/>
      <c r="O25" s="549"/>
      <c r="P25" s="549"/>
    </row>
    <row r="26" spans="1:16" x14ac:dyDescent="0.3">
      <c r="A26" s="549"/>
      <c r="B26" s="14">
        <v>3004402507</v>
      </c>
      <c r="C26" s="4">
        <v>43854</v>
      </c>
      <c r="D26" s="85" t="s">
        <v>1300</v>
      </c>
      <c r="E26" s="510" t="s">
        <v>1307</v>
      </c>
      <c r="F26" s="4">
        <v>43855</v>
      </c>
      <c r="G26" s="85" t="s">
        <v>1312</v>
      </c>
      <c r="H26" s="514">
        <v>1190</v>
      </c>
      <c r="I26" s="515" t="str">
        <f>CONCATENATE("FALLA N°",REPORTEFALLAS[[#This Row],[CONTADOR]])</f>
        <v>FALLA N°5</v>
      </c>
      <c r="J26" s="164">
        <f>COUNTIF(B26:B2024,REPORTEFALLAS[[#This Row],[N°SERIE]])</f>
        <v>5</v>
      </c>
      <c r="K26" s="549"/>
      <c r="L26" s="549"/>
      <c r="M26" s="549"/>
      <c r="N26" s="549"/>
      <c r="O26" s="549"/>
      <c r="P26" s="549"/>
    </row>
    <row r="27" spans="1:16" x14ac:dyDescent="0.3">
      <c r="A27" s="549"/>
      <c r="B27" s="14">
        <v>3004290365</v>
      </c>
      <c r="C27" s="4">
        <v>43852</v>
      </c>
      <c r="D27" s="85" t="s">
        <v>1299</v>
      </c>
      <c r="E27" s="510" t="s">
        <v>1306</v>
      </c>
      <c r="F27" s="4">
        <v>43853</v>
      </c>
      <c r="G27" s="85" t="s">
        <v>1312</v>
      </c>
      <c r="H27" s="514">
        <v>618.20000000000005</v>
      </c>
      <c r="I27" s="515" t="str">
        <f>CONCATENATE("FALLA N°",REPORTEFALLAS[[#This Row],[CONTADOR]])</f>
        <v>FALLA N°7</v>
      </c>
      <c r="J27" s="164">
        <f>COUNTIF(B27:B2024,REPORTEFALLAS[[#This Row],[N°SERIE]])</f>
        <v>7</v>
      </c>
      <c r="K27" s="549"/>
      <c r="L27" s="549"/>
      <c r="M27" s="549"/>
      <c r="N27" s="549"/>
      <c r="O27" s="549"/>
      <c r="P27" s="549"/>
    </row>
    <row r="28" spans="1:16" x14ac:dyDescent="0.3">
      <c r="A28" s="549"/>
      <c r="B28" s="14">
        <v>3004290365</v>
      </c>
      <c r="C28" s="4">
        <v>43485</v>
      </c>
      <c r="D28" s="85" t="s">
        <v>1298</v>
      </c>
      <c r="E28" s="510" t="s">
        <v>1305</v>
      </c>
      <c r="F28" s="4">
        <v>43852</v>
      </c>
      <c r="G28" s="85" t="s">
        <v>1311</v>
      </c>
      <c r="H28" s="514">
        <v>612.20000000000005</v>
      </c>
      <c r="I28" s="515" t="str">
        <f>CONCATENATE("FALLA N°",REPORTEFALLAS[[#This Row],[CONTADOR]])</f>
        <v>FALLA N°6</v>
      </c>
      <c r="J28" s="164">
        <f>COUNTIF(B28:B2026,REPORTEFALLAS[[#This Row],[N°SERIE]])</f>
        <v>6</v>
      </c>
      <c r="K28" s="549"/>
      <c r="L28" s="549"/>
      <c r="M28" s="549"/>
      <c r="N28" s="549"/>
      <c r="O28" s="549"/>
      <c r="P28" s="549"/>
    </row>
    <row r="29" spans="1:16" x14ac:dyDescent="0.3">
      <c r="A29" s="549"/>
      <c r="B29" s="14">
        <v>3004344017</v>
      </c>
      <c r="C29" s="4">
        <v>43484</v>
      </c>
      <c r="D29" s="85" t="s">
        <v>1298</v>
      </c>
      <c r="E29" s="510" t="s">
        <v>1305</v>
      </c>
      <c r="F29" s="4">
        <v>43852</v>
      </c>
      <c r="G29" s="85" t="s">
        <v>1311</v>
      </c>
      <c r="H29" s="514">
        <v>675.8</v>
      </c>
      <c r="I29" s="515" t="str">
        <f>CONCATENATE("FALLA N°",REPORTEFALLAS[[#This Row],[CONTADOR]])</f>
        <v>FALLA N°7</v>
      </c>
      <c r="J29" s="164">
        <f>COUNTIF(B29:B2027,REPORTEFALLAS[[#This Row],[N°SERIE]])</f>
        <v>7</v>
      </c>
      <c r="K29" s="549"/>
      <c r="L29" s="549"/>
      <c r="M29" s="549"/>
      <c r="N29" s="549"/>
      <c r="O29" s="549"/>
      <c r="P29" s="549"/>
    </row>
    <row r="30" spans="1:16" ht="27.6" x14ac:dyDescent="0.3">
      <c r="A30" s="549"/>
      <c r="B30" s="14">
        <v>3004336197</v>
      </c>
      <c r="C30" s="4">
        <v>43850</v>
      </c>
      <c r="D30" s="85" t="s">
        <v>1256</v>
      </c>
      <c r="E30" s="85" t="s">
        <v>1266</v>
      </c>
      <c r="F30" s="4">
        <v>43850</v>
      </c>
      <c r="G30" s="85" t="s">
        <v>1265</v>
      </c>
      <c r="H30" s="514">
        <v>565</v>
      </c>
      <c r="I30" s="514" t="str">
        <f>CONCATENATE("FALLA N°",REPORTEFALLAS[[#This Row],[CONTADOR]])</f>
        <v>FALLA N°6</v>
      </c>
      <c r="J30" s="158">
        <f>COUNTIF(B30:B2022,REPORTEFALLAS[[#This Row],[N°SERIE]])</f>
        <v>6</v>
      </c>
      <c r="K30" s="549"/>
      <c r="L30" s="549"/>
      <c r="M30" s="549"/>
      <c r="N30" s="549"/>
      <c r="O30" s="549"/>
      <c r="P30" s="549"/>
    </row>
    <row r="31" spans="1:16" x14ac:dyDescent="0.3">
      <c r="A31" s="549"/>
      <c r="B31" s="510">
        <v>3004416581</v>
      </c>
      <c r="C31" s="511">
        <v>43761</v>
      </c>
      <c r="D31" s="510" t="s">
        <v>1269</v>
      </c>
      <c r="E31" s="510" t="s">
        <v>1268</v>
      </c>
      <c r="F31" s="511">
        <v>43843</v>
      </c>
      <c r="G31" s="510" t="s">
        <v>1267</v>
      </c>
      <c r="H31" s="515">
        <v>740</v>
      </c>
      <c r="I31" s="515" t="str">
        <f>CONCATENATE("FALLA N°",REPORTEFALLAS[[#This Row],[CONTADOR]])</f>
        <v>FALLA N°4</v>
      </c>
      <c r="J31" s="158">
        <f>COUNTIF(B31:B2023,REPORTEFALLAS[[#This Row],[N°SERIE]])</f>
        <v>4</v>
      </c>
      <c r="K31" s="549"/>
      <c r="L31" s="549"/>
      <c r="M31" s="549"/>
      <c r="N31" s="549"/>
      <c r="O31" s="549"/>
      <c r="P31" s="549"/>
    </row>
    <row r="32" spans="1:16" ht="27.6" x14ac:dyDescent="0.3">
      <c r="A32" s="549"/>
      <c r="B32" s="510">
        <v>3004344014</v>
      </c>
      <c r="C32" s="511">
        <v>43832</v>
      </c>
      <c r="D32" s="510" t="s">
        <v>1275</v>
      </c>
      <c r="E32" s="510" t="s">
        <v>1287</v>
      </c>
      <c r="F32" s="511">
        <v>43833</v>
      </c>
      <c r="G32" s="510" t="s">
        <v>1286</v>
      </c>
      <c r="H32" s="515">
        <v>604</v>
      </c>
      <c r="I32" s="515" t="str">
        <f>CONCATENATE("FALLA N°",REPORTEFALLAS[[#This Row],[CONTADOR]])</f>
        <v>FALLA N°6</v>
      </c>
      <c r="J32" s="158">
        <f>COUNTIF(B32:B2024,REPORTEFALLAS[[#This Row],[N°SERIE]])</f>
        <v>6</v>
      </c>
      <c r="K32" s="549"/>
      <c r="L32" s="549"/>
      <c r="M32" s="549"/>
      <c r="N32" s="549"/>
      <c r="O32" s="549"/>
      <c r="P32" s="549"/>
    </row>
    <row r="33" spans="1:16" ht="55.2" x14ac:dyDescent="0.3">
      <c r="A33" s="549"/>
      <c r="B33" s="510">
        <v>3004344014</v>
      </c>
      <c r="C33" s="511">
        <v>43830</v>
      </c>
      <c r="D33" s="510" t="s">
        <v>1285</v>
      </c>
      <c r="E33" s="510" t="s">
        <v>1284</v>
      </c>
      <c r="F33" s="511">
        <v>43832</v>
      </c>
      <c r="G33" s="510" t="s">
        <v>1283</v>
      </c>
      <c r="H33" s="515">
        <v>607</v>
      </c>
      <c r="I33" s="515" t="str">
        <f>CONCATENATE("FALLA N°",REPORTEFALLAS[[#This Row],[CONTADOR]])</f>
        <v>FALLA N°5</v>
      </c>
      <c r="J33" s="158">
        <f>COUNTIF(B33:B2025,REPORTEFALLAS[[#This Row],[N°SERIE]])</f>
        <v>5</v>
      </c>
      <c r="K33" s="549"/>
      <c r="L33" s="549"/>
      <c r="M33" s="549"/>
      <c r="N33" s="549"/>
      <c r="O33" s="549"/>
      <c r="P33" s="549"/>
    </row>
    <row r="34" spans="1:16" ht="27.6" x14ac:dyDescent="0.3">
      <c r="A34" s="549"/>
      <c r="B34" s="510">
        <v>3004344017</v>
      </c>
      <c r="C34" s="511">
        <v>43831</v>
      </c>
      <c r="D34" s="510" t="s">
        <v>1272</v>
      </c>
      <c r="E34" s="510" t="s">
        <v>1271</v>
      </c>
      <c r="F34" s="511">
        <v>43832</v>
      </c>
      <c r="G34" s="510" t="s">
        <v>1270</v>
      </c>
      <c r="H34" s="515">
        <v>66.7</v>
      </c>
      <c r="I34" s="515" t="str">
        <f>CONCATENATE("FALLA N°",REPORTEFALLAS[[#This Row],[CONTADOR]])</f>
        <v>FALLA N°6</v>
      </c>
      <c r="J34" s="158">
        <f>COUNTIF(B34:B2026,REPORTEFALLAS[[#This Row],[N°SERIE]])</f>
        <v>6</v>
      </c>
      <c r="K34" s="549"/>
      <c r="L34" s="549"/>
      <c r="M34" s="549"/>
      <c r="N34" s="549"/>
      <c r="O34" s="549"/>
      <c r="P34" s="549"/>
    </row>
    <row r="35" spans="1:16" ht="27.6" x14ac:dyDescent="0.3">
      <c r="A35" s="549"/>
      <c r="B35" s="510">
        <v>3004227749</v>
      </c>
      <c r="C35" s="511">
        <v>43822</v>
      </c>
      <c r="D35" s="510" t="s">
        <v>1272</v>
      </c>
      <c r="E35" s="510" t="s">
        <v>1271</v>
      </c>
      <c r="F35" s="511">
        <v>43823</v>
      </c>
      <c r="G35" s="510" t="s">
        <v>1270</v>
      </c>
      <c r="H35" s="515">
        <v>66.7</v>
      </c>
      <c r="I35" s="515" t="str">
        <f>CONCATENATE("FALLA N°",REPORTEFALLAS[[#This Row],[CONTADOR]])</f>
        <v>FALLA N°6</v>
      </c>
      <c r="J35" s="158">
        <f>COUNTIF(B35:B2027,REPORTEFALLAS[[#This Row],[N°SERIE]])</f>
        <v>6</v>
      </c>
      <c r="K35" s="549"/>
      <c r="L35" s="549"/>
      <c r="M35" s="549"/>
      <c r="N35" s="549"/>
      <c r="O35" s="549"/>
      <c r="P35" s="549"/>
    </row>
    <row r="36" spans="1:16" ht="27.6" x14ac:dyDescent="0.3">
      <c r="A36" s="549"/>
      <c r="B36" s="510">
        <v>3004235514</v>
      </c>
      <c r="C36" s="511">
        <v>43815</v>
      </c>
      <c r="D36" s="510" t="s">
        <v>1272</v>
      </c>
      <c r="E36" s="510" t="s">
        <v>1271</v>
      </c>
      <c r="F36" s="511">
        <v>43816</v>
      </c>
      <c r="G36" s="510" t="s">
        <v>1270</v>
      </c>
      <c r="H36" s="515">
        <v>186</v>
      </c>
      <c r="I36" s="515" t="str">
        <f>CONCATENATE("FALLA N°",REPORTEFALLAS[[#This Row],[CONTADOR]])</f>
        <v>FALLA N°7</v>
      </c>
      <c r="J36" s="158">
        <f>COUNTIF(B36:B2028,REPORTEFALLAS[[#This Row],[N°SERIE]])</f>
        <v>7</v>
      </c>
      <c r="K36" s="549"/>
      <c r="L36" s="549"/>
      <c r="M36" s="549"/>
      <c r="N36" s="549"/>
      <c r="O36" s="549"/>
      <c r="P36" s="549"/>
    </row>
    <row r="37" spans="1:16" ht="27.6" x14ac:dyDescent="0.3">
      <c r="A37" s="549"/>
      <c r="B37" s="510">
        <v>3004331707</v>
      </c>
      <c r="C37" s="511">
        <v>43815</v>
      </c>
      <c r="D37" s="510" t="s">
        <v>1278</v>
      </c>
      <c r="E37" s="510" t="s">
        <v>1277</v>
      </c>
      <c r="F37" s="511">
        <v>43816</v>
      </c>
      <c r="G37" s="510" t="s">
        <v>1276</v>
      </c>
      <c r="H37" s="515">
        <v>322</v>
      </c>
      <c r="I37" s="515" t="str">
        <f>CONCATENATE("FALLA N°",REPORTEFALLAS[[#This Row],[CONTADOR]])</f>
        <v>FALLA N°7</v>
      </c>
      <c r="J37" s="158">
        <f>COUNTIF(B37:B2029,REPORTEFALLAS[[#This Row],[N°SERIE]])</f>
        <v>7</v>
      </c>
      <c r="K37" s="549"/>
      <c r="L37" s="549"/>
      <c r="M37" s="549"/>
      <c r="N37" s="549"/>
      <c r="O37" s="549"/>
      <c r="P37" s="549"/>
    </row>
    <row r="38" spans="1:16" ht="27.6" x14ac:dyDescent="0.3">
      <c r="A38" s="549"/>
      <c r="B38" s="14">
        <v>3004344014</v>
      </c>
      <c r="C38" s="4" t="s">
        <v>1282</v>
      </c>
      <c r="D38" s="85" t="s">
        <v>1264</v>
      </c>
      <c r="E38" s="85" t="s">
        <v>1263</v>
      </c>
      <c r="F38" s="4">
        <v>43815</v>
      </c>
      <c r="G38" s="85" t="s">
        <v>1262</v>
      </c>
      <c r="H38" s="514">
        <v>408</v>
      </c>
      <c r="I38" s="514" t="str">
        <f>CONCATENATE("FALLA N°",REPORTEFALLAS[[#This Row],[CONTADOR]])</f>
        <v>FALLA N°4</v>
      </c>
      <c r="J38" s="158">
        <f>COUNTIF(B38:B2030,REPORTEFALLAS[[#This Row],[N°SERIE]])</f>
        <v>4</v>
      </c>
      <c r="K38" s="549"/>
      <c r="L38" s="549"/>
      <c r="M38" s="549"/>
      <c r="N38" s="549"/>
      <c r="O38" s="549"/>
      <c r="P38" s="549"/>
    </row>
    <row r="39" spans="1:16" ht="27.6" x14ac:dyDescent="0.3">
      <c r="A39" s="549"/>
      <c r="B39" s="14">
        <v>3004337388</v>
      </c>
      <c r="C39" s="4" t="s">
        <v>1282</v>
      </c>
      <c r="D39" s="85" t="s">
        <v>1264</v>
      </c>
      <c r="E39" s="85" t="s">
        <v>1263</v>
      </c>
      <c r="F39" s="4">
        <v>43815</v>
      </c>
      <c r="G39" s="85" t="s">
        <v>1262</v>
      </c>
      <c r="H39" s="514">
        <v>397</v>
      </c>
      <c r="I39" s="514" t="str">
        <f>CONCATENATE("FALLA N°",REPORTEFALLAS[[#This Row],[CONTADOR]])</f>
        <v>FALLA N°4</v>
      </c>
      <c r="J39" s="158">
        <f>COUNTIF(B39:B2031,REPORTEFALLAS[[#This Row],[N°SERIE]])</f>
        <v>4</v>
      </c>
      <c r="K39" s="549"/>
      <c r="L39" s="549"/>
      <c r="M39" s="549"/>
      <c r="N39" s="549"/>
      <c r="O39" s="549"/>
      <c r="P39" s="549"/>
    </row>
    <row r="40" spans="1:16" ht="27.6" x14ac:dyDescent="0.3">
      <c r="A40" s="549"/>
      <c r="B40" s="14">
        <v>3004402507</v>
      </c>
      <c r="C40" s="4" t="s">
        <v>1282</v>
      </c>
      <c r="D40" s="85" t="s">
        <v>1264</v>
      </c>
      <c r="E40" s="85" t="s">
        <v>1263</v>
      </c>
      <c r="F40" s="4">
        <v>43815</v>
      </c>
      <c r="G40" s="85" t="s">
        <v>1262</v>
      </c>
      <c r="H40" s="514">
        <v>856</v>
      </c>
      <c r="I40" s="514" t="str">
        <f>CONCATENATE("FALLA N°",REPORTEFALLAS[[#This Row],[CONTADOR]])</f>
        <v>FALLA N°4</v>
      </c>
      <c r="J40" s="158">
        <f>COUNTIF(B40:B2032,REPORTEFALLAS[[#This Row],[N°SERIE]])</f>
        <v>4</v>
      </c>
      <c r="K40" s="549"/>
      <c r="L40" s="549"/>
      <c r="M40" s="549"/>
      <c r="N40" s="549"/>
      <c r="O40" s="549"/>
      <c r="P40" s="549"/>
    </row>
    <row r="41" spans="1:16" ht="27.6" x14ac:dyDescent="0.3">
      <c r="A41" s="549"/>
      <c r="B41" s="14">
        <v>3004418790</v>
      </c>
      <c r="C41" s="4" t="s">
        <v>1282</v>
      </c>
      <c r="D41" s="85" t="s">
        <v>1264</v>
      </c>
      <c r="E41" s="85" t="s">
        <v>1263</v>
      </c>
      <c r="F41" s="4">
        <v>43815</v>
      </c>
      <c r="G41" s="85" t="s">
        <v>1262</v>
      </c>
      <c r="H41" s="514">
        <v>653</v>
      </c>
      <c r="I41" s="514" t="str">
        <f>CONCATENATE("FALLA N°",REPORTEFALLAS[[#This Row],[CONTADOR]])</f>
        <v>FALLA N°4</v>
      </c>
      <c r="J41" s="158">
        <f>COUNTIF(B41:B2033,REPORTEFALLAS[[#This Row],[N°SERIE]])</f>
        <v>4</v>
      </c>
      <c r="K41" s="549"/>
      <c r="L41" s="549"/>
      <c r="M41" s="549"/>
      <c r="N41" s="549"/>
      <c r="O41" s="549"/>
      <c r="P41" s="549"/>
    </row>
    <row r="42" spans="1:16" ht="27.6" x14ac:dyDescent="0.3">
      <c r="A42" s="549"/>
      <c r="B42" s="14">
        <v>3004418791</v>
      </c>
      <c r="C42" s="4" t="s">
        <v>1282</v>
      </c>
      <c r="D42" s="85" t="s">
        <v>1264</v>
      </c>
      <c r="E42" s="85" t="s">
        <v>1263</v>
      </c>
      <c r="F42" s="4">
        <v>43815</v>
      </c>
      <c r="G42" s="85" t="s">
        <v>1262</v>
      </c>
      <c r="H42" s="514">
        <v>512</v>
      </c>
      <c r="I42" s="514" t="str">
        <f>CONCATENATE("FALLA N°",REPORTEFALLAS[[#This Row],[CONTADOR]])</f>
        <v>FALLA N°4</v>
      </c>
      <c r="J42" s="158">
        <f>COUNTIF(B42:B2034,REPORTEFALLAS[[#This Row],[N°SERIE]])</f>
        <v>4</v>
      </c>
      <c r="K42" s="549"/>
      <c r="L42" s="549"/>
      <c r="M42" s="549"/>
      <c r="N42" s="549"/>
      <c r="O42" s="549"/>
      <c r="P42" s="549"/>
    </row>
    <row r="43" spans="1:16" ht="27.6" x14ac:dyDescent="0.3">
      <c r="A43" s="549"/>
      <c r="B43" s="14">
        <v>3004416580</v>
      </c>
      <c r="C43" s="4" t="s">
        <v>1282</v>
      </c>
      <c r="D43" s="85" t="s">
        <v>1264</v>
      </c>
      <c r="E43" s="85" t="s">
        <v>1263</v>
      </c>
      <c r="F43" s="4">
        <v>43815</v>
      </c>
      <c r="G43" s="85" t="s">
        <v>1262</v>
      </c>
      <c r="H43" s="514">
        <v>636</v>
      </c>
      <c r="I43" s="514" t="str">
        <f>CONCATENATE("FALLA N°",REPORTEFALLAS[[#This Row],[CONTADOR]])</f>
        <v>FALLA N°4</v>
      </c>
      <c r="J43" s="158">
        <f>COUNTIF(B43:B2035,REPORTEFALLAS[[#This Row],[N°SERIE]])</f>
        <v>4</v>
      </c>
      <c r="K43" s="549"/>
      <c r="L43" s="549"/>
      <c r="M43" s="549"/>
      <c r="N43" s="549"/>
      <c r="O43" s="549"/>
      <c r="P43" s="549"/>
    </row>
    <row r="44" spans="1:16" ht="27.6" x14ac:dyDescent="0.3">
      <c r="A44" s="549"/>
      <c r="B44" s="14">
        <v>3004327724</v>
      </c>
      <c r="C44" s="4" t="s">
        <v>1282</v>
      </c>
      <c r="D44" s="85" t="s">
        <v>1264</v>
      </c>
      <c r="E44" s="85" t="s">
        <v>1263</v>
      </c>
      <c r="F44" s="4">
        <v>43815</v>
      </c>
      <c r="G44" s="85" t="s">
        <v>1262</v>
      </c>
      <c r="H44" s="514">
        <v>550</v>
      </c>
      <c r="I44" s="514" t="str">
        <f>CONCATENATE("FALLA N°",REPORTEFALLAS[[#This Row],[CONTADOR]])</f>
        <v>FALLA N°6</v>
      </c>
      <c r="J44" s="158">
        <f>COUNTIF(B44:B2036,REPORTEFALLAS[[#This Row],[N°SERIE]])</f>
        <v>6</v>
      </c>
      <c r="K44" s="549"/>
      <c r="L44" s="549"/>
      <c r="M44" s="549"/>
      <c r="N44" s="549"/>
      <c r="O44" s="549"/>
      <c r="P44" s="549"/>
    </row>
    <row r="45" spans="1:16" ht="27.6" x14ac:dyDescent="0.3">
      <c r="A45" s="549"/>
      <c r="B45" s="14">
        <v>3004327721</v>
      </c>
      <c r="C45" s="4" t="s">
        <v>1282</v>
      </c>
      <c r="D45" s="85" t="s">
        <v>1264</v>
      </c>
      <c r="E45" s="85" t="s">
        <v>1263</v>
      </c>
      <c r="F45" s="4">
        <v>43815</v>
      </c>
      <c r="G45" s="85" t="s">
        <v>1262</v>
      </c>
      <c r="H45" s="514">
        <v>603</v>
      </c>
      <c r="I45" s="514" t="str">
        <f>CONCATENATE("FALLA N°",REPORTEFALLAS[[#This Row],[CONTADOR]])</f>
        <v>FALLA N°7</v>
      </c>
      <c r="J45" s="158">
        <f>COUNTIF(B45:B2037,REPORTEFALLAS[[#This Row],[N°SERIE]])</f>
        <v>7</v>
      </c>
      <c r="K45" s="549"/>
      <c r="L45" s="549"/>
      <c r="M45" s="549"/>
      <c r="N45" s="549"/>
      <c r="O45" s="549"/>
      <c r="P45" s="549"/>
    </row>
    <row r="46" spans="1:16" ht="27.6" x14ac:dyDescent="0.3">
      <c r="A46" s="549"/>
      <c r="B46" s="14">
        <v>3004336198</v>
      </c>
      <c r="C46" s="4" t="s">
        <v>1282</v>
      </c>
      <c r="D46" s="85" t="s">
        <v>1264</v>
      </c>
      <c r="E46" s="85" t="s">
        <v>1263</v>
      </c>
      <c r="F46" s="4">
        <v>43815</v>
      </c>
      <c r="G46" s="85" t="s">
        <v>1262</v>
      </c>
      <c r="H46" s="514">
        <v>599</v>
      </c>
      <c r="I46" s="514" t="str">
        <f>CONCATENATE("FALLA N°",REPORTEFALLAS[[#This Row],[CONTADOR]])</f>
        <v>FALLA N°4</v>
      </c>
      <c r="J46" s="158">
        <f>COUNTIF(B46:B2038,REPORTEFALLAS[[#This Row],[N°SERIE]])</f>
        <v>4</v>
      </c>
      <c r="K46" s="549"/>
      <c r="L46" s="549"/>
      <c r="M46" s="549"/>
      <c r="N46" s="549"/>
      <c r="O46" s="549"/>
      <c r="P46" s="549"/>
    </row>
    <row r="47" spans="1:16" ht="27.6" x14ac:dyDescent="0.3">
      <c r="A47" s="549"/>
      <c r="B47" s="14">
        <v>3004331705</v>
      </c>
      <c r="C47" s="4" t="s">
        <v>1282</v>
      </c>
      <c r="D47" s="85" t="s">
        <v>1264</v>
      </c>
      <c r="E47" s="85" t="s">
        <v>1263</v>
      </c>
      <c r="F47" s="4">
        <v>43815</v>
      </c>
      <c r="G47" s="85" t="s">
        <v>1262</v>
      </c>
      <c r="H47" s="514">
        <v>602</v>
      </c>
      <c r="I47" s="514" t="str">
        <f>CONCATENATE("FALLA N°",REPORTEFALLAS[[#This Row],[CONTADOR]])</f>
        <v>FALLA N°6</v>
      </c>
      <c r="J47" s="158">
        <f>COUNTIF(B47:B2039,REPORTEFALLAS[[#This Row],[N°SERIE]])</f>
        <v>6</v>
      </c>
      <c r="K47" s="549"/>
      <c r="L47" s="549"/>
      <c r="M47" s="549"/>
      <c r="N47" s="549"/>
      <c r="O47" s="549"/>
      <c r="P47" s="549"/>
    </row>
    <row r="48" spans="1:16" ht="27.6" x14ac:dyDescent="0.3">
      <c r="A48" s="549"/>
      <c r="B48" s="14">
        <v>3004331708</v>
      </c>
      <c r="C48" s="4" t="s">
        <v>1282</v>
      </c>
      <c r="D48" s="85" t="s">
        <v>1264</v>
      </c>
      <c r="E48" s="85" t="s">
        <v>1263</v>
      </c>
      <c r="F48" s="4">
        <v>43815</v>
      </c>
      <c r="G48" s="85" t="s">
        <v>1262</v>
      </c>
      <c r="H48" s="514">
        <v>456</v>
      </c>
      <c r="I48" s="514" t="str">
        <f>CONCATENATE("FALLA N°",REPORTEFALLAS[[#This Row],[CONTADOR]])</f>
        <v>FALLA N°6</v>
      </c>
      <c r="J48" s="158">
        <f>COUNTIF(B48:B2040,REPORTEFALLAS[[#This Row],[N°SERIE]])</f>
        <v>6</v>
      </c>
      <c r="K48" s="549"/>
      <c r="L48" s="549"/>
      <c r="M48" s="549"/>
      <c r="N48" s="549"/>
      <c r="O48" s="549"/>
      <c r="P48" s="549"/>
    </row>
    <row r="49" spans="1:16" ht="27.6" x14ac:dyDescent="0.3">
      <c r="A49" s="549"/>
      <c r="B49" s="14">
        <v>3004327723</v>
      </c>
      <c r="C49" s="4" t="s">
        <v>1282</v>
      </c>
      <c r="D49" s="85" t="s">
        <v>1264</v>
      </c>
      <c r="E49" s="85" t="s">
        <v>1263</v>
      </c>
      <c r="F49" s="4">
        <v>43815</v>
      </c>
      <c r="G49" s="85" t="s">
        <v>1262</v>
      </c>
      <c r="H49" s="514">
        <v>498</v>
      </c>
      <c r="I49" s="514" t="str">
        <f>CONCATENATE("FALLA N°",REPORTEFALLAS[[#This Row],[CONTADOR]])</f>
        <v>FALLA N°5</v>
      </c>
      <c r="J49" s="158">
        <f>COUNTIF(B49:B2041,REPORTEFALLAS[[#This Row],[N°SERIE]])</f>
        <v>5</v>
      </c>
      <c r="K49" s="549"/>
      <c r="L49" s="549"/>
      <c r="M49" s="549"/>
      <c r="N49" s="549"/>
      <c r="O49" s="549"/>
      <c r="P49" s="549"/>
    </row>
    <row r="50" spans="1:16" ht="27.6" x14ac:dyDescent="0.3">
      <c r="A50" s="549"/>
      <c r="B50" s="14">
        <v>3004331709</v>
      </c>
      <c r="C50" s="4" t="s">
        <v>1282</v>
      </c>
      <c r="D50" s="85" t="s">
        <v>1264</v>
      </c>
      <c r="E50" s="85" t="s">
        <v>1263</v>
      </c>
      <c r="F50" s="4">
        <v>43815</v>
      </c>
      <c r="G50" s="85" t="s">
        <v>1262</v>
      </c>
      <c r="H50" s="514">
        <v>502</v>
      </c>
      <c r="I50" s="514" t="str">
        <f>CONCATENATE("FALLA N°",REPORTEFALLAS[[#This Row],[CONTADOR]])</f>
        <v>FALLA N°6</v>
      </c>
      <c r="J50" s="158">
        <f>COUNTIF(B50:B2042,REPORTEFALLAS[[#This Row],[N°SERIE]])</f>
        <v>6</v>
      </c>
      <c r="K50" s="549"/>
      <c r="L50" s="549"/>
      <c r="M50" s="549"/>
      <c r="N50" s="549"/>
      <c r="O50" s="549"/>
      <c r="P50" s="549"/>
    </row>
    <row r="51" spans="1:16" ht="27.6" x14ac:dyDescent="0.3">
      <c r="A51" s="549"/>
      <c r="B51" s="14">
        <v>3004337429</v>
      </c>
      <c r="C51" s="4" t="s">
        <v>1282</v>
      </c>
      <c r="D51" s="85" t="s">
        <v>1264</v>
      </c>
      <c r="E51" s="85" t="s">
        <v>1263</v>
      </c>
      <c r="F51" s="4">
        <v>43815</v>
      </c>
      <c r="G51" s="85" t="s">
        <v>1262</v>
      </c>
      <c r="H51" s="514">
        <v>464</v>
      </c>
      <c r="I51" s="514" t="str">
        <f>CONCATENATE("FALLA N°",REPORTEFALLAS[[#This Row],[CONTADOR]])</f>
        <v>FALLA N°4</v>
      </c>
      <c r="J51" s="158">
        <f>COUNTIF(B51:B2043,REPORTEFALLAS[[#This Row],[N°SERIE]])</f>
        <v>4</v>
      </c>
      <c r="K51" s="549"/>
      <c r="L51" s="549"/>
      <c r="M51" s="549"/>
      <c r="N51" s="549"/>
      <c r="O51" s="549"/>
      <c r="P51" s="549"/>
    </row>
    <row r="52" spans="1:16" ht="27.6" x14ac:dyDescent="0.3">
      <c r="A52" s="549"/>
      <c r="B52" s="14">
        <v>3004337430</v>
      </c>
      <c r="C52" s="4" t="s">
        <v>1282</v>
      </c>
      <c r="D52" s="85" t="s">
        <v>1264</v>
      </c>
      <c r="E52" s="85" t="s">
        <v>1263</v>
      </c>
      <c r="F52" s="4">
        <v>43815</v>
      </c>
      <c r="G52" s="85" t="s">
        <v>1262</v>
      </c>
      <c r="H52" s="514">
        <v>224</v>
      </c>
      <c r="I52" s="514" t="str">
        <f>CONCATENATE("FALLA N°",REPORTEFALLAS[[#This Row],[CONTADOR]])</f>
        <v>FALLA N°4</v>
      </c>
      <c r="J52" s="158">
        <f>COUNTIF(B52:B2044,REPORTEFALLAS[[#This Row],[N°SERIE]])</f>
        <v>4</v>
      </c>
      <c r="K52" s="549"/>
      <c r="L52" s="549"/>
      <c r="M52" s="549"/>
      <c r="N52" s="549"/>
      <c r="O52" s="549"/>
      <c r="P52" s="549"/>
    </row>
    <row r="53" spans="1:16" ht="27.6" x14ac:dyDescent="0.3">
      <c r="A53" s="549"/>
      <c r="B53" s="14">
        <v>3004214491</v>
      </c>
      <c r="C53" s="4" t="s">
        <v>1282</v>
      </c>
      <c r="D53" s="85" t="s">
        <v>1264</v>
      </c>
      <c r="E53" s="85" t="s">
        <v>1263</v>
      </c>
      <c r="F53" s="4">
        <v>43815</v>
      </c>
      <c r="G53" s="85" t="s">
        <v>1262</v>
      </c>
      <c r="H53" s="514">
        <v>112</v>
      </c>
      <c r="I53" s="514" t="str">
        <f>CONCATENATE("FALLA N°",REPORTEFALLAS[[#This Row],[CONTADOR]])</f>
        <v>FALLA N°5</v>
      </c>
      <c r="J53" s="158">
        <f>COUNTIF(B53:B2045,REPORTEFALLAS[[#This Row],[N°SERIE]])</f>
        <v>5</v>
      </c>
      <c r="K53" s="549"/>
      <c r="L53" s="549"/>
      <c r="M53" s="549"/>
      <c r="N53" s="549"/>
      <c r="O53" s="549"/>
      <c r="P53" s="549"/>
    </row>
    <row r="54" spans="1:16" ht="27.6" x14ac:dyDescent="0.3">
      <c r="A54" s="549"/>
      <c r="B54" s="14">
        <v>3004337428</v>
      </c>
      <c r="C54" s="4" t="s">
        <v>1282</v>
      </c>
      <c r="D54" s="85" t="s">
        <v>1264</v>
      </c>
      <c r="E54" s="85" t="s">
        <v>1263</v>
      </c>
      <c r="F54" s="4">
        <v>43815</v>
      </c>
      <c r="G54" s="85" t="s">
        <v>1262</v>
      </c>
      <c r="H54" s="514">
        <v>60</v>
      </c>
      <c r="I54" s="514" t="str">
        <f>CONCATENATE("FALLA N°",REPORTEFALLAS[[#This Row],[CONTADOR]])</f>
        <v>FALLA N°4</v>
      </c>
      <c r="J54" s="158">
        <f>COUNTIF(B54:B2046,REPORTEFALLAS[[#This Row],[N°SERIE]])</f>
        <v>4</v>
      </c>
      <c r="K54" s="549"/>
      <c r="L54" s="549"/>
      <c r="M54" s="549"/>
      <c r="N54" s="549"/>
      <c r="O54" s="549"/>
      <c r="P54" s="549"/>
    </row>
    <row r="55" spans="1:16" ht="27.6" x14ac:dyDescent="0.3">
      <c r="A55" s="549"/>
      <c r="B55" s="14">
        <v>3004218547</v>
      </c>
      <c r="C55" s="4" t="s">
        <v>1282</v>
      </c>
      <c r="D55" s="85" t="s">
        <v>1264</v>
      </c>
      <c r="E55" s="85" t="s">
        <v>1263</v>
      </c>
      <c r="F55" s="4">
        <v>43815</v>
      </c>
      <c r="G55" s="85" t="s">
        <v>1262</v>
      </c>
      <c r="H55" s="514">
        <v>97</v>
      </c>
      <c r="I55" s="514" t="str">
        <f>CONCATENATE("FALLA N°",REPORTEFALLAS[[#This Row],[CONTADOR]])</f>
        <v>FALLA N°4</v>
      </c>
      <c r="J55" s="158">
        <f>COUNTIF(B55:B2047,REPORTEFALLAS[[#This Row],[N°SERIE]])</f>
        <v>4</v>
      </c>
      <c r="K55" s="549"/>
      <c r="L55" s="549"/>
      <c r="M55" s="549"/>
      <c r="N55" s="549"/>
      <c r="O55" s="549"/>
      <c r="P55" s="549"/>
    </row>
    <row r="56" spans="1:16" ht="27.6" x14ac:dyDescent="0.3">
      <c r="A56" s="549"/>
      <c r="B56" s="14">
        <v>3004327725</v>
      </c>
      <c r="C56" s="4" t="s">
        <v>1282</v>
      </c>
      <c r="D56" s="85" t="s">
        <v>1264</v>
      </c>
      <c r="E56" s="85" t="s">
        <v>1263</v>
      </c>
      <c r="F56" s="4">
        <v>43815</v>
      </c>
      <c r="G56" s="85" t="s">
        <v>1262</v>
      </c>
      <c r="H56" s="514">
        <v>14</v>
      </c>
      <c r="I56" s="514" t="str">
        <f>CONCATENATE("FALLA N°",REPORTEFALLAS[[#This Row],[CONTADOR]])</f>
        <v>FALLA N°5</v>
      </c>
      <c r="J56" s="158">
        <f>COUNTIF(B56:B2048,REPORTEFALLAS[[#This Row],[N°SERIE]])</f>
        <v>5</v>
      </c>
      <c r="K56" s="549"/>
      <c r="L56" s="549"/>
      <c r="M56" s="549"/>
      <c r="N56" s="549"/>
      <c r="O56" s="549"/>
      <c r="P56" s="549"/>
    </row>
    <row r="57" spans="1:16" ht="27.6" x14ac:dyDescent="0.3">
      <c r="A57" s="549"/>
      <c r="B57" s="14">
        <v>3004331707</v>
      </c>
      <c r="C57" s="4" t="s">
        <v>1282</v>
      </c>
      <c r="D57" s="85" t="s">
        <v>1264</v>
      </c>
      <c r="E57" s="85" t="s">
        <v>1263</v>
      </c>
      <c r="F57" s="4">
        <v>43815</v>
      </c>
      <c r="G57" s="85" t="s">
        <v>1262</v>
      </c>
      <c r="H57" s="514">
        <v>517</v>
      </c>
      <c r="I57" s="514" t="str">
        <f>CONCATENATE("FALLA N°",REPORTEFALLAS[[#This Row],[CONTADOR]])</f>
        <v>FALLA N°6</v>
      </c>
      <c r="J57" s="158">
        <f>COUNTIF(B57:B2049,REPORTEFALLAS[[#This Row],[N°SERIE]])</f>
        <v>6</v>
      </c>
      <c r="K57" s="549"/>
      <c r="L57" s="549"/>
      <c r="M57" s="549"/>
      <c r="N57" s="549"/>
      <c r="O57" s="549"/>
      <c r="P57" s="549"/>
    </row>
    <row r="58" spans="1:16" ht="27.6" x14ac:dyDescent="0.3">
      <c r="A58" s="549"/>
      <c r="B58" s="14">
        <v>3004416582</v>
      </c>
      <c r="C58" s="4" t="s">
        <v>1282</v>
      </c>
      <c r="D58" s="85" t="s">
        <v>1264</v>
      </c>
      <c r="E58" s="85" t="s">
        <v>1263</v>
      </c>
      <c r="F58" s="4">
        <v>43811</v>
      </c>
      <c r="G58" s="85" t="s">
        <v>1262</v>
      </c>
      <c r="H58" s="514">
        <v>564</v>
      </c>
      <c r="I58" s="514" t="str">
        <f>CONCATENATE("FALLA N°",REPORTEFALLAS[[#This Row],[CONTADOR]])</f>
        <v>FALLA N°3</v>
      </c>
      <c r="J58" s="158">
        <f>COUNTIF(B58:B2050,REPORTEFALLAS[[#This Row],[N°SERIE]])</f>
        <v>3</v>
      </c>
      <c r="K58" s="549"/>
      <c r="L58" s="549"/>
      <c r="M58" s="549"/>
      <c r="N58" s="549"/>
      <c r="O58" s="549"/>
      <c r="P58" s="549"/>
    </row>
    <row r="59" spans="1:16" ht="27.6" x14ac:dyDescent="0.3">
      <c r="A59" s="549"/>
      <c r="B59" s="14">
        <v>3004416581</v>
      </c>
      <c r="C59" s="4" t="s">
        <v>1282</v>
      </c>
      <c r="D59" s="85" t="s">
        <v>1264</v>
      </c>
      <c r="E59" s="85" t="s">
        <v>1263</v>
      </c>
      <c r="F59" s="4">
        <v>43811</v>
      </c>
      <c r="G59" s="85" t="s">
        <v>1262</v>
      </c>
      <c r="H59" s="514">
        <v>465</v>
      </c>
      <c r="I59" s="514" t="str">
        <f>CONCATENATE("FALLA N°",REPORTEFALLAS[[#This Row],[CONTADOR]])</f>
        <v>FALLA N°3</v>
      </c>
      <c r="J59" s="158">
        <f>COUNTIF(B59:B2051,REPORTEFALLAS[[#This Row],[N°SERIE]])</f>
        <v>3</v>
      </c>
      <c r="K59" s="549"/>
      <c r="L59" s="549"/>
      <c r="M59" s="549"/>
      <c r="N59" s="549"/>
      <c r="O59" s="549"/>
      <c r="P59" s="549"/>
    </row>
    <row r="60" spans="1:16" ht="27.6" x14ac:dyDescent="0.3">
      <c r="A60" s="549"/>
      <c r="B60" s="14">
        <v>3004381438</v>
      </c>
      <c r="C60" s="4" t="s">
        <v>1282</v>
      </c>
      <c r="D60" s="85" t="s">
        <v>1264</v>
      </c>
      <c r="E60" s="85" t="s">
        <v>1263</v>
      </c>
      <c r="F60" s="4">
        <v>43811</v>
      </c>
      <c r="G60" s="85" t="s">
        <v>1262</v>
      </c>
      <c r="H60" s="514">
        <v>478</v>
      </c>
      <c r="I60" s="514" t="str">
        <f>CONCATENATE("FALLA N°",REPORTEFALLAS[[#This Row],[CONTADOR]])</f>
        <v>FALLA N°3</v>
      </c>
      <c r="J60" s="158">
        <f>COUNTIF(B60:B2052,REPORTEFALLAS[[#This Row],[N°SERIE]])</f>
        <v>3</v>
      </c>
      <c r="K60" s="549"/>
      <c r="L60" s="549"/>
      <c r="M60" s="549"/>
      <c r="N60" s="549"/>
      <c r="O60" s="549"/>
      <c r="P60" s="549"/>
    </row>
    <row r="61" spans="1:16" ht="27.6" x14ac:dyDescent="0.3">
      <c r="A61" s="549"/>
      <c r="B61" s="14">
        <v>3004336196</v>
      </c>
      <c r="C61" s="4" t="s">
        <v>1282</v>
      </c>
      <c r="D61" s="85" t="s">
        <v>1264</v>
      </c>
      <c r="E61" s="85" t="s">
        <v>1263</v>
      </c>
      <c r="F61" s="4">
        <v>43811</v>
      </c>
      <c r="G61" s="85" t="s">
        <v>1262</v>
      </c>
      <c r="H61" s="514">
        <v>376</v>
      </c>
      <c r="I61" s="514" t="str">
        <f>CONCATENATE("FALLA N°",REPORTEFALLAS[[#This Row],[CONTADOR]])</f>
        <v>FALLA N°3</v>
      </c>
      <c r="J61" s="158">
        <f>COUNTIF(B61:B2053,REPORTEFALLAS[[#This Row],[N°SERIE]])</f>
        <v>3</v>
      </c>
      <c r="K61" s="549"/>
      <c r="L61" s="549"/>
      <c r="M61" s="549"/>
      <c r="N61" s="549"/>
      <c r="O61" s="549"/>
      <c r="P61" s="549"/>
    </row>
    <row r="62" spans="1:16" ht="27.6" x14ac:dyDescent="0.3">
      <c r="A62" s="549"/>
      <c r="B62" s="14">
        <v>3004402506</v>
      </c>
      <c r="C62" s="4" t="s">
        <v>1282</v>
      </c>
      <c r="D62" s="85" t="s">
        <v>1264</v>
      </c>
      <c r="E62" s="85" t="s">
        <v>1263</v>
      </c>
      <c r="F62" s="4">
        <v>43811</v>
      </c>
      <c r="G62" s="85" t="s">
        <v>1262</v>
      </c>
      <c r="H62" s="514">
        <v>152</v>
      </c>
      <c r="I62" s="514" t="str">
        <f>CONCATENATE("FALLA N°",REPORTEFALLAS[[#This Row],[CONTADOR]])</f>
        <v>FALLA N°5</v>
      </c>
      <c r="J62" s="158">
        <f>COUNTIF(B62:B2054,REPORTEFALLAS[[#This Row],[N°SERIE]])</f>
        <v>5</v>
      </c>
      <c r="K62" s="549"/>
      <c r="L62" s="549"/>
      <c r="M62" s="549"/>
      <c r="N62" s="549"/>
      <c r="O62" s="549"/>
      <c r="P62" s="549"/>
    </row>
    <row r="63" spans="1:16" ht="27.6" x14ac:dyDescent="0.3">
      <c r="A63" s="549"/>
      <c r="B63" s="14">
        <v>3004402508</v>
      </c>
      <c r="C63" s="4" t="s">
        <v>1282</v>
      </c>
      <c r="D63" s="85" t="s">
        <v>1264</v>
      </c>
      <c r="E63" s="85" t="s">
        <v>1263</v>
      </c>
      <c r="F63" s="4">
        <v>43811</v>
      </c>
      <c r="G63" s="85" t="s">
        <v>1262</v>
      </c>
      <c r="H63" s="514">
        <v>95</v>
      </c>
      <c r="I63" s="514" t="str">
        <f>CONCATENATE("FALLA N°",REPORTEFALLAS[[#This Row],[CONTADOR]])</f>
        <v>FALLA N°5</v>
      </c>
      <c r="J63" s="158">
        <f>COUNTIF(B63:B2055,REPORTEFALLAS[[#This Row],[N°SERIE]])</f>
        <v>5</v>
      </c>
      <c r="K63" s="549"/>
      <c r="L63" s="549"/>
      <c r="M63" s="549"/>
      <c r="N63" s="549"/>
      <c r="O63" s="549"/>
      <c r="P63" s="549"/>
    </row>
    <row r="64" spans="1:16" ht="27.6" x14ac:dyDescent="0.3">
      <c r="A64" s="549"/>
      <c r="B64" s="14">
        <v>3004344017</v>
      </c>
      <c r="C64" s="4" t="s">
        <v>1282</v>
      </c>
      <c r="D64" s="85" t="s">
        <v>1264</v>
      </c>
      <c r="E64" s="85" t="s">
        <v>1263</v>
      </c>
      <c r="F64" s="4">
        <v>43811</v>
      </c>
      <c r="G64" s="85" t="s">
        <v>1262</v>
      </c>
      <c r="H64" s="514">
        <v>75</v>
      </c>
      <c r="I64" s="514" t="str">
        <f>CONCATENATE("FALLA N°",REPORTEFALLAS[[#This Row],[CONTADOR]])</f>
        <v>FALLA N°5</v>
      </c>
      <c r="J64" s="158">
        <f>COUNTIF(B64:B2056,REPORTEFALLAS[[#This Row],[N°SERIE]])</f>
        <v>5</v>
      </c>
      <c r="K64" s="549"/>
      <c r="L64" s="549"/>
      <c r="M64" s="549"/>
      <c r="N64" s="549"/>
      <c r="O64" s="549"/>
      <c r="P64" s="549"/>
    </row>
    <row r="65" spans="1:16" ht="27.6" x14ac:dyDescent="0.3">
      <c r="A65" s="549"/>
      <c r="B65" s="14">
        <v>3004337427</v>
      </c>
      <c r="C65" s="4" t="s">
        <v>1282</v>
      </c>
      <c r="D65" s="85" t="s">
        <v>1264</v>
      </c>
      <c r="E65" s="85" t="s">
        <v>1263</v>
      </c>
      <c r="F65" s="4">
        <v>43811</v>
      </c>
      <c r="G65" s="85" t="s">
        <v>1262</v>
      </c>
      <c r="H65" s="514">
        <v>66</v>
      </c>
      <c r="I65" s="514" t="str">
        <f>CONCATENATE("FALLA N°",REPORTEFALLAS[[#This Row],[CONTADOR]])</f>
        <v>FALLA N°4</v>
      </c>
      <c r="J65" s="158">
        <f>COUNTIF(B65:B2057,REPORTEFALLAS[[#This Row],[N°SERIE]])</f>
        <v>4</v>
      </c>
      <c r="K65" s="549"/>
      <c r="L65" s="549"/>
      <c r="M65" s="549"/>
      <c r="N65" s="549"/>
      <c r="O65" s="549"/>
      <c r="P65" s="549"/>
    </row>
    <row r="66" spans="1:16" ht="27.6" x14ac:dyDescent="0.3">
      <c r="A66" s="549"/>
      <c r="B66" s="14">
        <v>3004290366</v>
      </c>
      <c r="C66" s="4" t="s">
        <v>1282</v>
      </c>
      <c r="D66" s="85" t="s">
        <v>1264</v>
      </c>
      <c r="E66" s="85" t="s">
        <v>1263</v>
      </c>
      <c r="F66" s="4">
        <v>43811</v>
      </c>
      <c r="G66" s="85" t="s">
        <v>1262</v>
      </c>
      <c r="H66" s="514">
        <v>453</v>
      </c>
      <c r="I66" s="514" t="str">
        <f>CONCATENATE("FALLA N°",REPORTEFALLAS[[#This Row],[CONTADOR]])</f>
        <v>FALLA N°4</v>
      </c>
      <c r="J66" s="158">
        <f>COUNTIF(B66:B2058,REPORTEFALLAS[[#This Row],[N°SERIE]])</f>
        <v>4</v>
      </c>
      <c r="K66" s="549"/>
      <c r="L66" s="549"/>
      <c r="M66" s="549"/>
      <c r="N66" s="549"/>
      <c r="O66" s="549"/>
      <c r="P66" s="549"/>
    </row>
    <row r="67" spans="1:16" ht="27.6" x14ac:dyDescent="0.3">
      <c r="A67" s="549"/>
      <c r="B67" s="14">
        <v>3004381437</v>
      </c>
      <c r="C67" s="4" t="s">
        <v>1282</v>
      </c>
      <c r="D67" s="85" t="s">
        <v>1264</v>
      </c>
      <c r="E67" s="85" t="s">
        <v>1263</v>
      </c>
      <c r="F67" s="4">
        <v>43811</v>
      </c>
      <c r="G67" s="85" t="s">
        <v>1262</v>
      </c>
      <c r="H67" s="514">
        <v>35</v>
      </c>
      <c r="I67" s="514" t="str">
        <f>CONCATENATE("FALLA N°",REPORTEFALLAS[[#This Row],[CONTADOR]])</f>
        <v>FALLA N°5</v>
      </c>
      <c r="J67" s="158">
        <f>COUNTIF(B67:B2059,REPORTEFALLAS[[#This Row],[N°SERIE]])</f>
        <v>5</v>
      </c>
      <c r="K67" s="549"/>
      <c r="L67" s="549"/>
      <c r="M67" s="549"/>
      <c r="N67" s="549"/>
      <c r="O67" s="549"/>
      <c r="P67" s="549"/>
    </row>
    <row r="68" spans="1:16" ht="27.6" x14ac:dyDescent="0.3">
      <c r="A68" s="549"/>
      <c r="B68" s="14">
        <v>3004290364</v>
      </c>
      <c r="C68" s="4" t="s">
        <v>1282</v>
      </c>
      <c r="D68" s="85" t="s">
        <v>1264</v>
      </c>
      <c r="E68" s="85" t="s">
        <v>1263</v>
      </c>
      <c r="F68" s="4">
        <v>43811</v>
      </c>
      <c r="G68" s="85" t="s">
        <v>1262</v>
      </c>
      <c r="H68" s="514">
        <v>23</v>
      </c>
      <c r="I68" s="514" t="str">
        <f>CONCATENATE("FALLA N°",REPORTEFALLAS[[#This Row],[CONTADOR]])</f>
        <v>FALLA N°6</v>
      </c>
      <c r="J68" s="158">
        <f>COUNTIF(B68:B2060,REPORTEFALLAS[[#This Row],[N°SERIE]])</f>
        <v>6</v>
      </c>
      <c r="K68" s="549"/>
      <c r="L68" s="549"/>
      <c r="M68" s="549"/>
      <c r="N68" s="549"/>
      <c r="O68" s="549"/>
      <c r="P68" s="549"/>
    </row>
    <row r="69" spans="1:16" ht="27.6" x14ac:dyDescent="0.3">
      <c r="A69" s="549"/>
      <c r="B69" s="14">
        <v>3004336197</v>
      </c>
      <c r="C69" s="4" t="s">
        <v>1282</v>
      </c>
      <c r="D69" s="85" t="s">
        <v>1264</v>
      </c>
      <c r="E69" s="85" t="s">
        <v>1263</v>
      </c>
      <c r="F69" s="4">
        <v>43811</v>
      </c>
      <c r="G69" s="85" t="s">
        <v>1262</v>
      </c>
      <c r="H69" s="514">
        <v>8</v>
      </c>
      <c r="I69" s="514" t="str">
        <f>CONCATENATE("FALLA N°",REPORTEFALLAS[[#This Row],[CONTADOR]])</f>
        <v>FALLA N°5</v>
      </c>
      <c r="J69" s="158">
        <f>COUNTIF(B69:B2061,REPORTEFALLAS[[#This Row],[N°SERIE]])</f>
        <v>5</v>
      </c>
      <c r="K69" s="549"/>
      <c r="L69" s="549"/>
      <c r="M69" s="549"/>
      <c r="N69" s="549"/>
      <c r="O69" s="549"/>
      <c r="P69" s="549"/>
    </row>
    <row r="70" spans="1:16" ht="27.6" x14ac:dyDescent="0.3">
      <c r="A70" s="549"/>
      <c r="B70" s="14">
        <v>3004381435</v>
      </c>
      <c r="C70" s="4" t="s">
        <v>1282</v>
      </c>
      <c r="D70" s="85" t="s">
        <v>1264</v>
      </c>
      <c r="E70" s="85" t="s">
        <v>1263</v>
      </c>
      <c r="F70" s="4">
        <v>43811</v>
      </c>
      <c r="G70" s="85" t="s">
        <v>1262</v>
      </c>
      <c r="H70" s="514">
        <v>46</v>
      </c>
      <c r="I70" s="514" t="str">
        <f>CONCATENATE("FALLA N°",REPORTEFALLAS[[#This Row],[CONTADOR]])</f>
        <v>FALLA N°6</v>
      </c>
      <c r="J70" s="158">
        <f>COUNTIF(B70:B2062,REPORTEFALLAS[[#This Row],[N°SERIE]])</f>
        <v>6</v>
      </c>
      <c r="K70" s="549"/>
      <c r="L70" s="549"/>
      <c r="M70" s="549"/>
      <c r="N70" s="549"/>
      <c r="O70" s="549"/>
      <c r="P70" s="549"/>
    </row>
    <row r="71" spans="1:16" ht="27.6" x14ac:dyDescent="0.3">
      <c r="A71" s="549"/>
      <c r="B71" s="14">
        <v>3004290365</v>
      </c>
      <c r="C71" s="4" t="s">
        <v>1282</v>
      </c>
      <c r="D71" s="85" t="s">
        <v>1264</v>
      </c>
      <c r="E71" s="85" t="s">
        <v>1263</v>
      </c>
      <c r="F71" s="4">
        <v>43811</v>
      </c>
      <c r="G71" s="85" t="s">
        <v>1262</v>
      </c>
      <c r="H71" s="514">
        <v>234</v>
      </c>
      <c r="I71" s="514" t="str">
        <f>CONCATENATE("FALLA N°",REPORTEFALLAS[[#This Row],[CONTADOR]])</f>
        <v>FALLA N°5</v>
      </c>
      <c r="J71" s="158">
        <f>COUNTIF(B71:B2063,REPORTEFALLAS[[#This Row],[N°SERIE]])</f>
        <v>5</v>
      </c>
      <c r="K71" s="549"/>
      <c r="L71" s="549"/>
      <c r="M71" s="549"/>
      <c r="N71" s="549"/>
      <c r="O71" s="549"/>
      <c r="P71" s="549"/>
    </row>
    <row r="72" spans="1:16" ht="27.6" x14ac:dyDescent="0.3">
      <c r="A72" s="549"/>
      <c r="B72" s="14">
        <v>3004256777</v>
      </c>
      <c r="C72" s="4" t="s">
        <v>1282</v>
      </c>
      <c r="D72" s="85" t="s">
        <v>1264</v>
      </c>
      <c r="E72" s="85" t="s">
        <v>1263</v>
      </c>
      <c r="F72" s="4">
        <v>43811</v>
      </c>
      <c r="G72" s="85" t="s">
        <v>1262</v>
      </c>
      <c r="H72" s="514">
        <v>62</v>
      </c>
      <c r="I72" s="514" t="str">
        <f>CONCATENATE("FALLA N°",REPORTEFALLAS[[#This Row],[CONTADOR]])</f>
        <v>FALLA N°5</v>
      </c>
      <c r="J72" s="158">
        <f>COUNTIF(B72:B2064,REPORTEFALLAS[[#This Row],[N°SERIE]])</f>
        <v>5</v>
      </c>
      <c r="K72" s="549"/>
      <c r="L72" s="549"/>
      <c r="M72" s="549"/>
      <c r="N72" s="549"/>
      <c r="O72" s="549"/>
      <c r="P72" s="549"/>
    </row>
    <row r="73" spans="1:16" ht="27.6" x14ac:dyDescent="0.3">
      <c r="A73" s="549"/>
      <c r="B73" s="14">
        <v>3004290369</v>
      </c>
      <c r="C73" s="4" t="s">
        <v>1282</v>
      </c>
      <c r="D73" s="85" t="s">
        <v>1264</v>
      </c>
      <c r="E73" s="85" t="s">
        <v>1263</v>
      </c>
      <c r="F73" s="4">
        <v>43811</v>
      </c>
      <c r="G73" s="85" t="s">
        <v>1262</v>
      </c>
      <c r="H73" s="514">
        <v>22</v>
      </c>
      <c r="I73" s="514" t="str">
        <f>CONCATENATE("FALLA N°",REPORTEFALLAS[[#This Row],[CONTADOR]])</f>
        <v>FALLA N°4</v>
      </c>
      <c r="J73" s="158">
        <f>COUNTIF(B73:B2065,REPORTEFALLAS[[#This Row],[N°SERIE]])</f>
        <v>4</v>
      </c>
      <c r="K73" s="549"/>
      <c r="L73" s="549"/>
      <c r="M73" s="549"/>
      <c r="N73" s="549"/>
      <c r="O73" s="549"/>
      <c r="P73" s="549"/>
    </row>
    <row r="74" spans="1:16" ht="27.6" x14ac:dyDescent="0.3">
      <c r="A74" s="549"/>
      <c r="B74" s="14">
        <v>3004235514</v>
      </c>
      <c r="C74" s="4" t="s">
        <v>1282</v>
      </c>
      <c r="D74" s="85" t="s">
        <v>1264</v>
      </c>
      <c r="E74" s="85" t="s">
        <v>1263</v>
      </c>
      <c r="F74" s="4">
        <v>43811</v>
      </c>
      <c r="G74" s="85" t="s">
        <v>1262</v>
      </c>
      <c r="H74" s="514">
        <v>11.9</v>
      </c>
      <c r="I74" s="514" t="str">
        <f>CONCATENATE("FALLA N°",REPORTEFALLAS[[#This Row],[CONTADOR]])</f>
        <v>FALLA N°6</v>
      </c>
      <c r="J74" s="158">
        <f>COUNTIF(B74:B2066,REPORTEFALLAS[[#This Row],[N°SERIE]])</f>
        <v>6</v>
      </c>
      <c r="K74" s="549"/>
      <c r="L74" s="549"/>
      <c r="M74" s="549"/>
      <c r="N74" s="549"/>
      <c r="O74" s="549"/>
      <c r="P74" s="549"/>
    </row>
    <row r="75" spans="1:16" ht="27.6" x14ac:dyDescent="0.3">
      <c r="A75" s="549"/>
      <c r="B75" s="14">
        <v>3004227749</v>
      </c>
      <c r="C75" s="4" t="s">
        <v>1282</v>
      </c>
      <c r="D75" s="85" t="s">
        <v>1264</v>
      </c>
      <c r="E75" s="85" t="s">
        <v>1263</v>
      </c>
      <c r="F75" s="4">
        <v>43811</v>
      </c>
      <c r="G75" s="85" t="s">
        <v>1262</v>
      </c>
      <c r="H75" s="514">
        <v>89</v>
      </c>
      <c r="I75" s="514" t="str">
        <f>CONCATENATE("FALLA N°",REPORTEFALLAS[[#This Row],[CONTADOR]])</f>
        <v>FALLA N°5</v>
      </c>
      <c r="J75" s="158">
        <f>COUNTIF(B75:B2067,REPORTEFALLAS[[#This Row],[N°SERIE]])</f>
        <v>5</v>
      </c>
      <c r="K75" s="549"/>
      <c r="L75" s="549"/>
      <c r="M75" s="549"/>
      <c r="N75" s="549"/>
      <c r="O75" s="549"/>
      <c r="P75" s="549"/>
    </row>
    <row r="76" spans="1:16" ht="27.6" x14ac:dyDescent="0.3">
      <c r="A76" s="549"/>
      <c r="B76" s="510">
        <v>3004327722</v>
      </c>
      <c r="C76" s="511">
        <v>43808</v>
      </c>
      <c r="D76" s="510" t="s">
        <v>1278</v>
      </c>
      <c r="E76" s="510" t="s">
        <v>1277</v>
      </c>
      <c r="F76" s="511">
        <v>43809</v>
      </c>
      <c r="G76" s="510" t="s">
        <v>1276</v>
      </c>
      <c r="H76" s="515">
        <v>442.4</v>
      </c>
      <c r="I76" s="515" t="str">
        <f>CONCATENATE("FALLA N°",REPORTEFALLAS[[#This Row],[CONTADOR]])</f>
        <v>FALLA N°5</v>
      </c>
      <c r="J76" s="158">
        <f>COUNTIF(B76:B2068,REPORTEFALLAS[[#This Row],[N°SERIE]])</f>
        <v>5</v>
      </c>
      <c r="K76" s="549"/>
      <c r="L76" s="549"/>
      <c r="M76" s="549"/>
      <c r="N76" s="549"/>
      <c r="O76" s="549"/>
      <c r="P76" s="549"/>
    </row>
    <row r="77" spans="1:16" ht="27.6" x14ac:dyDescent="0.3">
      <c r="A77" s="549"/>
      <c r="B77" s="14">
        <v>3004290368</v>
      </c>
      <c r="C77" s="4">
        <v>43804</v>
      </c>
      <c r="D77" s="85" t="s">
        <v>1264</v>
      </c>
      <c r="E77" s="85" t="s">
        <v>1263</v>
      </c>
      <c r="F77" s="4">
        <v>43804</v>
      </c>
      <c r="G77" s="85" t="s">
        <v>1262</v>
      </c>
      <c r="H77" s="514">
        <v>517</v>
      </c>
      <c r="I77" s="514" t="str">
        <f>CONCATENATE("FALLA N°",REPORTEFALLAS[[#This Row],[CONTADOR]])</f>
        <v>FALLA N°4</v>
      </c>
      <c r="J77" s="158">
        <f>COUNTIF(B77:B2069,REPORTEFALLAS[[#This Row],[N°SERIE]])</f>
        <v>4</v>
      </c>
      <c r="K77" s="549"/>
      <c r="L77" s="549"/>
      <c r="M77" s="549"/>
      <c r="N77" s="549"/>
      <c r="O77" s="549"/>
      <c r="P77" s="549"/>
    </row>
    <row r="78" spans="1:16" ht="27.6" x14ac:dyDescent="0.3">
      <c r="A78" s="549"/>
      <c r="B78" s="510">
        <v>3004402508</v>
      </c>
      <c r="C78" s="511">
        <v>43767</v>
      </c>
      <c r="D78" s="510" t="s">
        <v>1281</v>
      </c>
      <c r="E78" s="510" t="s">
        <v>1280</v>
      </c>
      <c r="F78" s="511">
        <v>43802</v>
      </c>
      <c r="G78" s="510" t="s">
        <v>1279</v>
      </c>
      <c r="H78" s="515">
        <v>67</v>
      </c>
      <c r="I78" s="515" t="str">
        <f>CONCATENATE("FALLA N°",REPORTEFALLAS[[#This Row],[CONTADOR]])</f>
        <v>FALLA N°4</v>
      </c>
      <c r="J78" s="158">
        <f>COUNTIF(B78:B2070,REPORTEFALLAS[[#This Row],[N°SERIE]])</f>
        <v>4</v>
      </c>
      <c r="K78" s="549"/>
      <c r="L78" s="549"/>
      <c r="M78" s="549"/>
      <c r="N78" s="549"/>
      <c r="O78" s="549"/>
      <c r="P78" s="549"/>
    </row>
    <row r="79" spans="1:16" ht="27.6" x14ac:dyDescent="0.3">
      <c r="A79" s="549"/>
      <c r="B79" s="510">
        <v>3004290366</v>
      </c>
      <c r="C79" s="511">
        <v>43717</v>
      </c>
      <c r="D79" s="510" t="s">
        <v>1253</v>
      </c>
      <c r="E79" s="510" t="s">
        <v>1252</v>
      </c>
      <c r="F79" s="511">
        <v>43794</v>
      </c>
      <c r="G79" s="510" t="s">
        <v>1251</v>
      </c>
      <c r="H79" s="515">
        <v>14</v>
      </c>
      <c r="I79" s="515" t="str">
        <f>CONCATENATE("FALLA N°",REPORTEFALLAS[[#This Row],[CONTADOR]])</f>
        <v>FALLA N°3</v>
      </c>
      <c r="J79" s="158">
        <f>COUNTIF(B79:B2071,REPORTEFALLAS[[#This Row],[N°SERIE]])</f>
        <v>3</v>
      </c>
      <c r="K79" s="549"/>
      <c r="L79" s="549"/>
      <c r="M79" s="549"/>
      <c r="N79" s="549"/>
      <c r="O79" s="549"/>
      <c r="P79" s="549"/>
    </row>
    <row r="80" spans="1:16" ht="27.6" x14ac:dyDescent="0.3">
      <c r="A80" s="549"/>
      <c r="B80" s="510">
        <v>3004337429</v>
      </c>
      <c r="C80" s="511">
        <v>43717</v>
      </c>
      <c r="D80" s="510" t="s">
        <v>1253</v>
      </c>
      <c r="E80" s="510" t="s">
        <v>1252</v>
      </c>
      <c r="F80" s="511">
        <v>43794</v>
      </c>
      <c r="G80" s="510" t="s">
        <v>1251</v>
      </c>
      <c r="H80" s="515">
        <v>3.9</v>
      </c>
      <c r="I80" s="515" t="str">
        <f>CONCATENATE("FALLA N°",REPORTEFALLAS[[#This Row],[CONTADOR]])</f>
        <v>FALLA N°3</v>
      </c>
      <c r="J80" s="158">
        <f>COUNTIF(B80:B2072,REPORTEFALLAS[[#This Row],[N°SERIE]])</f>
        <v>3</v>
      </c>
      <c r="K80" s="549"/>
      <c r="L80" s="549"/>
      <c r="M80" s="549"/>
      <c r="N80" s="549"/>
      <c r="O80" s="549"/>
      <c r="P80" s="549"/>
    </row>
    <row r="81" spans="1:16" ht="27.6" x14ac:dyDescent="0.3">
      <c r="A81" s="549"/>
      <c r="B81" s="510">
        <v>3004337430</v>
      </c>
      <c r="C81" s="511">
        <v>43717</v>
      </c>
      <c r="D81" s="510" t="s">
        <v>1253</v>
      </c>
      <c r="E81" s="510" t="s">
        <v>1252</v>
      </c>
      <c r="F81" s="511">
        <v>43794</v>
      </c>
      <c r="G81" s="510" t="s">
        <v>1251</v>
      </c>
      <c r="H81" s="515">
        <v>14.3</v>
      </c>
      <c r="I81" s="515" t="str">
        <f>CONCATENATE("FALLA N°",REPORTEFALLAS[[#This Row],[CONTADOR]])</f>
        <v>FALLA N°3</v>
      </c>
      <c r="J81" s="158">
        <f>COUNTIF(B81:B2073,REPORTEFALLAS[[#This Row],[N°SERIE]])</f>
        <v>3</v>
      </c>
      <c r="K81" s="549"/>
      <c r="L81" s="549"/>
      <c r="M81" s="549"/>
      <c r="N81" s="549"/>
      <c r="O81" s="549"/>
      <c r="P81" s="549"/>
    </row>
    <row r="82" spans="1:16" ht="27.6" x14ac:dyDescent="0.3">
      <c r="A82" s="549"/>
      <c r="B82" s="510">
        <v>3004214491</v>
      </c>
      <c r="C82" s="511">
        <v>43717</v>
      </c>
      <c r="D82" s="510" t="s">
        <v>1253</v>
      </c>
      <c r="E82" s="510" t="s">
        <v>1252</v>
      </c>
      <c r="F82" s="511">
        <v>43794</v>
      </c>
      <c r="G82" s="510" t="s">
        <v>1251</v>
      </c>
      <c r="H82" s="515">
        <v>21</v>
      </c>
      <c r="I82" s="515" t="str">
        <f>CONCATENATE("FALLA N°",REPORTEFALLAS[[#This Row],[CONTADOR]])</f>
        <v>FALLA N°4</v>
      </c>
      <c r="J82" s="158">
        <f>COUNTIF(B82:B2074,REPORTEFALLAS[[#This Row],[N°SERIE]])</f>
        <v>4</v>
      </c>
      <c r="K82" s="549"/>
      <c r="L82" s="549"/>
      <c r="M82" s="549"/>
      <c r="N82" s="549"/>
      <c r="O82" s="549"/>
      <c r="P82" s="549"/>
    </row>
    <row r="83" spans="1:16" ht="27.6" x14ac:dyDescent="0.3">
      <c r="A83" s="549"/>
      <c r="B83" s="510">
        <v>3004337428</v>
      </c>
      <c r="C83" s="511">
        <v>43717</v>
      </c>
      <c r="D83" s="510" t="s">
        <v>1253</v>
      </c>
      <c r="E83" s="510" t="s">
        <v>1252</v>
      </c>
      <c r="F83" s="511">
        <v>43794</v>
      </c>
      <c r="G83" s="510" t="s">
        <v>1251</v>
      </c>
      <c r="H83" s="515">
        <v>18</v>
      </c>
      <c r="I83" s="515" t="str">
        <f>CONCATENATE("FALLA N°",REPORTEFALLAS[[#This Row],[CONTADOR]])</f>
        <v>FALLA N°3</v>
      </c>
      <c r="J83" s="158">
        <f>COUNTIF(B83:B2075,REPORTEFALLAS[[#This Row],[N°SERIE]])</f>
        <v>3</v>
      </c>
      <c r="K83" s="549"/>
      <c r="L83" s="549"/>
      <c r="M83" s="549"/>
      <c r="N83" s="549"/>
      <c r="O83" s="549"/>
      <c r="P83" s="549"/>
    </row>
    <row r="84" spans="1:16" ht="27.6" x14ac:dyDescent="0.3">
      <c r="A84" s="549"/>
      <c r="B84" s="510">
        <v>3004327724</v>
      </c>
      <c r="C84" s="511">
        <v>43791</v>
      </c>
      <c r="D84" s="510" t="s">
        <v>1278</v>
      </c>
      <c r="E84" s="510" t="s">
        <v>1277</v>
      </c>
      <c r="F84" s="511">
        <v>43792</v>
      </c>
      <c r="G84" s="510" t="s">
        <v>1276</v>
      </c>
      <c r="H84" s="515">
        <v>422</v>
      </c>
      <c r="I84" s="515" t="str">
        <f>CONCATENATE("FALLA N°",REPORTEFALLAS[[#This Row],[CONTADOR]])</f>
        <v>FALLA N°5</v>
      </c>
      <c r="J84" s="158">
        <f>COUNTIF(B84:B2076,REPORTEFALLAS[[#This Row],[N°SERIE]])</f>
        <v>5</v>
      </c>
      <c r="K84" s="549"/>
      <c r="L84" s="549"/>
      <c r="M84" s="549"/>
      <c r="N84" s="549"/>
      <c r="O84" s="549"/>
      <c r="P84" s="549"/>
    </row>
    <row r="85" spans="1:16" ht="27.6" x14ac:dyDescent="0.3">
      <c r="A85" s="549"/>
      <c r="B85" s="510">
        <v>3004327721</v>
      </c>
      <c r="C85" s="511">
        <v>43791</v>
      </c>
      <c r="D85" s="510" t="s">
        <v>1278</v>
      </c>
      <c r="E85" s="510" t="s">
        <v>1277</v>
      </c>
      <c r="F85" s="511">
        <v>43792</v>
      </c>
      <c r="G85" s="510" t="s">
        <v>1276</v>
      </c>
      <c r="H85" s="515">
        <v>356</v>
      </c>
      <c r="I85" s="515" t="str">
        <f>CONCATENATE("FALLA N°",REPORTEFALLAS[[#This Row],[CONTADOR]])</f>
        <v>FALLA N°6</v>
      </c>
      <c r="J85" s="158">
        <f>COUNTIF(B85:B2077,REPORTEFALLAS[[#This Row],[N°SERIE]])</f>
        <v>6</v>
      </c>
      <c r="K85" s="549"/>
      <c r="L85" s="549"/>
      <c r="M85" s="549"/>
      <c r="N85" s="549"/>
      <c r="O85" s="549"/>
      <c r="P85" s="549"/>
    </row>
    <row r="86" spans="1:16" ht="27.6" x14ac:dyDescent="0.3">
      <c r="A86" s="549"/>
      <c r="B86" s="510">
        <v>3004331705</v>
      </c>
      <c r="C86" s="511">
        <v>43791</v>
      </c>
      <c r="D86" s="510" t="s">
        <v>1278</v>
      </c>
      <c r="E86" s="510" t="s">
        <v>1277</v>
      </c>
      <c r="F86" s="511">
        <v>43792</v>
      </c>
      <c r="G86" s="510" t="s">
        <v>1276</v>
      </c>
      <c r="H86" s="515">
        <v>315</v>
      </c>
      <c r="I86" s="515" t="str">
        <f>CONCATENATE("FALLA N°",REPORTEFALLAS[[#This Row],[CONTADOR]])</f>
        <v>FALLA N°5</v>
      </c>
      <c r="J86" s="158">
        <f>COUNTIF(B86:B2078,REPORTEFALLAS[[#This Row],[N°SERIE]])</f>
        <v>5</v>
      </c>
      <c r="K86" s="549"/>
      <c r="L86" s="549"/>
      <c r="M86" s="549"/>
      <c r="N86" s="549"/>
      <c r="O86" s="549"/>
      <c r="P86" s="549"/>
    </row>
    <row r="87" spans="1:16" ht="27.6" x14ac:dyDescent="0.3">
      <c r="A87" s="549"/>
      <c r="B87" s="510">
        <v>3004331709</v>
      </c>
      <c r="C87" s="511">
        <v>43774</v>
      </c>
      <c r="D87" s="510" t="s">
        <v>1275</v>
      </c>
      <c r="E87" s="510" t="s">
        <v>1274</v>
      </c>
      <c r="F87" s="511">
        <v>43775</v>
      </c>
      <c r="G87" s="510" t="s">
        <v>1273</v>
      </c>
      <c r="H87" s="515">
        <v>313</v>
      </c>
      <c r="I87" s="515" t="str">
        <f>CONCATENATE("FALLA N°",REPORTEFALLAS[[#This Row],[CONTADOR]])</f>
        <v>FALLA N°5</v>
      </c>
      <c r="J87" s="158">
        <f>COUNTIF(B87:B2079,REPORTEFALLAS[[#This Row],[N°SERIE]])</f>
        <v>5</v>
      </c>
      <c r="K87" s="549"/>
      <c r="L87" s="549"/>
      <c r="M87" s="549"/>
      <c r="N87" s="549"/>
      <c r="O87" s="549"/>
      <c r="P87" s="549"/>
    </row>
    <row r="88" spans="1:16" ht="41.4" x14ac:dyDescent="0.3">
      <c r="A88" s="549"/>
      <c r="B88" s="510">
        <v>3004331707</v>
      </c>
      <c r="C88" s="511"/>
      <c r="D88" s="510" t="s">
        <v>1261</v>
      </c>
      <c r="E88" s="510" t="s">
        <v>1260</v>
      </c>
      <c r="F88" s="511">
        <v>43771</v>
      </c>
      <c r="G88" s="510" t="s">
        <v>1259</v>
      </c>
      <c r="H88" s="515">
        <v>198</v>
      </c>
      <c r="I88" s="515" t="str">
        <f>CONCATENATE("FALLA N°",REPORTEFALLAS[[#This Row],[CONTADOR]])</f>
        <v>FALLA N°5</v>
      </c>
      <c r="J88" s="158">
        <f>COUNTIF(B88:B2080,REPORTEFALLAS[[#This Row],[N°SERIE]])</f>
        <v>5</v>
      </c>
      <c r="K88" s="549"/>
      <c r="L88" s="549"/>
      <c r="M88" s="549"/>
      <c r="N88" s="549"/>
      <c r="O88" s="549"/>
      <c r="P88" s="549"/>
    </row>
    <row r="89" spans="1:16" ht="27.6" x14ac:dyDescent="0.3">
      <c r="A89" s="549"/>
      <c r="B89" s="510">
        <v>3004418790</v>
      </c>
      <c r="C89" s="511">
        <v>43767</v>
      </c>
      <c r="D89" s="510" t="s">
        <v>1250</v>
      </c>
      <c r="E89" s="510" t="s">
        <v>1249</v>
      </c>
      <c r="F89" s="511">
        <v>43770</v>
      </c>
      <c r="G89" s="510" t="s">
        <v>1248</v>
      </c>
      <c r="H89" s="515">
        <v>4.7</v>
      </c>
      <c r="I89" s="515" t="str">
        <f>CONCATENATE("FALLA N°",REPORTEFALLAS[[#This Row],[CONTADOR]])</f>
        <v>FALLA N°3</v>
      </c>
      <c r="J89" s="158">
        <f>COUNTIF(B89:B2081,REPORTEFALLAS[[#This Row],[N°SERIE]])</f>
        <v>3</v>
      </c>
      <c r="K89" s="549"/>
      <c r="L89" s="549"/>
      <c r="M89" s="549"/>
      <c r="N89" s="549"/>
      <c r="O89" s="549"/>
      <c r="P89" s="549"/>
    </row>
    <row r="90" spans="1:16" ht="27.6" x14ac:dyDescent="0.3">
      <c r="A90" s="549"/>
      <c r="B90" s="510">
        <v>3004381437</v>
      </c>
      <c r="C90" s="511">
        <v>43737</v>
      </c>
      <c r="D90" s="510" t="s">
        <v>1250</v>
      </c>
      <c r="E90" s="510" t="s">
        <v>1249</v>
      </c>
      <c r="F90" s="511">
        <v>43768</v>
      </c>
      <c r="G90" s="510" t="s">
        <v>1248</v>
      </c>
      <c r="H90" s="515">
        <v>22</v>
      </c>
      <c r="I90" s="515" t="str">
        <f>CONCATENATE("FALLA N°",REPORTEFALLAS[[#This Row],[CONTADOR]])</f>
        <v>FALLA N°4</v>
      </c>
      <c r="J90" s="158">
        <f>COUNTIF(B90:B2082,REPORTEFALLAS[[#This Row],[N°SERIE]])</f>
        <v>4</v>
      </c>
      <c r="K90" s="549"/>
      <c r="L90" s="549"/>
      <c r="M90" s="549"/>
      <c r="N90" s="549"/>
      <c r="O90" s="549"/>
      <c r="P90" s="549"/>
    </row>
    <row r="91" spans="1:16" x14ac:dyDescent="0.3">
      <c r="A91" s="549"/>
      <c r="B91" s="510">
        <v>3004290368</v>
      </c>
      <c r="C91" s="511">
        <v>43745</v>
      </c>
      <c r="D91" s="510" t="s">
        <v>1269</v>
      </c>
      <c r="E91" s="510" t="s">
        <v>1297</v>
      </c>
      <c r="F91" s="511">
        <v>43768</v>
      </c>
      <c r="G91" s="510" t="s">
        <v>1267</v>
      </c>
      <c r="H91" s="515">
        <v>56</v>
      </c>
      <c r="I91" s="515" t="str">
        <f>CONCATENATE("FALLA N°",REPORTEFALLAS[[#This Row],[CONTADOR]])</f>
        <v>FALLA N°3</v>
      </c>
      <c r="J91" s="158">
        <f>COUNTIF(B91:B2083,REPORTEFALLAS[[#This Row],[N°SERIE]])</f>
        <v>3</v>
      </c>
      <c r="K91" s="549"/>
      <c r="L91" s="549"/>
      <c r="M91" s="549"/>
      <c r="N91" s="549"/>
      <c r="O91" s="549"/>
      <c r="P91" s="549"/>
    </row>
    <row r="92" spans="1:16" ht="27.6" x14ac:dyDescent="0.3">
      <c r="A92" s="549"/>
      <c r="B92" s="14">
        <v>3004337388</v>
      </c>
      <c r="C92" s="4">
        <v>43766</v>
      </c>
      <c r="D92" s="85" t="s">
        <v>1256</v>
      </c>
      <c r="E92" s="85" t="s">
        <v>1255</v>
      </c>
      <c r="F92" s="4">
        <v>43768</v>
      </c>
      <c r="G92" s="85" t="s">
        <v>1254</v>
      </c>
      <c r="H92" s="514">
        <v>98</v>
      </c>
      <c r="I92" s="514" t="str">
        <f>CONCATENATE("FALLA N°",REPORTEFALLAS[[#This Row],[CONTADOR]])</f>
        <v>FALLA N°3</v>
      </c>
      <c r="J92" s="158">
        <f>COUNTIF(B92:B2084,REPORTEFALLAS[[#This Row],[N°SERIE]])</f>
        <v>3</v>
      </c>
      <c r="K92" s="549"/>
      <c r="L92" s="549"/>
      <c r="M92" s="549"/>
      <c r="N92" s="549"/>
      <c r="O92" s="549"/>
      <c r="P92" s="549"/>
    </row>
    <row r="93" spans="1:16" ht="27.6" x14ac:dyDescent="0.3">
      <c r="A93" s="549"/>
      <c r="B93" s="14">
        <v>3004381435</v>
      </c>
      <c r="C93" s="4">
        <v>43765</v>
      </c>
      <c r="D93" s="85" t="s">
        <v>1256</v>
      </c>
      <c r="E93" s="85" t="s">
        <v>1255</v>
      </c>
      <c r="F93" s="4">
        <v>43768</v>
      </c>
      <c r="G93" s="85" t="s">
        <v>1254</v>
      </c>
      <c r="H93" s="514">
        <v>34</v>
      </c>
      <c r="I93" s="514" t="str">
        <f>CONCATENATE("FALLA N°",REPORTEFALLAS[[#This Row],[CONTADOR]])</f>
        <v>FALLA N°5</v>
      </c>
      <c r="J93" s="158">
        <f>COUNTIF(B93:B2085,REPORTEFALLAS[[#This Row],[N°SERIE]])</f>
        <v>5</v>
      </c>
      <c r="K93" s="549"/>
      <c r="L93" s="549"/>
      <c r="M93" s="549"/>
      <c r="N93" s="549"/>
      <c r="O93" s="549"/>
      <c r="P93" s="549"/>
    </row>
    <row r="94" spans="1:16" ht="27.6" x14ac:dyDescent="0.3">
      <c r="A94" s="549"/>
      <c r="B94" s="510">
        <v>3004290368</v>
      </c>
      <c r="C94" s="511">
        <v>43717</v>
      </c>
      <c r="D94" s="510" t="s">
        <v>1253</v>
      </c>
      <c r="E94" s="510" t="s">
        <v>1252</v>
      </c>
      <c r="F94" s="511">
        <v>43763</v>
      </c>
      <c r="G94" s="510" t="s">
        <v>1251</v>
      </c>
      <c r="H94" s="515">
        <v>7.4</v>
      </c>
      <c r="I94" s="515" t="str">
        <f>CONCATENATE("FALLA N°",REPORTEFALLAS[[#This Row],[CONTADOR]])</f>
        <v>FALLA N°2</v>
      </c>
      <c r="J94" s="158">
        <f>COUNTIF(B94:B2086,REPORTEFALLAS[[#This Row],[N°SERIE]])</f>
        <v>2</v>
      </c>
      <c r="K94" s="549"/>
      <c r="L94" s="549"/>
      <c r="M94" s="549"/>
      <c r="N94" s="549"/>
      <c r="O94" s="549"/>
      <c r="P94" s="549"/>
    </row>
    <row r="95" spans="1:16" ht="27.6" x14ac:dyDescent="0.3">
      <c r="A95" s="549"/>
      <c r="B95" s="510">
        <v>3004218547</v>
      </c>
      <c r="C95" s="511">
        <v>43717</v>
      </c>
      <c r="D95" s="510" t="s">
        <v>1253</v>
      </c>
      <c r="E95" s="510" t="s">
        <v>1252</v>
      </c>
      <c r="F95" s="511">
        <v>43763</v>
      </c>
      <c r="G95" s="510" t="s">
        <v>1251</v>
      </c>
      <c r="H95" s="515">
        <v>32</v>
      </c>
      <c r="I95" s="515" t="str">
        <f>CONCATENATE("FALLA N°",REPORTEFALLAS[[#This Row],[CONTADOR]])</f>
        <v>FALLA N°3</v>
      </c>
      <c r="J95" s="158">
        <f>COUNTIF(B95:B2087,REPORTEFALLAS[[#This Row],[N°SERIE]])</f>
        <v>3</v>
      </c>
      <c r="K95" s="549"/>
      <c r="L95" s="549"/>
      <c r="M95" s="549"/>
      <c r="N95" s="549"/>
      <c r="O95" s="549"/>
      <c r="P95" s="549"/>
    </row>
    <row r="96" spans="1:16" ht="27.6" x14ac:dyDescent="0.3">
      <c r="A96" s="549"/>
      <c r="B96" s="510">
        <v>3004327725</v>
      </c>
      <c r="C96" s="511">
        <v>43717</v>
      </c>
      <c r="D96" s="510" t="s">
        <v>1253</v>
      </c>
      <c r="E96" s="510" t="s">
        <v>1252</v>
      </c>
      <c r="F96" s="511">
        <v>43763</v>
      </c>
      <c r="G96" s="510" t="s">
        <v>1251</v>
      </c>
      <c r="H96" s="515">
        <v>12.9</v>
      </c>
      <c r="I96" s="515" t="str">
        <f>CONCATENATE("FALLA N°",REPORTEFALLAS[[#This Row],[CONTADOR]])</f>
        <v>FALLA N°4</v>
      </c>
      <c r="J96" s="158">
        <f>COUNTIF(B96:B2088,REPORTEFALLAS[[#This Row],[N°SERIE]])</f>
        <v>4</v>
      </c>
      <c r="K96" s="549"/>
      <c r="L96" s="549"/>
      <c r="M96" s="549"/>
      <c r="N96" s="549"/>
      <c r="O96" s="549"/>
      <c r="P96" s="549"/>
    </row>
    <row r="97" spans="1:16" ht="27.6" x14ac:dyDescent="0.3">
      <c r="A97" s="549"/>
      <c r="B97" s="510">
        <v>3004381435</v>
      </c>
      <c r="C97" s="511">
        <v>43717</v>
      </c>
      <c r="D97" s="510" t="s">
        <v>1253</v>
      </c>
      <c r="E97" s="510" t="s">
        <v>1252</v>
      </c>
      <c r="F97" s="511">
        <v>43763</v>
      </c>
      <c r="G97" s="510" t="s">
        <v>1251</v>
      </c>
      <c r="H97" s="515">
        <v>11.8</v>
      </c>
      <c r="I97" s="515" t="str">
        <f>CONCATENATE("FALLA N°",REPORTEFALLAS[[#This Row],[CONTADOR]])</f>
        <v>FALLA N°4</v>
      </c>
      <c r="J97" s="158">
        <f>COUNTIF(B97:B2089,REPORTEFALLAS[[#This Row],[N°SERIE]])</f>
        <v>4</v>
      </c>
      <c r="K97" s="549"/>
      <c r="L97" s="549"/>
      <c r="M97" s="549"/>
      <c r="N97" s="549"/>
      <c r="O97" s="549"/>
      <c r="P97" s="549"/>
    </row>
    <row r="98" spans="1:16" ht="27.6" x14ac:dyDescent="0.3">
      <c r="A98" s="549"/>
      <c r="B98" s="510">
        <v>3004290365</v>
      </c>
      <c r="C98" s="511">
        <v>43717</v>
      </c>
      <c r="D98" s="510" t="s">
        <v>1253</v>
      </c>
      <c r="E98" s="510" t="s">
        <v>1252</v>
      </c>
      <c r="F98" s="511">
        <v>43763</v>
      </c>
      <c r="G98" s="510" t="s">
        <v>1251</v>
      </c>
      <c r="H98" s="515">
        <v>11.7</v>
      </c>
      <c r="I98" s="515" t="str">
        <f>CONCATENATE("FALLA N°",REPORTEFALLAS[[#This Row],[CONTADOR]])</f>
        <v>FALLA N°4</v>
      </c>
      <c r="J98" s="158">
        <f>COUNTIF(B98:B2090,REPORTEFALLAS[[#This Row],[N°SERIE]])</f>
        <v>4</v>
      </c>
      <c r="K98" s="549"/>
      <c r="L98" s="549"/>
      <c r="M98" s="549"/>
      <c r="N98" s="549"/>
      <c r="O98" s="549"/>
      <c r="P98" s="549"/>
    </row>
    <row r="99" spans="1:16" x14ac:dyDescent="0.3">
      <c r="A99" s="549"/>
      <c r="B99" s="510">
        <v>3004331707</v>
      </c>
      <c r="C99" s="511">
        <v>43761</v>
      </c>
      <c r="D99" s="510" t="s">
        <v>1269</v>
      </c>
      <c r="E99" s="510" t="s">
        <v>1268</v>
      </c>
      <c r="F99" s="511">
        <v>43763</v>
      </c>
      <c r="G99" s="510" t="s">
        <v>1267</v>
      </c>
      <c r="H99" s="515">
        <v>14.4</v>
      </c>
      <c r="I99" s="515" t="str">
        <f>CONCATENATE("FALLA N°",REPORTEFALLAS[[#This Row],[CONTADOR]])</f>
        <v>FALLA N°4</v>
      </c>
      <c r="J99" s="158">
        <f>COUNTIF(B99:B2091,REPORTEFALLAS[[#This Row],[N°SERIE]])</f>
        <v>4</v>
      </c>
      <c r="K99" s="549"/>
      <c r="L99" s="549"/>
      <c r="M99" s="549"/>
      <c r="N99" s="549"/>
      <c r="O99" s="549"/>
      <c r="P99" s="549"/>
    </row>
    <row r="100" spans="1:16" x14ac:dyDescent="0.3">
      <c r="A100" s="549"/>
      <c r="B100" s="510">
        <v>3004381437</v>
      </c>
      <c r="C100" s="511">
        <v>43761</v>
      </c>
      <c r="D100" s="510" t="s">
        <v>1269</v>
      </c>
      <c r="E100" s="510" t="s">
        <v>1268</v>
      </c>
      <c r="F100" s="511">
        <v>43763</v>
      </c>
      <c r="G100" s="510" t="s">
        <v>1267</v>
      </c>
      <c r="H100" s="515">
        <v>18</v>
      </c>
      <c r="I100" s="515" t="str">
        <f>CONCATENATE("FALLA N°",REPORTEFALLAS[[#This Row],[CONTADOR]])</f>
        <v>FALLA N°3</v>
      </c>
      <c r="J100" s="158">
        <f>COUNTIF(B100:B2092,REPORTEFALLAS[[#This Row],[N°SERIE]])</f>
        <v>3</v>
      </c>
      <c r="K100" s="549"/>
      <c r="L100" s="549"/>
      <c r="M100" s="549"/>
      <c r="N100" s="549"/>
      <c r="O100" s="549"/>
      <c r="P100" s="549"/>
    </row>
    <row r="101" spans="1:16" x14ac:dyDescent="0.3">
      <c r="A101" s="549"/>
      <c r="B101" s="510">
        <v>3004290364</v>
      </c>
      <c r="C101" s="511">
        <v>43761</v>
      </c>
      <c r="D101" s="510" t="s">
        <v>1269</v>
      </c>
      <c r="E101" s="510" t="s">
        <v>1268</v>
      </c>
      <c r="F101" s="511">
        <v>43763</v>
      </c>
      <c r="G101" s="510" t="s">
        <v>1267</v>
      </c>
      <c r="H101" s="515">
        <v>14.5</v>
      </c>
      <c r="I101" s="515" t="str">
        <f>CONCATENATE("FALLA N°",REPORTEFALLAS[[#This Row],[CONTADOR]])</f>
        <v>FALLA N°5</v>
      </c>
      <c r="J101" s="158">
        <f>COUNTIF(B101:B2093,REPORTEFALLAS[[#This Row],[N°SERIE]])</f>
        <v>5</v>
      </c>
      <c r="K101" s="549"/>
      <c r="L101" s="549"/>
      <c r="M101" s="549"/>
      <c r="N101" s="549"/>
      <c r="O101" s="549"/>
      <c r="P101" s="549"/>
    </row>
    <row r="102" spans="1:16" x14ac:dyDescent="0.3">
      <c r="A102" s="549"/>
      <c r="B102" s="510">
        <v>3004336197</v>
      </c>
      <c r="C102" s="511">
        <v>43761</v>
      </c>
      <c r="D102" s="510" t="s">
        <v>1269</v>
      </c>
      <c r="E102" s="510" t="s">
        <v>1268</v>
      </c>
      <c r="F102" s="511">
        <v>43763</v>
      </c>
      <c r="G102" s="510" t="s">
        <v>1267</v>
      </c>
      <c r="H102" s="515">
        <v>29.9</v>
      </c>
      <c r="I102" s="515" t="str">
        <f>CONCATENATE("FALLA N°",REPORTEFALLAS[[#This Row],[CONTADOR]])</f>
        <v>FALLA N°4</v>
      </c>
      <c r="J102" s="158">
        <f>COUNTIF(B102:B2094,REPORTEFALLAS[[#This Row],[N°SERIE]])</f>
        <v>4</v>
      </c>
      <c r="K102" s="549"/>
      <c r="L102" s="549"/>
      <c r="M102" s="549"/>
      <c r="N102" s="549"/>
      <c r="O102" s="549"/>
      <c r="P102" s="549"/>
    </row>
    <row r="103" spans="1:16" x14ac:dyDescent="0.3">
      <c r="A103" s="549"/>
      <c r="B103" s="510">
        <v>3004381435</v>
      </c>
      <c r="C103" s="511">
        <v>43761</v>
      </c>
      <c r="D103" s="510" t="s">
        <v>1269</v>
      </c>
      <c r="E103" s="510" t="s">
        <v>1268</v>
      </c>
      <c r="F103" s="511">
        <v>43763</v>
      </c>
      <c r="G103" s="510" t="s">
        <v>1267</v>
      </c>
      <c r="H103" s="515">
        <v>11.9</v>
      </c>
      <c r="I103" s="515" t="str">
        <f>CONCATENATE("FALLA N°",REPORTEFALLAS[[#This Row],[CONTADOR]])</f>
        <v>FALLA N°3</v>
      </c>
      <c r="J103" s="158">
        <f>COUNTIF(B103:B2095,REPORTEFALLAS[[#This Row],[N°SERIE]])</f>
        <v>3</v>
      </c>
      <c r="K103" s="549"/>
      <c r="L103" s="549"/>
      <c r="M103" s="549"/>
      <c r="N103" s="549"/>
      <c r="O103" s="549"/>
      <c r="P103" s="549"/>
    </row>
    <row r="104" spans="1:16" x14ac:dyDescent="0.3">
      <c r="A104" s="549"/>
      <c r="B104" s="510">
        <v>3004290365</v>
      </c>
      <c r="C104" s="511">
        <v>43761</v>
      </c>
      <c r="D104" s="510" t="s">
        <v>1269</v>
      </c>
      <c r="E104" s="510" t="s">
        <v>1268</v>
      </c>
      <c r="F104" s="511">
        <v>43763</v>
      </c>
      <c r="G104" s="510" t="s">
        <v>1267</v>
      </c>
      <c r="H104" s="515">
        <v>12</v>
      </c>
      <c r="I104" s="515" t="str">
        <f>CONCATENATE("FALLA N°",REPORTEFALLAS[[#This Row],[CONTADOR]])</f>
        <v>FALLA N°3</v>
      </c>
      <c r="J104" s="158">
        <f>COUNTIF(B104:B2096,REPORTEFALLAS[[#This Row],[N°SERIE]])</f>
        <v>3</v>
      </c>
      <c r="K104" s="549"/>
      <c r="L104" s="549"/>
      <c r="M104" s="549"/>
      <c r="N104" s="549"/>
      <c r="O104" s="549"/>
      <c r="P104" s="549"/>
    </row>
    <row r="105" spans="1:16" x14ac:dyDescent="0.3">
      <c r="A105" s="549"/>
      <c r="B105" s="510">
        <v>3004256777</v>
      </c>
      <c r="C105" s="511">
        <v>43761</v>
      </c>
      <c r="D105" s="510" t="s">
        <v>1269</v>
      </c>
      <c r="E105" s="510" t="s">
        <v>1268</v>
      </c>
      <c r="F105" s="511">
        <v>43763</v>
      </c>
      <c r="G105" s="510" t="s">
        <v>1267</v>
      </c>
      <c r="H105" s="515">
        <v>45</v>
      </c>
      <c r="I105" s="515" t="str">
        <f>CONCATENATE("FALLA N°",REPORTEFALLAS[[#This Row],[CONTADOR]])</f>
        <v>FALLA N°4</v>
      </c>
      <c r="J105" s="158">
        <f>COUNTIF(B105:B2097,REPORTEFALLAS[[#This Row],[N°SERIE]])</f>
        <v>4</v>
      </c>
      <c r="K105" s="549"/>
      <c r="L105" s="549"/>
      <c r="M105" s="549"/>
      <c r="N105" s="549"/>
      <c r="O105" s="549"/>
      <c r="P105" s="549"/>
    </row>
    <row r="106" spans="1:16" x14ac:dyDescent="0.3">
      <c r="A106" s="549"/>
      <c r="B106" s="510">
        <v>3004290369</v>
      </c>
      <c r="C106" s="511">
        <v>43761</v>
      </c>
      <c r="D106" s="510" t="s">
        <v>1269</v>
      </c>
      <c r="E106" s="510" t="s">
        <v>1268</v>
      </c>
      <c r="F106" s="511">
        <v>43763</v>
      </c>
      <c r="G106" s="510" t="s">
        <v>1267</v>
      </c>
      <c r="H106" s="515">
        <v>25</v>
      </c>
      <c r="I106" s="515" t="str">
        <f>CONCATENATE("FALLA N°",REPORTEFALLAS[[#This Row],[CONTADOR]])</f>
        <v>FALLA N°3</v>
      </c>
      <c r="J106" s="158">
        <f>COUNTIF(B106:B2098,REPORTEFALLAS[[#This Row],[N°SERIE]])</f>
        <v>3</v>
      </c>
      <c r="K106" s="549"/>
      <c r="L106" s="549"/>
      <c r="M106" s="549"/>
      <c r="N106" s="549"/>
      <c r="O106" s="549"/>
      <c r="P106" s="549"/>
    </row>
    <row r="107" spans="1:16" ht="27.6" x14ac:dyDescent="0.3">
      <c r="A107" s="549"/>
      <c r="B107" s="510">
        <v>3004327721</v>
      </c>
      <c r="C107" s="511">
        <v>43761</v>
      </c>
      <c r="D107" s="510" t="s">
        <v>1272</v>
      </c>
      <c r="E107" s="510" t="s">
        <v>1271</v>
      </c>
      <c r="F107" s="511">
        <v>43762</v>
      </c>
      <c r="G107" s="510" t="s">
        <v>1270</v>
      </c>
      <c r="H107" s="515">
        <v>176.5</v>
      </c>
      <c r="I107" s="515" t="str">
        <f>CONCATENATE("FALLA N°",REPORTEFALLAS[[#This Row],[CONTADOR]])</f>
        <v>FALLA N°5</v>
      </c>
      <c r="J107" s="158">
        <f>COUNTIF(B107:B2099,REPORTEFALLAS[[#This Row],[N°SERIE]])</f>
        <v>5</v>
      </c>
      <c r="K107" s="549"/>
      <c r="L107" s="549"/>
      <c r="M107" s="549"/>
      <c r="N107" s="549"/>
      <c r="O107" s="549"/>
      <c r="P107" s="549"/>
    </row>
    <row r="108" spans="1:16" ht="27.6" x14ac:dyDescent="0.3">
      <c r="A108" s="549"/>
      <c r="B108" s="510">
        <v>3004331708</v>
      </c>
      <c r="C108" s="511">
        <v>43761</v>
      </c>
      <c r="D108" s="510" t="s">
        <v>1272</v>
      </c>
      <c r="E108" s="510" t="s">
        <v>1271</v>
      </c>
      <c r="F108" s="511">
        <v>43762</v>
      </c>
      <c r="G108" s="510" t="s">
        <v>1270</v>
      </c>
      <c r="H108" s="515">
        <v>176</v>
      </c>
      <c r="I108" s="515" t="str">
        <f>CONCATENATE("FALLA N°",REPORTEFALLAS[[#This Row],[CONTADOR]])</f>
        <v>FALLA N°5</v>
      </c>
      <c r="J108" s="158">
        <f>COUNTIF(B108:B2100,REPORTEFALLAS[[#This Row],[N°SERIE]])</f>
        <v>5</v>
      </c>
      <c r="K108" s="549"/>
      <c r="L108" s="549"/>
      <c r="M108" s="549"/>
      <c r="N108" s="549"/>
      <c r="O108" s="549"/>
      <c r="P108" s="549"/>
    </row>
    <row r="109" spans="1:16" x14ac:dyDescent="0.3">
      <c r="A109" s="549"/>
      <c r="B109" s="510">
        <v>3004327724</v>
      </c>
      <c r="C109" s="511">
        <v>43759</v>
      </c>
      <c r="D109" s="510" t="s">
        <v>1269</v>
      </c>
      <c r="E109" s="510" t="s">
        <v>1268</v>
      </c>
      <c r="F109" s="511">
        <v>43761</v>
      </c>
      <c r="G109" s="510" t="s">
        <v>1267</v>
      </c>
      <c r="H109" s="515">
        <v>246</v>
      </c>
      <c r="I109" s="515" t="str">
        <f>CONCATENATE("FALLA N°",REPORTEFALLAS[[#This Row],[CONTADOR]])</f>
        <v>FALLA N°4</v>
      </c>
      <c r="J109" s="158">
        <f>COUNTIF(B109:B2101,REPORTEFALLAS[[#This Row],[N°SERIE]])</f>
        <v>4</v>
      </c>
      <c r="K109" s="549"/>
      <c r="L109" s="549"/>
      <c r="M109" s="549"/>
      <c r="N109" s="549"/>
      <c r="O109" s="549"/>
      <c r="P109" s="549"/>
    </row>
    <row r="110" spans="1:16" x14ac:dyDescent="0.3">
      <c r="A110" s="549"/>
      <c r="B110" s="510">
        <v>3004327721</v>
      </c>
      <c r="C110" s="511">
        <v>43759</v>
      </c>
      <c r="D110" s="510" t="s">
        <v>1269</v>
      </c>
      <c r="E110" s="510" t="s">
        <v>1268</v>
      </c>
      <c r="F110" s="511">
        <v>43761</v>
      </c>
      <c r="G110" s="510" t="s">
        <v>1267</v>
      </c>
      <c r="H110" s="515">
        <v>167</v>
      </c>
      <c r="I110" s="515" t="str">
        <f>CONCATENATE("FALLA N°",REPORTEFALLAS[[#This Row],[CONTADOR]])</f>
        <v>FALLA N°4</v>
      </c>
      <c r="J110" s="158">
        <f>COUNTIF(B110:B2102,REPORTEFALLAS[[#This Row],[N°SERIE]])</f>
        <v>4</v>
      </c>
      <c r="K110" s="549"/>
      <c r="L110" s="549"/>
      <c r="M110" s="549"/>
      <c r="N110" s="549"/>
      <c r="O110" s="549"/>
      <c r="P110" s="549"/>
    </row>
    <row r="111" spans="1:16" x14ac:dyDescent="0.3">
      <c r="A111" s="549"/>
      <c r="B111" s="510">
        <v>3004327722</v>
      </c>
      <c r="C111" s="511">
        <v>43759</v>
      </c>
      <c r="D111" s="510" t="s">
        <v>1269</v>
      </c>
      <c r="E111" s="510" t="s">
        <v>1268</v>
      </c>
      <c r="F111" s="511">
        <v>43761</v>
      </c>
      <c r="G111" s="510" t="s">
        <v>1267</v>
      </c>
      <c r="H111" s="515">
        <v>198</v>
      </c>
      <c r="I111" s="515" t="str">
        <f>CONCATENATE("FALLA N°",REPORTEFALLAS[[#This Row],[CONTADOR]])</f>
        <v>FALLA N°4</v>
      </c>
      <c r="J111" s="158">
        <f>COUNTIF(B111:B2103,REPORTEFALLAS[[#This Row],[N°SERIE]])</f>
        <v>4</v>
      </c>
      <c r="K111" s="549"/>
      <c r="L111" s="549"/>
      <c r="M111" s="549"/>
      <c r="N111" s="549"/>
      <c r="O111" s="549"/>
      <c r="P111" s="549"/>
    </row>
    <row r="112" spans="1:16" x14ac:dyDescent="0.3">
      <c r="A112" s="549"/>
      <c r="B112" s="510">
        <v>3004336198</v>
      </c>
      <c r="C112" s="511">
        <v>43759</v>
      </c>
      <c r="D112" s="510" t="s">
        <v>1269</v>
      </c>
      <c r="E112" s="510" t="s">
        <v>1268</v>
      </c>
      <c r="F112" s="511">
        <v>43761</v>
      </c>
      <c r="G112" s="510" t="s">
        <v>1267</v>
      </c>
      <c r="H112" s="515">
        <v>211</v>
      </c>
      <c r="I112" s="515" t="str">
        <f>CONCATENATE("FALLA N°",REPORTEFALLAS[[#This Row],[CONTADOR]])</f>
        <v>FALLA N°3</v>
      </c>
      <c r="J112" s="158">
        <f>COUNTIF(B112:B2104,REPORTEFALLAS[[#This Row],[N°SERIE]])</f>
        <v>3</v>
      </c>
      <c r="K112" s="549"/>
      <c r="L112" s="549"/>
      <c r="M112" s="549"/>
      <c r="N112" s="549"/>
      <c r="O112" s="549"/>
      <c r="P112" s="549"/>
    </row>
    <row r="113" spans="1:16" x14ac:dyDescent="0.3">
      <c r="A113" s="549"/>
      <c r="B113" s="510">
        <v>3004331705</v>
      </c>
      <c r="C113" s="511">
        <v>43759</v>
      </c>
      <c r="D113" s="510" t="s">
        <v>1269</v>
      </c>
      <c r="E113" s="510" t="s">
        <v>1268</v>
      </c>
      <c r="F113" s="511">
        <v>43761</v>
      </c>
      <c r="G113" s="510" t="s">
        <v>1267</v>
      </c>
      <c r="H113" s="515">
        <v>213</v>
      </c>
      <c r="I113" s="515" t="str">
        <f>CONCATENATE("FALLA N°",REPORTEFALLAS[[#This Row],[CONTADOR]])</f>
        <v>FALLA N°4</v>
      </c>
      <c r="J113" s="158">
        <f>COUNTIF(B113:B2105,REPORTEFALLAS[[#This Row],[N°SERIE]])</f>
        <v>4</v>
      </c>
      <c r="K113" s="549"/>
      <c r="L113" s="549"/>
      <c r="M113" s="549"/>
      <c r="N113" s="549"/>
      <c r="O113" s="549"/>
      <c r="P113" s="549"/>
    </row>
    <row r="114" spans="1:16" x14ac:dyDescent="0.3">
      <c r="A114" s="549"/>
      <c r="B114" s="510">
        <v>3004331708</v>
      </c>
      <c r="C114" s="511">
        <v>43759</v>
      </c>
      <c r="D114" s="510" t="s">
        <v>1269</v>
      </c>
      <c r="E114" s="510" t="s">
        <v>1268</v>
      </c>
      <c r="F114" s="511">
        <v>43761</v>
      </c>
      <c r="G114" s="510" t="s">
        <v>1267</v>
      </c>
      <c r="H114" s="515">
        <v>145</v>
      </c>
      <c r="I114" s="515" t="str">
        <f>CONCATENATE("FALLA N°",REPORTEFALLAS[[#This Row],[CONTADOR]])</f>
        <v>FALLA N°4</v>
      </c>
      <c r="J114" s="158">
        <f>COUNTIF(B114:B2106,REPORTEFALLAS[[#This Row],[N°SERIE]])</f>
        <v>4</v>
      </c>
      <c r="K114" s="549"/>
      <c r="L114" s="549"/>
      <c r="M114" s="549"/>
      <c r="N114" s="549"/>
      <c r="O114" s="549"/>
      <c r="P114" s="549"/>
    </row>
    <row r="115" spans="1:16" x14ac:dyDescent="0.3">
      <c r="A115" s="549"/>
      <c r="B115" s="510">
        <v>3004327723</v>
      </c>
      <c r="C115" s="511">
        <v>43759</v>
      </c>
      <c r="D115" s="510" t="s">
        <v>1269</v>
      </c>
      <c r="E115" s="510" t="s">
        <v>1268</v>
      </c>
      <c r="F115" s="511">
        <v>43761</v>
      </c>
      <c r="G115" s="510" t="s">
        <v>1267</v>
      </c>
      <c r="H115" s="515">
        <v>186</v>
      </c>
      <c r="I115" s="515" t="str">
        <f>CONCATENATE("FALLA N°",REPORTEFALLAS[[#This Row],[CONTADOR]])</f>
        <v>FALLA N°4</v>
      </c>
      <c r="J115" s="158">
        <f>COUNTIF(B115:B2107,REPORTEFALLAS[[#This Row],[N°SERIE]])</f>
        <v>4</v>
      </c>
      <c r="K115" s="549"/>
      <c r="L115" s="549"/>
      <c r="M115" s="549"/>
      <c r="N115" s="549"/>
      <c r="O115" s="549"/>
      <c r="P115" s="549"/>
    </row>
    <row r="116" spans="1:16" x14ac:dyDescent="0.3">
      <c r="A116" s="549"/>
      <c r="B116" s="510">
        <v>3004331709</v>
      </c>
      <c r="C116" s="511">
        <v>43759</v>
      </c>
      <c r="D116" s="510" t="s">
        <v>1269</v>
      </c>
      <c r="E116" s="510" t="s">
        <v>1268</v>
      </c>
      <c r="F116" s="511">
        <v>43761</v>
      </c>
      <c r="G116" s="510" t="s">
        <v>1267</v>
      </c>
      <c r="H116" s="515">
        <v>197</v>
      </c>
      <c r="I116" s="515" t="str">
        <f>CONCATENATE("FALLA N°",REPORTEFALLAS[[#This Row],[CONTADOR]])</f>
        <v>FALLA N°4</v>
      </c>
      <c r="J116" s="158">
        <f>COUNTIF(B116:B2108,REPORTEFALLAS[[#This Row],[N°SERIE]])</f>
        <v>4</v>
      </c>
      <c r="K116" s="549"/>
      <c r="L116" s="549"/>
      <c r="M116" s="549"/>
      <c r="N116" s="549"/>
      <c r="O116" s="549"/>
      <c r="P116" s="549"/>
    </row>
    <row r="117" spans="1:16" ht="41.4" x14ac:dyDescent="0.3">
      <c r="A117" s="549"/>
      <c r="B117" s="510">
        <v>3004402506</v>
      </c>
      <c r="C117" s="511"/>
      <c r="D117" s="510" t="s">
        <v>1261</v>
      </c>
      <c r="E117" s="510" t="s">
        <v>1260</v>
      </c>
      <c r="F117" s="511">
        <v>43761</v>
      </c>
      <c r="G117" s="510" t="s">
        <v>1259</v>
      </c>
      <c r="H117" s="515">
        <v>64</v>
      </c>
      <c r="I117" s="515" t="str">
        <f>CONCATENATE("FALLA N°",REPORTEFALLAS[[#This Row],[CONTADOR]])</f>
        <v>FALLA N°4</v>
      </c>
      <c r="J117" s="158">
        <f>COUNTIF(B117:B2109,REPORTEFALLAS[[#This Row],[N°SERIE]])</f>
        <v>4</v>
      </c>
      <c r="K117" s="549"/>
      <c r="L117" s="549"/>
      <c r="M117" s="549"/>
      <c r="N117" s="549"/>
      <c r="O117" s="549"/>
      <c r="P117" s="549"/>
    </row>
    <row r="118" spans="1:16" ht="27.6" x14ac:dyDescent="0.3">
      <c r="A118" s="549"/>
      <c r="B118" s="14">
        <v>3004327722</v>
      </c>
      <c r="C118" s="4">
        <v>43760</v>
      </c>
      <c r="D118" s="85" t="s">
        <v>1256</v>
      </c>
      <c r="E118" s="85" t="s">
        <v>1255</v>
      </c>
      <c r="F118" s="4">
        <v>43761</v>
      </c>
      <c r="G118" s="85" t="s">
        <v>1254</v>
      </c>
      <c r="H118" s="514">
        <v>198</v>
      </c>
      <c r="I118" s="514" t="str">
        <f>CONCATENATE("FALLA N°",REPORTEFALLAS[[#This Row],[CONTADOR]])</f>
        <v>FALLA N°3</v>
      </c>
      <c r="J118" s="158">
        <f>COUNTIF(B118:B2110,REPORTEFALLAS[[#This Row],[N°SERIE]])</f>
        <v>3</v>
      </c>
      <c r="K118" s="549"/>
      <c r="L118" s="549"/>
      <c r="M118" s="549"/>
      <c r="N118" s="549"/>
      <c r="O118" s="549"/>
      <c r="P118" s="549"/>
    </row>
    <row r="119" spans="1:16" ht="27.6" x14ac:dyDescent="0.3">
      <c r="A119" s="549"/>
      <c r="B119" s="14">
        <v>3004327725</v>
      </c>
      <c r="C119" s="4">
        <v>43760</v>
      </c>
      <c r="D119" s="85" t="s">
        <v>1256</v>
      </c>
      <c r="E119" s="85" t="s">
        <v>1255</v>
      </c>
      <c r="F119" s="4">
        <v>43761</v>
      </c>
      <c r="G119" s="85" t="s">
        <v>1254</v>
      </c>
      <c r="H119" s="514">
        <v>11.5</v>
      </c>
      <c r="I119" s="514" t="str">
        <f>CONCATENATE("FALLA N°",REPORTEFALLAS[[#This Row],[CONTADOR]])</f>
        <v>FALLA N°3</v>
      </c>
      <c r="J119" s="158">
        <f>COUNTIF(B119:B2111,REPORTEFALLAS[[#This Row],[N°SERIE]])</f>
        <v>3</v>
      </c>
      <c r="K119" s="549"/>
      <c r="L119" s="549"/>
      <c r="M119" s="549"/>
      <c r="N119" s="549"/>
      <c r="O119" s="549"/>
      <c r="P119" s="549"/>
    </row>
    <row r="120" spans="1:16" ht="41.4" x14ac:dyDescent="0.3">
      <c r="A120" s="549"/>
      <c r="B120" s="510">
        <v>3004337427</v>
      </c>
      <c r="C120" s="511">
        <v>43759</v>
      </c>
      <c r="D120" s="510" t="s">
        <v>1261</v>
      </c>
      <c r="E120" s="510" t="s">
        <v>1260</v>
      </c>
      <c r="F120" s="511">
        <v>43760</v>
      </c>
      <c r="G120" s="510" t="s">
        <v>1259</v>
      </c>
      <c r="H120" s="515">
        <v>34</v>
      </c>
      <c r="I120" s="515" t="str">
        <f>CONCATENATE("FALLA N°",REPORTEFALLAS[[#This Row],[CONTADOR]])</f>
        <v>FALLA N°3</v>
      </c>
      <c r="J120" s="158">
        <f>COUNTIF(B120:B2112,REPORTEFALLAS[[#This Row],[N°SERIE]])</f>
        <v>3</v>
      </c>
      <c r="K120" s="549"/>
      <c r="L120" s="549"/>
      <c r="M120" s="549"/>
      <c r="N120" s="549"/>
      <c r="O120" s="549"/>
      <c r="P120" s="549"/>
    </row>
    <row r="121" spans="1:16" ht="27.6" x14ac:dyDescent="0.3">
      <c r="A121" s="549"/>
      <c r="B121" s="14">
        <v>3004344017</v>
      </c>
      <c r="C121" s="4">
        <v>43759</v>
      </c>
      <c r="D121" s="85" t="s">
        <v>1256</v>
      </c>
      <c r="E121" s="85" t="s">
        <v>1255</v>
      </c>
      <c r="F121" s="4">
        <v>43760</v>
      </c>
      <c r="G121" s="85" t="s">
        <v>1254</v>
      </c>
      <c r="H121" s="514">
        <v>32</v>
      </c>
      <c r="I121" s="514" t="str">
        <f>CONCATENATE("FALLA N°",REPORTEFALLAS[[#This Row],[CONTADOR]])</f>
        <v>FALLA N°4</v>
      </c>
      <c r="J121" s="158">
        <f>COUNTIF(B121:B2113,REPORTEFALLAS[[#This Row],[N°SERIE]])</f>
        <v>4</v>
      </c>
      <c r="K121" s="549"/>
      <c r="L121" s="549"/>
      <c r="M121" s="549"/>
      <c r="N121" s="549"/>
      <c r="O121" s="549"/>
      <c r="P121" s="549"/>
    </row>
    <row r="122" spans="1:16" ht="27.6" x14ac:dyDescent="0.3">
      <c r="A122" s="549"/>
      <c r="B122" s="510">
        <v>3004336197</v>
      </c>
      <c r="C122" s="511">
        <v>43746</v>
      </c>
      <c r="D122" s="510" t="s">
        <v>1250</v>
      </c>
      <c r="E122" s="510" t="s">
        <v>1249</v>
      </c>
      <c r="F122" s="511">
        <v>43748</v>
      </c>
      <c r="G122" s="510" t="s">
        <v>1248</v>
      </c>
      <c r="H122" s="515">
        <v>18.899999999999999</v>
      </c>
      <c r="I122" s="515" t="str">
        <f>CONCATENATE("FALLA N°",REPORTEFALLAS[[#This Row],[CONTADOR]])</f>
        <v>FALLA N°3</v>
      </c>
      <c r="J122" s="158">
        <f>COUNTIF(B122:B2114,REPORTEFALLAS[[#This Row],[N°SERIE]])</f>
        <v>3</v>
      </c>
      <c r="K122" s="549"/>
      <c r="L122" s="549"/>
      <c r="M122" s="549"/>
      <c r="N122" s="549"/>
      <c r="O122" s="549"/>
      <c r="P122" s="549"/>
    </row>
    <row r="123" spans="1:16" ht="27.6" x14ac:dyDescent="0.3">
      <c r="A123" s="549"/>
      <c r="B123" s="510">
        <v>3004381435</v>
      </c>
      <c r="C123" s="511">
        <v>43746</v>
      </c>
      <c r="D123" s="510" t="s">
        <v>1250</v>
      </c>
      <c r="E123" s="510" t="s">
        <v>1249</v>
      </c>
      <c r="F123" s="511">
        <v>43748</v>
      </c>
      <c r="G123" s="510" t="s">
        <v>1248</v>
      </c>
      <c r="H123" s="515">
        <v>7.7</v>
      </c>
      <c r="I123" s="515" t="str">
        <f>CONCATENATE("FALLA N°",REPORTEFALLAS[[#This Row],[CONTADOR]])</f>
        <v>FALLA N°2</v>
      </c>
      <c r="J123" s="158">
        <f>COUNTIF(B123:B2115,REPORTEFALLAS[[#This Row],[N°SERIE]])</f>
        <v>2</v>
      </c>
      <c r="K123" s="549"/>
      <c r="L123" s="549"/>
      <c r="M123" s="549"/>
      <c r="N123" s="549"/>
      <c r="O123" s="549"/>
      <c r="P123" s="549"/>
    </row>
    <row r="124" spans="1:16" ht="27.6" x14ac:dyDescent="0.3">
      <c r="A124" s="549"/>
      <c r="B124" s="510">
        <v>3004256777</v>
      </c>
      <c r="C124" s="511">
        <v>43746</v>
      </c>
      <c r="D124" s="510" t="s">
        <v>1250</v>
      </c>
      <c r="E124" s="510" t="s">
        <v>1249</v>
      </c>
      <c r="F124" s="511">
        <v>43748</v>
      </c>
      <c r="G124" s="510" t="s">
        <v>1248</v>
      </c>
      <c r="H124" s="515">
        <v>26</v>
      </c>
      <c r="I124" s="515" t="str">
        <f>CONCATENATE("FALLA N°",REPORTEFALLAS[[#This Row],[CONTADOR]])</f>
        <v>FALLA N°3</v>
      </c>
      <c r="J124" s="158">
        <f>COUNTIF(B124:B2116,REPORTEFALLAS[[#This Row],[N°SERIE]])</f>
        <v>3</v>
      </c>
      <c r="K124" s="549"/>
      <c r="L124" s="549"/>
      <c r="M124" s="549"/>
      <c r="N124" s="549"/>
      <c r="O124" s="549"/>
      <c r="P124" s="549"/>
    </row>
    <row r="125" spans="1:16" ht="27.6" x14ac:dyDescent="0.3">
      <c r="A125" s="549"/>
      <c r="B125" s="510">
        <v>3004235514</v>
      </c>
      <c r="C125" s="511">
        <v>43746</v>
      </c>
      <c r="D125" s="510" t="s">
        <v>1250</v>
      </c>
      <c r="E125" s="510" t="s">
        <v>1249</v>
      </c>
      <c r="F125" s="511">
        <v>43748</v>
      </c>
      <c r="G125" s="510" t="s">
        <v>1248</v>
      </c>
      <c r="H125" s="515">
        <v>34</v>
      </c>
      <c r="I125" s="515" t="str">
        <f>CONCATENATE("FALLA N°",REPORTEFALLAS[[#This Row],[CONTADOR]])</f>
        <v>FALLA N°5</v>
      </c>
      <c r="J125" s="158">
        <f>COUNTIF(B125:B2117,REPORTEFALLAS[[#This Row],[N°SERIE]])</f>
        <v>5</v>
      </c>
      <c r="K125" s="549"/>
      <c r="L125" s="549"/>
      <c r="M125" s="549"/>
      <c r="N125" s="549"/>
      <c r="O125" s="549"/>
      <c r="P125" s="549"/>
    </row>
    <row r="126" spans="1:16" x14ac:dyDescent="0.3">
      <c r="A126" s="549"/>
      <c r="B126" s="510">
        <v>3004402506</v>
      </c>
      <c r="C126" s="511">
        <v>43745</v>
      </c>
      <c r="D126" s="510" t="s">
        <v>1269</v>
      </c>
      <c r="E126" s="510" t="s">
        <v>1297</v>
      </c>
      <c r="F126" s="511">
        <v>43748</v>
      </c>
      <c r="G126" s="510" t="s">
        <v>1267</v>
      </c>
      <c r="H126" s="515">
        <v>45</v>
      </c>
      <c r="I126" s="515" t="str">
        <f>CONCATENATE("FALLA N°",REPORTEFALLAS[[#This Row],[CONTADOR]])</f>
        <v>FALLA N°3</v>
      </c>
      <c r="J126" s="158">
        <f>COUNTIF(B126:B2118,REPORTEFALLAS[[#This Row],[N°SERIE]])</f>
        <v>3</v>
      </c>
      <c r="K126" s="549"/>
      <c r="L126" s="549"/>
      <c r="M126" s="549"/>
      <c r="N126" s="549"/>
      <c r="O126" s="549"/>
      <c r="P126" s="549"/>
    </row>
    <row r="127" spans="1:16" x14ac:dyDescent="0.3">
      <c r="A127" s="549"/>
      <c r="B127" s="510">
        <v>3004402508</v>
      </c>
      <c r="C127" s="511">
        <v>43745</v>
      </c>
      <c r="D127" s="510" t="s">
        <v>1269</v>
      </c>
      <c r="E127" s="510" t="s">
        <v>1268</v>
      </c>
      <c r="F127" s="511">
        <v>43748</v>
      </c>
      <c r="G127" s="510" t="s">
        <v>1267</v>
      </c>
      <c r="H127" s="515">
        <v>14</v>
      </c>
      <c r="I127" s="515" t="str">
        <f>CONCATENATE("FALLA N°",REPORTEFALLAS[[#This Row],[CONTADOR]])</f>
        <v>FALLA N°3</v>
      </c>
      <c r="J127" s="158">
        <f>COUNTIF(B127:B2119,REPORTEFALLAS[[#This Row],[N°SERIE]])</f>
        <v>3</v>
      </c>
      <c r="K127" s="549"/>
      <c r="L127" s="549"/>
      <c r="M127" s="549"/>
      <c r="N127" s="549"/>
      <c r="O127" s="549"/>
      <c r="P127" s="549"/>
    </row>
    <row r="128" spans="1:16" x14ac:dyDescent="0.3">
      <c r="A128" s="549"/>
      <c r="B128" s="510">
        <v>3004344017</v>
      </c>
      <c r="C128" s="511">
        <v>43745</v>
      </c>
      <c r="D128" s="510" t="s">
        <v>1269</v>
      </c>
      <c r="E128" s="510" t="s">
        <v>1268</v>
      </c>
      <c r="F128" s="511">
        <v>43748</v>
      </c>
      <c r="G128" s="510" t="s">
        <v>1267</v>
      </c>
      <c r="H128" s="515">
        <v>16</v>
      </c>
      <c r="I128" s="515" t="str">
        <f>CONCATENATE("FALLA N°",REPORTEFALLAS[[#This Row],[CONTADOR]])</f>
        <v>FALLA N°3</v>
      </c>
      <c r="J128" s="158">
        <f>COUNTIF(B128:B2120,REPORTEFALLAS[[#This Row],[N°SERIE]])</f>
        <v>3</v>
      </c>
      <c r="K128" s="549"/>
      <c r="L128" s="549"/>
      <c r="M128" s="549"/>
      <c r="N128" s="549"/>
      <c r="O128" s="549"/>
      <c r="P128" s="549"/>
    </row>
    <row r="129" spans="1:16" x14ac:dyDescent="0.3">
      <c r="A129" s="549"/>
      <c r="B129" s="510">
        <v>3004290366</v>
      </c>
      <c r="C129" s="511">
        <v>43745</v>
      </c>
      <c r="D129" s="510" t="s">
        <v>1269</v>
      </c>
      <c r="E129" s="510" t="s">
        <v>1268</v>
      </c>
      <c r="F129" s="511">
        <v>43748</v>
      </c>
      <c r="G129" s="510" t="s">
        <v>1267</v>
      </c>
      <c r="H129" s="515">
        <v>7</v>
      </c>
      <c r="I129" s="515" t="str">
        <f>CONCATENATE("FALLA N°",REPORTEFALLAS[[#This Row],[CONTADOR]])</f>
        <v>FALLA N°2</v>
      </c>
      <c r="J129" s="158">
        <f>COUNTIF(B129:B2121,REPORTEFALLAS[[#This Row],[N°SERIE]])</f>
        <v>2</v>
      </c>
      <c r="K129" s="549"/>
      <c r="L129" s="549"/>
      <c r="M129" s="549"/>
      <c r="N129" s="549"/>
      <c r="O129" s="549"/>
      <c r="P129" s="549"/>
    </row>
    <row r="130" spans="1:16" x14ac:dyDescent="0.3">
      <c r="A130" s="549"/>
      <c r="B130" s="510">
        <v>3004344014</v>
      </c>
      <c r="C130" s="511">
        <v>43745</v>
      </c>
      <c r="D130" s="510" t="s">
        <v>1269</v>
      </c>
      <c r="E130" s="510" t="s">
        <v>1268</v>
      </c>
      <c r="F130" s="511">
        <v>43748</v>
      </c>
      <c r="G130" s="510" t="s">
        <v>1267</v>
      </c>
      <c r="H130" s="515">
        <v>124</v>
      </c>
      <c r="I130" s="515" t="str">
        <f>CONCATENATE("FALLA N°",REPORTEFALLAS[[#This Row],[CONTADOR]])</f>
        <v>FALLA N°3</v>
      </c>
      <c r="J130" s="158">
        <f>COUNTIF(B130:B2122,REPORTEFALLAS[[#This Row],[N°SERIE]])</f>
        <v>3</v>
      </c>
      <c r="K130" s="549"/>
      <c r="L130" s="549"/>
      <c r="M130" s="549"/>
      <c r="N130" s="549"/>
      <c r="O130" s="549"/>
      <c r="P130" s="549"/>
    </row>
    <row r="131" spans="1:16" x14ac:dyDescent="0.3">
      <c r="A131" s="549"/>
      <c r="B131" s="510">
        <v>3004402507</v>
      </c>
      <c r="C131" s="511">
        <v>43745</v>
      </c>
      <c r="D131" s="510" t="s">
        <v>1269</v>
      </c>
      <c r="E131" s="510" t="s">
        <v>1268</v>
      </c>
      <c r="F131" s="511">
        <v>43748</v>
      </c>
      <c r="G131" s="510" t="s">
        <v>1267</v>
      </c>
      <c r="H131" s="515">
        <v>9</v>
      </c>
      <c r="I131" s="515" t="str">
        <f>CONCATENATE("FALLA N°",REPORTEFALLAS[[#This Row],[CONTADOR]])</f>
        <v>FALLA N°3</v>
      </c>
      <c r="J131" s="158">
        <f>COUNTIF(B131:B2123,REPORTEFALLAS[[#This Row],[N°SERIE]])</f>
        <v>3</v>
      </c>
      <c r="K131" s="549"/>
      <c r="L131" s="549"/>
      <c r="M131" s="549"/>
      <c r="N131" s="549"/>
      <c r="O131" s="549"/>
      <c r="P131" s="549"/>
    </row>
    <row r="132" spans="1:16" x14ac:dyDescent="0.3">
      <c r="A132" s="549"/>
      <c r="B132" s="510">
        <v>3004418790</v>
      </c>
      <c r="C132" s="511">
        <v>43745</v>
      </c>
      <c r="D132" s="510" t="s">
        <v>1269</v>
      </c>
      <c r="E132" s="510" t="s">
        <v>1268</v>
      </c>
      <c r="F132" s="511">
        <v>43748</v>
      </c>
      <c r="G132" s="510" t="s">
        <v>1267</v>
      </c>
      <c r="H132" s="515">
        <v>4.0999999999999996</v>
      </c>
      <c r="I132" s="515" t="str">
        <f>CONCATENATE("FALLA N°",REPORTEFALLAS[[#This Row],[CONTADOR]])</f>
        <v>FALLA N°2</v>
      </c>
      <c r="J132" s="158">
        <f>COUNTIF(B132:B2124,REPORTEFALLAS[[#This Row],[N°SERIE]])</f>
        <v>2</v>
      </c>
      <c r="K132" s="549"/>
      <c r="L132" s="549"/>
      <c r="M132" s="549"/>
      <c r="N132" s="549"/>
      <c r="O132" s="549"/>
      <c r="P132" s="549"/>
    </row>
    <row r="133" spans="1:16" x14ac:dyDescent="0.3">
      <c r="A133" s="549"/>
      <c r="B133" s="510">
        <v>3004418791</v>
      </c>
      <c r="C133" s="511">
        <v>43745</v>
      </c>
      <c r="D133" s="510" t="s">
        <v>1269</v>
      </c>
      <c r="E133" s="510" t="s">
        <v>1268</v>
      </c>
      <c r="F133" s="511">
        <v>43748</v>
      </c>
      <c r="G133" s="510" t="s">
        <v>1267</v>
      </c>
      <c r="H133" s="515">
        <v>35.4</v>
      </c>
      <c r="I133" s="515" t="str">
        <f>CONCATENATE("FALLA N°",REPORTEFALLAS[[#This Row],[CONTADOR]])</f>
        <v>FALLA N°3</v>
      </c>
      <c r="J133" s="158">
        <f>COUNTIF(B133:B2125,REPORTEFALLAS[[#This Row],[N°SERIE]])</f>
        <v>3</v>
      </c>
      <c r="K133" s="549"/>
      <c r="L133" s="549"/>
      <c r="M133" s="549"/>
      <c r="N133" s="549"/>
      <c r="O133" s="549"/>
      <c r="P133" s="549"/>
    </row>
    <row r="134" spans="1:16" x14ac:dyDescent="0.3">
      <c r="A134" s="549"/>
      <c r="B134" s="510">
        <v>3004416580</v>
      </c>
      <c r="C134" s="511">
        <v>43745</v>
      </c>
      <c r="D134" s="510" t="s">
        <v>1269</v>
      </c>
      <c r="E134" s="510" t="s">
        <v>1268</v>
      </c>
      <c r="F134" s="511">
        <v>43748</v>
      </c>
      <c r="G134" s="510" t="s">
        <v>1267</v>
      </c>
      <c r="H134" s="515">
        <v>82.5</v>
      </c>
      <c r="I134" s="515" t="str">
        <f>CONCATENATE("FALLA N°",REPORTEFALLAS[[#This Row],[CONTADOR]])</f>
        <v>FALLA N°3</v>
      </c>
      <c r="J134" s="158">
        <f>COUNTIF(B134:B2126,REPORTEFALLAS[[#This Row],[N°SERIE]])</f>
        <v>3</v>
      </c>
      <c r="K134" s="549"/>
      <c r="L134" s="549"/>
      <c r="M134" s="549"/>
      <c r="N134" s="549"/>
      <c r="O134" s="549"/>
      <c r="P134" s="549"/>
    </row>
    <row r="135" spans="1:16" x14ac:dyDescent="0.3">
      <c r="A135" s="549"/>
      <c r="B135" s="510">
        <v>3004337429</v>
      </c>
      <c r="C135" s="511">
        <v>43743</v>
      </c>
      <c r="D135" s="510" t="s">
        <v>1269</v>
      </c>
      <c r="E135" s="510" t="s">
        <v>1268</v>
      </c>
      <c r="F135" s="511">
        <v>43748</v>
      </c>
      <c r="G135" s="510" t="s">
        <v>1267</v>
      </c>
      <c r="H135" s="515">
        <v>3.5</v>
      </c>
      <c r="I135" s="515" t="str">
        <f>CONCATENATE("FALLA N°",REPORTEFALLAS[[#This Row],[CONTADOR]])</f>
        <v>FALLA N°2</v>
      </c>
      <c r="J135" s="158">
        <f>COUNTIF(B135:B2127,REPORTEFALLAS[[#This Row],[N°SERIE]])</f>
        <v>2</v>
      </c>
      <c r="K135" s="549"/>
      <c r="L135" s="549"/>
      <c r="M135" s="549"/>
      <c r="N135" s="549"/>
      <c r="O135" s="549"/>
      <c r="P135" s="549"/>
    </row>
    <row r="136" spans="1:16" x14ac:dyDescent="0.3">
      <c r="A136" s="549"/>
      <c r="B136" s="510">
        <v>3004337430</v>
      </c>
      <c r="C136" s="511">
        <v>43743</v>
      </c>
      <c r="D136" s="510" t="s">
        <v>1269</v>
      </c>
      <c r="E136" s="510" t="s">
        <v>1268</v>
      </c>
      <c r="F136" s="511">
        <v>43748</v>
      </c>
      <c r="G136" s="510" t="s">
        <v>1267</v>
      </c>
      <c r="H136" s="515">
        <v>2.4</v>
      </c>
      <c r="I136" s="515" t="str">
        <f>CONCATENATE("FALLA N°",REPORTEFALLAS[[#This Row],[CONTADOR]])</f>
        <v>FALLA N°2</v>
      </c>
      <c r="J136" s="158">
        <f>COUNTIF(B136:B2128,REPORTEFALLAS[[#This Row],[N°SERIE]])</f>
        <v>2</v>
      </c>
      <c r="K136" s="549"/>
      <c r="L136" s="549"/>
      <c r="M136" s="549"/>
      <c r="N136" s="549"/>
      <c r="O136" s="549"/>
      <c r="P136" s="549"/>
    </row>
    <row r="137" spans="1:16" x14ac:dyDescent="0.3">
      <c r="A137" s="549"/>
      <c r="B137" s="510">
        <v>3004214491</v>
      </c>
      <c r="C137" s="511">
        <v>43743</v>
      </c>
      <c r="D137" s="510" t="s">
        <v>1269</v>
      </c>
      <c r="E137" s="510" t="s">
        <v>1268</v>
      </c>
      <c r="F137" s="511">
        <v>43748</v>
      </c>
      <c r="G137" s="510" t="s">
        <v>1267</v>
      </c>
      <c r="H137" s="515">
        <v>13</v>
      </c>
      <c r="I137" s="515" t="str">
        <f>CONCATENATE("FALLA N°",REPORTEFALLAS[[#This Row],[CONTADOR]])</f>
        <v>FALLA N°3</v>
      </c>
      <c r="J137" s="158">
        <f>COUNTIF(B137:B2129,REPORTEFALLAS[[#This Row],[N°SERIE]])</f>
        <v>3</v>
      </c>
      <c r="K137" s="549"/>
      <c r="L137" s="549"/>
      <c r="M137" s="549"/>
      <c r="N137" s="549"/>
      <c r="O137" s="549"/>
      <c r="P137" s="549"/>
    </row>
    <row r="138" spans="1:16" x14ac:dyDescent="0.3">
      <c r="A138" s="549"/>
      <c r="B138" s="510">
        <v>3004337428</v>
      </c>
      <c r="C138" s="511">
        <v>43743</v>
      </c>
      <c r="D138" s="510" t="s">
        <v>1269</v>
      </c>
      <c r="E138" s="510" t="s">
        <v>1268</v>
      </c>
      <c r="F138" s="511">
        <v>43748</v>
      </c>
      <c r="G138" s="510" t="s">
        <v>1267</v>
      </c>
      <c r="H138" s="515">
        <v>11.5</v>
      </c>
      <c r="I138" s="515" t="str">
        <f>CONCATENATE("FALLA N°",REPORTEFALLAS[[#This Row],[CONTADOR]])</f>
        <v>FALLA N°2</v>
      </c>
      <c r="J138" s="158">
        <f>COUNTIF(B138:B2130,REPORTEFALLAS[[#This Row],[N°SERIE]])</f>
        <v>2</v>
      </c>
      <c r="K138" s="549"/>
      <c r="L138" s="549"/>
      <c r="M138" s="549"/>
      <c r="N138" s="549"/>
      <c r="O138" s="549"/>
      <c r="P138" s="549"/>
    </row>
    <row r="139" spans="1:16" x14ac:dyDescent="0.3">
      <c r="A139" s="549"/>
      <c r="B139" s="510">
        <v>3004218547</v>
      </c>
      <c r="C139" s="511">
        <v>43743</v>
      </c>
      <c r="D139" s="510" t="s">
        <v>1269</v>
      </c>
      <c r="E139" s="510" t="s">
        <v>1268</v>
      </c>
      <c r="F139" s="511">
        <v>43748</v>
      </c>
      <c r="G139" s="510" t="s">
        <v>1267</v>
      </c>
      <c r="H139" s="515">
        <v>12.9</v>
      </c>
      <c r="I139" s="515" t="str">
        <f>CONCATENATE("FALLA N°",REPORTEFALLAS[[#This Row],[CONTADOR]])</f>
        <v>FALLA N°2</v>
      </c>
      <c r="J139" s="158">
        <f>COUNTIF(B139:B2131,REPORTEFALLAS[[#This Row],[N°SERIE]])</f>
        <v>2</v>
      </c>
      <c r="K139" s="549"/>
      <c r="L139" s="549"/>
      <c r="M139" s="549"/>
      <c r="N139" s="549"/>
      <c r="O139" s="549"/>
      <c r="P139" s="549"/>
    </row>
    <row r="140" spans="1:16" x14ac:dyDescent="0.3">
      <c r="A140" s="549"/>
      <c r="B140" s="510">
        <v>3004327725</v>
      </c>
      <c r="C140" s="511">
        <v>43743</v>
      </c>
      <c r="D140" s="510" t="s">
        <v>1269</v>
      </c>
      <c r="E140" s="510" t="s">
        <v>1268</v>
      </c>
      <c r="F140" s="511">
        <v>43748</v>
      </c>
      <c r="G140" s="510" t="s">
        <v>1267</v>
      </c>
      <c r="H140" s="515">
        <v>5</v>
      </c>
      <c r="I140" s="515" t="str">
        <f>CONCATENATE("FALLA N°",REPORTEFALLAS[[#This Row],[CONTADOR]])</f>
        <v>FALLA N°2</v>
      </c>
      <c r="J140" s="158">
        <f>COUNTIF(B140:B2132,REPORTEFALLAS[[#This Row],[N°SERIE]])</f>
        <v>2</v>
      </c>
      <c r="K140" s="549"/>
      <c r="L140" s="549"/>
      <c r="M140" s="549"/>
      <c r="N140" s="549"/>
      <c r="O140" s="549"/>
      <c r="P140" s="549"/>
    </row>
    <row r="141" spans="1:16" x14ac:dyDescent="0.3">
      <c r="A141" s="549"/>
      <c r="B141" s="510">
        <v>3004235514</v>
      </c>
      <c r="C141" s="511">
        <v>43743</v>
      </c>
      <c r="D141" s="510" t="s">
        <v>1269</v>
      </c>
      <c r="E141" s="510" t="s">
        <v>1268</v>
      </c>
      <c r="F141" s="511">
        <v>43748</v>
      </c>
      <c r="G141" s="510" t="s">
        <v>1267</v>
      </c>
      <c r="H141" s="515">
        <v>35</v>
      </c>
      <c r="I141" s="515" t="str">
        <f>CONCATENATE("FALLA N°",REPORTEFALLAS[[#This Row],[CONTADOR]])</f>
        <v>FALLA N°4</v>
      </c>
      <c r="J141" s="158">
        <f>COUNTIF(B141:B2133,REPORTEFALLAS[[#This Row],[N°SERIE]])</f>
        <v>4</v>
      </c>
      <c r="K141" s="549"/>
      <c r="L141" s="549"/>
      <c r="M141" s="549"/>
      <c r="N141" s="549"/>
      <c r="O141" s="549"/>
      <c r="P141" s="549"/>
    </row>
    <row r="142" spans="1:16" x14ac:dyDescent="0.3">
      <c r="A142" s="549"/>
      <c r="B142" s="510">
        <v>3004227749</v>
      </c>
      <c r="C142" s="511">
        <v>43743</v>
      </c>
      <c r="D142" s="510" t="s">
        <v>1269</v>
      </c>
      <c r="E142" s="510" t="s">
        <v>1268</v>
      </c>
      <c r="F142" s="511">
        <v>43748</v>
      </c>
      <c r="G142" s="510" t="s">
        <v>1267</v>
      </c>
      <c r="H142" s="515">
        <v>13.6</v>
      </c>
      <c r="I142" s="515" t="str">
        <f>CONCATENATE("FALLA N°",REPORTEFALLAS[[#This Row],[CONTADOR]])</f>
        <v>FALLA N°4</v>
      </c>
      <c r="J142" s="158">
        <f>COUNTIF(B142:B2134,REPORTEFALLAS[[#This Row],[N°SERIE]])</f>
        <v>4</v>
      </c>
      <c r="K142" s="549"/>
      <c r="L142" s="549"/>
      <c r="M142" s="549"/>
      <c r="N142" s="549"/>
      <c r="O142" s="549"/>
      <c r="P142" s="549"/>
    </row>
    <row r="143" spans="1:16" x14ac:dyDescent="0.3">
      <c r="A143" s="549"/>
      <c r="B143" s="510">
        <v>3004428523</v>
      </c>
      <c r="C143" s="511">
        <v>43743</v>
      </c>
      <c r="D143" s="510" t="s">
        <v>1269</v>
      </c>
      <c r="E143" s="510" t="s">
        <v>1268</v>
      </c>
      <c r="F143" s="511">
        <v>43748</v>
      </c>
      <c r="G143" s="510" t="s">
        <v>1267</v>
      </c>
      <c r="H143" s="515">
        <v>19.399999999999999</v>
      </c>
      <c r="I143" s="515" t="str">
        <f>CONCATENATE("FALLA N°",REPORTEFALLAS[[#This Row],[CONTADOR]])</f>
        <v>FALLA N°3</v>
      </c>
      <c r="J143" s="158">
        <f>COUNTIF(B143:B2135,REPORTEFALLAS[[#This Row],[N°SERIE]])</f>
        <v>3</v>
      </c>
      <c r="K143" s="549"/>
      <c r="L143" s="549"/>
      <c r="M143" s="549"/>
      <c r="N143" s="549"/>
      <c r="O143" s="549"/>
      <c r="P143" s="549"/>
    </row>
    <row r="144" spans="1:16" ht="27.6" x14ac:dyDescent="0.3">
      <c r="A144" s="549"/>
      <c r="B144" s="14">
        <v>3004290364</v>
      </c>
      <c r="C144" s="4">
        <v>43745</v>
      </c>
      <c r="D144" s="85" t="s">
        <v>1256</v>
      </c>
      <c r="E144" s="85" t="s">
        <v>1266</v>
      </c>
      <c r="F144" s="4">
        <v>43748</v>
      </c>
      <c r="G144" s="85" t="s">
        <v>1265</v>
      </c>
      <c r="H144" s="514">
        <v>19.5</v>
      </c>
      <c r="I144" s="514" t="str">
        <f>CONCATENATE("FALLA N°",REPORTEFALLAS[[#This Row],[CONTADOR]])</f>
        <v>FALLA N°4</v>
      </c>
      <c r="J144" s="158">
        <f>COUNTIF(B144:B2136,REPORTEFALLAS[[#This Row],[N°SERIE]])</f>
        <v>4</v>
      </c>
      <c r="K144" s="549"/>
      <c r="L144" s="549"/>
      <c r="M144" s="549"/>
      <c r="N144" s="549"/>
      <c r="O144" s="549"/>
      <c r="P144" s="549"/>
    </row>
    <row r="145" spans="1:16" ht="27.6" x14ac:dyDescent="0.3">
      <c r="A145" s="549"/>
      <c r="B145" s="14">
        <v>3004381435</v>
      </c>
      <c r="C145" s="4">
        <v>43745</v>
      </c>
      <c r="D145" s="85" t="s">
        <v>1256</v>
      </c>
      <c r="E145" s="85" t="s">
        <v>1266</v>
      </c>
      <c r="F145" s="4">
        <v>43748</v>
      </c>
      <c r="G145" s="85" t="s">
        <v>1265</v>
      </c>
      <c r="H145" s="514">
        <v>7.7</v>
      </c>
      <c r="I145" s="514" t="str">
        <f>CONCATENATE("FALLA N°",REPORTEFALLAS[[#This Row],[CONTADOR]])</f>
        <v>FALLA N°1</v>
      </c>
      <c r="J145" s="158">
        <f>COUNTIF(B145:B2137,REPORTEFALLAS[[#This Row],[N°SERIE]])</f>
        <v>1</v>
      </c>
      <c r="K145" s="549"/>
      <c r="L145" s="549"/>
      <c r="M145" s="549"/>
      <c r="N145" s="549"/>
      <c r="O145" s="549"/>
      <c r="P145" s="549"/>
    </row>
    <row r="146" spans="1:16" ht="27.6" x14ac:dyDescent="0.3">
      <c r="A146" s="549"/>
      <c r="B146" s="14">
        <v>3004290365</v>
      </c>
      <c r="C146" s="4">
        <v>43745</v>
      </c>
      <c r="D146" s="85" t="s">
        <v>1256</v>
      </c>
      <c r="E146" s="85" t="s">
        <v>1266</v>
      </c>
      <c r="F146" s="4">
        <v>43748</v>
      </c>
      <c r="G146" s="85" t="s">
        <v>1265</v>
      </c>
      <c r="H146" s="514">
        <v>9.9</v>
      </c>
      <c r="I146" s="514" t="str">
        <f>CONCATENATE("FALLA N°",REPORTEFALLAS[[#This Row],[CONTADOR]])</f>
        <v>FALLA N°2</v>
      </c>
      <c r="J146" s="158">
        <f>COUNTIF(B146:B2138,REPORTEFALLAS[[#This Row],[N°SERIE]])</f>
        <v>2</v>
      </c>
      <c r="K146" s="549"/>
      <c r="L146" s="549"/>
      <c r="M146" s="549"/>
      <c r="N146" s="549"/>
      <c r="O146" s="549"/>
      <c r="P146" s="549"/>
    </row>
    <row r="147" spans="1:16" ht="27.6" x14ac:dyDescent="0.3">
      <c r="A147" s="549"/>
      <c r="B147" s="14">
        <v>3004235514</v>
      </c>
      <c r="C147" s="4">
        <v>43745</v>
      </c>
      <c r="D147" s="85" t="s">
        <v>1256</v>
      </c>
      <c r="E147" s="85" t="s">
        <v>1266</v>
      </c>
      <c r="F147" s="4">
        <v>43748</v>
      </c>
      <c r="G147" s="85" t="s">
        <v>1265</v>
      </c>
      <c r="H147" s="514">
        <v>35</v>
      </c>
      <c r="I147" s="514" t="str">
        <f>CONCATENATE("FALLA N°",REPORTEFALLAS[[#This Row],[CONTADOR]])</f>
        <v>FALLA N°3</v>
      </c>
      <c r="J147" s="158">
        <f>COUNTIF(B147:B2139,REPORTEFALLAS[[#This Row],[N°SERIE]])</f>
        <v>3</v>
      </c>
      <c r="K147" s="549"/>
      <c r="L147" s="549"/>
      <c r="M147" s="549"/>
      <c r="N147" s="549"/>
      <c r="O147" s="549"/>
      <c r="P147" s="549"/>
    </row>
    <row r="148" spans="1:16" ht="27.6" x14ac:dyDescent="0.3">
      <c r="A148" s="549"/>
      <c r="B148" s="14">
        <v>3004227749</v>
      </c>
      <c r="C148" s="4">
        <v>43745</v>
      </c>
      <c r="D148" s="85" t="s">
        <v>1256</v>
      </c>
      <c r="E148" s="85" t="s">
        <v>1266</v>
      </c>
      <c r="F148" s="4">
        <v>43748</v>
      </c>
      <c r="G148" s="85" t="s">
        <v>1265</v>
      </c>
      <c r="H148" s="514">
        <v>13.6</v>
      </c>
      <c r="I148" s="514" t="str">
        <f>CONCATENATE("FALLA N°",REPORTEFALLAS[[#This Row],[CONTADOR]])</f>
        <v>FALLA N°3</v>
      </c>
      <c r="J148" s="158">
        <f>COUNTIF(B148:B2140,REPORTEFALLAS[[#This Row],[N°SERIE]])</f>
        <v>3</v>
      </c>
      <c r="K148" s="549"/>
      <c r="L148" s="549"/>
      <c r="M148" s="549"/>
      <c r="N148" s="549"/>
      <c r="O148" s="549"/>
      <c r="P148" s="549"/>
    </row>
    <row r="149" spans="1:16" ht="27.6" x14ac:dyDescent="0.3">
      <c r="A149" s="549"/>
      <c r="B149" s="14">
        <v>3004331707</v>
      </c>
      <c r="C149" s="4">
        <v>43745</v>
      </c>
      <c r="D149" s="85" t="s">
        <v>1256</v>
      </c>
      <c r="E149" s="85" t="s">
        <v>1255</v>
      </c>
      <c r="F149" s="4">
        <v>43748</v>
      </c>
      <c r="G149" s="85" t="s">
        <v>1254</v>
      </c>
      <c r="H149" s="514">
        <v>11</v>
      </c>
      <c r="I149" s="514" t="str">
        <f>CONCATENATE("FALLA N°",REPORTEFALLAS[[#This Row],[CONTADOR]])</f>
        <v>FALLA N°3</v>
      </c>
      <c r="J149" s="158">
        <f>COUNTIF(B149:B2141,REPORTEFALLAS[[#This Row],[N°SERIE]])</f>
        <v>3</v>
      </c>
      <c r="K149" s="549"/>
      <c r="L149" s="549"/>
      <c r="M149" s="549"/>
      <c r="N149" s="549"/>
      <c r="O149" s="549"/>
      <c r="P149" s="549"/>
    </row>
    <row r="150" spans="1:16" ht="27.6" x14ac:dyDescent="0.3">
      <c r="A150" s="549"/>
      <c r="B150" s="14">
        <v>3004381437</v>
      </c>
      <c r="C150" s="4">
        <v>43745</v>
      </c>
      <c r="D150" s="85" t="s">
        <v>1256</v>
      </c>
      <c r="E150" s="85" t="s">
        <v>1255</v>
      </c>
      <c r="F150" s="4">
        <v>43748</v>
      </c>
      <c r="G150" s="85" t="s">
        <v>1254</v>
      </c>
      <c r="H150" s="514">
        <v>11.6</v>
      </c>
      <c r="I150" s="514" t="str">
        <f>CONCATENATE("FALLA N°",REPORTEFALLAS[[#This Row],[CONTADOR]])</f>
        <v>FALLA N°2</v>
      </c>
      <c r="J150" s="158">
        <f>COUNTIF(B150:B2142,REPORTEFALLAS[[#This Row],[N°SERIE]])</f>
        <v>2</v>
      </c>
      <c r="K150" s="549"/>
      <c r="L150" s="549"/>
      <c r="M150" s="549"/>
      <c r="N150" s="549"/>
      <c r="O150" s="549"/>
      <c r="P150" s="549"/>
    </row>
    <row r="151" spans="1:16" ht="27.6" x14ac:dyDescent="0.3">
      <c r="A151" s="549"/>
      <c r="B151" s="14">
        <v>3004290364</v>
      </c>
      <c r="C151" s="4">
        <v>43745</v>
      </c>
      <c r="D151" s="85" t="s">
        <v>1256</v>
      </c>
      <c r="E151" s="85" t="s">
        <v>1255</v>
      </c>
      <c r="F151" s="4">
        <v>43748</v>
      </c>
      <c r="G151" s="85" t="s">
        <v>1254</v>
      </c>
      <c r="H151" s="514">
        <v>7</v>
      </c>
      <c r="I151" s="514" t="str">
        <f>CONCATENATE("FALLA N°",REPORTEFALLAS[[#This Row],[CONTADOR]])</f>
        <v>FALLA N°3</v>
      </c>
      <c r="J151" s="158">
        <f>COUNTIF(B151:B2143,REPORTEFALLAS[[#This Row],[N°SERIE]])</f>
        <v>3</v>
      </c>
      <c r="K151" s="549"/>
      <c r="L151" s="549"/>
      <c r="M151" s="549"/>
      <c r="N151" s="549"/>
      <c r="O151" s="549"/>
      <c r="P151" s="549"/>
    </row>
    <row r="152" spans="1:16" ht="27.6" x14ac:dyDescent="0.3">
      <c r="A152" s="549"/>
      <c r="B152" s="14">
        <v>3004336197</v>
      </c>
      <c r="C152" s="4">
        <v>43745</v>
      </c>
      <c r="D152" s="85" t="s">
        <v>1256</v>
      </c>
      <c r="E152" s="85" t="s">
        <v>1255</v>
      </c>
      <c r="F152" s="4">
        <v>43748</v>
      </c>
      <c r="G152" s="85" t="s">
        <v>1254</v>
      </c>
      <c r="H152" s="514">
        <v>18.899999999999999</v>
      </c>
      <c r="I152" s="514" t="str">
        <f>CONCATENATE("FALLA N°",REPORTEFALLAS[[#This Row],[CONTADOR]])</f>
        <v>FALLA N°2</v>
      </c>
      <c r="J152" s="158">
        <f>COUNTIF(B152:B2144,REPORTEFALLAS[[#This Row],[N°SERIE]])</f>
        <v>2</v>
      </c>
      <c r="K152" s="549"/>
      <c r="L152" s="549"/>
      <c r="M152" s="549"/>
      <c r="N152" s="549"/>
      <c r="O152" s="549"/>
      <c r="P152" s="549"/>
    </row>
    <row r="153" spans="1:16" ht="27.6" x14ac:dyDescent="0.3">
      <c r="A153" s="549"/>
      <c r="B153" s="14">
        <v>3004256777</v>
      </c>
      <c r="C153" s="4">
        <v>43745</v>
      </c>
      <c r="D153" s="85" t="s">
        <v>1256</v>
      </c>
      <c r="E153" s="85" t="s">
        <v>1255</v>
      </c>
      <c r="F153" s="4">
        <v>43748</v>
      </c>
      <c r="G153" s="85" t="s">
        <v>1254</v>
      </c>
      <c r="H153" s="514">
        <v>27</v>
      </c>
      <c r="I153" s="514" t="str">
        <f>CONCATENATE("FALLA N°",REPORTEFALLAS[[#This Row],[CONTADOR]])</f>
        <v>FALLA N°2</v>
      </c>
      <c r="J153" s="158">
        <f>COUNTIF(B153:B2145,REPORTEFALLAS[[#This Row],[N°SERIE]])</f>
        <v>2</v>
      </c>
      <c r="K153" s="549"/>
      <c r="L153" s="549"/>
      <c r="M153" s="549"/>
      <c r="N153" s="549"/>
      <c r="O153" s="549"/>
      <c r="P153" s="549"/>
    </row>
    <row r="154" spans="1:16" ht="27.6" x14ac:dyDescent="0.3">
      <c r="A154" s="549"/>
      <c r="B154" s="14">
        <v>3004235514</v>
      </c>
      <c r="C154" s="4">
        <v>43745</v>
      </c>
      <c r="D154" s="85" t="s">
        <v>1256</v>
      </c>
      <c r="E154" s="85" t="s">
        <v>1255</v>
      </c>
      <c r="F154" s="4">
        <v>43748</v>
      </c>
      <c r="G154" s="85" t="s">
        <v>1254</v>
      </c>
      <c r="H154" s="514">
        <v>35</v>
      </c>
      <c r="I154" s="514" t="str">
        <f>CONCATENATE("FALLA N°",REPORTEFALLAS[[#This Row],[CONTADOR]])</f>
        <v>FALLA N°2</v>
      </c>
      <c r="J154" s="158">
        <f>COUNTIF(B154:B2146,REPORTEFALLAS[[#This Row],[N°SERIE]])</f>
        <v>2</v>
      </c>
      <c r="K154" s="549"/>
      <c r="L154" s="549"/>
      <c r="M154" s="549"/>
      <c r="N154" s="549"/>
      <c r="O154" s="549"/>
      <c r="P154" s="549"/>
    </row>
    <row r="155" spans="1:16" ht="27.6" x14ac:dyDescent="0.3">
      <c r="A155" s="549"/>
      <c r="B155" s="85">
        <v>3004428523</v>
      </c>
      <c r="C155" s="4">
        <v>43746</v>
      </c>
      <c r="D155" s="85" t="s">
        <v>1264</v>
      </c>
      <c r="E155" s="85" t="s">
        <v>1263</v>
      </c>
      <c r="F155" s="4">
        <v>43746</v>
      </c>
      <c r="G155" s="85" t="s">
        <v>1262</v>
      </c>
      <c r="H155" s="514">
        <v>17</v>
      </c>
      <c r="I155" s="514" t="str">
        <f>CONCATENATE("FALLA N°",REPORTEFALLAS[[#This Row],[CONTADOR]])</f>
        <v>FALLA N°2</v>
      </c>
      <c r="J155" s="158">
        <f>COUNTIF(B155:B2147,REPORTEFALLAS[[#This Row],[N°SERIE]])</f>
        <v>2</v>
      </c>
      <c r="K155" s="549"/>
      <c r="L155" s="549"/>
      <c r="M155" s="549"/>
      <c r="N155" s="549"/>
      <c r="O155" s="549"/>
      <c r="P155" s="549"/>
    </row>
    <row r="156" spans="1:16" ht="41.4" x14ac:dyDescent="0.3">
      <c r="A156" s="549"/>
      <c r="B156" s="510">
        <v>3004331709</v>
      </c>
      <c r="C156" s="511"/>
      <c r="D156" s="510" t="s">
        <v>1261</v>
      </c>
      <c r="E156" s="510" t="s">
        <v>1260</v>
      </c>
      <c r="F156" s="511">
        <v>43743</v>
      </c>
      <c r="G156" s="510" t="s">
        <v>1259</v>
      </c>
      <c r="H156" s="515">
        <v>128</v>
      </c>
      <c r="I156" s="515" t="str">
        <f>CONCATENATE("FALLA N°",REPORTEFALLAS[[#This Row],[CONTADOR]])</f>
        <v>FALLA N°3</v>
      </c>
      <c r="J156" s="158">
        <f>COUNTIF(B156:B2148,REPORTEFALLAS[[#This Row],[N°SERIE]])</f>
        <v>3</v>
      </c>
      <c r="K156" s="549"/>
      <c r="L156" s="549"/>
      <c r="M156" s="549"/>
      <c r="N156" s="549"/>
      <c r="O156" s="549"/>
      <c r="P156" s="549"/>
    </row>
    <row r="157" spans="1:16" ht="27.6" x14ac:dyDescent="0.3">
      <c r="A157" s="549"/>
      <c r="B157" s="510">
        <v>3004402508</v>
      </c>
      <c r="C157" s="511">
        <v>43737</v>
      </c>
      <c r="D157" s="510" t="s">
        <v>1250</v>
      </c>
      <c r="E157" s="510" t="s">
        <v>1249</v>
      </c>
      <c r="F157" s="511">
        <v>43738</v>
      </c>
      <c r="G157" s="510" t="s">
        <v>1248</v>
      </c>
      <c r="H157" s="515">
        <v>2.5</v>
      </c>
      <c r="I157" s="515" t="str">
        <f>CONCATENATE("FALLA N°",REPORTEFALLAS[[#This Row],[CONTADOR]])</f>
        <v>FALLA N°2</v>
      </c>
      <c r="J157" s="158">
        <f>COUNTIF(B157:B2149,REPORTEFALLAS[[#This Row],[N°SERIE]])</f>
        <v>2</v>
      </c>
      <c r="K157" s="549"/>
      <c r="L157" s="549"/>
      <c r="M157" s="549"/>
      <c r="N157" s="549"/>
      <c r="O157" s="549"/>
      <c r="P157" s="549"/>
    </row>
    <row r="158" spans="1:16" ht="27.6" x14ac:dyDescent="0.3">
      <c r="A158" s="549"/>
      <c r="B158" s="510">
        <v>3004344017</v>
      </c>
      <c r="C158" s="511">
        <v>43737</v>
      </c>
      <c r="D158" s="510" t="s">
        <v>1250</v>
      </c>
      <c r="E158" s="510" t="s">
        <v>1249</v>
      </c>
      <c r="F158" s="511">
        <v>43738</v>
      </c>
      <c r="G158" s="510" t="s">
        <v>1248</v>
      </c>
      <c r="H158" s="515">
        <v>8</v>
      </c>
      <c r="I158" s="515" t="str">
        <f>CONCATENATE("FALLA N°",REPORTEFALLAS[[#This Row],[CONTADOR]])</f>
        <v>FALLA N°2</v>
      </c>
      <c r="J158" s="158">
        <f>COUNTIF(B158:B2150,REPORTEFALLAS[[#This Row],[N°SERIE]])</f>
        <v>2</v>
      </c>
      <c r="K158" s="549"/>
      <c r="L158" s="549"/>
      <c r="M158" s="549"/>
      <c r="N158" s="549"/>
      <c r="O158" s="549"/>
      <c r="P158" s="549"/>
    </row>
    <row r="159" spans="1:16" ht="27.6" x14ac:dyDescent="0.3">
      <c r="A159" s="549"/>
      <c r="B159" s="510">
        <v>3004337427</v>
      </c>
      <c r="C159" s="511">
        <v>43737</v>
      </c>
      <c r="D159" s="510" t="s">
        <v>1250</v>
      </c>
      <c r="E159" s="510" t="s">
        <v>1249</v>
      </c>
      <c r="F159" s="511">
        <v>43738</v>
      </c>
      <c r="G159" s="510" t="s">
        <v>1248</v>
      </c>
      <c r="H159" s="515">
        <v>6.7</v>
      </c>
      <c r="I159" s="515" t="str">
        <f>CONCATENATE("FALLA N°",REPORTEFALLAS[[#This Row],[CONTADOR]])</f>
        <v>FALLA N°2</v>
      </c>
      <c r="J159" s="158">
        <f>COUNTIF(B159:B2151,REPORTEFALLAS[[#This Row],[N°SERIE]])</f>
        <v>2</v>
      </c>
      <c r="K159" s="549"/>
      <c r="L159" s="549"/>
      <c r="M159" s="549"/>
      <c r="N159" s="549"/>
      <c r="O159" s="549"/>
      <c r="P159" s="549"/>
    </row>
    <row r="160" spans="1:16" ht="27.6" x14ac:dyDescent="0.3">
      <c r="A160" s="549"/>
      <c r="B160" s="510">
        <v>3004290366</v>
      </c>
      <c r="C160" s="511">
        <v>43737</v>
      </c>
      <c r="D160" s="510" t="s">
        <v>1250</v>
      </c>
      <c r="E160" s="510" t="s">
        <v>1249</v>
      </c>
      <c r="F160" s="511">
        <v>43738</v>
      </c>
      <c r="G160" s="510" t="s">
        <v>1248</v>
      </c>
      <c r="H160" s="515">
        <v>4.5</v>
      </c>
      <c r="I160" s="515" t="str">
        <f>CONCATENATE("FALLA N°",REPORTEFALLAS[[#This Row],[CONTADOR]])</f>
        <v>FALLA N°1</v>
      </c>
      <c r="J160" s="158">
        <f>COUNTIF(B160:B2152,REPORTEFALLAS[[#This Row],[N°SERIE]])</f>
        <v>1</v>
      </c>
      <c r="K160" s="549"/>
      <c r="L160" s="549"/>
      <c r="M160" s="549"/>
      <c r="N160" s="549"/>
      <c r="O160" s="549"/>
      <c r="P160" s="549"/>
    </row>
    <row r="161" spans="1:16" ht="27.6" x14ac:dyDescent="0.3">
      <c r="A161" s="549"/>
      <c r="B161" s="510">
        <v>3004290368</v>
      </c>
      <c r="C161" s="511">
        <v>43737</v>
      </c>
      <c r="D161" s="510" t="s">
        <v>1250</v>
      </c>
      <c r="E161" s="510" t="s">
        <v>1249</v>
      </c>
      <c r="F161" s="511">
        <v>43738</v>
      </c>
      <c r="G161" s="510" t="s">
        <v>1248</v>
      </c>
      <c r="H161" s="515">
        <v>6.2</v>
      </c>
      <c r="I161" s="515" t="str">
        <f>CONCATENATE("FALLA N°",REPORTEFALLAS[[#This Row],[CONTADOR]])</f>
        <v>FALLA N°1</v>
      </c>
      <c r="J161" s="158">
        <f>COUNTIF(B161:B2153,REPORTEFALLAS[[#This Row],[N°SERIE]])</f>
        <v>1</v>
      </c>
      <c r="K161" s="549"/>
      <c r="L161" s="549"/>
      <c r="M161" s="549"/>
      <c r="N161" s="549"/>
      <c r="O161" s="549"/>
      <c r="P161" s="549"/>
    </row>
    <row r="162" spans="1:16" ht="27.6" x14ac:dyDescent="0.3">
      <c r="A162" s="549"/>
      <c r="B162" s="510">
        <v>3004344014</v>
      </c>
      <c r="C162" s="511">
        <v>43717</v>
      </c>
      <c r="D162" s="510" t="s">
        <v>1250</v>
      </c>
      <c r="E162" s="510" t="s">
        <v>1249</v>
      </c>
      <c r="F162" s="511">
        <v>43738</v>
      </c>
      <c r="G162" s="510" t="s">
        <v>1248</v>
      </c>
      <c r="H162" s="515">
        <v>9.8000000000000007</v>
      </c>
      <c r="I162" s="515" t="str">
        <f>CONCATENATE("FALLA N°",REPORTEFALLAS[[#This Row],[CONTADOR]])</f>
        <v>FALLA N°2</v>
      </c>
      <c r="J162" s="158">
        <f>COUNTIF(B162:B2154,REPORTEFALLAS[[#This Row],[N°SERIE]])</f>
        <v>2</v>
      </c>
      <c r="K162" s="549"/>
      <c r="L162" s="549"/>
      <c r="M162" s="549"/>
      <c r="N162" s="549"/>
      <c r="O162" s="549"/>
      <c r="P162" s="549"/>
    </row>
    <row r="163" spans="1:16" ht="27.6" x14ac:dyDescent="0.3">
      <c r="A163" s="549"/>
      <c r="B163" s="510">
        <v>3004337388</v>
      </c>
      <c r="C163" s="511">
        <v>43737</v>
      </c>
      <c r="D163" s="510" t="s">
        <v>1250</v>
      </c>
      <c r="E163" s="510" t="s">
        <v>1249</v>
      </c>
      <c r="F163" s="511">
        <v>43738</v>
      </c>
      <c r="G163" s="510" t="s">
        <v>1248</v>
      </c>
      <c r="H163" s="515">
        <v>34</v>
      </c>
      <c r="I163" s="515" t="str">
        <f>CONCATENATE("FALLA N°",REPORTEFALLAS[[#This Row],[CONTADOR]])</f>
        <v>FALLA N°2</v>
      </c>
      <c r="J163" s="158">
        <f>COUNTIF(B163:B2155,REPORTEFALLAS[[#This Row],[N°SERIE]])</f>
        <v>2</v>
      </c>
      <c r="K163" s="549"/>
      <c r="L163" s="549"/>
      <c r="M163" s="549"/>
      <c r="N163" s="549"/>
      <c r="O163" s="549"/>
      <c r="P163" s="549"/>
    </row>
    <row r="164" spans="1:16" ht="27.6" x14ac:dyDescent="0.3">
      <c r="A164" s="549"/>
      <c r="B164" s="510">
        <v>3004402507</v>
      </c>
      <c r="C164" s="511">
        <v>43737</v>
      </c>
      <c r="D164" s="510" t="s">
        <v>1250</v>
      </c>
      <c r="E164" s="510" t="s">
        <v>1249</v>
      </c>
      <c r="F164" s="511">
        <v>43738</v>
      </c>
      <c r="G164" s="510" t="s">
        <v>1248</v>
      </c>
      <c r="H164" s="515">
        <v>3.4</v>
      </c>
      <c r="I164" s="515" t="str">
        <f>CONCATENATE("FALLA N°",REPORTEFALLAS[[#This Row],[CONTADOR]])</f>
        <v>FALLA N°2</v>
      </c>
      <c r="J164" s="158">
        <f>COUNTIF(B164:B2156,REPORTEFALLAS[[#This Row],[N°SERIE]])</f>
        <v>2</v>
      </c>
      <c r="K164" s="549"/>
      <c r="L164" s="549"/>
      <c r="M164" s="549"/>
      <c r="N164" s="549"/>
      <c r="O164" s="549"/>
      <c r="P164" s="549"/>
    </row>
    <row r="165" spans="1:16" ht="27.6" x14ac:dyDescent="0.3">
      <c r="A165" s="549"/>
      <c r="B165" s="510">
        <v>3004418791</v>
      </c>
      <c r="C165" s="511">
        <v>43737</v>
      </c>
      <c r="D165" s="510" t="s">
        <v>1250</v>
      </c>
      <c r="E165" s="510" t="s">
        <v>1249</v>
      </c>
      <c r="F165" s="511">
        <v>43738</v>
      </c>
      <c r="G165" s="510" t="s">
        <v>1248</v>
      </c>
      <c r="H165" s="515">
        <v>15</v>
      </c>
      <c r="I165" s="515" t="str">
        <f>CONCATENATE("FALLA N°",REPORTEFALLAS[[#This Row],[CONTADOR]])</f>
        <v>FALLA N°2</v>
      </c>
      <c r="J165" s="158">
        <f>COUNTIF(B165:B2157,REPORTEFALLAS[[#This Row],[N°SERIE]])</f>
        <v>2</v>
      </c>
      <c r="K165" s="549"/>
      <c r="L165" s="549"/>
      <c r="M165" s="549"/>
      <c r="N165" s="549"/>
      <c r="O165" s="549"/>
      <c r="P165" s="549"/>
    </row>
    <row r="166" spans="1:16" ht="27.6" x14ac:dyDescent="0.3">
      <c r="A166" s="549"/>
      <c r="B166" s="510">
        <v>3004416580</v>
      </c>
      <c r="C166" s="511">
        <v>43737</v>
      </c>
      <c r="D166" s="510" t="s">
        <v>1250</v>
      </c>
      <c r="E166" s="510" t="s">
        <v>1249</v>
      </c>
      <c r="F166" s="511">
        <v>43738</v>
      </c>
      <c r="G166" s="510" t="s">
        <v>1248</v>
      </c>
      <c r="H166" s="515">
        <v>68</v>
      </c>
      <c r="I166" s="515" t="str">
        <f>CONCATENATE("FALLA N°",REPORTEFALLAS[[#This Row],[CONTADOR]])</f>
        <v>FALLA N°2</v>
      </c>
      <c r="J166" s="158">
        <f>COUNTIF(B166:B2158,REPORTEFALLAS[[#This Row],[N°SERIE]])</f>
        <v>2</v>
      </c>
      <c r="K166" s="549"/>
      <c r="L166" s="549"/>
      <c r="M166" s="549"/>
      <c r="N166" s="549"/>
      <c r="O166" s="549"/>
      <c r="P166" s="549"/>
    </row>
    <row r="167" spans="1:16" ht="27.6" x14ac:dyDescent="0.3">
      <c r="A167" s="549"/>
      <c r="B167" s="510">
        <v>3004327724</v>
      </c>
      <c r="C167" s="511">
        <v>43737</v>
      </c>
      <c r="D167" s="510" t="s">
        <v>1250</v>
      </c>
      <c r="E167" s="510" t="s">
        <v>1249</v>
      </c>
      <c r="F167" s="511">
        <v>43738</v>
      </c>
      <c r="G167" s="510" t="s">
        <v>1248</v>
      </c>
      <c r="H167" s="515">
        <v>76</v>
      </c>
      <c r="I167" s="515" t="str">
        <f>CONCATENATE("FALLA N°",REPORTEFALLAS[[#This Row],[CONTADOR]])</f>
        <v>FALLA N°3</v>
      </c>
      <c r="J167" s="158">
        <f>COUNTIF(B167:B2159,REPORTEFALLAS[[#This Row],[N°SERIE]])</f>
        <v>3</v>
      </c>
      <c r="K167" s="549"/>
      <c r="L167" s="549"/>
      <c r="M167" s="549"/>
      <c r="N167" s="549"/>
      <c r="O167" s="549"/>
      <c r="P167" s="549"/>
    </row>
    <row r="168" spans="1:16" ht="27.6" x14ac:dyDescent="0.3">
      <c r="A168" s="549"/>
      <c r="B168" s="510">
        <v>3004327721</v>
      </c>
      <c r="C168" s="511">
        <v>43737</v>
      </c>
      <c r="D168" s="510" t="s">
        <v>1250</v>
      </c>
      <c r="E168" s="510" t="s">
        <v>1249</v>
      </c>
      <c r="F168" s="511">
        <v>43738</v>
      </c>
      <c r="G168" s="510" t="s">
        <v>1248</v>
      </c>
      <c r="H168" s="515">
        <v>5.3</v>
      </c>
      <c r="I168" s="515" t="str">
        <f>CONCATENATE("FALLA N°",REPORTEFALLAS[[#This Row],[CONTADOR]])</f>
        <v>FALLA N°3</v>
      </c>
      <c r="J168" s="158">
        <f>COUNTIF(B168:B2160,REPORTEFALLAS[[#This Row],[N°SERIE]])</f>
        <v>3</v>
      </c>
      <c r="K168" s="549"/>
      <c r="L168" s="549"/>
      <c r="M168" s="549"/>
      <c r="N168" s="549"/>
      <c r="O168" s="549"/>
      <c r="P168" s="549"/>
    </row>
    <row r="169" spans="1:16" ht="27.6" x14ac:dyDescent="0.3">
      <c r="A169" s="549"/>
      <c r="B169" s="510">
        <v>3004327722</v>
      </c>
      <c r="C169" s="511">
        <v>43737</v>
      </c>
      <c r="D169" s="510" t="s">
        <v>1250</v>
      </c>
      <c r="E169" s="510" t="s">
        <v>1249</v>
      </c>
      <c r="F169" s="511">
        <v>43738</v>
      </c>
      <c r="G169" s="510" t="s">
        <v>1248</v>
      </c>
      <c r="H169" s="515">
        <v>7.4</v>
      </c>
      <c r="I169" s="515" t="str">
        <f>CONCATENATE("FALLA N°",REPORTEFALLAS[[#This Row],[CONTADOR]])</f>
        <v>FALLA N°2</v>
      </c>
      <c r="J169" s="158">
        <f>COUNTIF(B169:B2161,REPORTEFALLAS[[#This Row],[N°SERIE]])</f>
        <v>2</v>
      </c>
      <c r="K169" s="549"/>
      <c r="L169" s="549"/>
      <c r="M169" s="549"/>
      <c r="N169" s="549"/>
      <c r="O169" s="549"/>
      <c r="P169" s="549"/>
    </row>
    <row r="170" spans="1:16" ht="27.6" x14ac:dyDescent="0.3">
      <c r="A170" s="549"/>
      <c r="B170" s="510">
        <v>3004336198</v>
      </c>
      <c r="C170" s="511">
        <v>43737</v>
      </c>
      <c r="D170" s="510" t="s">
        <v>1250</v>
      </c>
      <c r="E170" s="510" t="s">
        <v>1249</v>
      </c>
      <c r="F170" s="511">
        <v>43738</v>
      </c>
      <c r="G170" s="510" t="s">
        <v>1248</v>
      </c>
      <c r="H170" s="515">
        <v>0.8</v>
      </c>
      <c r="I170" s="515" t="str">
        <f>CONCATENATE("FALLA N°",REPORTEFALLAS[[#This Row],[CONTADOR]])</f>
        <v>FALLA N°2</v>
      </c>
      <c r="J170" s="158">
        <f>COUNTIF(B170:B2162,REPORTEFALLAS[[#This Row],[N°SERIE]])</f>
        <v>2</v>
      </c>
      <c r="K170" s="549"/>
      <c r="L170" s="549"/>
      <c r="M170" s="549"/>
      <c r="N170" s="549"/>
      <c r="O170" s="549"/>
      <c r="P170" s="549"/>
    </row>
    <row r="171" spans="1:16" ht="27.6" x14ac:dyDescent="0.3">
      <c r="A171" s="549"/>
      <c r="B171" s="510">
        <v>3004331705</v>
      </c>
      <c r="C171" s="511">
        <v>43737</v>
      </c>
      <c r="D171" s="510" t="s">
        <v>1250</v>
      </c>
      <c r="E171" s="510" t="s">
        <v>1249</v>
      </c>
      <c r="F171" s="511">
        <v>43738</v>
      </c>
      <c r="G171" s="510" t="s">
        <v>1248</v>
      </c>
      <c r="H171" s="515">
        <v>11.9</v>
      </c>
      <c r="I171" s="515" t="str">
        <f>CONCATENATE("FALLA N°",REPORTEFALLAS[[#This Row],[CONTADOR]])</f>
        <v>FALLA N°3</v>
      </c>
      <c r="J171" s="158">
        <f>COUNTIF(B171:B2163,REPORTEFALLAS[[#This Row],[N°SERIE]])</f>
        <v>3</v>
      </c>
      <c r="K171" s="549"/>
      <c r="L171" s="549"/>
      <c r="M171" s="549"/>
      <c r="N171" s="549"/>
      <c r="O171" s="549"/>
      <c r="P171" s="549"/>
    </row>
    <row r="172" spans="1:16" ht="27.6" x14ac:dyDescent="0.3">
      <c r="A172" s="549"/>
      <c r="B172" s="510">
        <v>3004331708</v>
      </c>
      <c r="C172" s="511">
        <v>43737</v>
      </c>
      <c r="D172" s="510" t="s">
        <v>1250</v>
      </c>
      <c r="E172" s="510" t="s">
        <v>1249</v>
      </c>
      <c r="F172" s="511">
        <v>43738</v>
      </c>
      <c r="G172" s="510" t="s">
        <v>1248</v>
      </c>
      <c r="H172" s="515">
        <v>22.7</v>
      </c>
      <c r="I172" s="515" t="str">
        <f>CONCATENATE("FALLA N°",REPORTEFALLAS[[#This Row],[CONTADOR]])</f>
        <v>FALLA N°3</v>
      </c>
      <c r="J172" s="158">
        <f>COUNTIF(B172:B2164,REPORTEFALLAS[[#This Row],[N°SERIE]])</f>
        <v>3</v>
      </c>
      <c r="K172" s="549"/>
      <c r="L172" s="549"/>
      <c r="M172" s="549"/>
      <c r="N172" s="549"/>
      <c r="O172" s="549"/>
      <c r="P172" s="549"/>
    </row>
    <row r="173" spans="1:16" ht="27.6" x14ac:dyDescent="0.3">
      <c r="A173" s="549"/>
      <c r="B173" s="510">
        <v>3004327723</v>
      </c>
      <c r="C173" s="511">
        <v>43737</v>
      </c>
      <c r="D173" s="510" t="s">
        <v>1250</v>
      </c>
      <c r="E173" s="510" t="s">
        <v>1249</v>
      </c>
      <c r="F173" s="511">
        <v>43738</v>
      </c>
      <c r="G173" s="510" t="s">
        <v>1248</v>
      </c>
      <c r="H173" s="515">
        <v>4.7</v>
      </c>
      <c r="I173" s="515" t="str">
        <f>CONCATENATE("FALLA N°",REPORTEFALLAS[[#This Row],[CONTADOR]])</f>
        <v>FALLA N°3</v>
      </c>
      <c r="J173" s="158">
        <f>COUNTIF(B173:B2165,REPORTEFALLAS[[#This Row],[N°SERIE]])</f>
        <v>3</v>
      </c>
      <c r="K173" s="549"/>
      <c r="L173" s="549"/>
      <c r="M173" s="549"/>
      <c r="N173" s="549"/>
      <c r="O173" s="549"/>
      <c r="P173" s="549"/>
    </row>
    <row r="174" spans="1:16" ht="27.6" x14ac:dyDescent="0.3">
      <c r="A174" s="549"/>
      <c r="B174" s="510">
        <v>3004331709</v>
      </c>
      <c r="C174" s="511">
        <v>43737</v>
      </c>
      <c r="D174" s="510" t="s">
        <v>1250</v>
      </c>
      <c r="E174" s="510" t="s">
        <v>1249</v>
      </c>
      <c r="F174" s="511">
        <v>43738</v>
      </c>
      <c r="G174" s="510" t="s">
        <v>1248</v>
      </c>
      <c r="H174" s="515">
        <v>3.6</v>
      </c>
      <c r="I174" s="515" t="str">
        <f>CONCATENATE("FALLA N°",REPORTEFALLAS[[#This Row],[CONTADOR]])</f>
        <v>FALLA N°2</v>
      </c>
      <c r="J174" s="158">
        <f>COUNTIF(B174:B2166,REPORTEFALLAS[[#This Row],[N°SERIE]])</f>
        <v>2</v>
      </c>
      <c r="K174" s="549"/>
      <c r="L174" s="549"/>
      <c r="M174" s="549"/>
      <c r="N174" s="549"/>
      <c r="O174" s="549"/>
      <c r="P174" s="549"/>
    </row>
    <row r="175" spans="1:16" ht="27.6" x14ac:dyDescent="0.3">
      <c r="A175" s="549"/>
      <c r="B175" s="510">
        <v>3004337429</v>
      </c>
      <c r="C175" s="511">
        <v>43737</v>
      </c>
      <c r="D175" s="510" t="s">
        <v>1250</v>
      </c>
      <c r="E175" s="510" t="s">
        <v>1249</v>
      </c>
      <c r="F175" s="511">
        <v>43738</v>
      </c>
      <c r="G175" s="510" t="s">
        <v>1248</v>
      </c>
      <c r="H175" s="515">
        <v>2.9</v>
      </c>
      <c r="I175" s="515" t="str">
        <f>CONCATENATE("FALLA N°",REPORTEFALLAS[[#This Row],[CONTADOR]])</f>
        <v>FALLA N°1</v>
      </c>
      <c r="J175" s="158">
        <f>COUNTIF(B175:B2167,REPORTEFALLAS[[#This Row],[N°SERIE]])</f>
        <v>1</v>
      </c>
      <c r="K175" s="549"/>
      <c r="L175" s="549"/>
      <c r="M175" s="549"/>
      <c r="N175" s="549"/>
      <c r="O175" s="549"/>
      <c r="P175" s="549"/>
    </row>
    <row r="176" spans="1:16" ht="27.6" x14ac:dyDescent="0.3">
      <c r="A176" s="549"/>
      <c r="B176" s="510">
        <v>3004337430</v>
      </c>
      <c r="C176" s="511">
        <v>43737</v>
      </c>
      <c r="D176" s="510" t="s">
        <v>1250</v>
      </c>
      <c r="E176" s="510" t="s">
        <v>1249</v>
      </c>
      <c r="F176" s="511">
        <v>43738</v>
      </c>
      <c r="G176" s="510" t="s">
        <v>1248</v>
      </c>
      <c r="H176" s="515" t="s">
        <v>1258</v>
      </c>
      <c r="I176" s="515" t="str">
        <f>CONCATENATE("FALLA N°",REPORTEFALLAS[[#This Row],[CONTADOR]])</f>
        <v>FALLA N°1</v>
      </c>
      <c r="J176" s="158">
        <f>COUNTIF(B176:B2168,REPORTEFALLAS[[#This Row],[N°SERIE]])</f>
        <v>1</v>
      </c>
      <c r="K176" s="549"/>
      <c r="L176" s="549"/>
      <c r="M176" s="549"/>
      <c r="N176" s="549"/>
      <c r="O176" s="549"/>
      <c r="P176" s="549"/>
    </row>
    <row r="177" spans="1:16" ht="27.6" x14ac:dyDescent="0.3">
      <c r="A177" s="549"/>
      <c r="B177" s="510">
        <v>3004214491</v>
      </c>
      <c r="C177" s="511">
        <v>43737</v>
      </c>
      <c r="D177" s="510" t="s">
        <v>1250</v>
      </c>
      <c r="E177" s="510" t="s">
        <v>1249</v>
      </c>
      <c r="F177" s="511">
        <v>43738</v>
      </c>
      <c r="G177" s="510" t="s">
        <v>1248</v>
      </c>
      <c r="H177" s="515">
        <v>13</v>
      </c>
      <c r="I177" s="515" t="str">
        <f>CONCATENATE("FALLA N°",REPORTEFALLAS[[#This Row],[CONTADOR]])</f>
        <v>FALLA N°2</v>
      </c>
      <c r="J177" s="158">
        <f>COUNTIF(B177:B2169,REPORTEFALLAS[[#This Row],[N°SERIE]])</f>
        <v>2</v>
      </c>
      <c r="K177" s="549"/>
      <c r="L177" s="549"/>
      <c r="M177" s="549"/>
      <c r="N177" s="549"/>
      <c r="O177" s="549"/>
      <c r="P177" s="549"/>
    </row>
    <row r="178" spans="1:16" ht="27.6" x14ac:dyDescent="0.3">
      <c r="A178" s="549"/>
      <c r="B178" s="510">
        <v>3004337428</v>
      </c>
      <c r="C178" s="511">
        <v>43737</v>
      </c>
      <c r="D178" s="510" t="s">
        <v>1250</v>
      </c>
      <c r="E178" s="510" t="s">
        <v>1249</v>
      </c>
      <c r="F178" s="511">
        <v>43738</v>
      </c>
      <c r="G178" s="510" t="s">
        <v>1248</v>
      </c>
      <c r="H178" s="515">
        <v>2.2999999999999998</v>
      </c>
      <c r="I178" s="515" t="str">
        <f>CONCATENATE("FALLA N°",REPORTEFALLAS[[#This Row],[CONTADOR]])</f>
        <v>FALLA N°1</v>
      </c>
      <c r="J178" s="158">
        <f>COUNTIF(B178:B2170,REPORTEFALLAS[[#This Row],[N°SERIE]])</f>
        <v>1</v>
      </c>
      <c r="K178" s="549"/>
      <c r="L178" s="549"/>
      <c r="M178" s="549"/>
      <c r="N178" s="549"/>
      <c r="O178" s="549"/>
      <c r="P178" s="549"/>
    </row>
    <row r="179" spans="1:16" ht="27.6" x14ac:dyDescent="0.3">
      <c r="A179" s="549"/>
      <c r="B179" s="510">
        <v>3004218547</v>
      </c>
      <c r="C179" s="511">
        <v>43737</v>
      </c>
      <c r="D179" s="510" t="s">
        <v>1250</v>
      </c>
      <c r="E179" s="510" t="s">
        <v>1249</v>
      </c>
      <c r="F179" s="511">
        <v>43738</v>
      </c>
      <c r="G179" s="510" t="s">
        <v>1248</v>
      </c>
      <c r="H179" s="515">
        <v>3.8</v>
      </c>
      <c r="I179" s="515" t="str">
        <f>CONCATENATE("FALLA N°",REPORTEFALLAS[[#This Row],[CONTADOR]])</f>
        <v>FALLA N°1</v>
      </c>
      <c r="J179" s="158">
        <f>COUNTIF(B179:B2171,REPORTEFALLAS[[#This Row],[N°SERIE]])</f>
        <v>1</v>
      </c>
      <c r="K179" s="549"/>
      <c r="L179" s="549"/>
      <c r="M179" s="549"/>
      <c r="N179" s="549"/>
      <c r="O179" s="549"/>
      <c r="P179" s="549"/>
    </row>
    <row r="180" spans="1:16" ht="27.6" x14ac:dyDescent="0.3">
      <c r="A180" s="549"/>
      <c r="B180" s="510">
        <v>3004327725</v>
      </c>
      <c r="C180" s="511">
        <v>43737</v>
      </c>
      <c r="D180" s="510" t="s">
        <v>1250</v>
      </c>
      <c r="E180" s="510" t="s">
        <v>1249</v>
      </c>
      <c r="F180" s="511">
        <v>43738</v>
      </c>
      <c r="G180" s="510" t="s">
        <v>1248</v>
      </c>
      <c r="H180" s="515" t="s">
        <v>1257</v>
      </c>
      <c r="I180" s="515" t="str">
        <f>CONCATENATE("FALLA N°",REPORTEFALLAS[[#This Row],[CONTADOR]])</f>
        <v>FALLA N°1</v>
      </c>
      <c r="J180" s="158">
        <f>COUNTIF(B180:B2172,REPORTEFALLAS[[#This Row],[N°SERIE]])</f>
        <v>1</v>
      </c>
      <c r="K180" s="549"/>
      <c r="L180" s="549"/>
      <c r="M180" s="549"/>
      <c r="N180" s="549"/>
      <c r="O180" s="549"/>
      <c r="P180" s="549"/>
    </row>
    <row r="181" spans="1:16" ht="27.6" x14ac:dyDescent="0.3">
      <c r="A181" s="549"/>
      <c r="B181" s="510">
        <v>3004290364</v>
      </c>
      <c r="C181" s="511">
        <v>43737</v>
      </c>
      <c r="D181" s="510" t="s">
        <v>1250</v>
      </c>
      <c r="E181" s="510" t="s">
        <v>1249</v>
      </c>
      <c r="F181" s="511">
        <v>43738</v>
      </c>
      <c r="G181" s="510" t="s">
        <v>1248</v>
      </c>
      <c r="H181" s="515">
        <v>13.4</v>
      </c>
      <c r="I181" s="515" t="str">
        <f>CONCATENATE("FALLA N°",REPORTEFALLAS[[#This Row],[CONTADOR]])</f>
        <v>FALLA N°2</v>
      </c>
      <c r="J181" s="158">
        <f>COUNTIF(B181:B2173,REPORTEFALLAS[[#This Row],[N°SERIE]])</f>
        <v>2</v>
      </c>
      <c r="K181" s="549"/>
      <c r="L181" s="549"/>
      <c r="M181" s="549"/>
      <c r="N181" s="549"/>
      <c r="O181" s="549"/>
      <c r="P181" s="549"/>
    </row>
    <row r="182" spans="1:16" ht="27.6" x14ac:dyDescent="0.3">
      <c r="A182" s="549"/>
      <c r="B182" s="510">
        <v>3004327721</v>
      </c>
      <c r="C182" s="511">
        <v>43717</v>
      </c>
      <c r="D182" s="510" t="s">
        <v>1253</v>
      </c>
      <c r="E182" s="510" t="s">
        <v>1252</v>
      </c>
      <c r="F182" s="511">
        <v>43738</v>
      </c>
      <c r="G182" s="510" t="s">
        <v>1251</v>
      </c>
      <c r="H182" s="515">
        <v>5.3</v>
      </c>
      <c r="I182" s="515" t="str">
        <f>CONCATENATE("FALLA N°",REPORTEFALLAS[[#This Row],[CONTADOR]])</f>
        <v>FALLA N°2</v>
      </c>
      <c r="J182" s="158">
        <f>COUNTIF(B182:B2174,REPORTEFALLAS[[#This Row],[N°SERIE]])</f>
        <v>2</v>
      </c>
      <c r="K182" s="549"/>
      <c r="L182" s="549"/>
      <c r="M182" s="549"/>
      <c r="N182" s="549"/>
      <c r="O182" s="549"/>
      <c r="P182" s="549"/>
    </row>
    <row r="183" spans="1:16" ht="27.6" x14ac:dyDescent="0.3">
      <c r="A183" s="549"/>
      <c r="B183" s="510">
        <v>3004327722</v>
      </c>
      <c r="C183" s="511">
        <v>43717</v>
      </c>
      <c r="D183" s="510" t="s">
        <v>1253</v>
      </c>
      <c r="E183" s="510" t="s">
        <v>1252</v>
      </c>
      <c r="F183" s="511">
        <v>43738</v>
      </c>
      <c r="G183" s="510" t="s">
        <v>1251</v>
      </c>
      <c r="H183" s="515">
        <v>7.3</v>
      </c>
      <c r="I183" s="515" t="str">
        <f>CONCATENATE("FALLA N°",REPORTEFALLAS[[#This Row],[CONTADOR]])</f>
        <v>FALLA N°1</v>
      </c>
      <c r="J183" s="158">
        <f>COUNTIF(B183:B2175,REPORTEFALLAS[[#This Row],[N°SERIE]])</f>
        <v>1</v>
      </c>
      <c r="K183" s="549"/>
      <c r="L183" s="549"/>
      <c r="M183" s="549"/>
      <c r="N183" s="549"/>
      <c r="O183" s="549"/>
      <c r="P183" s="549"/>
    </row>
    <row r="184" spans="1:16" ht="27.6" x14ac:dyDescent="0.3">
      <c r="A184" s="549"/>
      <c r="B184" s="510">
        <v>3004336198</v>
      </c>
      <c r="C184" s="511">
        <v>43717</v>
      </c>
      <c r="D184" s="510" t="s">
        <v>1253</v>
      </c>
      <c r="E184" s="510" t="s">
        <v>1252</v>
      </c>
      <c r="F184" s="511">
        <v>43738</v>
      </c>
      <c r="G184" s="510" t="s">
        <v>1251</v>
      </c>
      <c r="H184" s="515">
        <v>0.9</v>
      </c>
      <c r="I184" s="515" t="str">
        <f>CONCATENATE("FALLA N°",REPORTEFALLAS[[#This Row],[CONTADOR]])</f>
        <v>FALLA N°1</v>
      </c>
      <c r="J184" s="158">
        <f>COUNTIF(B184:B2176,REPORTEFALLAS[[#This Row],[N°SERIE]])</f>
        <v>1</v>
      </c>
      <c r="K184" s="549"/>
      <c r="L184" s="549"/>
      <c r="M184" s="549"/>
      <c r="N184" s="549"/>
      <c r="O184" s="549"/>
      <c r="P184" s="549"/>
    </row>
    <row r="185" spans="1:16" ht="27.6" x14ac:dyDescent="0.3">
      <c r="A185" s="549"/>
      <c r="B185" s="510">
        <v>3004331705</v>
      </c>
      <c r="C185" s="511">
        <v>43717</v>
      </c>
      <c r="D185" s="510" t="s">
        <v>1253</v>
      </c>
      <c r="E185" s="510" t="s">
        <v>1252</v>
      </c>
      <c r="F185" s="511">
        <v>43738</v>
      </c>
      <c r="G185" s="510" t="s">
        <v>1251</v>
      </c>
      <c r="H185" s="515">
        <v>11.9</v>
      </c>
      <c r="I185" s="515" t="str">
        <f>CONCATENATE("FALLA N°",REPORTEFALLAS[[#This Row],[CONTADOR]])</f>
        <v>FALLA N°2</v>
      </c>
      <c r="J185" s="158">
        <f>COUNTIF(B185:B2177,REPORTEFALLAS[[#This Row],[N°SERIE]])</f>
        <v>2</v>
      </c>
      <c r="K185" s="549"/>
      <c r="L185" s="549"/>
      <c r="M185" s="549"/>
      <c r="N185" s="549"/>
      <c r="O185" s="549"/>
      <c r="P185" s="549"/>
    </row>
    <row r="186" spans="1:16" ht="27.6" x14ac:dyDescent="0.3">
      <c r="A186" s="549"/>
      <c r="B186" s="510">
        <v>3004331708</v>
      </c>
      <c r="C186" s="511">
        <v>43717</v>
      </c>
      <c r="D186" s="510" t="s">
        <v>1253</v>
      </c>
      <c r="E186" s="510" t="s">
        <v>1252</v>
      </c>
      <c r="F186" s="511">
        <v>43738</v>
      </c>
      <c r="G186" s="510" t="s">
        <v>1251</v>
      </c>
      <c r="H186" s="515">
        <v>4.0999999999999996</v>
      </c>
      <c r="I186" s="515" t="str">
        <f>CONCATENATE("FALLA N°",REPORTEFALLAS[[#This Row],[CONTADOR]])</f>
        <v>FALLA N°2</v>
      </c>
      <c r="J186" s="158">
        <f>COUNTIF(B186:B2178,REPORTEFALLAS[[#This Row],[N°SERIE]])</f>
        <v>2</v>
      </c>
      <c r="K186" s="549"/>
      <c r="L186" s="549"/>
      <c r="M186" s="549"/>
      <c r="N186" s="549"/>
      <c r="O186" s="549"/>
      <c r="P186" s="549"/>
    </row>
    <row r="187" spans="1:16" ht="27.6" x14ac:dyDescent="0.3">
      <c r="A187" s="549"/>
      <c r="B187" s="510">
        <v>3004327723</v>
      </c>
      <c r="C187" s="511">
        <v>43717</v>
      </c>
      <c r="D187" s="510" t="s">
        <v>1253</v>
      </c>
      <c r="E187" s="510" t="s">
        <v>1252</v>
      </c>
      <c r="F187" s="511">
        <v>43738</v>
      </c>
      <c r="G187" s="510" t="s">
        <v>1251</v>
      </c>
      <c r="H187" s="515">
        <v>3.5</v>
      </c>
      <c r="I187" s="515" t="str">
        <f>CONCATENATE("FALLA N°",REPORTEFALLAS[[#This Row],[CONTADOR]])</f>
        <v>FALLA N°2</v>
      </c>
      <c r="J187" s="158">
        <f>COUNTIF(B187:B2179,REPORTEFALLAS[[#This Row],[N°SERIE]])</f>
        <v>2</v>
      </c>
      <c r="K187" s="549"/>
      <c r="L187" s="549"/>
      <c r="M187" s="549"/>
      <c r="N187" s="549"/>
      <c r="O187" s="549"/>
      <c r="P187" s="549"/>
    </row>
    <row r="188" spans="1:16" ht="27.6" x14ac:dyDescent="0.3">
      <c r="A188" s="549"/>
      <c r="B188" s="510">
        <v>3004331709</v>
      </c>
      <c r="C188" s="511">
        <v>43717</v>
      </c>
      <c r="D188" s="510" t="s">
        <v>1253</v>
      </c>
      <c r="E188" s="510" t="s">
        <v>1252</v>
      </c>
      <c r="F188" s="511">
        <v>43738</v>
      </c>
      <c r="G188" s="510" t="s">
        <v>1251</v>
      </c>
      <c r="H188" s="515">
        <v>3.6</v>
      </c>
      <c r="I188" s="515" t="str">
        <f>CONCATENATE("FALLA N°",REPORTEFALLAS[[#This Row],[CONTADOR]])</f>
        <v>FALLA N°1</v>
      </c>
      <c r="J188" s="158">
        <f>COUNTIF(B188:B2180,REPORTEFALLAS[[#This Row],[N°SERIE]])</f>
        <v>1</v>
      </c>
      <c r="K188" s="549"/>
      <c r="L188" s="549"/>
      <c r="M188" s="549"/>
      <c r="N188" s="549"/>
      <c r="O188" s="549"/>
      <c r="P188" s="549"/>
    </row>
    <row r="189" spans="1:16" ht="27.6" x14ac:dyDescent="0.3">
      <c r="A189" s="549"/>
      <c r="B189" s="510">
        <v>3004227749</v>
      </c>
      <c r="C189" s="511">
        <v>43717</v>
      </c>
      <c r="D189" s="510" t="s">
        <v>1253</v>
      </c>
      <c r="E189" s="510" t="s">
        <v>1252</v>
      </c>
      <c r="F189" s="511">
        <v>43738</v>
      </c>
      <c r="G189" s="510" t="s">
        <v>1251</v>
      </c>
      <c r="H189" s="515">
        <v>2</v>
      </c>
      <c r="I189" s="515" t="str">
        <f>CONCATENATE("FALLA N°",REPORTEFALLAS[[#This Row],[CONTADOR]])</f>
        <v>FALLA N°2</v>
      </c>
      <c r="J189" s="158">
        <f>COUNTIF(B189:B2181,REPORTEFALLAS[[#This Row],[N°SERIE]])</f>
        <v>2</v>
      </c>
      <c r="K189" s="549"/>
      <c r="L189" s="549"/>
      <c r="M189" s="549"/>
      <c r="N189" s="549"/>
      <c r="O189" s="549"/>
      <c r="P189" s="549"/>
    </row>
    <row r="190" spans="1:16" ht="27.6" x14ac:dyDescent="0.3">
      <c r="A190" s="549"/>
      <c r="B190" s="510">
        <v>3004428523</v>
      </c>
      <c r="C190" s="511">
        <v>43717</v>
      </c>
      <c r="D190" s="510" t="s">
        <v>1253</v>
      </c>
      <c r="E190" s="510" t="s">
        <v>1252</v>
      </c>
      <c r="F190" s="511">
        <v>43738</v>
      </c>
      <c r="G190" s="510" t="s">
        <v>1251</v>
      </c>
      <c r="H190" s="515">
        <v>14</v>
      </c>
      <c r="I190" s="515" t="str">
        <f>CONCATENATE("FALLA N°",REPORTEFALLAS[[#This Row],[CONTADOR]])</f>
        <v>FALLA N°1</v>
      </c>
      <c r="J190" s="158">
        <f>COUNTIF(B190:B2182,REPORTEFALLAS[[#This Row],[N°SERIE]])</f>
        <v>1</v>
      </c>
      <c r="K190" s="549"/>
      <c r="L190" s="549"/>
      <c r="M190" s="549"/>
      <c r="N190" s="549"/>
      <c r="O190" s="549"/>
      <c r="P190" s="549"/>
    </row>
    <row r="191" spans="1:16" ht="27.6" x14ac:dyDescent="0.3">
      <c r="A191" s="549"/>
      <c r="B191" s="14">
        <v>3004327721</v>
      </c>
      <c r="C191" s="4">
        <v>43766</v>
      </c>
      <c r="D191" s="85" t="s">
        <v>1256</v>
      </c>
      <c r="E191" s="85" t="s">
        <v>1255</v>
      </c>
      <c r="F191" s="4">
        <v>43738</v>
      </c>
      <c r="G191" s="85" t="s">
        <v>1254</v>
      </c>
      <c r="H191" s="514">
        <v>6.1</v>
      </c>
      <c r="I191" s="514" t="str">
        <f>CONCATENATE("FALLA N°",REPORTEFALLAS[[#This Row],[CONTADOR]])</f>
        <v>FALLA N°1</v>
      </c>
      <c r="J191" s="158">
        <f>COUNTIF(B191:B2183,REPORTEFALLAS[[#This Row],[N°SERIE]])</f>
        <v>1</v>
      </c>
      <c r="K191" s="549"/>
      <c r="L191" s="549"/>
      <c r="M191" s="549"/>
      <c r="N191" s="549"/>
      <c r="O191" s="549"/>
      <c r="P191" s="549"/>
    </row>
    <row r="192" spans="1:16" ht="27.6" x14ac:dyDescent="0.3">
      <c r="A192" s="549"/>
      <c r="B192" s="14">
        <v>3004331705</v>
      </c>
      <c r="C192" s="4">
        <v>43735</v>
      </c>
      <c r="D192" s="85" t="s">
        <v>1256</v>
      </c>
      <c r="E192" s="85" t="s">
        <v>1255</v>
      </c>
      <c r="F192" s="4">
        <v>43738</v>
      </c>
      <c r="G192" s="85" t="s">
        <v>1254</v>
      </c>
      <c r="H192" s="514">
        <v>12.1</v>
      </c>
      <c r="I192" s="514" t="str">
        <f>CONCATENATE("FALLA N°",REPORTEFALLAS[[#This Row],[CONTADOR]])</f>
        <v>FALLA N°1</v>
      </c>
      <c r="J192" s="158">
        <f>COUNTIF(B192:B2184,REPORTEFALLAS[[#This Row],[N°SERIE]])</f>
        <v>1</v>
      </c>
      <c r="K192" s="549"/>
      <c r="L192" s="549"/>
      <c r="M192" s="549"/>
      <c r="N192" s="549"/>
      <c r="O192" s="549"/>
      <c r="P192" s="549"/>
    </row>
    <row r="193" spans="1:16" ht="27.6" x14ac:dyDescent="0.3">
      <c r="A193" s="549"/>
      <c r="B193" s="14">
        <v>3004331708</v>
      </c>
      <c r="C193" s="4">
        <v>43735</v>
      </c>
      <c r="D193" s="85" t="s">
        <v>1256</v>
      </c>
      <c r="E193" s="85" t="s">
        <v>1255</v>
      </c>
      <c r="F193" s="4">
        <v>43738</v>
      </c>
      <c r="G193" s="85" t="s">
        <v>1254</v>
      </c>
      <c r="H193" s="514">
        <v>23</v>
      </c>
      <c r="I193" s="514" t="str">
        <f>CONCATENATE("FALLA N°",REPORTEFALLAS[[#This Row],[CONTADOR]])</f>
        <v>FALLA N°1</v>
      </c>
      <c r="J193" s="158">
        <f>COUNTIF(B193:B2185,REPORTEFALLAS[[#This Row],[N°SERIE]])</f>
        <v>1</v>
      </c>
      <c r="K193" s="549"/>
      <c r="L193" s="549"/>
      <c r="M193" s="549"/>
      <c r="N193" s="549"/>
      <c r="O193" s="549"/>
      <c r="P193" s="549"/>
    </row>
    <row r="194" spans="1:16" ht="27.6" x14ac:dyDescent="0.3">
      <c r="A194" s="549"/>
      <c r="B194" s="14">
        <v>3004327723</v>
      </c>
      <c r="C194" s="4">
        <v>43735</v>
      </c>
      <c r="D194" s="85" t="s">
        <v>1256</v>
      </c>
      <c r="E194" s="85" t="s">
        <v>1255</v>
      </c>
      <c r="F194" s="4">
        <v>43738</v>
      </c>
      <c r="G194" s="85" t="s">
        <v>1254</v>
      </c>
      <c r="H194" s="514">
        <v>4.7</v>
      </c>
      <c r="I194" s="514" t="str">
        <f>CONCATENATE("FALLA N°",REPORTEFALLAS[[#This Row],[CONTADOR]])</f>
        <v>FALLA N°1</v>
      </c>
      <c r="J194" s="158">
        <f>COUNTIF(B194:B2186,REPORTEFALLAS[[#This Row],[N°SERIE]])</f>
        <v>1</v>
      </c>
      <c r="K194" s="549"/>
      <c r="L194" s="549"/>
      <c r="M194" s="549"/>
      <c r="N194" s="549"/>
      <c r="O194" s="549"/>
      <c r="P194" s="549"/>
    </row>
    <row r="195" spans="1:16" ht="27.6" x14ac:dyDescent="0.3">
      <c r="A195" s="549"/>
      <c r="B195" s="510">
        <v>3004235514</v>
      </c>
      <c r="C195" s="511">
        <v>43717</v>
      </c>
      <c r="D195" s="510" t="s">
        <v>1253</v>
      </c>
      <c r="E195" s="510" t="s">
        <v>1252</v>
      </c>
      <c r="F195" s="511">
        <v>43737</v>
      </c>
      <c r="G195" s="510" t="s">
        <v>1251</v>
      </c>
      <c r="H195" s="515">
        <v>4.8</v>
      </c>
      <c r="I195" s="515" t="str">
        <f>CONCATENATE("FALLA N°",REPORTEFALLAS[[#This Row],[CONTADOR]])</f>
        <v>FALLA N°1</v>
      </c>
      <c r="J195" s="158">
        <f>COUNTIF(B195:B2187,REPORTEFALLAS[[#This Row],[N°SERIE]])</f>
        <v>1</v>
      </c>
      <c r="K195" s="549"/>
      <c r="L195" s="549"/>
      <c r="M195" s="549"/>
      <c r="N195" s="549"/>
      <c r="O195" s="549"/>
      <c r="P195" s="549"/>
    </row>
    <row r="196" spans="1:16" ht="27.6" x14ac:dyDescent="0.3">
      <c r="A196" s="549"/>
      <c r="B196" s="14">
        <v>3004327724</v>
      </c>
      <c r="C196" s="4">
        <v>43735</v>
      </c>
      <c r="D196" s="85" t="s">
        <v>1256</v>
      </c>
      <c r="E196" s="85" t="s">
        <v>1255</v>
      </c>
      <c r="F196" s="4">
        <v>43737</v>
      </c>
      <c r="G196" s="85" t="s">
        <v>1254</v>
      </c>
      <c r="H196" s="514">
        <v>69</v>
      </c>
      <c r="I196" s="514" t="str">
        <f>CONCATENATE("FALLA N°",REPORTEFALLAS[[#This Row],[CONTADOR]])</f>
        <v>FALLA N°2</v>
      </c>
      <c r="J196" s="158">
        <f>COUNTIF(B196:B2188,REPORTEFALLAS[[#This Row],[N°SERIE]])</f>
        <v>2</v>
      </c>
      <c r="K196" s="549"/>
      <c r="L196" s="549"/>
      <c r="M196" s="549"/>
      <c r="N196" s="549"/>
      <c r="O196" s="549"/>
      <c r="P196" s="549"/>
    </row>
    <row r="197" spans="1:16" ht="27.6" x14ac:dyDescent="0.3">
      <c r="A197" s="549"/>
      <c r="B197" s="510">
        <v>3004416581</v>
      </c>
      <c r="C197" s="511">
        <v>43724</v>
      </c>
      <c r="D197" s="510" t="s">
        <v>1250</v>
      </c>
      <c r="E197" s="510" t="s">
        <v>1249</v>
      </c>
      <c r="F197" s="511">
        <v>43725</v>
      </c>
      <c r="G197" s="510" t="s">
        <v>1248</v>
      </c>
      <c r="H197" s="515">
        <v>4.5</v>
      </c>
      <c r="I197" s="515" t="str">
        <f>CONCATENATE("FALLA N°",REPORTEFALLAS[[#This Row],[CONTADOR]])</f>
        <v>FALLA N°2</v>
      </c>
      <c r="J197" s="158">
        <f>COUNTIF(B197:B2189,REPORTEFALLAS[[#This Row],[N°SERIE]])</f>
        <v>2</v>
      </c>
      <c r="K197" s="549"/>
      <c r="L197" s="549"/>
      <c r="M197" s="549"/>
      <c r="N197" s="549"/>
      <c r="O197" s="549"/>
      <c r="P197" s="549"/>
    </row>
    <row r="198" spans="1:16" ht="27.6" x14ac:dyDescent="0.3">
      <c r="A198" s="549"/>
      <c r="B198" s="510">
        <v>3004381438</v>
      </c>
      <c r="C198" s="511">
        <v>43724</v>
      </c>
      <c r="D198" s="510" t="s">
        <v>1250</v>
      </c>
      <c r="E198" s="510" t="s">
        <v>1249</v>
      </c>
      <c r="F198" s="511">
        <v>43725</v>
      </c>
      <c r="G198" s="510" t="s">
        <v>1248</v>
      </c>
      <c r="H198" s="515">
        <v>5.2</v>
      </c>
      <c r="I198" s="515" t="str">
        <f>CONCATENATE("FALLA N°",REPORTEFALLAS[[#This Row],[CONTADOR]])</f>
        <v>FALLA N°2</v>
      </c>
      <c r="J198" s="158">
        <f>COUNTIF(B198:B2190,REPORTEFALLAS[[#This Row],[N°SERIE]])</f>
        <v>2</v>
      </c>
      <c r="K198" s="549"/>
      <c r="L198" s="549"/>
      <c r="M198" s="549"/>
      <c r="N198" s="549"/>
      <c r="O198" s="549"/>
      <c r="P198" s="549"/>
    </row>
    <row r="199" spans="1:16" ht="27.6" x14ac:dyDescent="0.3">
      <c r="A199" s="549"/>
      <c r="B199" s="510">
        <v>3004336196</v>
      </c>
      <c r="C199" s="511">
        <v>43724</v>
      </c>
      <c r="D199" s="510" t="s">
        <v>1250</v>
      </c>
      <c r="E199" s="510" t="s">
        <v>1249</v>
      </c>
      <c r="F199" s="511">
        <v>43725</v>
      </c>
      <c r="G199" s="510" t="s">
        <v>1248</v>
      </c>
      <c r="H199" s="515">
        <v>23</v>
      </c>
      <c r="I199" s="515" t="str">
        <f>CONCATENATE("FALLA N°",REPORTEFALLAS[[#This Row],[CONTADOR]])</f>
        <v>FALLA N°2</v>
      </c>
      <c r="J199" s="158">
        <f>COUNTIF(B199:B2191,REPORTEFALLAS[[#This Row],[N°SERIE]])</f>
        <v>2</v>
      </c>
      <c r="K199" s="549"/>
      <c r="L199" s="549"/>
      <c r="M199" s="549"/>
      <c r="N199" s="549"/>
      <c r="O199" s="549"/>
      <c r="P199" s="549"/>
    </row>
    <row r="200" spans="1:16" ht="27.6" x14ac:dyDescent="0.3">
      <c r="A200" s="549"/>
      <c r="B200" s="510">
        <v>3004402506</v>
      </c>
      <c r="C200" s="511">
        <v>43724</v>
      </c>
      <c r="D200" s="510" t="s">
        <v>1250</v>
      </c>
      <c r="E200" s="510" t="s">
        <v>1249</v>
      </c>
      <c r="F200" s="511">
        <v>43725</v>
      </c>
      <c r="G200" s="510" t="s">
        <v>1248</v>
      </c>
      <c r="H200" s="515">
        <v>21</v>
      </c>
      <c r="I200" s="515" t="str">
        <f>CONCATENATE("FALLA N°",REPORTEFALLAS[[#This Row],[CONTADOR]])</f>
        <v>FALLA N°2</v>
      </c>
      <c r="J200" s="158">
        <f>COUNTIF(B200:B2192,REPORTEFALLAS[[#This Row],[N°SERIE]])</f>
        <v>2</v>
      </c>
      <c r="K200" s="549"/>
      <c r="L200" s="549"/>
      <c r="M200" s="549"/>
      <c r="N200" s="549"/>
      <c r="O200" s="549"/>
      <c r="P200" s="549"/>
    </row>
    <row r="201" spans="1:16" ht="27.6" x14ac:dyDescent="0.3">
      <c r="A201" s="549"/>
      <c r="B201" s="510">
        <v>3004290364</v>
      </c>
      <c r="C201" s="511">
        <v>43717</v>
      </c>
      <c r="D201" s="510" t="s">
        <v>1253</v>
      </c>
      <c r="E201" s="510" t="s">
        <v>1252</v>
      </c>
      <c r="F201" s="511">
        <v>43720</v>
      </c>
      <c r="G201" s="510" t="s">
        <v>1251</v>
      </c>
      <c r="H201" s="515">
        <v>3.2</v>
      </c>
      <c r="I201" s="515" t="str">
        <f>CONCATENATE("FALLA N°",REPORTEFALLAS[[#This Row],[CONTADOR]])</f>
        <v>FALLA N°1</v>
      </c>
      <c r="J201" s="158">
        <f>COUNTIF(B201:B2193,REPORTEFALLAS[[#This Row],[N°SERIE]])</f>
        <v>1</v>
      </c>
      <c r="K201" s="549"/>
      <c r="L201" s="549"/>
      <c r="M201" s="549"/>
      <c r="N201" s="549"/>
      <c r="O201" s="549"/>
      <c r="P201" s="549"/>
    </row>
    <row r="202" spans="1:16" ht="27.6" x14ac:dyDescent="0.3">
      <c r="A202" s="549"/>
      <c r="B202" s="510">
        <v>3004256777</v>
      </c>
      <c r="C202" s="511">
        <v>43717</v>
      </c>
      <c r="D202" s="510" t="s">
        <v>1253</v>
      </c>
      <c r="E202" s="510" t="s">
        <v>1252</v>
      </c>
      <c r="F202" s="511">
        <v>43720</v>
      </c>
      <c r="G202" s="510" t="s">
        <v>1251</v>
      </c>
      <c r="H202" s="515">
        <v>2.4</v>
      </c>
      <c r="I202" s="515" t="str">
        <f>CONCATENATE("FALLA N°",REPORTEFALLAS[[#This Row],[CONTADOR]])</f>
        <v>FALLA N°1</v>
      </c>
      <c r="J202" s="158">
        <f>COUNTIF(B202:B2194,REPORTEFALLAS[[#This Row],[N°SERIE]])</f>
        <v>1</v>
      </c>
      <c r="K202" s="549"/>
      <c r="L202" s="549"/>
      <c r="M202" s="549"/>
      <c r="N202" s="549"/>
      <c r="O202" s="549"/>
      <c r="P202" s="549"/>
    </row>
    <row r="203" spans="1:16" ht="27.6" x14ac:dyDescent="0.3">
      <c r="A203" s="549"/>
      <c r="B203" s="510">
        <v>3004290369</v>
      </c>
      <c r="C203" s="511">
        <v>43717</v>
      </c>
      <c r="D203" s="510" t="s">
        <v>1253</v>
      </c>
      <c r="E203" s="510" t="s">
        <v>1252</v>
      </c>
      <c r="F203" s="511">
        <v>43720</v>
      </c>
      <c r="G203" s="510" t="s">
        <v>1251</v>
      </c>
      <c r="H203" s="515">
        <v>2.2999999999999998</v>
      </c>
      <c r="I203" s="515" t="str">
        <f>CONCATENATE("FALLA N°",REPORTEFALLAS[[#This Row],[CONTADOR]])</f>
        <v>FALLA N°2</v>
      </c>
      <c r="J203" s="158">
        <f>COUNTIF(B203:B2195,REPORTEFALLAS[[#This Row],[N°SERIE]])</f>
        <v>2</v>
      </c>
      <c r="K203" s="549"/>
      <c r="L203" s="549"/>
      <c r="M203" s="549"/>
      <c r="N203" s="549"/>
      <c r="O203" s="549"/>
      <c r="P203" s="549"/>
    </row>
    <row r="204" spans="1:16" ht="27.6" x14ac:dyDescent="0.3">
      <c r="A204" s="549"/>
      <c r="B204" s="510">
        <v>3004416582</v>
      </c>
      <c r="C204" s="511">
        <v>43717</v>
      </c>
      <c r="D204" s="510" t="s">
        <v>1253</v>
      </c>
      <c r="E204" s="510" t="s">
        <v>1252</v>
      </c>
      <c r="F204" s="511">
        <v>43719</v>
      </c>
      <c r="G204" s="510" t="s">
        <v>1251</v>
      </c>
      <c r="H204" s="515">
        <v>6.5</v>
      </c>
      <c r="I204" s="515" t="str">
        <f>CONCATENATE("FALLA N°",REPORTEFALLAS[[#This Row],[CONTADOR]])</f>
        <v>FALLA N°2</v>
      </c>
      <c r="J204" s="158">
        <f>COUNTIF(B204:B2196,REPORTEFALLAS[[#This Row],[N°SERIE]])</f>
        <v>2</v>
      </c>
      <c r="K204" s="549"/>
      <c r="L204" s="549"/>
      <c r="M204" s="549"/>
      <c r="N204" s="549"/>
      <c r="O204" s="549"/>
      <c r="P204" s="549"/>
    </row>
    <row r="205" spans="1:16" ht="27.6" x14ac:dyDescent="0.3">
      <c r="A205" s="549"/>
      <c r="B205" s="510">
        <v>3004416581</v>
      </c>
      <c r="C205" s="511">
        <v>43717</v>
      </c>
      <c r="D205" s="510" t="s">
        <v>1253</v>
      </c>
      <c r="E205" s="510" t="s">
        <v>1252</v>
      </c>
      <c r="F205" s="511">
        <v>43719</v>
      </c>
      <c r="G205" s="510" t="s">
        <v>1251</v>
      </c>
      <c r="H205" s="515">
        <v>5</v>
      </c>
      <c r="I205" s="515" t="str">
        <f>CONCATENATE("FALLA N°",REPORTEFALLAS[[#This Row],[CONTADOR]])</f>
        <v>FALLA N°1</v>
      </c>
      <c r="J205" s="158">
        <f>COUNTIF(B205:B2197,REPORTEFALLAS[[#This Row],[N°SERIE]])</f>
        <v>1</v>
      </c>
      <c r="K205" s="549"/>
      <c r="L205" s="549"/>
      <c r="M205" s="549"/>
      <c r="N205" s="549"/>
      <c r="O205" s="549"/>
      <c r="P205" s="549"/>
    </row>
    <row r="206" spans="1:16" ht="27.6" x14ac:dyDescent="0.3">
      <c r="A206" s="549"/>
      <c r="B206" s="510">
        <v>3004381438</v>
      </c>
      <c r="C206" s="511">
        <v>43717</v>
      </c>
      <c r="D206" s="510" t="s">
        <v>1253</v>
      </c>
      <c r="E206" s="510" t="s">
        <v>1252</v>
      </c>
      <c r="F206" s="511">
        <v>43719</v>
      </c>
      <c r="G206" s="510" t="s">
        <v>1251</v>
      </c>
      <c r="H206" s="515">
        <v>4</v>
      </c>
      <c r="I206" s="515" t="str">
        <f>CONCATENATE("FALLA N°",REPORTEFALLAS[[#This Row],[CONTADOR]])</f>
        <v>FALLA N°1</v>
      </c>
      <c r="J206" s="158">
        <f>COUNTIF(B206:B2198,REPORTEFALLAS[[#This Row],[N°SERIE]])</f>
        <v>1</v>
      </c>
      <c r="K206" s="549"/>
      <c r="L206" s="549"/>
      <c r="M206" s="549"/>
      <c r="N206" s="549"/>
      <c r="O206" s="549"/>
      <c r="P206" s="549"/>
    </row>
    <row r="207" spans="1:16" ht="27.6" x14ac:dyDescent="0.3">
      <c r="A207" s="549"/>
      <c r="B207" s="510">
        <v>3004336196</v>
      </c>
      <c r="C207" s="511">
        <v>43717</v>
      </c>
      <c r="D207" s="510" t="s">
        <v>1253</v>
      </c>
      <c r="E207" s="510" t="s">
        <v>1252</v>
      </c>
      <c r="F207" s="511">
        <v>43719</v>
      </c>
      <c r="G207" s="510" t="s">
        <v>1251</v>
      </c>
      <c r="H207" s="515">
        <v>2.8</v>
      </c>
      <c r="I207" s="515" t="str">
        <f>CONCATENATE("FALLA N°",REPORTEFALLAS[[#This Row],[CONTADOR]])</f>
        <v>FALLA N°1</v>
      </c>
      <c r="J207" s="158">
        <f>COUNTIF(B207:B2199,REPORTEFALLAS[[#This Row],[N°SERIE]])</f>
        <v>1</v>
      </c>
      <c r="K207" s="549"/>
      <c r="L207" s="549"/>
      <c r="M207" s="549"/>
      <c r="N207" s="549"/>
      <c r="O207" s="549"/>
      <c r="P207" s="549"/>
    </row>
    <row r="208" spans="1:16" ht="27.6" x14ac:dyDescent="0.3">
      <c r="A208" s="549"/>
      <c r="B208" s="510">
        <v>3004402506</v>
      </c>
      <c r="C208" s="511">
        <v>43717</v>
      </c>
      <c r="D208" s="510" t="s">
        <v>1253</v>
      </c>
      <c r="E208" s="510" t="s">
        <v>1252</v>
      </c>
      <c r="F208" s="511">
        <v>43719</v>
      </c>
      <c r="G208" s="510" t="s">
        <v>1251</v>
      </c>
      <c r="H208" s="515">
        <v>1.4</v>
      </c>
      <c r="I208" s="515" t="str">
        <f>CONCATENATE("FALLA N°",REPORTEFALLAS[[#This Row],[CONTADOR]])</f>
        <v>FALLA N°1</v>
      </c>
      <c r="J208" s="158">
        <f>COUNTIF(B208:B2200,REPORTEFALLAS[[#This Row],[N°SERIE]])</f>
        <v>1</v>
      </c>
      <c r="K208" s="549"/>
      <c r="L208" s="549"/>
      <c r="M208" s="549"/>
      <c r="N208" s="549"/>
      <c r="O208" s="549"/>
      <c r="P208" s="549"/>
    </row>
    <row r="209" spans="1:16" ht="27.6" x14ac:dyDescent="0.3">
      <c r="A209" s="549"/>
      <c r="B209" s="510">
        <v>3004402508</v>
      </c>
      <c r="C209" s="511">
        <v>43717</v>
      </c>
      <c r="D209" s="510" t="s">
        <v>1253</v>
      </c>
      <c r="E209" s="510" t="s">
        <v>1252</v>
      </c>
      <c r="F209" s="511">
        <v>43719</v>
      </c>
      <c r="G209" s="510" t="s">
        <v>1251</v>
      </c>
      <c r="H209" s="515">
        <v>1.4</v>
      </c>
      <c r="I209" s="515" t="str">
        <f>CONCATENATE("FALLA N°",REPORTEFALLAS[[#This Row],[CONTADOR]])</f>
        <v>FALLA N°1</v>
      </c>
      <c r="J209" s="158">
        <f>COUNTIF(B209:B2201,REPORTEFALLAS[[#This Row],[N°SERIE]])</f>
        <v>1</v>
      </c>
      <c r="K209" s="549"/>
      <c r="L209" s="549"/>
      <c r="M209" s="549"/>
      <c r="N209" s="549"/>
      <c r="O209" s="549"/>
      <c r="P209" s="549"/>
    </row>
    <row r="210" spans="1:16" ht="27.6" x14ac:dyDescent="0.3">
      <c r="A210" s="549"/>
      <c r="B210" s="510">
        <v>3004344017</v>
      </c>
      <c r="C210" s="511">
        <v>43717</v>
      </c>
      <c r="D210" s="510" t="s">
        <v>1253</v>
      </c>
      <c r="E210" s="510" t="s">
        <v>1252</v>
      </c>
      <c r="F210" s="511">
        <v>43719</v>
      </c>
      <c r="G210" s="510" t="s">
        <v>1251</v>
      </c>
      <c r="H210" s="515">
        <v>4.3</v>
      </c>
      <c r="I210" s="515" t="str">
        <f>CONCATENATE("FALLA N°",REPORTEFALLAS[[#This Row],[CONTADOR]])</f>
        <v>FALLA N°1</v>
      </c>
      <c r="J210" s="158">
        <f>COUNTIF(B210:B2202,REPORTEFALLAS[[#This Row],[N°SERIE]])</f>
        <v>1</v>
      </c>
      <c r="K210" s="549"/>
      <c r="L210" s="549"/>
      <c r="M210" s="549"/>
      <c r="N210" s="549"/>
      <c r="O210" s="549"/>
      <c r="P210" s="549"/>
    </row>
    <row r="211" spans="1:16" ht="27.6" x14ac:dyDescent="0.3">
      <c r="A211" s="549"/>
      <c r="B211" s="510">
        <v>3004337427</v>
      </c>
      <c r="C211" s="511">
        <v>43717</v>
      </c>
      <c r="D211" s="510" t="s">
        <v>1253</v>
      </c>
      <c r="E211" s="510" t="s">
        <v>1252</v>
      </c>
      <c r="F211" s="511">
        <v>43719</v>
      </c>
      <c r="G211" s="510" t="s">
        <v>1251</v>
      </c>
      <c r="H211" s="515">
        <v>2</v>
      </c>
      <c r="I211" s="515" t="str">
        <f>CONCATENATE("FALLA N°",REPORTEFALLAS[[#This Row],[CONTADOR]])</f>
        <v>FALLA N°1</v>
      </c>
      <c r="J211" s="158">
        <f>COUNTIF(B211:B2203,REPORTEFALLAS[[#This Row],[N°SERIE]])</f>
        <v>1</v>
      </c>
      <c r="K211" s="549"/>
      <c r="L211" s="549"/>
      <c r="M211" s="549"/>
      <c r="N211" s="549"/>
      <c r="O211" s="549"/>
      <c r="P211" s="549"/>
    </row>
    <row r="212" spans="1:16" ht="27.6" x14ac:dyDescent="0.3">
      <c r="A212" s="549"/>
      <c r="B212" s="510">
        <v>3004344014</v>
      </c>
      <c r="C212" s="511">
        <v>43717</v>
      </c>
      <c r="D212" s="510" t="s">
        <v>1253</v>
      </c>
      <c r="E212" s="510" t="s">
        <v>1252</v>
      </c>
      <c r="F212" s="511">
        <v>43719</v>
      </c>
      <c r="G212" s="510" t="s">
        <v>1251</v>
      </c>
      <c r="H212" s="515">
        <v>4.8</v>
      </c>
      <c r="I212" s="515" t="str">
        <f>CONCATENATE("FALLA N°",REPORTEFALLAS[[#This Row],[CONTADOR]])</f>
        <v>FALLA N°1</v>
      </c>
      <c r="J212" s="158">
        <f>COUNTIF(B212:B2204,REPORTEFALLAS[[#This Row],[N°SERIE]])</f>
        <v>1</v>
      </c>
      <c r="K212" s="549"/>
      <c r="L212" s="549"/>
      <c r="M212" s="549"/>
      <c r="N212" s="549"/>
      <c r="O212" s="549"/>
      <c r="P212" s="549"/>
    </row>
    <row r="213" spans="1:16" ht="27.6" x14ac:dyDescent="0.3">
      <c r="A213" s="549"/>
      <c r="B213" s="510">
        <v>3004337388</v>
      </c>
      <c r="C213" s="511">
        <v>43717</v>
      </c>
      <c r="D213" s="510" t="s">
        <v>1253</v>
      </c>
      <c r="E213" s="510" t="s">
        <v>1252</v>
      </c>
      <c r="F213" s="511">
        <v>43719</v>
      </c>
      <c r="G213" s="510" t="s">
        <v>1251</v>
      </c>
      <c r="H213" s="515">
        <v>2.8</v>
      </c>
      <c r="I213" s="515" t="str">
        <f>CONCATENATE("FALLA N°",REPORTEFALLAS[[#This Row],[CONTADOR]])</f>
        <v>FALLA N°1</v>
      </c>
      <c r="J213" s="158">
        <f>COUNTIF(B213:B2205,REPORTEFALLAS[[#This Row],[N°SERIE]])</f>
        <v>1</v>
      </c>
      <c r="K213" s="549"/>
      <c r="L213" s="549"/>
      <c r="M213" s="549"/>
      <c r="N213" s="549"/>
      <c r="O213" s="549"/>
      <c r="P213" s="549"/>
    </row>
    <row r="214" spans="1:16" ht="27.6" x14ac:dyDescent="0.3">
      <c r="A214" s="549"/>
      <c r="B214" s="510">
        <v>3004402507</v>
      </c>
      <c r="C214" s="511">
        <v>43717</v>
      </c>
      <c r="D214" s="510" t="s">
        <v>1253</v>
      </c>
      <c r="E214" s="510" t="s">
        <v>1252</v>
      </c>
      <c r="F214" s="511">
        <v>43719</v>
      </c>
      <c r="G214" s="510" t="s">
        <v>1251</v>
      </c>
      <c r="H214" s="515">
        <v>3.7</v>
      </c>
      <c r="I214" s="515" t="str">
        <f>CONCATENATE("FALLA N°",REPORTEFALLAS[[#This Row],[CONTADOR]])</f>
        <v>FALLA N°1</v>
      </c>
      <c r="J214" s="158">
        <f>COUNTIF(B214:B2206,REPORTEFALLAS[[#This Row],[N°SERIE]])</f>
        <v>1</v>
      </c>
      <c r="K214" s="549"/>
      <c r="L214" s="549"/>
      <c r="M214" s="549"/>
      <c r="N214" s="549"/>
      <c r="O214" s="549"/>
      <c r="P214" s="549"/>
    </row>
    <row r="215" spans="1:16" ht="27.6" x14ac:dyDescent="0.3">
      <c r="A215" s="549"/>
      <c r="B215" s="510">
        <v>3004418790</v>
      </c>
      <c r="C215" s="511">
        <v>43717</v>
      </c>
      <c r="D215" s="510" t="s">
        <v>1253</v>
      </c>
      <c r="E215" s="510" t="s">
        <v>1252</v>
      </c>
      <c r="F215" s="511">
        <v>43719</v>
      </c>
      <c r="G215" s="510" t="s">
        <v>1251</v>
      </c>
      <c r="H215" s="515">
        <v>3.3</v>
      </c>
      <c r="I215" s="515" t="str">
        <f>CONCATENATE("FALLA N°",REPORTEFALLAS[[#This Row],[CONTADOR]])</f>
        <v>FALLA N°1</v>
      </c>
      <c r="J215" s="158">
        <f>COUNTIF(B215:B2207,REPORTEFALLAS[[#This Row],[N°SERIE]])</f>
        <v>1</v>
      </c>
      <c r="K215" s="549"/>
      <c r="L215" s="549"/>
      <c r="M215" s="549"/>
      <c r="N215" s="549"/>
      <c r="O215" s="549"/>
      <c r="P215" s="549"/>
    </row>
    <row r="216" spans="1:16" ht="27.6" x14ac:dyDescent="0.3">
      <c r="A216" s="549"/>
      <c r="B216" s="510">
        <v>3004418791</v>
      </c>
      <c r="C216" s="511">
        <v>43717</v>
      </c>
      <c r="D216" s="510" t="s">
        <v>1253</v>
      </c>
      <c r="E216" s="510" t="s">
        <v>1252</v>
      </c>
      <c r="F216" s="511">
        <v>43719</v>
      </c>
      <c r="G216" s="510" t="s">
        <v>1251</v>
      </c>
      <c r="H216" s="515">
        <v>1.9</v>
      </c>
      <c r="I216" s="515" t="str">
        <f>CONCATENATE("FALLA N°",REPORTEFALLAS[[#This Row],[CONTADOR]])</f>
        <v>FALLA N°1</v>
      </c>
      <c r="J216" s="158">
        <f>COUNTIF(B216:B2208,REPORTEFALLAS[[#This Row],[N°SERIE]])</f>
        <v>1</v>
      </c>
      <c r="K216" s="549"/>
      <c r="L216" s="549"/>
      <c r="M216" s="549"/>
      <c r="N216" s="549"/>
      <c r="O216" s="549"/>
      <c r="P216" s="549"/>
    </row>
    <row r="217" spans="1:16" ht="27.6" x14ac:dyDescent="0.3">
      <c r="A217" s="549"/>
      <c r="B217" s="510">
        <v>3004416580</v>
      </c>
      <c r="C217" s="511">
        <v>43717</v>
      </c>
      <c r="D217" s="510" t="s">
        <v>1253</v>
      </c>
      <c r="E217" s="510" t="s">
        <v>1252</v>
      </c>
      <c r="F217" s="511">
        <v>43719</v>
      </c>
      <c r="G217" s="510" t="s">
        <v>1251</v>
      </c>
      <c r="H217" s="515">
        <v>2.1</v>
      </c>
      <c r="I217" s="515" t="str">
        <f>CONCATENATE("FALLA N°",REPORTEFALLAS[[#This Row],[CONTADOR]])</f>
        <v>FALLA N°1</v>
      </c>
      <c r="J217" s="158">
        <f>COUNTIF(B217:B2209,REPORTEFALLAS[[#This Row],[N°SERIE]])</f>
        <v>1</v>
      </c>
      <c r="K217" s="549"/>
      <c r="L217" s="549"/>
      <c r="M217" s="549"/>
      <c r="N217" s="549"/>
      <c r="O217" s="549"/>
      <c r="P217" s="549"/>
    </row>
    <row r="218" spans="1:16" ht="27.6" x14ac:dyDescent="0.3">
      <c r="A218" s="549"/>
      <c r="B218" s="510">
        <v>3004327724</v>
      </c>
      <c r="C218" s="511">
        <v>43717</v>
      </c>
      <c r="D218" s="510" t="s">
        <v>1253</v>
      </c>
      <c r="E218" s="510" t="s">
        <v>1252</v>
      </c>
      <c r="F218" s="511">
        <v>43719</v>
      </c>
      <c r="G218" s="510" t="s">
        <v>1251</v>
      </c>
      <c r="H218" s="515">
        <v>3.5</v>
      </c>
      <c r="I218" s="515" t="str">
        <f>CONCATENATE("FALLA N°",REPORTEFALLAS[[#This Row],[CONTADOR]])</f>
        <v>FALLA N°1</v>
      </c>
      <c r="J218" s="158">
        <f>COUNTIF(B218:B2210,REPORTEFALLAS[[#This Row],[N°SERIE]])</f>
        <v>1</v>
      </c>
      <c r="K218" s="549"/>
      <c r="L218" s="549"/>
      <c r="M218" s="549"/>
      <c r="N218" s="549"/>
      <c r="O218" s="549"/>
      <c r="P218" s="549"/>
    </row>
    <row r="219" spans="1:16" ht="27.6" x14ac:dyDescent="0.3">
      <c r="A219" s="549"/>
      <c r="B219" s="510">
        <v>3004331707</v>
      </c>
      <c r="C219" s="511">
        <v>43717</v>
      </c>
      <c r="D219" s="510" t="s">
        <v>1253</v>
      </c>
      <c r="E219" s="510" t="s">
        <v>1252</v>
      </c>
      <c r="F219" s="511">
        <v>43719</v>
      </c>
      <c r="G219" s="510" t="s">
        <v>1251</v>
      </c>
      <c r="H219" s="515">
        <v>8.4</v>
      </c>
      <c r="I219" s="515" t="str">
        <f>CONCATENATE("FALLA N°",REPORTEFALLAS[[#This Row],[CONTADOR]])</f>
        <v>FALLA N°2</v>
      </c>
      <c r="J219" s="158">
        <f>COUNTIF(B219:B2211,REPORTEFALLAS[[#This Row],[N°SERIE]])</f>
        <v>2</v>
      </c>
      <c r="K219" s="549"/>
      <c r="L219" s="549"/>
      <c r="M219" s="549"/>
      <c r="N219" s="549"/>
      <c r="O219" s="549"/>
      <c r="P219" s="549"/>
    </row>
    <row r="220" spans="1:16" ht="27.6" x14ac:dyDescent="0.3">
      <c r="A220" s="549"/>
      <c r="B220" s="510">
        <v>3004381437</v>
      </c>
      <c r="C220" s="511">
        <v>43717</v>
      </c>
      <c r="D220" s="510" t="s">
        <v>1253</v>
      </c>
      <c r="E220" s="510" t="s">
        <v>1252</v>
      </c>
      <c r="F220" s="511">
        <v>43719</v>
      </c>
      <c r="G220" s="510" t="s">
        <v>1251</v>
      </c>
      <c r="H220" s="515">
        <v>1.8</v>
      </c>
      <c r="I220" s="515" t="str">
        <f>CONCATENATE("FALLA N°",REPORTEFALLAS[[#This Row],[CONTADOR]])</f>
        <v>FALLA N°1</v>
      </c>
      <c r="J220" s="158">
        <f>COUNTIF(B220:B2212,REPORTEFALLAS[[#This Row],[N°SERIE]])</f>
        <v>1</v>
      </c>
      <c r="K220" s="549"/>
      <c r="L220" s="549"/>
      <c r="M220" s="549"/>
      <c r="N220" s="549"/>
      <c r="O220" s="549"/>
      <c r="P220" s="549"/>
    </row>
    <row r="221" spans="1:16" ht="27.6" x14ac:dyDescent="0.3">
      <c r="A221" s="549"/>
      <c r="B221" s="510">
        <v>3004336197</v>
      </c>
      <c r="C221" s="511">
        <v>43717</v>
      </c>
      <c r="D221" s="510" t="s">
        <v>1253</v>
      </c>
      <c r="E221" s="510" t="s">
        <v>1252</v>
      </c>
      <c r="F221" s="511">
        <v>43719</v>
      </c>
      <c r="G221" s="510" t="s">
        <v>1251</v>
      </c>
      <c r="H221" s="515">
        <v>2.4</v>
      </c>
      <c r="I221" s="515" t="str">
        <f>CONCATENATE("FALLA N°",REPORTEFALLAS[[#This Row],[CONTADOR]])</f>
        <v>FALLA N°1</v>
      </c>
      <c r="J221" s="158">
        <f>COUNTIF(B221:B2213,REPORTEFALLAS[[#This Row],[N°SERIE]])</f>
        <v>1</v>
      </c>
      <c r="K221" s="549"/>
      <c r="L221" s="549"/>
      <c r="M221" s="549"/>
      <c r="N221" s="549"/>
      <c r="O221" s="549"/>
      <c r="P221" s="549"/>
    </row>
    <row r="222" spans="1:16" ht="27.6" x14ac:dyDescent="0.3">
      <c r="A222" s="549"/>
      <c r="B222" s="510">
        <v>3004416582</v>
      </c>
      <c r="C222" s="511">
        <v>43715</v>
      </c>
      <c r="D222" s="510" t="s">
        <v>1250</v>
      </c>
      <c r="E222" s="510" t="s">
        <v>1249</v>
      </c>
      <c r="F222" s="511">
        <v>43716</v>
      </c>
      <c r="G222" s="510" t="s">
        <v>1248</v>
      </c>
      <c r="H222" s="515">
        <v>1.8</v>
      </c>
      <c r="I222" s="515" t="str">
        <f>CONCATENATE("FALLA N°",REPORTEFALLAS[[#This Row],[CONTADOR]])</f>
        <v>FALLA N°1</v>
      </c>
      <c r="J222" s="158">
        <f>COUNTIF(B222:B2214,REPORTEFALLAS[[#This Row],[N°SERIE]])</f>
        <v>1</v>
      </c>
      <c r="K222" s="549"/>
      <c r="L222" s="549"/>
      <c r="M222" s="549"/>
      <c r="N222" s="549"/>
      <c r="O222" s="549"/>
      <c r="P222" s="549"/>
    </row>
    <row r="223" spans="1:16" ht="27.6" x14ac:dyDescent="0.3">
      <c r="A223" s="549"/>
      <c r="B223" s="510">
        <v>3004331707</v>
      </c>
      <c r="C223" s="511">
        <v>43684</v>
      </c>
      <c r="D223" s="510" t="s">
        <v>1250</v>
      </c>
      <c r="E223" s="510" t="s">
        <v>1249</v>
      </c>
      <c r="F223" s="511">
        <v>43685</v>
      </c>
      <c r="G223" s="510" t="s">
        <v>1248</v>
      </c>
      <c r="H223" s="515">
        <v>3.4</v>
      </c>
      <c r="I223" s="515" t="str">
        <f>CONCATENATE("FALLA N°",REPORTEFALLAS[[#This Row],[CONTADOR]])</f>
        <v>FALLA N°1</v>
      </c>
      <c r="J223" s="158">
        <f>COUNTIF(B223:B2215,REPORTEFALLAS[[#This Row],[N°SERIE]])</f>
        <v>1</v>
      </c>
      <c r="K223" s="549"/>
      <c r="L223" s="549"/>
      <c r="M223" s="549"/>
      <c r="N223" s="549"/>
      <c r="O223" s="549"/>
      <c r="P223" s="549"/>
    </row>
    <row r="224" spans="1:16" ht="27.6" x14ac:dyDescent="0.3">
      <c r="A224" s="549"/>
      <c r="B224" s="510">
        <v>3004290365</v>
      </c>
      <c r="C224" s="511">
        <v>43684</v>
      </c>
      <c r="D224" s="510" t="s">
        <v>1250</v>
      </c>
      <c r="E224" s="510" t="s">
        <v>1249</v>
      </c>
      <c r="F224" s="511">
        <v>43685</v>
      </c>
      <c r="G224" s="510" t="s">
        <v>1248</v>
      </c>
      <c r="H224" s="515">
        <v>6.7</v>
      </c>
      <c r="I224" s="515" t="str">
        <f>CONCATENATE("FALLA N°",REPORTEFALLAS[[#This Row],[CONTADOR]])</f>
        <v>FALLA N°1</v>
      </c>
      <c r="J224" s="158">
        <f>COUNTIF(B224:B2216,REPORTEFALLAS[[#This Row],[N°SERIE]])</f>
        <v>1</v>
      </c>
      <c r="K224" s="549"/>
      <c r="L224" s="549"/>
      <c r="M224" s="549"/>
      <c r="N224" s="549"/>
      <c r="O224" s="549"/>
      <c r="P224" s="549"/>
    </row>
    <row r="225" spans="1:16" ht="27.6" x14ac:dyDescent="0.3">
      <c r="A225" s="549"/>
      <c r="B225" s="510">
        <v>3004290369</v>
      </c>
      <c r="C225" s="511">
        <v>43684</v>
      </c>
      <c r="D225" s="510" t="s">
        <v>1250</v>
      </c>
      <c r="E225" s="510" t="s">
        <v>1249</v>
      </c>
      <c r="F225" s="511">
        <v>43685</v>
      </c>
      <c r="G225" s="510" t="s">
        <v>1248</v>
      </c>
      <c r="H225" s="515">
        <v>0.54</v>
      </c>
      <c r="I225" s="515" t="str">
        <f>CONCATENATE("FALLA N°",REPORTEFALLAS[[#This Row],[CONTADOR]])</f>
        <v>FALLA N°1</v>
      </c>
      <c r="J225" s="158">
        <f>COUNTIF(B225:B2217,REPORTEFALLAS[[#This Row],[N°SERIE]])</f>
        <v>1</v>
      </c>
      <c r="K225" s="549"/>
      <c r="L225" s="549"/>
      <c r="M225" s="549"/>
      <c r="N225" s="549"/>
      <c r="O225" s="549"/>
      <c r="P225" s="549"/>
    </row>
    <row r="226" spans="1:16" ht="27.6" x14ac:dyDescent="0.3">
      <c r="A226" s="549"/>
      <c r="B226" s="510">
        <v>3004227749</v>
      </c>
      <c r="C226" s="511">
        <v>43684</v>
      </c>
      <c r="D226" s="510" t="s">
        <v>1250</v>
      </c>
      <c r="E226" s="510" t="s">
        <v>1249</v>
      </c>
      <c r="F226" s="511">
        <v>43685</v>
      </c>
      <c r="G226" s="510" t="s">
        <v>1248</v>
      </c>
      <c r="H226" s="515">
        <v>0.5</v>
      </c>
      <c r="I226" s="515" t="str">
        <f>CONCATENATE("FALLA N°",REPORTEFALLAS[[#This Row],[CONTADOR]])</f>
        <v>FALLA N°1</v>
      </c>
      <c r="J226" s="158">
        <f>COUNTIF(B226:B2218,REPORTEFALLAS[[#This Row],[N°SERIE]])</f>
        <v>1</v>
      </c>
      <c r="K226" s="549"/>
      <c r="L226" s="549"/>
      <c r="M226" s="549"/>
      <c r="N226" s="549"/>
      <c r="O226" s="549"/>
      <c r="P226" s="549"/>
    </row>
    <row r="227" spans="1:16" x14ac:dyDescent="0.3">
      <c r="A227" s="549"/>
      <c r="B227" s="510">
        <v>3004214491</v>
      </c>
      <c r="C227" s="511">
        <v>43844</v>
      </c>
      <c r="D227" s="510" t="s">
        <v>1281</v>
      </c>
      <c r="E227" s="510" t="s">
        <v>1288</v>
      </c>
      <c r="F227" s="511">
        <v>43489</v>
      </c>
      <c r="G227" s="510" t="s">
        <v>1460</v>
      </c>
      <c r="H227" s="515">
        <v>323.2</v>
      </c>
      <c r="I227" s="515" t="str">
        <f>CONCATENATE("FALLA N°",REPORTEFALLAS[[#This Row],[CONTADOR]])</f>
        <v>FALLA N°1</v>
      </c>
      <c r="J227" s="158">
        <f>COUNTIF(B227:B2219,REPORTEFALLAS[[#This Row],[N°SERIE]])</f>
        <v>1</v>
      </c>
      <c r="K227" s="549"/>
      <c r="L227" s="549"/>
      <c r="M227" s="549"/>
      <c r="N227" s="549"/>
      <c r="O227" s="549"/>
      <c r="P227" s="549"/>
    </row>
    <row r="228" spans="1:16" x14ac:dyDescent="0.3">
      <c r="A228" s="549"/>
      <c r="B228" s="159"/>
      <c r="C228"/>
      <c r="E228"/>
      <c r="K228" s="549"/>
      <c r="L228" s="549"/>
      <c r="M228" s="549"/>
      <c r="N228" s="549"/>
      <c r="O228" s="549"/>
      <c r="P228" s="549"/>
    </row>
    <row r="229" spans="1:16" x14ac:dyDescent="0.3">
      <c r="A229" s="549"/>
      <c r="B229" s="159"/>
      <c r="C229"/>
      <c r="E229"/>
      <c r="K229" s="549"/>
      <c r="L229" s="549"/>
      <c r="M229" s="549"/>
      <c r="N229" s="549"/>
      <c r="O229" s="549"/>
      <c r="P229" s="549"/>
    </row>
    <row r="230" spans="1:16" x14ac:dyDescent="0.3">
      <c r="A230" s="549"/>
      <c r="B230" s="159"/>
      <c r="C230"/>
      <c r="E230"/>
      <c r="K230" s="549"/>
      <c r="L230" s="549"/>
      <c r="M230" s="549"/>
      <c r="N230" s="549"/>
      <c r="O230" s="549"/>
      <c r="P230" s="549"/>
    </row>
    <row r="231" spans="1:16" x14ac:dyDescent="0.3">
      <c r="A231" s="549"/>
      <c r="B231" s="159"/>
      <c r="C231"/>
      <c r="E231"/>
      <c r="K231" s="549"/>
      <c r="L231" s="549"/>
      <c r="M231" s="549"/>
      <c r="N231" s="549"/>
      <c r="O231" s="549"/>
      <c r="P231" s="549"/>
    </row>
    <row r="232" spans="1:16" x14ac:dyDescent="0.3">
      <c r="A232" s="549"/>
      <c r="B232" s="159"/>
      <c r="C232"/>
      <c r="E232"/>
      <c r="K232" s="549"/>
      <c r="L232" s="549"/>
      <c r="M232" s="549"/>
      <c r="N232" s="549"/>
      <c r="O232" s="549"/>
      <c r="P232" s="549"/>
    </row>
    <row r="233" spans="1:16" x14ac:dyDescent="0.3">
      <c r="A233" s="549"/>
      <c r="B233" s="159"/>
      <c r="C233"/>
      <c r="E233"/>
      <c r="K233" s="549"/>
      <c r="L233" s="549"/>
      <c r="M233" s="549"/>
      <c r="N233" s="549"/>
      <c r="O233" s="549"/>
      <c r="P233" s="549"/>
    </row>
    <row r="234" spans="1:16" x14ac:dyDescent="0.3">
      <c r="A234" s="549"/>
      <c r="B234" s="159"/>
      <c r="C234"/>
      <c r="E234"/>
      <c r="K234" s="549"/>
      <c r="L234" s="549"/>
      <c r="M234" s="549"/>
      <c r="N234" s="549"/>
      <c r="O234" s="549"/>
      <c r="P234" s="549"/>
    </row>
    <row r="235" spans="1:16" x14ac:dyDescent="0.3">
      <c r="A235" s="549"/>
      <c r="B235" s="159"/>
      <c r="C235"/>
      <c r="E235"/>
      <c r="K235" s="549"/>
      <c r="L235" s="549"/>
      <c r="M235" s="549"/>
      <c r="N235" s="549"/>
      <c r="O235" s="549"/>
      <c r="P235" s="549"/>
    </row>
    <row r="236" spans="1:16" x14ac:dyDescent="0.3">
      <c r="A236" s="549"/>
      <c r="B236" s="159"/>
      <c r="C236"/>
      <c r="E236"/>
      <c r="K236" s="549"/>
      <c r="L236" s="549"/>
      <c r="M236" s="549"/>
      <c r="N236" s="549"/>
      <c r="O236" s="549"/>
      <c r="P236" s="549"/>
    </row>
    <row r="237" spans="1:16" x14ac:dyDescent="0.3">
      <c r="A237" s="549"/>
      <c r="B237" s="159"/>
      <c r="C237"/>
      <c r="E237"/>
      <c r="K237" s="549"/>
      <c r="L237" s="549"/>
      <c r="M237" s="549"/>
      <c r="N237" s="549"/>
      <c r="O237" s="549"/>
      <c r="P237" s="549"/>
    </row>
    <row r="238" spans="1:16" x14ac:dyDescent="0.3">
      <c r="A238" s="549"/>
      <c r="B238" s="159"/>
      <c r="C238"/>
      <c r="E238"/>
      <c r="K238" s="549"/>
      <c r="L238" s="549"/>
      <c r="M238" s="549"/>
      <c r="N238" s="549"/>
      <c r="O238" s="549"/>
      <c r="P238" s="549"/>
    </row>
    <row r="239" spans="1:16" x14ac:dyDescent="0.3">
      <c r="A239" s="549"/>
      <c r="B239" s="159"/>
      <c r="C239"/>
      <c r="E239"/>
      <c r="K239" s="549"/>
      <c r="L239" s="549"/>
      <c r="M239" s="549"/>
      <c r="N239" s="549"/>
      <c r="O239" s="549"/>
      <c r="P239" s="549"/>
    </row>
    <row r="240" spans="1:16" x14ac:dyDescent="0.3">
      <c r="A240" s="549"/>
      <c r="B240" s="159"/>
      <c r="C240"/>
      <c r="E240"/>
      <c r="K240" s="549"/>
      <c r="L240" s="549"/>
      <c r="M240" s="549"/>
      <c r="N240" s="549"/>
      <c r="O240" s="549"/>
      <c r="P240" s="549"/>
    </row>
    <row r="241" spans="1:16" x14ac:dyDescent="0.3">
      <c r="A241" s="549"/>
      <c r="B241" s="159"/>
      <c r="C241"/>
      <c r="E241"/>
      <c r="K241" s="549"/>
      <c r="L241" s="549"/>
      <c r="M241" s="549"/>
      <c r="N241" s="549"/>
      <c r="O241" s="549"/>
      <c r="P241" s="549"/>
    </row>
    <row r="242" spans="1:16" x14ac:dyDescent="0.3">
      <c r="A242" s="549"/>
      <c r="B242" s="159"/>
      <c r="C242"/>
      <c r="E242"/>
      <c r="K242" s="549"/>
      <c r="L242" s="549"/>
      <c r="M242" s="549"/>
      <c r="N242" s="549"/>
      <c r="O242" s="549"/>
      <c r="P242" s="549"/>
    </row>
    <row r="243" spans="1:16" x14ac:dyDescent="0.3">
      <c r="A243" s="549"/>
      <c r="B243" s="159"/>
      <c r="C243"/>
      <c r="E243"/>
      <c r="K243" s="549"/>
      <c r="L243" s="549"/>
      <c r="M243" s="549"/>
      <c r="N243" s="549"/>
      <c r="O243" s="549"/>
      <c r="P243" s="549"/>
    </row>
    <row r="244" spans="1:16" x14ac:dyDescent="0.3">
      <c r="A244" s="549"/>
      <c r="B244" s="159"/>
      <c r="C244"/>
      <c r="E244"/>
      <c r="K244" s="549"/>
      <c r="L244" s="549"/>
      <c r="M244" s="549"/>
      <c r="N244" s="549"/>
      <c r="O244" s="549"/>
      <c r="P244" s="549"/>
    </row>
    <row r="245" spans="1:16" x14ac:dyDescent="0.3">
      <c r="A245" s="549"/>
      <c r="B245" s="159"/>
      <c r="C245"/>
      <c r="E245"/>
      <c r="K245" s="549"/>
      <c r="L245" s="549"/>
      <c r="M245" s="549"/>
      <c r="N245" s="549"/>
      <c r="O245" s="549"/>
      <c r="P245" s="549"/>
    </row>
    <row r="246" spans="1:16" x14ac:dyDescent="0.3">
      <c r="A246" s="549"/>
      <c r="B246" s="159"/>
      <c r="C246"/>
      <c r="E246"/>
      <c r="K246" s="549"/>
      <c r="L246" s="549"/>
      <c r="M246" s="549"/>
      <c r="N246" s="549"/>
      <c r="O246" s="549"/>
      <c r="P246" s="549"/>
    </row>
    <row r="247" spans="1:16" x14ac:dyDescent="0.3">
      <c r="A247" s="549"/>
      <c r="B247" s="159"/>
      <c r="C247"/>
      <c r="E247"/>
      <c r="K247" s="549"/>
      <c r="L247" s="549"/>
      <c r="M247" s="549"/>
      <c r="N247" s="549"/>
      <c r="O247" s="549"/>
      <c r="P247" s="549"/>
    </row>
    <row r="248" spans="1:16" x14ac:dyDescent="0.3">
      <c r="A248" s="549"/>
      <c r="B248" s="159"/>
      <c r="C248"/>
      <c r="E248"/>
      <c r="K248" s="549"/>
      <c r="L248" s="549"/>
      <c r="M248" s="549"/>
      <c r="N248" s="549"/>
      <c r="O248" s="549"/>
      <c r="P248" s="549"/>
    </row>
    <row r="249" spans="1:16" x14ac:dyDescent="0.3">
      <c r="A249" s="549"/>
      <c r="B249" s="159"/>
      <c r="C249"/>
      <c r="E249"/>
      <c r="K249" s="549"/>
      <c r="L249" s="549"/>
      <c r="M249" s="549"/>
      <c r="N249" s="549"/>
      <c r="O249" s="549"/>
      <c r="P249" s="549"/>
    </row>
    <row r="250" spans="1:16" x14ac:dyDescent="0.3">
      <c r="A250" s="549"/>
      <c r="B250" s="159"/>
      <c r="C250"/>
      <c r="E250"/>
      <c r="K250" s="549"/>
      <c r="L250" s="549"/>
      <c r="M250" s="549"/>
      <c r="N250" s="549"/>
      <c r="O250" s="549"/>
      <c r="P250" s="549"/>
    </row>
    <row r="251" spans="1:16" x14ac:dyDescent="0.3">
      <c r="A251" s="549"/>
      <c r="B251" s="159"/>
      <c r="C251"/>
      <c r="E251"/>
      <c r="K251" s="549"/>
      <c r="L251" s="549"/>
      <c r="M251" s="549"/>
      <c r="N251" s="549"/>
      <c r="O251" s="549"/>
      <c r="P251" s="549"/>
    </row>
    <row r="252" spans="1:16" x14ac:dyDescent="0.3">
      <c r="A252" s="549"/>
      <c r="B252" s="159"/>
      <c r="C252"/>
      <c r="E252"/>
      <c r="K252" s="549"/>
      <c r="L252" s="549"/>
      <c r="M252" s="549"/>
      <c r="N252" s="549"/>
      <c r="O252" s="549"/>
      <c r="P252" s="549"/>
    </row>
    <row r="253" spans="1:16" x14ac:dyDescent="0.3">
      <c r="A253" s="549"/>
      <c r="B253" s="159"/>
      <c r="C253"/>
      <c r="E253"/>
      <c r="K253" s="549"/>
      <c r="L253" s="549"/>
      <c r="M253" s="549"/>
      <c r="N253" s="549"/>
      <c r="O253" s="549"/>
      <c r="P253" s="549"/>
    </row>
    <row r="254" spans="1:16" x14ac:dyDescent="0.3">
      <c r="A254" s="549"/>
      <c r="B254" s="159"/>
      <c r="C254"/>
      <c r="E254"/>
      <c r="K254" s="549"/>
      <c r="L254" s="549"/>
      <c r="M254" s="549"/>
      <c r="N254" s="549"/>
      <c r="O254" s="549"/>
      <c r="P254" s="549"/>
    </row>
    <row r="255" spans="1:16" x14ac:dyDescent="0.3">
      <c r="A255" s="549"/>
      <c r="B255" s="159"/>
      <c r="C255"/>
      <c r="E255"/>
      <c r="K255" s="549"/>
      <c r="L255" s="549"/>
      <c r="M255" s="549"/>
      <c r="N255" s="549"/>
      <c r="O255" s="549"/>
      <c r="P255" s="549"/>
    </row>
    <row r="256" spans="1:16" x14ac:dyDescent="0.3">
      <c r="A256" s="549"/>
      <c r="B256" s="159"/>
      <c r="C256"/>
      <c r="E256"/>
      <c r="K256" s="549"/>
      <c r="L256" s="549"/>
      <c r="M256" s="549"/>
      <c r="N256" s="549"/>
      <c r="O256" s="549"/>
      <c r="P256" s="549"/>
    </row>
    <row r="257" spans="1:16" x14ac:dyDescent="0.3">
      <c r="A257" s="549"/>
      <c r="B257" s="159"/>
      <c r="C257"/>
      <c r="E257"/>
      <c r="K257" s="549"/>
      <c r="L257" s="549"/>
      <c r="M257" s="549"/>
      <c r="N257" s="549"/>
      <c r="O257" s="549"/>
      <c r="P257" s="549"/>
    </row>
    <row r="258" spans="1:16" x14ac:dyDescent="0.3">
      <c r="A258" s="549"/>
      <c r="B258" s="159"/>
      <c r="C258"/>
      <c r="E258"/>
      <c r="K258" s="549"/>
      <c r="L258" s="549"/>
      <c r="M258" s="549"/>
      <c r="N258" s="549"/>
      <c r="O258" s="549"/>
      <c r="P258" s="549"/>
    </row>
    <row r="259" spans="1:16" x14ac:dyDescent="0.3">
      <c r="A259" s="549"/>
      <c r="B259" s="159"/>
      <c r="C259"/>
      <c r="E259"/>
      <c r="K259" s="549"/>
      <c r="L259" s="549"/>
      <c r="M259" s="549"/>
      <c r="N259" s="549"/>
      <c r="O259" s="549"/>
      <c r="P259" s="549"/>
    </row>
    <row r="260" spans="1:16" x14ac:dyDescent="0.3">
      <c r="A260" s="549"/>
      <c r="B260" s="159"/>
      <c r="C260"/>
      <c r="E260"/>
      <c r="K260" s="549"/>
      <c r="L260" s="549"/>
      <c r="M260" s="549"/>
      <c r="N260" s="549"/>
      <c r="O260" s="549"/>
      <c r="P260" s="549"/>
    </row>
    <row r="261" spans="1:16" x14ac:dyDescent="0.3">
      <c r="A261" s="549"/>
      <c r="B261" s="159"/>
      <c r="C261"/>
      <c r="E261"/>
      <c r="K261" s="549"/>
      <c r="L261" s="549"/>
      <c r="M261" s="549"/>
      <c r="N261" s="549"/>
      <c r="O261" s="549"/>
      <c r="P261" s="549"/>
    </row>
    <row r="262" spans="1:16" x14ac:dyDescent="0.3">
      <c r="A262" s="549"/>
      <c r="B262" s="159"/>
      <c r="C262"/>
      <c r="E262"/>
      <c r="K262" s="549"/>
      <c r="L262" s="549"/>
      <c r="M262" s="549"/>
      <c r="N262" s="549"/>
      <c r="O262" s="549"/>
      <c r="P262" s="549"/>
    </row>
    <row r="263" spans="1:16" x14ac:dyDescent="0.3">
      <c r="A263" s="549"/>
      <c r="B263" s="159"/>
      <c r="C263"/>
      <c r="E263"/>
      <c r="K263" s="549"/>
      <c r="L263" s="549"/>
      <c r="M263" s="549"/>
      <c r="N263" s="549"/>
      <c r="O263" s="549"/>
      <c r="P263" s="549"/>
    </row>
    <row r="264" spans="1:16" x14ac:dyDescent="0.3">
      <c r="A264" s="549"/>
      <c r="B264" s="159"/>
      <c r="C264"/>
      <c r="E264"/>
      <c r="K264" s="549"/>
      <c r="L264" s="549"/>
      <c r="M264" s="549"/>
      <c r="N264" s="549"/>
      <c r="O264" s="549"/>
      <c r="P264" s="549"/>
    </row>
    <row r="265" spans="1:16" x14ac:dyDescent="0.3">
      <c r="A265" s="549"/>
      <c r="B265" s="159"/>
      <c r="C265"/>
      <c r="E265"/>
      <c r="K265" s="549"/>
      <c r="L265" s="549"/>
      <c r="M265" s="549"/>
      <c r="N265" s="549"/>
      <c r="O265" s="549"/>
      <c r="P265" s="549"/>
    </row>
    <row r="266" spans="1:16" x14ac:dyDescent="0.3">
      <c r="A266" s="549"/>
      <c r="B266" s="159"/>
      <c r="C266"/>
      <c r="E266"/>
      <c r="K266" s="549"/>
      <c r="L266" s="549"/>
      <c r="M266" s="549"/>
      <c r="N266" s="549"/>
      <c r="O266" s="549"/>
      <c r="P266" s="549"/>
    </row>
    <row r="267" spans="1:16" x14ac:dyDescent="0.3">
      <c r="A267" s="549"/>
      <c r="B267" s="159"/>
      <c r="C267"/>
      <c r="E267"/>
      <c r="K267" s="549"/>
      <c r="L267" s="549"/>
      <c r="M267" s="549"/>
      <c r="N267" s="549"/>
      <c r="O267" s="549"/>
      <c r="P267" s="549"/>
    </row>
    <row r="268" spans="1:16" x14ac:dyDescent="0.3">
      <c r="A268" s="549"/>
      <c r="B268" s="159"/>
      <c r="C268"/>
      <c r="E268"/>
      <c r="K268" s="549"/>
      <c r="L268" s="549"/>
      <c r="M268" s="549"/>
      <c r="N268" s="549"/>
      <c r="O268" s="549"/>
      <c r="P268" s="549"/>
    </row>
    <row r="269" spans="1:16" x14ac:dyDescent="0.3">
      <c r="A269" s="549"/>
      <c r="B269" s="159"/>
      <c r="C269"/>
      <c r="E269"/>
      <c r="K269" s="549"/>
      <c r="L269" s="549"/>
      <c r="M269" s="549"/>
      <c r="N269" s="549"/>
      <c r="O269" s="549"/>
      <c r="P269" s="549"/>
    </row>
    <row r="270" spans="1:16" x14ac:dyDescent="0.3">
      <c r="A270" s="549"/>
      <c r="B270" s="159"/>
      <c r="C270"/>
      <c r="E270"/>
      <c r="K270" s="549"/>
      <c r="L270" s="549"/>
      <c r="M270" s="549"/>
      <c r="N270" s="549"/>
      <c r="O270" s="549"/>
      <c r="P270" s="549"/>
    </row>
    <row r="271" spans="1:16" x14ac:dyDescent="0.3">
      <c r="A271" s="549"/>
      <c r="B271" s="159"/>
      <c r="C271"/>
      <c r="E271"/>
      <c r="K271" s="549"/>
      <c r="L271" s="549"/>
      <c r="M271" s="549"/>
      <c r="N271" s="549"/>
      <c r="O271" s="549"/>
      <c r="P271" s="549"/>
    </row>
    <row r="272" spans="1:16" x14ac:dyDescent="0.3">
      <c r="A272" s="549"/>
      <c r="B272" s="159"/>
      <c r="C272"/>
      <c r="E272"/>
      <c r="K272" s="549"/>
      <c r="L272" s="549"/>
      <c r="M272" s="549"/>
      <c r="N272" s="549"/>
      <c r="O272" s="549"/>
      <c r="P272" s="549"/>
    </row>
    <row r="273" spans="1:16" x14ac:dyDescent="0.3">
      <c r="A273" s="549"/>
      <c r="B273" s="159"/>
      <c r="C273"/>
      <c r="E273"/>
      <c r="K273" s="549"/>
      <c r="L273" s="549"/>
      <c r="M273" s="549"/>
      <c r="N273" s="549"/>
      <c r="O273" s="549"/>
      <c r="P273" s="549"/>
    </row>
    <row r="274" spans="1:16" x14ac:dyDescent="0.3">
      <c r="A274" s="549"/>
      <c r="B274" s="159"/>
      <c r="C274"/>
      <c r="E274"/>
      <c r="K274" s="549"/>
      <c r="L274" s="549"/>
      <c r="M274" s="549"/>
      <c r="N274" s="549"/>
      <c r="O274" s="549"/>
      <c r="P274" s="549"/>
    </row>
    <row r="275" spans="1:16" x14ac:dyDescent="0.3">
      <c r="A275" s="549"/>
      <c r="B275" s="159"/>
      <c r="C275"/>
      <c r="E275"/>
      <c r="K275" s="549"/>
      <c r="L275" s="549"/>
      <c r="M275" s="549"/>
      <c r="N275" s="549"/>
      <c r="O275" s="549"/>
      <c r="P275" s="549"/>
    </row>
    <row r="276" spans="1:16" x14ac:dyDescent="0.3">
      <c r="A276" s="549"/>
      <c r="B276" s="159"/>
      <c r="C276"/>
      <c r="E276"/>
      <c r="K276" s="549"/>
      <c r="L276" s="549"/>
      <c r="M276" s="549"/>
      <c r="N276" s="549"/>
      <c r="O276" s="549"/>
      <c r="P276" s="549"/>
    </row>
    <row r="277" spans="1:16" x14ac:dyDescent="0.3">
      <c r="A277" s="549"/>
      <c r="B277" s="159"/>
      <c r="C277"/>
      <c r="E277"/>
      <c r="K277" s="549"/>
      <c r="L277" s="549"/>
      <c r="M277" s="549"/>
      <c r="N277" s="549"/>
      <c r="O277" s="549"/>
      <c r="P277" s="549"/>
    </row>
    <row r="278" spans="1:16" x14ac:dyDescent="0.3">
      <c r="A278" s="549"/>
      <c r="B278" s="159"/>
      <c r="C278"/>
      <c r="E278"/>
      <c r="K278" s="549"/>
      <c r="L278" s="549"/>
      <c r="M278" s="549"/>
      <c r="N278" s="549"/>
      <c r="O278" s="549"/>
      <c r="P278" s="549"/>
    </row>
    <row r="279" spans="1:16" x14ac:dyDescent="0.3">
      <c r="A279" s="549"/>
      <c r="B279" s="159"/>
      <c r="C279"/>
      <c r="E279"/>
      <c r="K279" s="549"/>
      <c r="L279" s="549"/>
      <c r="M279" s="549"/>
      <c r="N279" s="549"/>
      <c r="O279" s="549"/>
      <c r="P279" s="549"/>
    </row>
    <row r="280" spans="1:16" x14ac:dyDescent="0.3">
      <c r="A280" s="549"/>
      <c r="B280" s="159"/>
      <c r="C280"/>
      <c r="E280"/>
      <c r="K280" s="549"/>
      <c r="L280" s="549"/>
      <c r="M280" s="549"/>
      <c r="N280" s="549"/>
      <c r="O280" s="549"/>
      <c r="P280" s="549"/>
    </row>
    <row r="281" spans="1:16" x14ac:dyDescent="0.3">
      <c r="A281" s="549"/>
      <c r="B281" s="159"/>
      <c r="C281"/>
      <c r="E281"/>
      <c r="K281" s="549"/>
      <c r="L281" s="549"/>
      <c r="M281" s="549"/>
      <c r="N281" s="549"/>
      <c r="O281" s="549"/>
      <c r="P281" s="549"/>
    </row>
    <row r="282" spans="1:16" x14ac:dyDescent="0.3">
      <c r="A282" s="549"/>
      <c r="B282" s="159"/>
      <c r="C282"/>
      <c r="E282"/>
      <c r="K282" s="549"/>
      <c r="L282" s="549"/>
      <c r="M282" s="549"/>
      <c r="N282" s="549"/>
      <c r="O282" s="549"/>
      <c r="P282" s="549"/>
    </row>
    <row r="283" spans="1:16" x14ac:dyDescent="0.3">
      <c r="A283" s="549"/>
      <c r="B283" s="159"/>
      <c r="C283"/>
      <c r="E283"/>
      <c r="K283" s="549"/>
      <c r="L283" s="549"/>
      <c r="M283" s="549"/>
      <c r="N283" s="549"/>
      <c r="O283" s="549"/>
      <c r="P283" s="549"/>
    </row>
    <row r="284" spans="1:16" x14ac:dyDescent="0.3">
      <c r="A284" s="549"/>
      <c r="B284" s="159"/>
      <c r="C284"/>
      <c r="E284"/>
      <c r="K284" s="549"/>
      <c r="L284" s="549"/>
      <c r="M284" s="549"/>
      <c r="N284" s="549"/>
      <c r="O284" s="549"/>
      <c r="P284" s="549"/>
    </row>
    <row r="285" spans="1:16" x14ac:dyDescent="0.3">
      <c r="A285" s="549"/>
      <c r="B285" s="159"/>
      <c r="C285"/>
      <c r="E285"/>
      <c r="K285" s="549"/>
      <c r="L285" s="549"/>
      <c r="M285" s="549"/>
      <c r="N285" s="549"/>
      <c r="O285" s="549"/>
      <c r="P285" s="549"/>
    </row>
    <row r="286" spans="1:16" x14ac:dyDescent="0.3">
      <c r="A286" s="549"/>
      <c r="B286" s="159"/>
      <c r="C286"/>
      <c r="E286"/>
      <c r="K286" s="549"/>
      <c r="L286" s="549"/>
      <c r="M286" s="549"/>
      <c r="N286" s="549"/>
      <c r="O286" s="549"/>
      <c r="P286" s="549"/>
    </row>
    <row r="287" spans="1:16" x14ac:dyDescent="0.3">
      <c r="A287" s="549"/>
      <c r="B287" s="159"/>
      <c r="C287"/>
      <c r="E287"/>
      <c r="K287" s="549"/>
      <c r="L287" s="549"/>
      <c r="M287" s="549"/>
      <c r="N287" s="549"/>
      <c r="O287" s="549"/>
      <c r="P287" s="549"/>
    </row>
    <row r="288" spans="1:16" x14ac:dyDescent="0.3">
      <c r="A288" s="549"/>
      <c r="B288" s="159"/>
      <c r="C288"/>
      <c r="E288"/>
      <c r="K288" s="549"/>
      <c r="L288" s="549"/>
      <c r="M288" s="549"/>
      <c r="N288" s="549"/>
      <c r="O288" s="549"/>
      <c r="P288" s="549"/>
    </row>
    <row r="289" spans="1:16" x14ac:dyDescent="0.3">
      <c r="A289" s="549"/>
      <c r="B289" s="159"/>
      <c r="C289"/>
      <c r="E289"/>
      <c r="K289" s="549"/>
      <c r="L289" s="549"/>
      <c r="M289" s="549"/>
      <c r="N289" s="549"/>
      <c r="O289" s="549"/>
      <c r="P289" s="549"/>
    </row>
    <row r="290" spans="1:16" x14ac:dyDescent="0.3">
      <c r="A290" s="549"/>
      <c r="B290" s="159"/>
      <c r="C290"/>
      <c r="E290"/>
      <c r="K290" s="549"/>
      <c r="L290" s="549"/>
      <c r="M290" s="549"/>
      <c r="N290" s="549"/>
      <c r="O290" s="549"/>
      <c r="P290" s="549"/>
    </row>
    <row r="291" spans="1:16" x14ac:dyDescent="0.3">
      <c r="A291" s="549"/>
      <c r="B291" s="159"/>
      <c r="C291"/>
      <c r="E291"/>
      <c r="K291" s="549"/>
      <c r="L291" s="549"/>
      <c r="M291" s="549"/>
      <c r="N291" s="549"/>
      <c r="O291" s="549"/>
      <c r="P291" s="549"/>
    </row>
    <row r="292" spans="1:16" x14ac:dyDescent="0.3">
      <c r="A292" s="549"/>
      <c r="B292" s="159"/>
      <c r="C292"/>
      <c r="E292"/>
      <c r="K292" s="549"/>
      <c r="L292" s="549"/>
      <c r="M292" s="549"/>
      <c r="N292" s="549"/>
      <c r="O292" s="549"/>
      <c r="P292" s="549"/>
    </row>
    <row r="293" spans="1:16" x14ac:dyDescent="0.3">
      <c r="A293" s="549"/>
      <c r="B293" s="159"/>
      <c r="C293"/>
      <c r="E293"/>
      <c r="K293" s="549"/>
      <c r="L293" s="549"/>
      <c r="M293" s="549"/>
      <c r="N293" s="549"/>
      <c r="O293" s="549"/>
      <c r="P293" s="549"/>
    </row>
    <row r="294" spans="1:16" x14ac:dyDescent="0.3">
      <c r="A294" s="549"/>
      <c r="B294" s="159"/>
      <c r="C294"/>
      <c r="E294"/>
      <c r="K294" s="549"/>
      <c r="L294" s="549"/>
      <c r="M294" s="549"/>
      <c r="N294" s="549"/>
      <c r="O294" s="549"/>
      <c r="P294" s="549"/>
    </row>
    <row r="295" spans="1:16" x14ac:dyDescent="0.3">
      <c r="A295" s="549"/>
      <c r="B295" s="159"/>
      <c r="C295"/>
      <c r="E295"/>
      <c r="K295" s="549"/>
      <c r="L295" s="549"/>
      <c r="M295" s="549"/>
      <c r="N295" s="549"/>
      <c r="O295" s="549"/>
      <c r="P295" s="549"/>
    </row>
    <row r="296" spans="1:16" x14ac:dyDescent="0.3">
      <c r="A296" s="549"/>
      <c r="B296" s="159"/>
      <c r="C296"/>
      <c r="E296"/>
      <c r="K296" s="549"/>
      <c r="L296" s="549"/>
      <c r="M296" s="549"/>
      <c r="N296" s="549"/>
      <c r="O296" s="549"/>
      <c r="P296" s="549"/>
    </row>
    <row r="297" spans="1:16" x14ac:dyDescent="0.3">
      <c r="A297" s="549"/>
      <c r="B297" s="159"/>
      <c r="C297"/>
      <c r="E297"/>
      <c r="K297" s="549"/>
      <c r="L297" s="549"/>
      <c r="M297" s="549"/>
      <c r="N297" s="549"/>
      <c r="O297" s="549"/>
      <c r="P297" s="549"/>
    </row>
    <row r="298" spans="1:16" x14ac:dyDescent="0.3">
      <c r="A298" s="549"/>
      <c r="B298" s="159"/>
      <c r="C298"/>
      <c r="E298"/>
      <c r="K298" s="549"/>
      <c r="L298" s="549"/>
      <c r="M298" s="549"/>
      <c r="N298" s="549"/>
      <c r="O298" s="549"/>
      <c r="P298" s="549"/>
    </row>
    <row r="299" spans="1:16" x14ac:dyDescent="0.3">
      <c r="A299" s="549"/>
      <c r="B299" s="159"/>
      <c r="C299"/>
      <c r="E299"/>
      <c r="K299" s="549"/>
      <c r="L299" s="549"/>
      <c r="M299" s="549"/>
      <c r="N299" s="549"/>
      <c r="O299" s="549"/>
      <c r="P299" s="549"/>
    </row>
    <row r="300" spans="1:16" x14ac:dyDescent="0.3">
      <c r="A300" s="549"/>
      <c r="B300" s="159"/>
      <c r="C300"/>
      <c r="E300"/>
      <c r="K300" s="549"/>
      <c r="L300" s="549"/>
      <c r="M300" s="549"/>
      <c r="N300" s="549"/>
      <c r="O300" s="549"/>
      <c r="P300" s="549"/>
    </row>
    <row r="301" spans="1:16" x14ac:dyDescent="0.3">
      <c r="A301" s="549"/>
      <c r="B301" s="159"/>
      <c r="C301"/>
      <c r="E301"/>
      <c r="K301" s="549"/>
      <c r="L301" s="549"/>
      <c r="M301" s="549"/>
      <c r="N301" s="549"/>
      <c r="O301" s="549"/>
      <c r="P301" s="549"/>
    </row>
    <row r="302" spans="1:16" x14ac:dyDescent="0.3">
      <c r="A302" s="549"/>
      <c r="B302" s="159"/>
      <c r="C302"/>
      <c r="E302"/>
      <c r="K302" s="549"/>
      <c r="L302" s="549"/>
      <c r="M302" s="549"/>
      <c r="N302" s="549"/>
      <c r="O302" s="549"/>
      <c r="P302" s="549"/>
    </row>
    <row r="303" spans="1:16" x14ac:dyDescent="0.3">
      <c r="A303" s="549"/>
      <c r="B303" s="159"/>
      <c r="C303"/>
      <c r="E303"/>
      <c r="K303" s="549"/>
      <c r="L303" s="549"/>
      <c r="M303" s="549"/>
      <c r="N303" s="549"/>
      <c r="O303" s="549"/>
      <c r="P303" s="549"/>
    </row>
    <row r="304" spans="1:16" x14ac:dyDescent="0.3">
      <c r="A304" s="549"/>
      <c r="B304" s="159"/>
      <c r="C304"/>
      <c r="E304"/>
      <c r="K304" s="549"/>
      <c r="L304" s="549"/>
      <c r="M304" s="549"/>
      <c r="N304" s="549"/>
      <c r="O304" s="549"/>
      <c r="P304" s="549"/>
    </row>
    <row r="305" spans="1:16" x14ac:dyDescent="0.3">
      <c r="A305" s="549"/>
      <c r="B305" s="159"/>
      <c r="C305"/>
      <c r="E305"/>
      <c r="K305" s="549"/>
      <c r="L305" s="549"/>
      <c r="M305" s="549"/>
      <c r="N305" s="549"/>
      <c r="O305" s="549"/>
      <c r="P305" s="549"/>
    </row>
    <row r="306" spans="1:16" x14ac:dyDescent="0.3">
      <c r="A306" s="549"/>
      <c r="B306" s="159"/>
      <c r="C306"/>
      <c r="E306"/>
      <c r="K306" s="549"/>
      <c r="L306" s="549"/>
      <c r="M306" s="549"/>
      <c r="N306" s="549"/>
      <c r="O306" s="549"/>
      <c r="P306" s="549"/>
    </row>
    <row r="307" spans="1:16" x14ac:dyDescent="0.3">
      <c r="A307" s="549"/>
      <c r="B307" s="159"/>
      <c r="C307"/>
      <c r="E307"/>
      <c r="K307" s="549"/>
      <c r="L307" s="549"/>
      <c r="M307" s="549"/>
      <c r="N307" s="549"/>
      <c r="O307" s="549"/>
      <c r="P307" s="549"/>
    </row>
    <row r="308" spans="1:16" x14ac:dyDescent="0.3">
      <c r="A308" s="549"/>
      <c r="B308" s="159"/>
      <c r="C308"/>
      <c r="E308"/>
      <c r="K308" s="549"/>
      <c r="L308" s="549"/>
      <c r="M308" s="549"/>
      <c r="N308" s="549"/>
      <c r="O308" s="549"/>
      <c r="P308" s="549"/>
    </row>
    <row r="309" spans="1:16" x14ac:dyDescent="0.3">
      <c r="A309" s="549"/>
      <c r="B309" s="159"/>
      <c r="C309"/>
      <c r="E309"/>
      <c r="K309" s="549"/>
      <c r="L309" s="549"/>
      <c r="M309" s="549"/>
      <c r="N309" s="549"/>
      <c r="O309" s="549"/>
      <c r="P309" s="549"/>
    </row>
    <row r="310" spans="1:16" x14ac:dyDescent="0.3">
      <c r="A310" s="549"/>
      <c r="B310" s="159"/>
      <c r="C310"/>
      <c r="E310"/>
      <c r="K310" s="549"/>
      <c r="L310" s="549"/>
      <c r="M310" s="549"/>
      <c r="N310" s="549"/>
      <c r="O310" s="549"/>
      <c r="P310" s="549"/>
    </row>
    <row r="311" spans="1:16" x14ac:dyDescent="0.3">
      <c r="A311" s="549"/>
      <c r="B311" s="159"/>
      <c r="C311"/>
      <c r="E311"/>
      <c r="K311" s="549"/>
      <c r="L311" s="549"/>
      <c r="M311" s="549"/>
      <c r="N311" s="549"/>
      <c r="O311" s="549"/>
      <c r="P311" s="549"/>
    </row>
    <row r="312" spans="1:16" x14ac:dyDescent="0.3">
      <c r="A312" s="549"/>
      <c r="B312" s="159"/>
      <c r="C312"/>
      <c r="E312"/>
      <c r="K312" s="549"/>
      <c r="L312" s="549"/>
      <c r="M312" s="549"/>
      <c r="N312" s="549"/>
      <c r="O312" s="549"/>
      <c r="P312" s="549"/>
    </row>
    <row r="313" spans="1:16" x14ac:dyDescent="0.3">
      <c r="A313" s="549"/>
      <c r="B313" s="159"/>
      <c r="C313"/>
      <c r="E313"/>
      <c r="K313" s="549"/>
      <c r="L313" s="549"/>
      <c r="M313" s="549"/>
      <c r="N313" s="549"/>
      <c r="O313" s="549"/>
      <c r="P313" s="549"/>
    </row>
    <row r="314" spans="1:16" x14ac:dyDescent="0.3">
      <c r="A314" s="549"/>
      <c r="B314" s="159"/>
      <c r="C314"/>
      <c r="E314"/>
      <c r="K314" s="549"/>
      <c r="L314" s="549"/>
      <c r="M314" s="549"/>
      <c r="N314" s="549"/>
      <c r="O314" s="549"/>
      <c r="P314" s="549"/>
    </row>
    <row r="315" spans="1:16" x14ac:dyDescent="0.3">
      <c r="A315" s="549"/>
      <c r="B315" s="159"/>
      <c r="C315"/>
      <c r="E315"/>
      <c r="K315" s="549"/>
      <c r="L315" s="549"/>
      <c r="M315" s="549"/>
      <c r="N315" s="549"/>
      <c r="O315" s="549"/>
      <c r="P315" s="549"/>
    </row>
    <row r="316" spans="1:16" x14ac:dyDescent="0.3">
      <c r="A316" s="549"/>
      <c r="B316" s="159"/>
      <c r="C316"/>
      <c r="E316"/>
      <c r="K316" s="549"/>
      <c r="L316" s="549"/>
      <c r="M316" s="549"/>
      <c r="N316" s="549"/>
      <c r="O316" s="549"/>
      <c r="P316" s="549"/>
    </row>
    <row r="317" spans="1:16" x14ac:dyDescent="0.3">
      <c r="A317" s="549"/>
      <c r="B317" s="159"/>
      <c r="C317"/>
      <c r="E317"/>
      <c r="K317" s="549"/>
      <c r="L317" s="549"/>
      <c r="M317" s="549"/>
      <c r="N317" s="549"/>
      <c r="O317" s="549"/>
      <c r="P317" s="549"/>
    </row>
    <row r="318" spans="1:16" x14ac:dyDescent="0.3">
      <c r="A318" s="549"/>
      <c r="B318" s="159"/>
      <c r="C318"/>
      <c r="E318"/>
      <c r="K318" s="549"/>
      <c r="L318" s="549"/>
      <c r="M318" s="549"/>
      <c r="N318" s="549"/>
      <c r="O318" s="549"/>
      <c r="P318" s="549"/>
    </row>
    <row r="319" spans="1:16" x14ac:dyDescent="0.3">
      <c r="A319" s="549"/>
      <c r="B319" s="159"/>
      <c r="C319"/>
      <c r="E319"/>
      <c r="K319" s="549"/>
      <c r="L319" s="549"/>
      <c r="M319" s="549"/>
      <c r="N319" s="549"/>
      <c r="O319" s="549"/>
      <c r="P319" s="549"/>
    </row>
    <row r="320" spans="1:16" x14ac:dyDescent="0.3">
      <c r="A320" s="549"/>
      <c r="B320" s="159"/>
      <c r="C320"/>
      <c r="E320"/>
      <c r="K320" s="549"/>
      <c r="L320" s="549"/>
      <c r="M320" s="549"/>
      <c r="N320" s="549"/>
      <c r="O320" s="549"/>
      <c r="P320" s="549"/>
    </row>
    <row r="321" spans="1:16" x14ac:dyDescent="0.3">
      <c r="A321" s="549"/>
      <c r="B321" s="159"/>
      <c r="C321"/>
      <c r="E321"/>
      <c r="K321" s="549"/>
      <c r="L321" s="549"/>
      <c r="M321" s="549"/>
      <c r="N321" s="549"/>
      <c r="O321" s="549"/>
      <c r="P321" s="549"/>
    </row>
    <row r="322" spans="1:16" x14ac:dyDescent="0.3">
      <c r="A322" s="549"/>
      <c r="B322" s="159"/>
      <c r="C322"/>
      <c r="E322"/>
      <c r="K322" s="549"/>
      <c r="L322" s="549"/>
      <c r="M322" s="549"/>
      <c r="N322" s="549"/>
      <c r="O322" s="549"/>
      <c r="P322" s="549"/>
    </row>
    <row r="323" spans="1:16" x14ac:dyDescent="0.3">
      <c r="A323" s="549"/>
      <c r="B323" s="159"/>
      <c r="C323"/>
      <c r="E323"/>
      <c r="K323" s="549"/>
      <c r="L323" s="549"/>
      <c r="M323" s="549"/>
      <c r="N323" s="549"/>
      <c r="O323" s="549"/>
      <c r="P323" s="549"/>
    </row>
    <row r="324" spans="1:16" x14ac:dyDescent="0.3">
      <c r="A324" s="549"/>
      <c r="B324" s="159"/>
      <c r="C324"/>
      <c r="E324"/>
      <c r="K324" s="549"/>
      <c r="L324" s="549"/>
      <c r="M324" s="549"/>
      <c r="N324" s="549"/>
      <c r="O324" s="549"/>
      <c r="P324" s="549"/>
    </row>
    <row r="325" spans="1:16" x14ac:dyDescent="0.3">
      <c r="A325" s="549"/>
      <c r="B325" s="159"/>
      <c r="C325"/>
      <c r="E325"/>
      <c r="K325" s="549"/>
      <c r="L325" s="549"/>
      <c r="M325" s="549"/>
      <c r="N325" s="549"/>
      <c r="O325" s="549"/>
      <c r="P325" s="549"/>
    </row>
    <row r="326" spans="1:16" x14ac:dyDescent="0.3">
      <c r="A326" s="549"/>
      <c r="B326" s="159"/>
      <c r="C326"/>
      <c r="E326"/>
      <c r="K326" s="549"/>
      <c r="L326" s="549"/>
      <c r="M326" s="549"/>
      <c r="N326" s="549"/>
      <c r="O326" s="549"/>
      <c r="P326" s="549"/>
    </row>
    <row r="327" spans="1:16" x14ac:dyDescent="0.3">
      <c r="A327" s="549"/>
      <c r="B327" s="159"/>
      <c r="C327"/>
      <c r="E327"/>
      <c r="K327" s="549"/>
      <c r="L327" s="549"/>
      <c r="M327" s="549"/>
      <c r="N327" s="549"/>
      <c r="O327" s="549"/>
      <c r="P327" s="549"/>
    </row>
    <row r="328" spans="1:16" x14ac:dyDescent="0.3">
      <c r="A328" s="549"/>
      <c r="B328" s="159"/>
      <c r="C328"/>
      <c r="E328"/>
      <c r="K328" s="549"/>
      <c r="L328" s="549"/>
      <c r="M328" s="549"/>
      <c r="N328" s="549"/>
      <c r="O328" s="549"/>
      <c r="P328" s="549"/>
    </row>
    <row r="329" spans="1:16" x14ac:dyDescent="0.3">
      <c r="A329" s="549"/>
      <c r="B329" s="159"/>
      <c r="C329"/>
      <c r="E329"/>
      <c r="K329" s="549"/>
      <c r="L329" s="549"/>
      <c r="M329" s="549"/>
      <c r="N329" s="549"/>
      <c r="O329" s="549"/>
      <c r="P329" s="549"/>
    </row>
    <row r="330" spans="1:16" x14ac:dyDescent="0.3">
      <c r="A330" s="549"/>
      <c r="B330" s="159"/>
      <c r="C330"/>
      <c r="E330"/>
      <c r="K330" s="549"/>
      <c r="L330" s="549"/>
      <c r="M330" s="549"/>
      <c r="N330" s="549"/>
      <c r="O330" s="549"/>
      <c r="P330" s="549"/>
    </row>
    <row r="331" spans="1:16" x14ac:dyDescent="0.3">
      <c r="A331" s="549"/>
      <c r="B331" s="159"/>
      <c r="C331"/>
      <c r="E331"/>
      <c r="K331" s="549"/>
      <c r="L331" s="549"/>
      <c r="M331" s="549"/>
      <c r="N331" s="549"/>
      <c r="O331" s="549"/>
      <c r="P331" s="549"/>
    </row>
    <row r="332" spans="1:16" x14ac:dyDescent="0.3">
      <c r="A332" s="549"/>
      <c r="B332" s="159"/>
      <c r="C332"/>
      <c r="E332"/>
      <c r="K332" s="549"/>
      <c r="L332" s="549"/>
      <c r="M332" s="549"/>
      <c r="N332" s="549"/>
      <c r="O332" s="549"/>
      <c r="P332" s="549"/>
    </row>
    <row r="333" spans="1:16" x14ac:dyDescent="0.3">
      <c r="A333" s="549"/>
      <c r="B333" s="159"/>
      <c r="C333"/>
      <c r="E333"/>
      <c r="K333" s="549"/>
      <c r="L333" s="549"/>
      <c r="M333" s="549"/>
      <c r="N333" s="549"/>
      <c r="O333" s="549"/>
      <c r="P333" s="549"/>
    </row>
    <row r="334" spans="1:16" x14ac:dyDescent="0.3">
      <c r="A334" s="549"/>
      <c r="B334" s="159"/>
      <c r="C334"/>
      <c r="E334"/>
      <c r="K334" s="549"/>
      <c r="L334" s="549"/>
      <c r="M334" s="549"/>
      <c r="N334" s="549"/>
      <c r="O334" s="549"/>
      <c r="P334" s="549"/>
    </row>
    <row r="335" spans="1:16" x14ac:dyDescent="0.3">
      <c r="A335" s="549"/>
      <c r="B335" s="159"/>
      <c r="C335"/>
      <c r="E335"/>
      <c r="K335" s="549"/>
      <c r="L335" s="549"/>
      <c r="M335" s="549"/>
      <c r="N335" s="549"/>
      <c r="O335" s="549"/>
      <c r="P335" s="549"/>
    </row>
    <row r="336" spans="1:16" x14ac:dyDescent="0.3">
      <c r="A336" s="549"/>
      <c r="B336" s="159"/>
      <c r="C336"/>
      <c r="E336"/>
      <c r="K336" s="549"/>
      <c r="L336" s="549"/>
      <c r="M336" s="549"/>
      <c r="N336" s="549"/>
      <c r="O336" s="549"/>
      <c r="P336" s="549"/>
    </row>
    <row r="337" spans="1:16" x14ac:dyDescent="0.3">
      <c r="A337" s="549"/>
      <c r="B337" s="159"/>
      <c r="C337"/>
      <c r="E337"/>
      <c r="K337" s="549"/>
      <c r="L337" s="549"/>
      <c r="M337" s="549"/>
      <c r="N337" s="549"/>
      <c r="O337" s="549"/>
      <c r="P337" s="549"/>
    </row>
    <row r="338" spans="1:16" x14ac:dyDescent="0.3">
      <c r="A338" s="549"/>
      <c r="B338" s="159"/>
      <c r="C338"/>
      <c r="E338"/>
      <c r="K338" s="549"/>
      <c r="L338" s="549"/>
      <c r="M338" s="549"/>
      <c r="N338" s="549"/>
      <c r="O338" s="549"/>
      <c r="P338" s="549"/>
    </row>
    <row r="339" spans="1:16" x14ac:dyDescent="0.3">
      <c r="A339" s="549"/>
      <c r="B339" s="159"/>
      <c r="C339"/>
      <c r="E339"/>
      <c r="K339" s="549"/>
      <c r="L339" s="549"/>
      <c r="M339" s="549"/>
      <c r="N339" s="549"/>
      <c r="O339" s="549"/>
      <c r="P339" s="549"/>
    </row>
    <row r="340" spans="1:16" x14ac:dyDescent="0.3">
      <c r="A340" s="549"/>
      <c r="B340" s="159"/>
      <c r="C340"/>
      <c r="E340"/>
      <c r="K340" s="549"/>
      <c r="L340" s="549"/>
      <c r="M340" s="549"/>
      <c r="N340" s="549"/>
      <c r="O340" s="549"/>
      <c r="P340" s="549"/>
    </row>
    <row r="341" spans="1:16" x14ac:dyDescent="0.3">
      <c r="A341" s="549"/>
      <c r="B341" s="159"/>
      <c r="C341"/>
      <c r="E341"/>
      <c r="K341" s="549"/>
      <c r="L341" s="549"/>
      <c r="M341" s="549"/>
      <c r="N341" s="549"/>
      <c r="O341" s="549"/>
      <c r="P341" s="549"/>
    </row>
    <row r="342" spans="1:16" x14ac:dyDescent="0.3">
      <c r="A342" s="549"/>
      <c r="B342" s="159"/>
      <c r="C342"/>
      <c r="E342"/>
      <c r="K342" s="549"/>
      <c r="L342" s="549"/>
      <c r="M342" s="549"/>
      <c r="N342" s="549"/>
      <c r="O342" s="549"/>
      <c r="P342" s="549"/>
    </row>
    <row r="343" spans="1:16" x14ac:dyDescent="0.3">
      <c r="A343" s="549"/>
      <c r="B343" s="159"/>
      <c r="C343"/>
      <c r="E343"/>
      <c r="K343" s="549"/>
      <c r="L343" s="549"/>
      <c r="M343" s="549"/>
      <c r="N343" s="549"/>
      <c r="O343" s="549"/>
      <c r="P343" s="549"/>
    </row>
    <row r="344" spans="1:16" x14ac:dyDescent="0.3">
      <c r="A344" s="549"/>
      <c r="B344" s="159"/>
      <c r="C344"/>
      <c r="E344"/>
      <c r="K344" s="549"/>
      <c r="L344" s="549"/>
      <c r="M344" s="549"/>
      <c r="N344" s="549"/>
      <c r="O344" s="549"/>
      <c r="P344" s="549"/>
    </row>
    <row r="345" spans="1:16" x14ac:dyDescent="0.3">
      <c r="A345" s="549"/>
      <c r="B345" s="159"/>
      <c r="C345"/>
      <c r="E345"/>
      <c r="K345" s="549"/>
      <c r="L345" s="549"/>
      <c r="M345" s="549"/>
      <c r="N345" s="549"/>
      <c r="O345" s="549"/>
      <c r="P345" s="549"/>
    </row>
    <row r="346" spans="1:16" x14ac:dyDescent="0.3">
      <c r="A346" s="549"/>
      <c r="B346" s="159"/>
      <c r="C346"/>
      <c r="E346"/>
      <c r="K346" s="549"/>
      <c r="L346" s="549"/>
      <c r="M346" s="549"/>
      <c r="N346" s="549"/>
      <c r="O346" s="549"/>
      <c r="P346" s="549"/>
    </row>
    <row r="347" spans="1:16" x14ac:dyDescent="0.3">
      <c r="A347" s="549"/>
      <c r="B347" s="159"/>
      <c r="C347"/>
      <c r="E347"/>
      <c r="K347" s="549"/>
      <c r="L347" s="549"/>
      <c r="M347" s="549"/>
      <c r="N347" s="549"/>
      <c r="O347" s="549"/>
      <c r="P347" s="549"/>
    </row>
    <row r="348" spans="1:16" x14ac:dyDescent="0.3">
      <c r="A348" s="549"/>
      <c r="B348" s="159"/>
      <c r="C348"/>
      <c r="E348"/>
      <c r="K348" s="549"/>
      <c r="L348" s="549"/>
      <c r="M348" s="549"/>
      <c r="N348" s="549"/>
      <c r="O348" s="549"/>
      <c r="P348" s="549"/>
    </row>
    <row r="349" spans="1:16" x14ac:dyDescent="0.3">
      <c r="A349" s="549"/>
      <c r="B349" s="159"/>
      <c r="C349"/>
      <c r="E349"/>
      <c r="K349" s="549"/>
      <c r="L349" s="549"/>
      <c r="M349" s="549"/>
      <c r="N349" s="549"/>
      <c r="O349" s="549"/>
      <c r="P349" s="549"/>
    </row>
    <row r="350" spans="1:16" x14ac:dyDescent="0.3">
      <c r="A350" s="549"/>
      <c r="B350" s="159"/>
      <c r="C350"/>
      <c r="E350"/>
      <c r="K350" s="549"/>
      <c r="L350" s="549"/>
      <c r="M350" s="549"/>
      <c r="N350" s="549"/>
      <c r="O350" s="549"/>
      <c r="P350" s="549"/>
    </row>
    <row r="351" spans="1:16" x14ac:dyDescent="0.3">
      <c r="A351" s="549"/>
      <c r="B351" s="159"/>
      <c r="C351"/>
      <c r="E351"/>
      <c r="K351" s="549"/>
      <c r="L351" s="549"/>
      <c r="M351" s="549"/>
      <c r="N351" s="549"/>
      <c r="O351" s="549"/>
      <c r="P351" s="549"/>
    </row>
    <row r="352" spans="1:16" x14ac:dyDescent="0.3">
      <c r="A352" s="549"/>
      <c r="B352" s="159"/>
      <c r="C352"/>
      <c r="E352"/>
      <c r="K352" s="549"/>
      <c r="L352" s="549"/>
      <c r="M352" s="549"/>
      <c r="N352" s="549"/>
      <c r="O352" s="549"/>
      <c r="P352" s="549"/>
    </row>
    <row r="353" spans="1:16" x14ac:dyDescent="0.3">
      <c r="A353" s="549"/>
      <c r="B353" s="159"/>
      <c r="C353"/>
      <c r="E353"/>
      <c r="K353" s="549"/>
      <c r="L353" s="549"/>
      <c r="M353" s="549"/>
      <c r="N353" s="549"/>
      <c r="O353" s="549"/>
      <c r="P353" s="549"/>
    </row>
    <row r="354" spans="1:16" x14ac:dyDescent="0.3">
      <c r="A354" s="549"/>
      <c r="B354" s="159"/>
      <c r="C354"/>
      <c r="E354"/>
      <c r="K354" s="549"/>
      <c r="L354" s="549"/>
      <c r="M354" s="549"/>
      <c r="N354" s="549"/>
      <c r="O354" s="549"/>
      <c r="P354" s="549"/>
    </row>
    <row r="355" spans="1:16" x14ac:dyDescent="0.3">
      <c r="A355" s="549"/>
      <c r="B355" s="159"/>
      <c r="C355"/>
      <c r="E355"/>
      <c r="K355" s="549"/>
      <c r="L355" s="549"/>
      <c r="M355" s="549"/>
      <c r="N355" s="549"/>
      <c r="O355" s="549"/>
      <c r="P355" s="549"/>
    </row>
    <row r="356" spans="1:16" x14ac:dyDescent="0.3">
      <c r="A356" s="549"/>
      <c r="B356" s="159"/>
      <c r="C356"/>
      <c r="E356"/>
      <c r="K356" s="549"/>
      <c r="L356" s="549"/>
      <c r="M356" s="549"/>
      <c r="N356" s="549"/>
      <c r="O356" s="549"/>
      <c r="P356" s="549"/>
    </row>
    <row r="357" spans="1:16" x14ac:dyDescent="0.3">
      <c r="A357" s="549"/>
      <c r="B357" s="159"/>
      <c r="C357"/>
      <c r="E357"/>
      <c r="K357" s="549"/>
      <c r="L357" s="549"/>
      <c r="M357" s="549"/>
      <c r="N357" s="549"/>
      <c r="O357" s="549"/>
      <c r="P357" s="549"/>
    </row>
    <row r="358" spans="1:16" x14ac:dyDescent="0.3">
      <c r="A358" s="549"/>
      <c r="B358" s="159"/>
      <c r="C358"/>
      <c r="E358"/>
      <c r="K358" s="549"/>
      <c r="L358" s="549"/>
      <c r="M358" s="549"/>
      <c r="N358" s="549"/>
      <c r="O358" s="549"/>
      <c r="P358" s="549"/>
    </row>
    <row r="359" spans="1:16" x14ac:dyDescent="0.3">
      <c r="A359" s="549"/>
      <c r="B359" s="159"/>
      <c r="C359"/>
      <c r="E359"/>
      <c r="K359" s="549"/>
      <c r="L359" s="549"/>
      <c r="M359" s="549"/>
      <c r="N359" s="549"/>
      <c r="O359" s="549"/>
      <c r="P359" s="549"/>
    </row>
    <row r="360" spans="1:16" x14ac:dyDescent="0.3">
      <c r="A360" s="549"/>
      <c r="B360" s="159"/>
      <c r="C360"/>
      <c r="E360"/>
      <c r="K360" s="549"/>
      <c r="L360" s="549"/>
      <c r="M360" s="549"/>
      <c r="N360" s="549"/>
      <c r="O360" s="549"/>
      <c r="P360" s="549"/>
    </row>
    <row r="361" spans="1:16" x14ac:dyDescent="0.3">
      <c r="A361" s="549"/>
      <c r="B361" s="159"/>
      <c r="C361"/>
      <c r="E361"/>
      <c r="K361" s="549"/>
      <c r="L361" s="549"/>
      <c r="M361" s="549"/>
      <c r="N361" s="549"/>
      <c r="O361" s="549"/>
      <c r="P361" s="549"/>
    </row>
    <row r="362" spans="1:16" x14ac:dyDescent="0.3">
      <c r="A362" s="549"/>
      <c r="B362" s="159"/>
      <c r="C362"/>
      <c r="E362"/>
      <c r="K362" s="549"/>
      <c r="L362" s="549"/>
      <c r="M362" s="549"/>
      <c r="N362" s="549"/>
      <c r="O362" s="549"/>
      <c r="P362" s="549"/>
    </row>
    <row r="363" spans="1:16" x14ac:dyDescent="0.3">
      <c r="A363" s="549"/>
      <c r="B363" s="159"/>
      <c r="C363"/>
      <c r="E363"/>
      <c r="K363" s="549"/>
      <c r="L363" s="549"/>
      <c r="M363" s="549"/>
      <c r="N363" s="549"/>
      <c r="O363" s="549"/>
      <c r="P363" s="549"/>
    </row>
    <row r="364" spans="1:16" x14ac:dyDescent="0.3">
      <c r="A364" s="549"/>
      <c r="B364" s="159"/>
      <c r="C364"/>
      <c r="E364"/>
      <c r="K364" s="549"/>
      <c r="L364" s="549"/>
      <c r="M364" s="549"/>
      <c r="N364" s="549"/>
      <c r="O364" s="549"/>
      <c r="P364" s="549"/>
    </row>
    <row r="365" spans="1:16" x14ac:dyDescent="0.3">
      <c r="A365" s="549"/>
      <c r="B365" s="159"/>
      <c r="C365"/>
      <c r="E365"/>
      <c r="K365" s="549"/>
      <c r="L365" s="549"/>
      <c r="M365" s="549"/>
      <c r="N365" s="549"/>
      <c r="O365" s="549"/>
      <c r="P365" s="549"/>
    </row>
    <row r="366" spans="1:16" x14ac:dyDescent="0.3">
      <c r="A366" s="549"/>
      <c r="B366" s="159"/>
      <c r="C366"/>
      <c r="E366"/>
      <c r="K366" s="549"/>
      <c r="L366" s="549"/>
      <c r="M366" s="549"/>
      <c r="N366" s="549"/>
      <c r="O366" s="549"/>
      <c r="P366" s="549"/>
    </row>
    <row r="367" spans="1:16" x14ac:dyDescent="0.3">
      <c r="A367" s="549"/>
      <c r="B367" s="159"/>
      <c r="C367"/>
      <c r="E367"/>
      <c r="K367" s="549"/>
      <c r="L367" s="549"/>
      <c r="M367" s="549"/>
      <c r="N367" s="549"/>
      <c r="O367" s="549"/>
      <c r="P367" s="549"/>
    </row>
    <row r="368" spans="1:16" x14ac:dyDescent="0.3">
      <c r="A368" s="549"/>
      <c r="B368" s="159"/>
      <c r="C368"/>
      <c r="E368"/>
      <c r="K368" s="549"/>
      <c r="L368" s="549"/>
      <c r="M368" s="549"/>
      <c r="N368" s="549"/>
      <c r="O368" s="549"/>
      <c r="P368" s="549"/>
    </row>
    <row r="369" spans="1:16" x14ac:dyDescent="0.3">
      <c r="A369" s="549"/>
      <c r="B369" s="159"/>
      <c r="C369"/>
      <c r="E369"/>
      <c r="K369" s="549"/>
      <c r="L369" s="549"/>
      <c r="M369" s="549"/>
      <c r="N369" s="549"/>
      <c r="O369" s="549"/>
      <c r="P369" s="549"/>
    </row>
    <row r="370" spans="1:16" x14ac:dyDescent="0.3">
      <c r="A370" s="549"/>
      <c r="B370" s="159"/>
      <c r="C370"/>
      <c r="E370"/>
      <c r="K370" s="549"/>
      <c r="L370" s="549"/>
      <c r="M370" s="549"/>
      <c r="N370" s="549"/>
      <c r="O370" s="549"/>
      <c r="P370" s="549"/>
    </row>
    <row r="371" spans="1:16" x14ac:dyDescent="0.3">
      <c r="A371" s="549"/>
      <c r="B371" s="159"/>
      <c r="C371"/>
      <c r="E371"/>
      <c r="K371" s="549"/>
      <c r="L371" s="549"/>
      <c r="M371" s="549"/>
      <c r="N371" s="549"/>
      <c r="O371" s="549"/>
      <c r="P371" s="549"/>
    </row>
    <row r="372" spans="1:16" x14ac:dyDescent="0.3">
      <c r="A372" s="549"/>
      <c r="B372" s="159"/>
      <c r="C372"/>
      <c r="E372"/>
      <c r="K372" s="549"/>
      <c r="L372" s="549"/>
      <c r="M372" s="549"/>
      <c r="N372" s="549"/>
      <c r="O372" s="549"/>
      <c r="P372" s="549"/>
    </row>
    <row r="373" spans="1:16" x14ac:dyDescent="0.3">
      <c r="A373" s="549"/>
      <c r="B373" s="159"/>
      <c r="C373"/>
      <c r="E373"/>
      <c r="K373" s="549"/>
      <c r="L373" s="549"/>
      <c r="M373" s="549"/>
      <c r="N373" s="549"/>
      <c r="O373" s="549"/>
      <c r="P373" s="549"/>
    </row>
    <row r="374" spans="1:16" x14ac:dyDescent="0.3">
      <c r="A374" s="549"/>
      <c r="B374" s="159"/>
      <c r="C374"/>
      <c r="E374"/>
      <c r="K374" s="549"/>
      <c r="L374" s="549"/>
      <c r="M374" s="549"/>
      <c r="N374" s="549"/>
      <c r="O374" s="549"/>
      <c r="P374" s="549"/>
    </row>
    <row r="375" spans="1:16" x14ac:dyDescent="0.3">
      <c r="A375" s="549"/>
      <c r="B375" s="159"/>
      <c r="C375"/>
      <c r="E375"/>
      <c r="K375" s="549"/>
      <c r="L375" s="549"/>
      <c r="M375" s="549"/>
      <c r="N375" s="549"/>
      <c r="O375" s="549"/>
      <c r="P375" s="549"/>
    </row>
    <row r="376" spans="1:16" x14ac:dyDescent="0.3">
      <c r="A376" s="549"/>
      <c r="B376" s="159"/>
      <c r="C376"/>
      <c r="E376"/>
      <c r="K376" s="549"/>
      <c r="L376" s="549"/>
      <c r="M376" s="549"/>
      <c r="N376" s="549"/>
      <c r="O376" s="549"/>
      <c r="P376" s="549"/>
    </row>
    <row r="377" spans="1:16" x14ac:dyDescent="0.3">
      <c r="A377" s="549"/>
      <c r="B377" s="159"/>
      <c r="C377"/>
      <c r="E377"/>
      <c r="K377" s="549"/>
      <c r="L377" s="549"/>
      <c r="M377" s="549"/>
      <c r="N377" s="549"/>
      <c r="O377" s="549"/>
      <c r="P377" s="549"/>
    </row>
    <row r="378" spans="1:16" x14ac:dyDescent="0.3">
      <c r="A378" s="549"/>
      <c r="B378" s="159"/>
      <c r="C378"/>
      <c r="E378"/>
      <c r="K378" s="549"/>
      <c r="L378" s="549"/>
      <c r="M378" s="549"/>
      <c r="N378" s="549"/>
      <c r="O378" s="549"/>
      <c r="P378" s="549"/>
    </row>
    <row r="379" spans="1:16" x14ac:dyDescent="0.3">
      <c r="A379" s="549"/>
      <c r="B379" s="159"/>
      <c r="C379"/>
      <c r="E379"/>
      <c r="K379" s="549"/>
      <c r="L379" s="549"/>
      <c r="M379" s="549"/>
      <c r="N379" s="549"/>
      <c r="O379" s="549"/>
      <c r="P379" s="549"/>
    </row>
    <row r="380" spans="1:16" x14ac:dyDescent="0.3">
      <c r="A380" s="549"/>
      <c r="B380" s="159"/>
      <c r="C380"/>
      <c r="E380"/>
      <c r="K380" s="549"/>
      <c r="L380" s="549"/>
      <c r="M380" s="549"/>
      <c r="N380" s="549"/>
      <c r="O380" s="549"/>
      <c r="P380" s="549"/>
    </row>
    <row r="381" spans="1:16" x14ac:dyDescent="0.3">
      <c r="A381" s="549"/>
      <c r="B381" s="159"/>
      <c r="C381"/>
      <c r="E381"/>
      <c r="K381" s="549"/>
      <c r="L381" s="549"/>
      <c r="M381" s="549"/>
      <c r="N381" s="549"/>
      <c r="O381" s="549"/>
      <c r="P381" s="549"/>
    </row>
    <row r="382" spans="1:16" x14ac:dyDescent="0.3">
      <c r="A382" s="549"/>
      <c r="B382" s="159"/>
      <c r="C382"/>
      <c r="E382"/>
      <c r="K382" s="549"/>
      <c r="L382" s="549"/>
      <c r="M382" s="549"/>
      <c r="N382" s="549"/>
      <c r="O382" s="549"/>
      <c r="P382" s="549"/>
    </row>
    <row r="383" spans="1:16" x14ac:dyDescent="0.3">
      <c r="A383" s="549"/>
      <c r="B383" s="159"/>
      <c r="C383"/>
      <c r="E383"/>
      <c r="K383" s="549"/>
      <c r="L383" s="549"/>
      <c r="M383" s="549"/>
      <c r="N383" s="549"/>
      <c r="O383" s="549"/>
      <c r="P383" s="549"/>
    </row>
    <row r="384" spans="1:16" x14ac:dyDescent="0.3">
      <c r="A384" s="549"/>
      <c r="B384" s="159"/>
      <c r="C384"/>
      <c r="E384"/>
      <c r="K384" s="549"/>
      <c r="L384" s="549"/>
      <c r="M384" s="549"/>
      <c r="N384" s="549"/>
      <c r="O384" s="549"/>
      <c r="P384" s="549"/>
    </row>
    <row r="385" spans="1:16" x14ac:dyDescent="0.3">
      <c r="A385" s="549"/>
      <c r="B385" s="159"/>
      <c r="C385"/>
      <c r="E385"/>
      <c r="K385" s="549"/>
      <c r="L385" s="549"/>
      <c r="M385" s="549"/>
      <c r="N385" s="549"/>
      <c r="O385" s="549"/>
      <c r="P385" s="549"/>
    </row>
    <row r="386" spans="1:16" x14ac:dyDescent="0.3">
      <c r="A386" s="549"/>
      <c r="B386" s="159"/>
      <c r="C386"/>
      <c r="E386"/>
      <c r="K386" s="549"/>
      <c r="L386" s="549"/>
      <c r="M386" s="549"/>
      <c r="N386" s="549"/>
      <c r="O386" s="549"/>
      <c r="P386" s="549"/>
    </row>
    <row r="387" spans="1:16" x14ac:dyDescent="0.3">
      <c r="A387" s="549"/>
      <c r="B387" s="159"/>
      <c r="C387"/>
      <c r="E387"/>
      <c r="K387" s="549"/>
      <c r="L387" s="549"/>
      <c r="M387" s="549"/>
      <c r="N387" s="549"/>
      <c r="O387" s="549"/>
      <c r="P387" s="549"/>
    </row>
    <row r="388" spans="1:16" x14ac:dyDescent="0.3">
      <c r="A388" s="549"/>
      <c r="B388" s="159"/>
      <c r="C388"/>
      <c r="E388"/>
      <c r="K388" s="549"/>
      <c r="L388" s="549"/>
      <c r="M388" s="549"/>
      <c r="N388" s="549"/>
      <c r="O388" s="549"/>
      <c r="P388" s="549"/>
    </row>
    <row r="389" spans="1:16" x14ac:dyDescent="0.3">
      <c r="A389" s="549"/>
      <c r="B389" s="159"/>
      <c r="C389"/>
      <c r="E389"/>
      <c r="K389" s="549"/>
      <c r="L389" s="549"/>
      <c r="M389" s="549"/>
      <c r="N389" s="549"/>
      <c r="O389" s="549"/>
      <c r="P389" s="549"/>
    </row>
    <row r="390" spans="1:16" x14ac:dyDescent="0.3">
      <c r="A390" s="549"/>
      <c r="B390" s="159"/>
      <c r="C390"/>
      <c r="E390"/>
      <c r="K390" s="549"/>
      <c r="L390" s="549"/>
      <c r="M390" s="549"/>
      <c r="N390" s="549"/>
      <c r="O390" s="549"/>
      <c r="P390" s="549"/>
    </row>
    <row r="391" spans="1:16" x14ac:dyDescent="0.3">
      <c r="A391" s="549"/>
      <c r="B391" s="159"/>
      <c r="C391"/>
      <c r="E391"/>
      <c r="K391" s="549"/>
      <c r="L391" s="549"/>
      <c r="M391" s="549"/>
      <c r="N391" s="549"/>
      <c r="O391" s="549"/>
      <c r="P391" s="549"/>
    </row>
    <row r="392" spans="1:16" x14ac:dyDescent="0.3">
      <c r="A392" s="549"/>
      <c r="B392" s="159"/>
      <c r="C392"/>
      <c r="E392"/>
      <c r="K392" s="549"/>
      <c r="L392" s="549"/>
      <c r="M392" s="549"/>
      <c r="N392" s="549"/>
      <c r="O392" s="549"/>
      <c r="P392" s="549"/>
    </row>
    <row r="393" spans="1:16" x14ac:dyDescent="0.3">
      <c r="A393" s="549"/>
      <c r="B393" s="159"/>
      <c r="C393"/>
      <c r="E393"/>
      <c r="K393" s="549"/>
      <c r="L393" s="549"/>
      <c r="M393" s="549"/>
      <c r="N393" s="549"/>
      <c r="O393" s="549"/>
      <c r="P393" s="549"/>
    </row>
    <row r="394" spans="1:16" x14ac:dyDescent="0.3">
      <c r="A394" s="549"/>
      <c r="B394" s="159"/>
      <c r="C394"/>
      <c r="E394"/>
      <c r="K394" s="549"/>
      <c r="L394" s="549"/>
      <c r="M394" s="549"/>
      <c r="N394" s="549"/>
      <c r="O394" s="549"/>
      <c r="P394" s="549"/>
    </row>
    <row r="395" spans="1:16" x14ac:dyDescent="0.3">
      <c r="A395" s="549"/>
      <c r="B395" s="159"/>
      <c r="C395"/>
      <c r="E395"/>
      <c r="K395" s="549"/>
      <c r="L395" s="549"/>
      <c r="M395" s="549"/>
      <c r="N395" s="549"/>
      <c r="O395" s="549"/>
      <c r="P395" s="549"/>
    </row>
    <row r="396" spans="1:16" x14ac:dyDescent="0.3">
      <c r="A396" s="549"/>
      <c r="B396" s="159"/>
      <c r="C396"/>
      <c r="E396"/>
      <c r="K396" s="549"/>
      <c r="L396" s="549"/>
      <c r="M396" s="549"/>
      <c r="N396" s="549"/>
      <c r="O396" s="549"/>
      <c r="P396" s="549"/>
    </row>
    <row r="397" spans="1:16" x14ac:dyDescent="0.3">
      <c r="A397" s="549"/>
      <c r="B397" s="159"/>
      <c r="C397"/>
      <c r="E397"/>
      <c r="K397" s="549"/>
      <c r="L397" s="549"/>
      <c r="M397" s="549"/>
      <c r="N397" s="549"/>
      <c r="O397" s="549"/>
      <c r="P397" s="549"/>
    </row>
    <row r="398" spans="1:16" x14ac:dyDescent="0.3">
      <c r="A398" s="549"/>
      <c r="B398" s="159"/>
      <c r="C398"/>
      <c r="E398"/>
      <c r="K398" s="549"/>
      <c r="L398" s="549"/>
      <c r="M398" s="549"/>
      <c r="N398" s="549"/>
      <c r="O398" s="549"/>
      <c r="P398" s="549"/>
    </row>
    <row r="399" spans="1:16" x14ac:dyDescent="0.3">
      <c r="A399" s="549"/>
      <c r="B399" s="159"/>
      <c r="C399"/>
      <c r="E399"/>
      <c r="K399" s="549"/>
      <c r="L399" s="549"/>
      <c r="M399" s="549"/>
      <c r="N399" s="549"/>
      <c r="O399" s="549"/>
      <c r="P399" s="549"/>
    </row>
    <row r="400" spans="1:16" x14ac:dyDescent="0.3">
      <c r="B400" s="159"/>
      <c r="C400"/>
      <c r="E400"/>
      <c r="K400" s="549"/>
      <c r="L400" s="549"/>
      <c r="M400" s="549"/>
      <c r="N400" s="549"/>
      <c r="O400" s="549"/>
      <c r="P400" s="549"/>
    </row>
    <row r="401" spans="2:16" x14ac:dyDescent="0.3">
      <c r="B401" s="159"/>
      <c r="C401"/>
      <c r="E401"/>
      <c r="K401" s="549"/>
      <c r="L401" s="549"/>
      <c r="M401" s="549"/>
      <c r="N401" s="549"/>
      <c r="O401" s="549"/>
      <c r="P401" s="549"/>
    </row>
    <row r="402" spans="2:16" x14ac:dyDescent="0.3">
      <c r="B402" s="159"/>
      <c r="C402"/>
      <c r="E402"/>
      <c r="K402" s="549"/>
      <c r="L402" s="549"/>
      <c r="M402" s="549"/>
      <c r="N402" s="549"/>
      <c r="O402" s="549"/>
      <c r="P402" s="549"/>
    </row>
    <row r="403" spans="2:16" x14ac:dyDescent="0.3">
      <c r="E403"/>
      <c r="K403" s="549"/>
      <c r="L403" s="549"/>
      <c r="M403" s="549"/>
      <c r="N403" s="549"/>
      <c r="O403" s="549"/>
      <c r="P403" s="549"/>
    </row>
    <row r="404" spans="2:16" x14ac:dyDescent="0.3">
      <c r="E404"/>
      <c r="K404" s="549"/>
      <c r="L404" s="549"/>
      <c r="M404" s="549"/>
      <c r="N404" s="549"/>
      <c r="O404" s="549"/>
      <c r="P404" s="549"/>
    </row>
    <row r="405" spans="2:16" x14ac:dyDescent="0.3">
      <c r="E405"/>
      <c r="K405" s="549"/>
      <c r="L405" s="549"/>
      <c r="M405" s="549"/>
      <c r="N405" s="549"/>
      <c r="O405" s="549"/>
      <c r="P405" s="549"/>
    </row>
    <row r="406" spans="2:16" x14ac:dyDescent="0.3">
      <c r="E406"/>
      <c r="K406" s="549"/>
      <c r="L406" s="549"/>
      <c r="M406" s="549"/>
      <c r="N406" s="549"/>
      <c r="O406" s="549"/>
      <c r="P406" s="549"/>
    </row>
    <row r="407" spans="2:16" x14ac:dyDescent="0.3">
      <c r="E407"/>
      <c r="K407" s="549"/>
      <c r="L407" s="549"/>
      <c r="M407" s="549"/>
      <c r="N407" s="549"/>
      <c r="O407" s="549"/>
      <c r="P407" s="549"/>
    </row>
    <row r="408" spans="2:16" x14ac:dyDescent="0.3">
      <c r="E408"/>
      <c r="K408" s="549"/>
      <c r="L408" s="549"/>
      <c r="M408" s="549"/>
      <c r="N408" s="549"/>
      <c r="O408" s="549"/>
      <c r="P408" s="549"/>
    </row>
    <row r="409" spans="2:16" x14ac:dyDescent="0.3">
      <c r="E409"/>
      <c r="K409" s="549"/>
      <c r="L409" s="549"/>
      <c r="M409" s="549"/>
      <c r="N409" s="549"/>
      <c r="O409" s="549"/>
      <c r="P409" s="549"/>
    </row>
    <row r="410" spans="2:16" x14ac:dyDescent="0.3">
      <c r="E410"/>
      <c r="K410" s="549"/>
      <c r="L410" s="549"/>
      <c r="M410" s="549"/>
      <c r="N410" s="549"/>
      <c r="O410" s="549"/>
      <c r="P410" s="549"/>
    </row>
    <row r="411" spans="2:16" x14ac:dyDescent="0.3">
      <c r="E411"/>
      <c r="K411" s="549"/>
      <c r="L411" s="549"/>
      <c r="M411" s="549"/>
      <c r="N411" s="549"/>
      <c r="O411" s="549"/>
      <c r="P411" s="549"/>
    </row>
    <row r="412" spans="2:16" x14ac:dyDescent="0.3">
      <c r="E412"/>
      <c r="K412" s="549"/>
      <c r="L412" s="549"/>
      <c r="M412" s="549"/>
      <c r="N412" s="549"/>
      <c r="O412" s="549"/>
      <c r="P412" s="549"/>
    </row>
    <row r="413" spans="2:16" x14ac:dyDescent="0.3">
      <c r="E413"/>
      <c r="K413" s="549"/>
      <c r="L413" s="549"/>
      <c r="M413" s="549"/>
      <c r="N413" s="549"/>
      <c r="O413" s="549"/>
      <c r="P413" s="549"/>
    </row>
    <row r="414" spans="2:16" x14ac:dyDescent="0.3">
      <c r="E414"/>
      <c r="K414" s="549"/>
      <c r="L414" s="549"/>
      <c r="M414" s="549"/>
      <c r="N414" s="549"/>
      <c r="O414" s="549"/>
      <c r="P414" s="549"/>
    </row>
    <row r="415" spans="2:16" x14ac:dyDescent="0.3">
      <c r="E415"/>
      <c r="K415" s="549"/>
      <c r="L415" s="549"/>
      <c r="M415" s="549"/>
      <c r="N415" s="549"/>
      <c r="O415" s="549"/>
      <c r="P415" s="549"/>
    </row>
    <row r="416" spans="2:16" x14ac:dyDescent="0.3">
      <c r="E416"/>
      <c r="K416" s="549"/>
      <c r="L416" s="549"/>
      <c r="M416" s="549"/>
      <c r="N416" s="549"/>
      <c r="O416" s="549"/>
      <c r="P416" s="549"/>
    </row>
    <row r="417" spans="5:16" x14ac:dyDescent="0.3">
      <c r="E417"/>
      <c r="K417" s="549"/>
      <c r="L417" s="549"/>
      <c r="M417" s="549"/>
      <c r="N417" s="549"/>
      <c r="O417" s="549"/>
      <c r="P417" s="549"/>
    </row>
    <row r="418" spans="5:16" x14ac:dyDescent="0.3">
      <c r="E418"/>
      <c r="K418" s="549"/>
      <c r="L418" s="549"/>
      <c r="M418" s="549"/>
      <c r="N418" s="549"/>
      <c r="O418" s="549"/>
      <c r="P418" s="549"/>
    </row>
    <row r="419" spans="5:16" x14ac:dyDescent="0.3">
      <c r="E419"/>
      <c r="K419" s="549"/>
      <c r="L419" s="549"/>
      <c r="M419" s="549"/>
      <c r="N419" s="549"/>
      <c r="O419" s="549"/>
      <c r="P419" s="549"/>
    </row>
    <row r="420" spans="5:16" x14ac:dyDescent="0.3">
      <c r="E420"/>
      <c r="K420" s="549"/>
      <c r="L420" s="549"/>
      <c r="M420" s="549"/>
      <c r="N420" s="549"/>
      <c r="O420" s="549"/>
      <c r="P420" s="549"/>
    </row>
    <row r="421" spans="5:16" x14ac:dyDescent="0.3">
      <c r="E421"/>
      <c r="K421" s="549"/>
      <c r="L421" s="549"/>
      <c r="M421" s="549"/>
      <c r="N421" s="549"/>
      <c r="O421" s="549"/>
      <c r="P421" s="549"/>
    </row>
    <row r="422" spans="5:16" x14ac:dyDescent="0.3">
      <c r="E422"/>
      <c r="K422" s="549"/>
      <c r="L422" s="549"/>
      <c r="M422" s="549"/>
      <c r="N422" s="549"/>
      <c r="O422" s="549"/>
      <c r="P422" s="549"/>
    </row>
    <row r="423" spans="5:16" x14ac:dyDescent="0.3">
      <c r="E423"/>
      <c r="K423" s="549"/>
      <c r="L423" s="549"/>
      <c r="M423" s="549"/>
      <c r="N423" s="549"/>
      <c r="O423" s="549"/>
      <c r="P423" s="549"/>
    </row>
    <row r="424" spans="5:16" x14ac:dyDescent="0.3">
      <c r="E424"/>
      <c r="K424" s="549"/>
      <c r="L424" s="549"/>
      <c r="M424" s="549"/>
      <c r="N424" s="549"/>
      <c r="O424" s="549"/>
      <c r="P424" s="549"/>
    </row>
    <row r="425" spans="5:16" x14ac:dyDescent="0.3">
      <c r="E425"/>
      <c r="K425" s="549"/>
      <c r="L425" s="549"/>
      <c r="M425" s="549"/>
      <c r="N425" s="549"/>
      <c r="O425" s="549"/>
      <c r="P425" s="549"/>
    </row>
    <row r="426" spans="5:16" x14ac:dyDescent="0.3">
      <c r="E426"/>
      <c r="K426" s="549"/>
      <c r="L426" s="549"/>
      <c r="M426" s="549"/>
      <c r="N426" s="549"/>
      <c r="O426" s="549"/>
      <c r="P426" s="549"/>
    </row>
    <row r="427" spans="5:16" x14ac:dyDescent="0.3">
      <c r="E427"/>
      <c r="K427" s="549"/>
      <c r="L427" s="549"/>
      <c r="M427" s="549"/>
      <c r="N427" s="549"/>
      <c r="O427" s="549"/>
      <c r="P427" s="549"/>
    </row>
    <row r="428" spans="5:16" x14ac:dyDescent="0.3">
      <c r="E428"/>
      <c r="K428" s="549"/>
      <c r="L428" s="549"/>
      <c r="M428" s="549"/>
      <c r="N428" s="549"/>
      <c r="O428" s="549"/>
      <c r="P428" s="549"/>
    </row>
    <row r="429" spans="5:16" x14ac:dyDescent="0.3">
      <c r="E429"/>
      <c r="K429" s="549"/>
      <c r="L429" s="549"/>
      <c r="M429" s="549"/>
      <c r="N429" s="549"/>
      <c r="O429" s="549"/>
      <c r="P429" s="549"/>
    </row>
    <row r="430" spans="5:16" x14ac:dyDescent="0.3">
      <c r="E430"/>
      <c r="K430" s="549"/>
      <c r="L430" s="549"/>
      <c r="M430" s="549"/>
      <c r="N430" s="549"/>
      <c r="O430" s="549"/>
      <c r="P430" s="549"/>
    </row>
    <row r="431" spans="5:16" x14ac:dyDescent="0.3">
      <c r="E431"/>
      <c r="K431" s="549"/>
      <c r="L431" s="549"/>
      <c r="M431" s="549"/>
      <c r="N431" s="549"/>
      <c r="O431" s="549"/>
      <c r="P431" s="549"/>
    </row>
  </sheetData>
  <mergeCells count="1">
    <mergeCell ref="B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56" r:id="rId4" name="Button 56">
              <controlPr defaultSize="0" print="0" autoFill="0" autoPict="0" macro="[0]!IrMenuPrincipal">
                <anchor>
                  <from>
                    <xdr:col>1</xdr:col>
                    <xdr:colOff>22860</xdr:colOff>
                    <xdr:row>1</xdr:row>
                    <xdr:rowOff>7620</xdr:rowOff>
                  </from>
                  <to>
                    <xdr:col>1</xdr:col>
                    <xdr:colOff>1059180</xdr:colOff>
                    <xdr:row>2</xdr:row>
                    <xdr:rowOff>0</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7">
    <tabColor rgb="FFFFFF00"/>
  </sheetPr>
  <dimension ref="A1:T44"/>
  <sheetViews>
    <sheetView zoomScale="90" zoomScaleNormal="90" workbookViewId="0">
      <selection activeCell="G26" sqref="G26:H26"/>
    </sheetView>
  </sheetViews>
  <sheetFormatPr baseColWidth="10" defaultColWidth="11.44140625" defaultRowHeight="14.4" x14ac:dyDescent="0.3"/>
  <cols>
    <col min="1" max="1" width="12.33203125" style="597" customWidth="1"/>
    <col min="2" max="2" width="10.88671875" style="597" customWidth="1"/>
    <col min="3" max="3" width="15" style="597" customWidth="1"/>
    <col min="4" max="4" width="19.44140625" style="597" customWidth="1"/>
    <col min="5" max="5" width="20.44140625" style="597" customWidth="1"/>
    <col min="6" max="6" width="23.33203125" style="597" customWidth="1"/>
    <col min="7" max="7" width="23.44140625" style="597" customWidth="1"/>
    <col min="8" max="8" width="8.109375" style="597" customWidth="1"/>
    <col min="9" max="9" width="20.33203125" style="597" customWidth="1"/>
    <col min="10" max="10" width="2.88671875" style="597" customWidth="1"/>
    <col min="11" max="11" width="24.44140625" style="597" customWidth="1"/>
    <col min="12" max="12" width="2.44140625" style="597" customWidth="1"/>
    <col min="13" max="13" width="18.33203125" style="597" customWidth="1"/>
    <col min="14" max="16384" width="11.44140625" style="597"/>
  </cols>
  <sheetData>
    <row r="1" spans="1:20" ht="16.2" thickBot="1" x14ac:dyDescent="0.35">
      <c r="A1" s="1116" t="s">
        <v>1978</v>
      </c>
      <c r="B1" s="712"/>
      <c r="C1" s="713"/>
      <c r="D1" s="1118" t="s">
        <v>1706</v>
      </c>
      <c r="E1" s="1118"/>
      <c r="F1" s="1118"/>
      <c r="G1" s="1118"/>
      <c r="H1" s="714"/>
      <c r="I1" s="715"/>
      <c r="J1" s="598"/>
      <c r="K1" s="599"/>
      <c r="L1" s="629"/>
      <c r="M1" s="584"/>
      <c r="N1" s="584"/>
      <c r="O1" s="584"/>
      <c r="P1" s="584"/>
      <c r="Q1" s="584"/>
      <c r="R1" s="584"/>
      <c r="S1" s="584"/>
    </row>
    <row r="2" spans="1:20" ht="16.2" thickBot="1" x14ac:dyDescent="0.35">
      <c r="A2" s="1116"/>
      <c r="B2" s="716"/>
      <c r="C2" s="604"/>
      <c r="D2" s="1119"/>
      <c r="E2" s="1119"/>
      <c r="F2" s="1119"/>
      <c r="G2" s="1119"/>
      <c r="H2" s="605"/>
      <c r="I2" s="717"/>
      <c r="J2" s="630"/>
      <c r="K2" s="640" t="s">
        <v>1541</v>
      </c>
      <c r="L2" s="631"/>
      <c r="M2" s="624"/>
      <c r="N2" s="624"/>
      <c r="O2" s="584"/>
      <c r="P2" s="584"/>
      <c r="Q2" s="584"/>
      <c r="R2" s="584"/>
      <c r="S2" s="584"/>
      <c r="T2" s="584"/>
    </row>
    <row r="3" spans="1:20" ht="16.2" thickBot="1" x14ac:dyDescent="0.35">
      <c r="A3" s="1116"/>
      <c r="B3" s="716"/>
      <c r="C3" s="604"/>
      <c r="D3" s="1119"/>
      <c r="E3" s="1119"/>
      <c r="F3" s="1119"/>
      <c r="G3" s="1119"/>
      <c r="H3" s="605"/>
      <c r="I3" s="717"/>
      <c r="J3" s="630"/>
      <c r="K3" s="625"/>
      <c r="L3" s="601"/>
      <c r="M3" s="624"/>
      <c r="N3" s="624"/>
      <c r="O3" s="584"/>
      <c r="P3" s="584"/>
      <c r="Q3" s="584"/>
      <c r="R3" s="584"/>
      <c r="S3" s="584"/>
      <c r="T3" s="584"/>
    </row>
    <row r="4" spans="1:20" ht="16.2" thickBot="1" x14ac:dyDescent="0.35">
      <c r="A4" s="1116"/>
      <c r="B4" s="1125" t="s">
        <v>972</v>
      </c>
      <c r="C4" s="1126"/>
      <c r="D4" s="1127" t="str">
        <f>IFERROR(INDEX(BDEGENER[],MATCH($K$3,BDEGENER[SERIE],0),22),"")</f>
        <v/>
      </c>
      <c r="E4" s="1128"/>
      <c r="F4" s="1128"/>
      <c r="G4" s="1128"/>
      <c r="H4" s="1129"/>
      <c r="I4" s="718"/>
      <c r="J4" s="630"/>
      <c r="K4" s="626"/>
      <c r="L4" s="601"/>
      <c r="M4" s="1115"/>
      <c r="N4" s="624"/>
      <c r="O4" s="584"/>
      <c r="P4" s="584"/>
      <c r="Q4" s="584"/>
      <c r="R4" s="584"/>
      <c r="S4" s="584"/>
    </row>
    <row r="5" spans="1:20" x14ac:dyDescent="0.3">
      <c r="A5" s="1116"/>
      <c r="B5" s="1120" t="s">
        <v>1697</v>
      </c>
      <c r="C5" s="606" t="s">
        <v>1696</v>
      </c>
      <c r="D5" s="607" t="s">
        <v>9</v>
      </c>
      <c r="E5" s="634" t="str">
        <f>IFERROR(INDEX(BDEGENER[],MATCH($K$3,BDEGENER[SERIE],0),26),"")</f>
        <v/>
      </c>
      <c r="F5" s="707" t="s">
        <v>10</v>
      </c>
      <c r="G5" s="608" t="str">
        <f>IFERROR(INDEX(BDEGENER[],MATCH($K$3,BDEGENER[SERIE],0),27),"")</f>
        <v/>
      </c>
      <c r="H5" s="609" t="s">
        <v>7</v>
      </c>
      <c r="I5" s="719" t="str">
        <f>CONCATENATE(K3)</f>
        <v/>
      </c>
      <c r="J5" s="600"/>
      <c r="K5" s="627"/>
      <c r="L5" s="632"/>
      <c r="M5" s="1115"/>
      <c r="N5" s="584"/>
      <c r="O5" s="584"/>
      <c r="P5" s="584"/>
      <c r="Q5" s="584"/>
      <c r="R5" s="584"/>
    </row>
    <row r="6" spans="1:20" x14ac:dyDescent="0.3">
      <c r="A6" s="584"/>
      <c r="B6" s="1121"/>
      <c r="C6" s="610" t="s">
        <v>30</v>
      </c>
      <c r="D6" s="611" t="s">
        <v>9</v>
      </c>
      <c r="E6" s="635" t="str">
        <f>IFERROR(INDEX(FILTROS[],MATCH($G$5,FILTROS[MODELO G.E],0),4),"")</f>
        <v/>
      </c>
      <c r="F6" s="708" t="s">
        <v>10</v>
      </c>
      <c r="G6" s="612" t="str">
        <f>IFERROR(INDEX(FILTROS[],MATCH($G$5,FILTROS[MODELO G.E],0),3),"")</f>
        <v/>
      </c>
      <c r="H6" s="613" t="s">
        <v>7</v>
      </c>
      <c r="I6" s="720" t="str">
        <f>IFERROR(INDEX(BDEGENER[],MATCH($K$3,BDEGENER[SERIE],0),35),"")</f>
        <v/>
      </c>
      <c r="J6" s="600"/>
      <c r="K6" s="627"/>
      <c r="L6" s="632"/>
      <c r="M6" s="1115"/>
      <c r="N6" s="584"/>
      <c r="O6" s="584"/>
      <c r="P6" s="584"/>
      <c r="Q6" s="584"/>
      <c r="R6" s="584"/>
    </row>
    <row r="7" spans="1:20" ht="15" thickBot="1" x14ac:dyDescent="0.35">
      <c r="A7" s="584"/>
      <c r="B7" s="1122"/>
      <c r="C7" s="614" t="s">
        <v>31</v>
      </c>
      <c r="D7" s="615" t="s">
        <v>9</v>
      </c>
      <c r="E7" s="636" t="str">
        <f>IFERROR(INDEX(FILTROS[],MATCH($G$5,FILTROS[MODELO G.E],0),5),"")</f>
        <v/>
      </c>
      <c r="F7" s="709" t="s">
        <v>10</v>
      </c>
      <c r="G7" s="616" t="str">
        <f>IFERROR(INDEX(FILTROS[],MATCH($G$5,FILTROS[MODELO G.E],0),6),"")</f>
        <v/>
      </c>
      <c r="H7" s="617" t="s">
        <v>7</v>
      </c>
      <c r="I7" s="721" t="str">
        <f>IFERROR(INDEX(BDEGENER[],MATCH($K$3,BDEGENER[SERIE],0),37),"")</f>
        <v/>
      </c>
      <c r="J7" s="600"/>
      <c r="K7" s="627"/>
      <c r="L7" s="632"/>
      <c r="M7" s="584"/>
      <c r="N7" s="584"/>
      <c r="O7" s="584"/>
      <c r="P7" s="584"/>
      <c r="Q7" s="584"/>
      <c r="R7" s="584"/>
    </row>
    <row r="8" spans="1:20" x14ac:dyDescent="0.3">
      <c r="B8" s="1120" t="s">
        <v>1709</v>
      </c>
      <c r="C8" s="618" t="s">
        <v>1698</v>
      </c>
      <c r="D8" s="634" t="str">
        <f>IFERROR(INDEX(FILTROS[],MATCH($G$5,FILTROS[MODELO G.E],0),7),"")</f>
        <v/>
      </c>
      <c r="E8" s="607" t="s">
        <v>1699</v>
      </c>
      <c r="F8" s="637" t="str">
        <f>IFERROR(INDEX(FILTROS[],MATCH($G$5,FILTROS[MODELO G.E],0),8),"")</f>
        <v/>
      </c>
      <c r="G8" s="1123" t="s">
        <v>1703</v>
      </c>
      <c r="H8" s="1123"/>
      <c r="I8" s="719" t="str">
        <f>IFERROR(INDEX(FILTROS[],MATCH($G$5,FILTROS[MODELO G.E],0),9),"")</f>
        <v/>
      </c>
      <c r="J8" s="600"/>
      <c r="K8" s="627"/>
      <c r="L8" s="632"/>
      <c r="M8" s="584"/>
      <c r="N8" s="584"/>
      <c r="O8" s="584"/>
      <c r="P8" s="584"/>
      <c r="Q8" s="584"/>
      <c r="R8" s="584"/>
    </row>
    <row r="9" spans="1:20" x14ac:dyDescent="0.3">
      <c r="B9" s="1121"/>
      <c r="C9" s="619" t="s">
        <v>1702</v>
      </c>
      <c r="D9" s="635" t="str">
        <f>IFERROR(INDEX(FILTROS[],MATCH($G$5,FILTROS[MODELO G.E],0),14),"")</f>
        <v/>
      </c>
      <c r="E9" s="611" t="s">
        <v>1783</v>
      </c>
      <c r="F9" s="638" t="str">
        <f>IFERROR(INDEX(FILTROS[],MATCH($G$5,FILTROS[MODELO G.E],0),15),"")</f>
        <v/>
      </c>
      <c r="G9" s="1124" t="s">
        <v>1708</v>
      </c>
      <c r="H9" s="1124"/>
      <c r="I9" s="720" t="str">
        <f>IFERROR(INDEX(FILTROS[],MATCH($G$5,FILTROS[MODELO G.E],0),12),"")</f>
        <v/>
      </c>
      <c r="J9" s="600"/>
      <c r="K9" s="627"/>
      <c r="L9" s="632"/>
      <c r="M9" s="584"/>
    </row>
    <row r="10" spans="1:20" ht="15" thickBot="1" x14ac:dyDescent="0.35">
      <c r="B10" s="1122"/>
      <c r="C10" s="620" t="s">
        <v>1704</v>
      </c>
      <c r="D10" s="636" t="str">
        <f>IFERROR(INDEX(FILTROS[],MATCH($G$5,FILTROS[MODELO G.E],0),10),"")</f>
        <v/>
      </c>
      <c r="E10" s="615" t="s">
        <v>1705</v>
      </c>
      <c r="F10" s="639" t="str">
        <f>IFERROR(INDEX(FILTROS[],MATCH($G$5,FILTROS[MODELO G.E],0),11),"")</f>
        <v/>
      </c>
      <c r="G10" s="1130" t="s">
        <v>1707</v>
      </c>
      <c r="H10" s="1130"/>
      <c r="I10" s="721" t="str">
        <f>IFERROR(INDEX(FILTROS[],MATCH($G$5,FILTROS[MODELO G.E],0),13),"")</f>
        <v/>
      </c>
      <c r="J10" s="600"/>
      <c r="K10" s="628"/>
      <c r="L10" s="632"/>
    </row>
    <row r="11" spans="1:20" ht="15" thickBot="1" x14ac:dyDescent="0.35">
      <c r="B11" s="710" t="s">
        <v>940</v>
      </c>
      <c r="C11" s="1131" t="s">
        <v>1710</v>
      </c>
      <c r="D11" s="1132"/>
      <c r="E11" s="1131" t="s">
        <v>1711</v>
      </c>
      <c r="F11" s="1132"/>
      <c r="G11" s="1131" t="s">
        <v>2</v>
      </c>
      <c r="H11" s="1132"/>
      <c r="I11" s="711" t="s">
        <v>1781</v>
      </c>
      <c r="J11" s="602"/>
      <c r="K11" s="603"/>
      <c r="L11" s="633"/>
    </row>
    <row r="12" spans="1:20" x14ac:dyDescent="0.3">
      <c r="B12" s="622" t="str">
        <f>IF($K$3&lt;&gt;"",IFERROR(INDEX(BDEGENER[],MATCH(CONCATENATE($K$3,"MANT",A15),BDEGENER[GA6],0),10),""),"")</f>
        <v/>
      </c>
      <c r="C12" s="1117" t="str">
        <f>IF($K$3&lt;&gt;"",IFERROR(INDEX(BDEGENER[],MATCH(CONCATENATE($K$3,"MANT",A15),BDEGENER[GA6],0),17),""),"")</f>
        <v/>
      </c>
      <c r="D12" s="1117"/>
      <c r="E12" s="1117" t="str">
        <f>IF($K$3&lt;&gt;"",IFERROR(INDEX(BDEGENER[],MATCH(CONCATENATE($K$3,"MANT",A15),BDEGENER[GA6],0),18),""),"")</f>
        <v/>
      </c>
      <c r="F12" s="1117"/>
      <c r="G12" s="1117" t="str">
        <f>IF($K$3&lt;&gt;"",IFERROR(INDEX(BDEGENER[],MATCH(CONCATENATE($K$3,"MANT",A15),BDEGENER[GA6],0),19),""),"")</f>
        <v/>
      </c>
      <c r="H12" s="1117"/>
      <c r="I12" s="623" t="str">
        <f>IF($K$3&lt;&gt;"",IFERROR(INDEX(BDEGENER[],MATCH(CONCATENATE($K$3,"MANT",A15),BDEGENER[GA6],0),46),""),"")</f>
        <v/>
      </c>
      <c r="J12" s="584"/>
      <c r="K12" s="584"/>
      <c r="L12" s="584"/>
    </row>
    <row r="13" spans="1:20" x14ac:dyDescent="0.3">
      <c r="B13" s="622" t="str">
        <f>IF($K$3&lt;&gt;"",IFERROR(INDEX(BDEGENER[],MATCH(CONCATENATE($K$3,"MANT",A16),BDEGENER[GA6],0),10),""),"")</f>
        <v/>
      </c>
      <c r="C13" s="1117" t="str">
        <f>IF($K$3&lt;&gt;"",IFERROR(INDEX(BDEGENER[],MATCH(CONCATENATE($K$3,"MANT",A16),BDEGENER[GA6],0),17),""),"")</f>
        <v/>
      </c>
      <c r="D13" s="1117"/>
      <c r="E13" s="1117" t="str">
        <f>IF($K$3&lt;&gt;"",IFERROR(INDEX(BDEGENER[],MATCH(CONCATENATE($K$3,"MANT",A16),BDEGENER[GA6],0),18),""),"")</f>
        <v/>
      </c>
      <c r="F13" s="1117"/>
      <c r="G13" s="1117" t="str">
        <f>IF($K$3&lt;&gt;"",IFERROR(INDEX(BDEGENER[],MATCH(CONCATENATE($K$3,"MANT",A16),BDEGENER[GA6],0),19),""),"")</f>
        <v/>
      </c>
      <c r="H13" s="1117"/>
      <c r="I13" s="623" t="str">
        <f>IF($K$3&lt;&gt;"",IFERROR(INDEX(BDEGENER[],MATCH(CONCATENATE($K$3,"MANT",A16),BDEGENER[GA6],0),46),""),"")</f>
        <v/>
      </c>
    </row>
    <row r="14" spans="1:20" x14ac:dyDescent="0.3">
      <c r="A14" s="621"/>
      <c r="B14" s="622" t="str">
        <f>IF($K$3&lt;&gt;"",IFERROR(INDEX(BDEGENER[],MATCH(CONCATENATE($K$3,"MANT",A17),BDEGENER[GA6],0),10),""),"")</f>
        <v/>
      </c>
      <c r="C14" s="1117" t="str">
        <f>IF($K$3&lt;&gt;"",IFERROR(INDEX(BDEGENER[],MATCH(CONCATENATE($K$3,"MANT",A17),BDEGENER[GA6],0),17),""),"")</f>
        <v/>
      </c>
      <c r="D14" s="1117"/>
      <c r="E14" s="1117" t="str">
        <f>IF($K$3&lt;&gt;"",IFERROR(INDEX(BDEGENER[],MATCH(CONCATENATE($K$3,"MANT",A17),BDEGENER[GA6],0),18),""),"")</f>
        <v/>
      </c>
      <c r="F14" s="1117"/>
      <c r="G14" s="1117" t="str">
        <f>IF($K$3&lt;&gt;"",IFERROR(INDEX(BDEGENER[],MATCH(CONCATENATE($K$3,"MANT",A17),BDEGENER[GA6],0),19),""),"")</f>
        <v/>
      </c>
      <c r="H14" s="1117"/>
      <c r="I14" s="623" t="str">
        <f>IF($K$3&lt;&gt;"",IFERROR(INDEX(BDEGENER[],MATCH(CONCATENATE($K$3,"MANT",A17),BDEGENER[GA6],0),46),""),"")</f>
        <v/>
      </c>
    </row>
    <row r="15" spans="1:20" x14ac:dyDescent="0.3">
      <c r="A15" s="621">
        <v>1</v>
      </c>
      <c r="B15" s="622" t="str">
        <f>IF($K$3&lt;&gt;"",IFERROR(INDEX(BDEGENER[],MATCH(CONCATENATE($K$3,"MANT",A18),BDEGENER[GA6],0),10),""),"")</f>
        <v/>
      </c>
      <c r="C15" s="1117" t="str">
        <f>IF($K$3&lt;&gt;"",IFERROR(INDEX(BDEGENER[],MATCH(CONCATENATE($K$3,"MANT",A18),BDEGENER[GA6],0),17),""),"")</f>
        <v/>
      </c>
      <c r="D15" s="1117"/>
      <c r="E15" s="1117" t="str">
        <f>IF($K$3&lt;&gt;"",IFERROR(INDEX(BDEGENER[],MATCH(CONCATENATE($K$3,"MANT",A18),BDEGENER[GA6],0),18),""),"")</f>
        <v/>
      </c>
      <c r="F15" s="1117"/>
      <c r="G15" s="1117" t="str">
        <f>IF($K$3&lt;&gt;"",IFERROR(INDEX(BDEGENER[],MATCH(CONCATENATE($K$3,"MANT",A18),BDEGENER[GA6],0),19),""),"")</f>
        <v/>
      </c>
      <c r="H15" s="1117"/>
      <c r="I15" s="623" t="str">
        <f>IF($K$3&lt;&gt;"",IFERROR(INDEX(BDEGENER[],MATCH(CONCATENATE($K$3,"MANT",A18),BDEGENER[GA6],0),46),""),"")</f>
        <v/>
      </c>
    </row>
    <row r="16" spans="1:20" x14ac:dyDescent="0.3">
      <c r="A16" s="621">
        <v>2</v>
      </c>
      <c r="B16" s="622" t="str">
        <f>IF($K$3&lt;&gt;"",IFERROR(INDEX(BDEGENER[],MATCH(CONCATENATE($K$3,"MANT",A19),BDEGENER[GA6],0),10),""),"")</f>
        <v/>
      </c>
      <c r="C16" s="1117" t="str">
        <f>IF($K$3&lt;&gt;"",IFERROR(INDEX(BDEGENER[],MATCH(CONCATENATE($K$3,"MANT",A19),BDEGENER[GA6],0),17),""),"")</f>
        <v/>
      </c>
      <c r="D16" s="1117"/>
      <c r="E16" s="1117" t="str">
        <f>IF($K$3&lt;&gt;"",IFERROR(INDEX(BDEGENER[],MATCH(CONCATENATE($K$3,"MANT",A19),BDEGENER[GA6],0),18),""),"")</f>
        <v/>
      </c>
      <c r="F16" s="1117"/>
      <c r="G16" s="1117" t="str">
        <f>IF($K$3&lt;&gt;"",IFERROR(INDEX(BDEGENER[],MATCH(CONCATENATE($K$3,"MANT",A19),BDEGENER[GA6],0),19),""),"")</f>
        <v/>
      </c>
      <c r="H16" s="1117"/>
      <c r="I16" s="623" t="str">
        <f>IF($K$3&lt;&gt;"",IFERROR(INDEX(BDEGENER[],MATCH(CONCATENATE($K$3,"MANT",A19),BDEGENER[GA6],0),46),""),"")</f>
        <v/>
      </c>
    </row>
    <row r="17" spans="1:9" x14ac:dyDescent="0.3">
      <c r="A17" s="621">
        <v>3</v>
      </c>
      <c r="B17" s="622" t="str">
        <f>IF($K$3&lt;&gt;"",IFERROR(INDEX(BDEGENER[],MATCH(CONCATENATE($K$3,"MANT",A20),BDEGENER[GA6],0),10),""),"")</f>
        <v/>
      </c>
      <c r="C17" s="1117" t="str">
        <f>IF($K$3&lt;&gt;"",IFERROR(INDEX(BDEGENER[],MATCH(CONCATENATE($K$3,"MANT",A20),BDEGENER[GA6],0),17),""),"")</f>
        <v/>
      </c>
      <c r="D17" s="1117"/>
      <c r="E17" s="1117" t="str">
        <f>IF($K$3&lt;&gt;"",IFERROR(INDEX(BDEGENER[],MATCH(CONCATENATE($K$3,"MANT",A20),BDEGENER[GA6],0),18),""),"")</f>
        <v/>
      </c>
      <c r="F17" s="1117"/>
      <c r="G17" s="1117" t="str">
        <f>IF($K$3&lt;&gt;"",IFERROR(INDEX(BDEGENER[],MATCH(CONCATENATE($K$3,"MANT",A20),BDEGENER[GA6],0),19),""),"")</f>
        <v/>
      </c>
      <c r="H17" s="1117"/>
      <c r="I17" s="623" t="str">
        <f>IF($K$3&lt;&gt;"",IFERROR(INDEX(BDEGENER[],MATCH(CONCATENATE($K$3,"MANT",A20),BDEGENER[GA6],0),46),""),"")</f>
        <v/>
      </c>
    </row>
    <row r="18" spans="1:9" x14ac:dyDescent="0.3">
      <c r="A18" s="621">
        <v>4</v>
      </c>
      <c r="B18" s="622" t="str">
        <f>IF($K$3&lt;&gt;"",IFERROR(INDEX(BDEGENER[],MATCH(CONCATENATE($K$3,"MANT",A21),BDEGENER[GA6],0),10),""),"")</f>
        <v/>
      </c>
      <c r="C18" s="1117" t="str">
        <f>IF($K$3&lt;&gt;"",IFERROR(INDEX(BDEGENER[],MATCH(CONCATENATE($K$3,"MANT",A21),BDEGENER[GA6],0),17),""),"")</f>
        <v/>
      </c>
      <c r="D18" s="1117"/>
      <c r="E18" s="1117" t="str">
        <f>IF($K$3&lt;&gt;"",IFERROR(INDEX(BDEGENER[],MATCH(CONCATENATE($K$3,"MANT",A21),BDEGENER[GA6],0),18),""),"")</f>
        <v/>
      </c>
      <c r="F18" s="1117"/>
      <c r="G18" s="1117" t="str">
        <f>IF($K$3&lt;&gt;"",IFERROR(INDEX(BDEGENER[],MATCH(CONCATENATE($K$3,"MANT",A21),BDEGENER[GA6],0),19),""),"")</f>
        <v/>
      </c>
      <c r="H18" s="1117"/>
      <c r="I18" s="623" t="str">
        <f>IF($K$3&lt;&gt;"",IFERROR(INDEX(BDEGENER[],MATCH(CONCATENATE($K$3,"MANT",A21),BDEGENER[GA6],0),46),""),"")</f>
        <v/>
      </c>
    </row>
    <row r="19" spans="1:9" x14ac:dyDescent="0.3">
      <c r="A19" s="621">
        <v>5</v>
      </c>
      <c r="B19" s="622" t="str">
        <f>IF($K$3&lt;&gt;"",IFERROR(INDEX(BDEGENER[],MATCH(CONCATENATE($K$3,"MANT",A22),BDEGENER[GA6],0),10),""),"")</f>
        <v/>
      </c>
      <c r="C19" s="1117" t="str">
        <f>IF($K$3&lt;&gt;"",IFERROR(INDEX(BDEGENER[],MATCH(CONCATENATE($K$3,"MANT",A22),BDEGENER[GA6],0),17),""),"")</f>
        <v/>
      </c>
      <c r="D19" s="1117"/>
      <c r="E19" s="1117" t="str">
        <f>IF($K$3&lt;&gt;"",IFERROR(INDEX(BDEGENER[],MATCH(CONCATENATE($K$3,"MANT",A22),BDEGENER[GA6],0),18),""),"")</f>
        <v/>
      </c>
      <c r="F19" s="1117"/>
      <c r="G19" s="1117" t="str">
        <f>IF($K$3&lt;&gt;"",IFERROR(INDEX(BDEGENER[],MATCH(CONCATENATE($K$3,"MANT",A22),BDEGENER[GA6],0),19),""),"")</f>
        <v/>
      </c>
      <c r="H19" s="1117"/>
      <c r="I19" s="623" t="str">
        <f>IF($K$3&lt;&gt;"",IFERROR(INDEX(BDEGENER[],MATCH(CONCATENATE($K$3,"MANT",A22),BDEGENER[GA6],0),46),""),"")</f>
        <v/>
      </c>
    </row>
    <row r="20" spans="1:9" x14ac:dyDescent="0.3">
      <c r="A20" s="621">
        <v>6</v>
      </c>
      <c r="B20" s="622" t="str">
        <f>IF($K$3&lt;&gt;"",IFERROR(INDEX(BDEGENER[],MATCH(CONCATENATE($K$3,"MANT",A23),BDEGENER[GA6],0),10),""),"")</f>
        <v/>
      </c>
      <c r="C20" s="1117" t="str">
        <f>IF($K$3&lt;&gt;"",IFERROR(INDEX(BDEGENER[],MATCH(CONCATENATE($K$3,"MANT",A23),BDEGENER[GA6],0),17),""),"")</f>
        <v/>
      </c>
      <c r="D20" s="1117"/>
      <c r="E20" s="1117" t="str">
        <f>IF($K$3&lt;&gt;"",IFERROR(INDEX(BDEGENER[],MATCH(CONCATENATE($K$3,"MANT",A23),BDEGENER[GA6],0),18),""),"")</f>
        <v/>
      </c>
      <c r="F20" s="1117"/>
      <c r="G20" s="1117" t="str">
        <f>IF($K$3&lt;&gt;"",IFERROR(INDEX(BDEGENER[],MATCH(CONCATENATE($K$3,"MANT",A23),BDEGENER[GA6],0),19),""),"")</f>
        <v/>
      </c>
      <c r="H20" s="1117"/>
      <c r="I20" s="623" t="str">
        <f>IF($K$3&lt;&gt;"",IFERROR(INDEX(BDEGENER[],MATCH(CONCATENATE($K$3,"MANT",A23),BDEGENER[GA6],0),46),""),"")</f>
        <v/>
      </c>
    </row>
    <row r="21" spans="1:9" x14ac:dyDescent="0.3">
      <c r="A21" s="621">
        <v>7</v>
      </c>
      <c r="B21" s="622" t="str">
        <f>IF($K$3&lt;&gt;"",IFERROR(INDEX(BDEGENER[],MATCH(CONCATENATE($K$3,"MANT",A24),BDEGENER[GA6],0),10),""),"")</f>
        <v/>
      </c>
      <c r="C21" s="1117" t="str">
        <f>IF($K$3&lt;&gt;"",IFERROR(INDEX(BDEGENER[],MATCH(CONCATENATE($K$3,"MANT",A24),BDEGENER[GA6],0),17),""),"")</f>
        <v/>
      </c>
      <c r="D21" s="1117"/>
      <c r="E21" s="1117" t="str">
        <f>IF($K$3&lt;&gt;"",IFERROR(INDEX(BDEGENER[],MATCH(CONCATENATE($K$3,"MANT",A24),BDEGENER[GA6],0),18),""),"")</f>
        <v/>
      </c>
      <c r="F21" s="1117"/>
      <c r="G21" s="1117" t="str">
        <f>IF($K$3&lt;&gt;"",IFERROR(INDEX(BDEGENER[],MATCH(CONCATENATE($K$3,"MANT",A24),BDEGENER[GA6],0),19),""),"")</f>
        <v/>
      </c>
      <c r="H21" s="1117"/>
      <c r="I21" s="623" t="str">
        <f>IF($K$3&lt;&gt;"",IFERROR(INDEX(BDEGENER[],MATCH(CONCATENATE($K$3,"MANT",A24),BDEGENER[GA6],0),46),""),"")</f>
        <v/>
      </c>
    </row>
    <row r="22" spans="1:9" x14ac:dyDescent="0.3">
      <c r="A22" s="621">
        <v>8</v>
      </c>
      <c r="B22" s="622" t="str">
        <f>IF($K$3&lt;&gt;"",IFERROR(INDEX(BDEGENER[],MATCH(CONCATENATE($K$3,"MANT",A25),BDEGENER[GA6],0),10),""),"")</f>
        <v/>
      </c>
      <c r="C22" s="1117" t="str">
        <f>IF($K$3&lt;&gt;"",IFERROR(INDEX(BDEGENER[],MATCH(CONCATENATE($K$3,"MANT",A25),BDEGENER[GA6],0),17),""),"")</f>
        <v/>
      </c>
      <c r="D22" s="1117"/>
      <c r="E22" s="1117" t="str">
        <f>IF($K$3&lt;&gt;"",IFERROR(INDEX(BDEGENER[],MATCH(CONCATENATE($K$3,"MANT",A25),BDEGENER[GA6],0),18),""),"")</f>
        <v/>
      </c>
      <c r="F22" s="1117"/>
      <c r="G22" s="1117" t="str">
        <f>IF($K$3&lt;&gt;"",IFERROR(INDEX(BDEGENER[],MATCH(CONCATENATE($K$3,"MANT",A25),BDEGENER[GA6],0),19),""),"")</f>
        <v/>
      </c>
      <c r="H22" s="1117"/>
      <c r="I22" s="623" t="str">
        <f>IF($K$3&lt;&gt;"",IFERROR(INDEX(BDEGENER[],MATCH(CONCATENATE($K$3,"MANT",A25),BDEGENER[GA6],0),46),""),"")</f>
        <v/>
      </c>
    </row>
    <row r="23" spans="1:9" x14ac:dyDescent="0.3">
      <c r="A23" s="621">
        <v>9</v>
      </c>
      <c r="B23" s="622" t="str">
        <f>IF($K$3&lt;&gt;"",IFERROR(INDEX(BDEGENER[],MATCH(CONCATENATE($K$3,"MANT",A26),BDEGENER[GA6],0),10),""),"")</f>
        <v/>
      </c>
      <c r="C23" s="1117" t="str">
        <f>IF($K$3&lt;&gt;"",IFERROR(INDEX(BDEGENER[],MATCH(CONCATENATE($K$3,"MANT",A26),BDEGENER[GA6],0),17),""),"")</f>
        <v/>
      </c>
      <c r="D23" s="1117"/>
      <c r="E23" s="1117" t="str">
        <f>IF($K$3&lt;&gt;"",IFERROR(INDEX(BDEGENER[],MATCH(CONCATENATE($K$3,"MANT",A26),BDEGENER[GA6],0),18),""),"")</f>
        <v/>
      </c>
      <c r="F23" s="1117"/>
      <c r="G23" s="1117" t="str">
        <f>IF($K$3&lt;&gt;"",IFERROR(INDEX(BDEGENER[],MATCH(CONCATENATE($K$3,"MANT",A26),BDEGENER[GA6],0),19),""),"")</f>
        <v/>
      </c>
      <c r="H23" s="1117"/>
      <c r="I23" s="623" t="str">
        <f>IF($K$3&lt;&gt;"",IFERROR(INDEX(BDEGENER[],MATCH(CONCATENATE($K$3,"MANT",A26),BDEGENER[GA6],0),46),""),"")</f>
        <v/>
      </c>
    </row>
    <row r="24" spans="1:9" x14ac:dyDescent="0.3">
      <c r="A24" s="621">
        <v>10</v>
      </c>
      <c r="B24" s="622" t="str">
        <f>IF($K$3&lt;&gt;"",IFERROR(INDEX(BDEGENER[],MATCH(CONCATENATE($K$3,"MANT",A27),BDEGENER[GA6],0),10),""),"")</f>
        <v/>
      </c>
      <c r="C24" s="1117" t="str">
        <f>IF($K$3&lt;&gt;"",IFERROR(INDEX(BDEGENER[],MATCH(CONCATENATE($K$3,"MANT",A27),BDEGENER[GA6],0),17),""),"")</f>
        <v/>
      </c>
      <c r="D24" s="1117"/>
      <c r="E24" s="1117" t="str">
        <f>IF($K$3&lt;&gt;"",IFERROR(INDEX(BDEGENER[],MATCH(CONCATENATE($K$3,"MANT",A27),BDEGENER[GA6],0),18),""),"")</f>
        <v/>
      </c>
      <c r="F24" s="1117"/>
      <c r="G24" s="1117" t="str">
        <f>IF($K$3&lt;&gt;"",IFERROR(INDEX(BDEGENER[],MATCH(CONCATENATE($K$3,"MANT",A27),BDEGENER[GA6],0),19),""),"")</f>
        <v/>
      </c>
      <c r="H24" s="1117"/>
      <c r="I24" s="623" t="str">
        <f>IF($K$3&lt;&gt;"",IFERROR(INDEX(BDEGENER[],MATCH(CONCATENATE($K$3,"MANT",A27),BDEGENER[GA6],0),46),""),"")</f>
        <v/>
      </c>
    </row>
    <row r="25" spans="1:9" x14ac:dyDescent="0.3">
      <c r="A25" s="621">
        <v>11</v>
      </c>
      <c r="B25" s="622" t="str">
        <f>IF($K$3&lt;&gt;"",IFERROR(INDEX(BDEGENER[],MATCH(CONCATENATE($K$3,"MANT",A28),BDEGENER[GA6],0),10),""),"")</f>
        <v/>
      </c>
      <c r="C25" s="1117" t="str">
        <f>IF($K$3&lt;&gt;"",IFERROR(INDEX(BDEGENER[],MATCH(CONCATENATE($K$3,"MANT",A28),BDEGENER[GA6],0),17),""),"")</f>
        <v/>
      </c>
      <c r="D25" s="1117"/>
      <c r="E25" s="1117" t="str">
        <f>IF($K$3&lt;&gt;"",IFERROR(INDEX(BDEGENER[],MATCH(CONCATENATE($K$3,"MANT",A28),BDEGENER[GA6],0),18),""),"")</f>
        <v/>
      </c>
      <c r="F25" s="1117"/>
      <c r="G25" s="1117" t="str">
        <f>IF($K$3&lt;&gt;"",IFERROR(INDEX(BDEGENER[],MATCH(CONCATENATE($K$3,"MANT",A28),BDEGENER[GA6],0),19),""),"")</f>
        <v/>
      </c>
      <c r="H25" s="1117"/>
      <c r="I25" s="623" t="str">
        <f>IF($K$3&lt;&gt;"",IFERROR(INDEX(BDEGENER[],MATCH(CONCATENATE($K$3,"MANT",A28),BDEGENER[GA6],0),46),""),"")</f>
        <v/>
      </c>
    </row>
    <row r="26" spans="1:9" x14ac:dyDescent="0.3">
      <c r="A26" s="621">
        <v>12</v>
      </c>
      <c r="B26" s="622" t="str">
        <f>IF($K$3&lt;&gt;"",IFERROR(INDEX(BDEGENER[],MATCH(CONCATENATE($K$3,"MANT",A29),BDEGENER[GA6],0),10),""),"")</f>
        <v/>
      </c>
      <c r="C26" s="1117" t="str">
        <f>IF($K$3&lt;&gt;"",IFERROR(INDEX(BDEGENER[],MATCH(CONCATENATE($K$3,"MANT",A29),BDEGENER[GA6],0),17),""),"")</f>
        <v/>
      </c>
      <c r="D26" s="1117"/>
      <c r="E26" s="1117" t="str">
        <f>IF($K$3&lt;&gt;"",IFERROR(INDEX(BDEGENER[],MATCH(CONCATENATE($K$3,"MANT",A29),BDEGENER[GA6],0),18),""),"")</f>
        <v/>
      </c>
      <c r="F26" s="1117"/>
      <c r="G26" s="1117" t="str">
        <f>IF($K$3&lt;&gt;"",IFERROR(INDEX(BDEGENER[],MATCH(CONCATENATE($K$3,"MANT",A29),BDEGENER[GA6],0),19),""),"")</f>
        <v/>
      </c>
      <c r="H26" s="1117"/>
      <c r="I26" s="623" t="str">
        <f>IF($K$3&lt;&gt;"",IFERROR(INDEX(BDEGENER[],MATCH(CONCATENATE($K$3,"MANT",A29),BDEGENER[GA6],0),46),""),"")</f>
        <v/>
      </c>
    </row>
    <row r="27" spans="1:9" x14ac:dyDescent="0.3">
      <c r="A27" s="621">
        <v>13</v>
      </c>
      <c r="B27" s="622" t="str">
        <f>IF($K$3&lt;&gt;"",IFERROR(INDEX(BDEGENER[],MATCH(CONCATENATE($K$3,"MANT",A30),BDEGENER[GA6],0),10),""),"")</f>
        <v/>
      </c>
      <c r="C27" s="1117" t="str">
        <f>IF($K$3&lt;&gt;"",IFERROR(INDEX(BDEGENER[],MATCH(CONCATENATE($K$3,"MANT",A30),BDEGENER[GA6],0),17),""),"")</f>
        <v/>
      </c>
      <c r="D27" s="1117"/>
      <c r="E27" s="1117" t="str">
        <f>IF($K$3&lt;&gt;"",IFERROR(INDEX(BDEGENER[],MATCH(CONCATENATE($K$3,"MANT",A30),BDEGENER[GA6],0),18),""),"")</f>
        <v/>
      </c>
      <c r="F27" s="1117"/>
      <c r="G27" s="1117" t="str">
        <f>IF($K$3&lt;&gt;"",IFERROR(INDEX(BDEGENER[],MATCH(CONCATENATE($K$3,"MANT",A30),BDEGENER[GA6],0),19),""),"")</f>
        <v/>
      </c>
      <c r="H27" s="1117"/>
      <c r="I27" s="623" t="str">
        <f>IF($K$3&lt;&gt;"",IFERROR(INDEX(BDEGENER[],MATCH(CONCATENATE($K$3,"MANT",A30),BDEGENER[GA6],0),46),""),"")</f>
        <v/>
      </c>
    </row>
    <row r="28" spans="1:9" x14ac:dyDescent="0.3">
      <c r="A28" s="621">
        <v>14</v>
      </c>
      <c r="B28" s="622" t="str">
        <f>IF($K$3&lt;&gt;"",IFERROR(INDEX(BDEGENER[],MATCH(CONCATENATE($K$3,"MANT",A31),BDEGENER[GA6],0),10),""),"")</f>
        <v/>
      </c>
      <c r="C28" s="1117" t="str">
        <f>IF($K$3&lt;&gt;"",IFERROR(INDEX(BDEGENER[],MATCH(CONCATENATE($K$3,"MANT",A31),BDEGENER[GA6],0),17),""),"")</f>
        <v/>
      </c>
      <c r="D28" s="1117"/>
      <c r="E28" s="1117" t="str">
        <f>IF($K$3&lt;&gt;"",IFERROR(INDEX(BDEGENER[],MATCH(CONCATENATE($K$3,"MANT",A31),BDEGENER[GA6],0),18),""),"")</f>
        <v/>
      </c>
      <c r="F28" s="1117"/>
      <c r="G28" s="1117" t="str">
        <f>IF($K$3&lt;&gt;"",IFERROR(INDEX(BDEGENER[],MATCH(CONCATENATE($K$3,"MANT",A31),BDEGENER[GA6],0),19),""),"")</f>
        <v/>
      </c>
      <c r="H28" s="1117"/>
      <c r="I28" s="623" t="str">
        <f>IF($K$3&lt;&gt;"",IFERROR(INDEX(BDEGENER[],MATCH(CONCATENATE($K$3,"MANT",A31),BDEGENER[GA6],0),46),""),"")</f>
        <v/>
      </c>
    </row>
    <row r="29" spans="1:9" x14ac:dyDescent="0.3">
      <c r="A29" s="621">
        <v>15</v>
      </c>
      <c r="B29" s="622" t="str">
        <f>IF($K$3&lt;&gt;"",IFERROR(INDEX(BDEGENER[],MATCH(CONCATENATE($K$3,"MANT",A32),BDEGENER[GA6],0),10),""),"")</f>
        <v/>
      </c>
      <c r="C29" s="1117" t="str">
        <f>IF($K$3&lt;&gt;"",IFERROR(INDEX(BDEGENER[],MATCH(CONCATENATE($K$3,"MANT",A32),BDEGENER[GA6],0),17),""),"")</f>
        <v/>
      </c>
      <c r="D29" s="1117"/>
      <c r="E29" s="1117" t="str">
        <f>IF($K$3&lt;&gt;"",IFERROR(INDEX(BDEGENER[],MATCH(CONCATENATE($K$3,"MANT",A32),BDEGENER[GA6],0),18),""),"")</f>
        <v/>
      </c>
      <c r="F29" s="1117"/>
      <c r="G29" s="1117" t="str">
        <f>IF($K$3&lt;&gt;"",IFERROR(INDEX(BDEGENER[],MATCH(CONCATENATE($K$3,"MANT",A32),BDEGENER[GA6],0),19),""),"")</f>
        <v/>
      </c>
      <c r="H29" s="1117"/>
      <c r="I29" s="623" t="str">
        <f>IF($K$3&lt;&gt;"",IFERROR(INDEX(BDEGENER[],MATCH(CONCATENATE($K$3,"MANT",A32),BDEGENER[GA6],0),46),""),"")</f>
        <v/>
      </c>
    </row>
    <row r="30" spans="1:9" x14ac:dyDescent="0.3">
      <c r="A30" s="621">
        <v>16</v>
      </c>
      <c r="B30" s="622" t="str">
        <f>IF($K$3&lt;&gt;"",IFERROR(INDEX(BDEGENER[],MATCH(CONCATENATE($K$3,"MANT",A33),BDEGENER[GA6],0),10),""),"")</f>
        <v/>
      </c>
      <c r="C30" s="1117" t="str">
        <f>IF($K$3&lt;&gt;"",IFERROR(INDEX(BDEGENER[],MATCH(CONCATENATE($K$3,"MANT",A33),BDEGENER[GA6],0),17),""),"")</f>
        <v/>
      </c>
      <c r="D30" s="1117"/>
      <c r="E30" s="1117" t="str">
        <f>IF($K$3&lt;&gt;"",IFERROR(INDEX(BDEGENER[],MATCH(CONCATENATE($K$3,"MANT",A33),BDEGENER[GA6],0),18),""),"")</f>
        <v/>
      </c>
      <c r="F30" s="1117"/>
      <c r="G30" s="1117" t="str">
        <f>IF($K$3&lt;&gt;"",IFERROR(INDEX(BDEGENER[],MATCH(CONCATENATE($K$3,"MANT",A33),BDEGENER[GA6],0),19),""),"")</f>
        <v/>
      </c>
      <c r="H30" s="1117"/>
      <c r="I30" s="623" t="str">
        <f>IF($K$3&lt;&gt;"",IFERROR(INDEX(BDEGENER[],MATCH(CONCATENATE($K$3,"MANT",A33),BDEGENER[GA6],0),46),""),"")</f>
        <v/>
      </c>
    </row>
    <row r="31" spans="1:9" x14ac:dyDescent="0.3">
      <c r="A31" s="621">
        <v>17</v>
      </c>
      <c r="B31" s="622" t="str">
        <f>IF($K$3&lt;&gt;"",IFERROR(INDEX(BDEGENER[],MATCH(CONCATENATE($K$3,"MANT",A34),BDEGENER[GA6],0),10),""),"")</f>
        <v/>
      </c>
      <c r="C31" s="1117" t="str">
        <f>IF($K$3&lt;&gt;"",IFERROR(INDEX(BDEGENER[],MATCH(CONCATENATE($K$3,"MANT",A34),BDEGENER[GA6],0),17),""),"")</f>
        <v/>
      </c>
      <c r="D31" s="1117"/>
      <c r="E31" s="1117" t="str">
        <f>IF($K$3&lt;&gt;"",IFERROR(INDEX(BDEGENER[],MATCH(CONCATENATE($K$3,"MANT",A34),BDEGENER[GA6],0),18),""),"")</f>
        <v/>
      </c>
      <c r="F31" s="1117"/>
      <c r="G31" s="1117" t="str">
        <f>IF($K$3&lt;&gt;"",IFERROR(INDEX(BDEGENER[],MATCH(CONCATENATE($K$3,"MANT",A34),BDEGENER[GA6],0),19),""),"")</f>
        <v/>
      </c>
      <c r="H31" s="1117"/>
      <c r="I31" s="623" t="str">
        <f>IF($K$3&lt;&gt;"",IFERROR(INDEX(BDEGENER[],MATCH(CONCATENATE($K$3,"MANT",A34),BDEGENER[GA6],0),46),""),"")</f>
        <v/>
      </c>
    </row>
    <row r="32" spans="1:9" x14ac:dyDescent="0.3">
      <c r="A32" s="621">
        <v>18</v>
      </c>
      <c r="B32" s="622" t="str">
        <f>IF($K$3&lt;&gt;"",IFERROR(INDEX(BDEGENER[],MATCH(CONCATENATE($K$3,"MANT",A35),BDEGENER[GA6],0),10),""),"")</f>
        <v/>
      </c>
      <c r="C32" s="1117" t="str">
        <f>IF($K$3&lt;&gt;"",IFERROR(INDEX(BDEGENER[],MATCH(CONCATENATE($K$3,"MANT",A35),BDEGENER[GA6],0),17),""),"")</f>
        <v/>
      </c>
      <c r="D32" s="1117"/>
      <c r="E32" s="1117" t="str">
        <f>IF($K$3&lt;&gt;"",IFERROR(INDEX(BDEGENER[],MATCH(CONCATENATE($K$3,"MANT",A35),BDEGENER[GA6],0),18),""),"")</f>
        <v/>
      </c>
      <c r="F32" s="1117"/>
      <c r="G32" s="1117" t="str">
        <f>IF($K$3&lt;&gt;"",IFERROR(INDEX(BDEGENER[],MATCH(CONCATENATE($K$3,"MANT",A35),BDEGENER[GA6],0),19),""),"")</f>
        <v/>
      </c>
      <c r="H32" s="1117"/>
      <c r="I32" s="623" t="str">
        <f>IF($K$3&lt;&gt;"",IFERROR(INDEX(BDEGENER[],MATCH(CONCATENATE($K$3,"MANT",A35),BDEGENER[GA6],0),46),""),"")</f>
        <v/>
      </c>
    </row>
    <row r="33" spans="1:9" x14ac:dyDescent="0.3">
      <c r="A33" s="621">
        <v>19</v>
      </c>
      <c r="B33" s="622" t="str">
        <f>IF($K$3&lt;&gt;"",IFERROR(INDEX(BDEGENER[],MATCH(CONCATENATE($K$3,"MANT",A36),BDEGENER[GA6],0),10),""),"")</f>
        <v/>
      </c>
      <c r="C33" s="1117" t="str">
        <f>IF($K$3&lt;&gt;"",IFERROR(INDEX(BDEGENER[],MATCH(CONCATENATE($K$3,"MANT",A36),BDEGENER[GA6],0),17),""),"")</f>
        <v/>
      </c>
      <c r="D33" s="1117"/>
      <c r="E33" s="1117" t="str">
        <f>IF($K$3&lt;&gt;"",IFERROR(INDEX(BDEGENER[],MATCH(CONCATENATE($K$3,"MANT",A36),BDEGENER[GA6],0),18),""),"")</f>
        <v/>
      </c>
      <c r="F33" s="1117"/>
      <c r="G33" s="1117" t="str">
        <f>IF($K$3&lt;&gt;"",IFERROR(INDEX(BDEGENER[],MATCH(CONCATENATE($K$3,"MANT",A36),BDEGENER[GA6],0),19),""),"")</f>
        <v/>
      </c>
      <c r="H33" s="1117"/>
      <c r="I33" s="623" t="str">
        <f>IF($K$3&lt;&gt;"",IFERROR(INDEX(BDEGENER[],MATCH(CONCATENATE($K$3,"MANT",A36),BDEGENER[GA6],0),46),""),"")</f>
        <v/>
      </c>
    </row>
    <row r="34" spans="1:9" x14ac:dyDescent="0.3">
      <c r="A34" s="621">
        <v>20</v>
      </c>
      <c r="B34" s="622" t="str">
        <f>IF($K$3&lt;&gt;"",IFERROR(INDEX(BDEGENER[],MATCH(CONCATENATE($K$3,"MANT",A37),BDEGENER[GA6],0),10),""),"")</f>
        <v/>
      </c>
      <c r="C34" s="1117" t="str">
        <f>IF($K$3&lt;&gt;"",IFERROR(INDEX(BDEGENER[],MATCH(CONCATENATE($K$3,"MANT",A37),BDEGENER[GA6],0),17),""),"")</f>
        <v/>
      </c>
      <c r="D34" s="1117"/>
      <c r="E34" s="1117" t="str">
        <f>IF($K$3&lt;&gt;"",IFERROR(INDEX(BDEGENER[],MATCH(CONCATENATE($K$3,"MANT",A37),BDEGENER[GA6],0),18),""),"")</f>
        <v/>
      </c>
      <c r="F34" s="1117"/>
      <c r="G34" s="1117" t="str">
        <f>IF($K$3&lt;&gt;"",IFERROR(INDEX(BDEGENER[],MATCH(CONCATENATE($K$3,"MANT",A37),BDEGENER[GA6],0),19),""),"")</f>
        <v/>
      </c>
      <c r="H34" s="1117"/>
      <c r="I34" s="623" t="str">
        <f>IF($K$3&lt;&gt;"",IFERROR(INDEX(BDEGENER[],MATCH(CONCATENATE($K$3,"MANT",A37),BDEGENER[GA6],0),46),""),"")</f>
        <v/>
      </c>
    </row>
    <row r="35" spans="1:9" x14ac:dyDescent="0.3">
      <c r="A35" s="621">
        <v>21</v>
      </c>
      <c r="B35" s="622" t="str">
        <f>IF($K$3&lt;&gt;"",IFERROR(INDEX(BDEGENER[],MATCH(CONCATENATE($K$3,"MANT",A38),BDEGENER[GA6],0),10),""),"")</f>
        <v/>
      </c>
      <c r="C35" s="1117" t="str">
        <f>IF($K$3&lt;&gt;"",IFERROR(INDEX(BDEGENER[],MATCH(CONCATENATE($K$3,"MANT",A38),BDEGENER[GA6],0),17),""),"")</f>
        <v/>
      </c>
      <c r="D35" s="1117"/>
      <c r="E35" s="1117" t="str">
        <f>IF($K$3&lt;&gt;"",IFERROR(INDEX(BDEGENER[],MATCH(CONCATENATE($K$3,"MANT",A38),BDEGENER[GA6],0),18),""),"")</f>
        <v/>
      </c>
      <c r="F35" s="1117"/>
      <c r="G35" s="1117" t="str">
        <f>IF($K$3&lt;&gt;"",IFERROR(INDEX(BDEGENER[],MATCH(CONCATENATE($K$3,"MANT",A38),BDEGENER[GA6],0),19),""),"")</f>
        <v/>
      </c>
      <c r="H35" s="1117"/>
      <c r="I35" s="623" t="str">
        <f>IF($K$3&lt;&gt;"",IFERROR(INDEX(BDEGENER[],MATCH(CONCATENATE($K$3,"MANT",A38),BDEGENER[GA6],0),46),""),"")</f>
        <v/>
      </c>
    </row>
    <row r="36" spans="1:9" x14ac:dyDescent="0.3">
      <c r="A36" s="621">
        <v>22</v>
      </c>
      <c r="B36" s="622" t="str">
        <f>IF($K$3&lt;&gt;"",IFERROR(INDEX(BDEGENER[],MATCH(CONCATENATE($K$3,"MANT",A39),BDEGENER[GA6],0),10),""),"")</f>
        <v/>
      </c>
      <c r="C36" s="1117" t="str">
        <f>IF($K$3&lt;&gt;"",IFERROR(INDEX(BDEGENER[],MATCH(CONCATENATE($K$3,"MANT",A39),BDEGENER[GA6],0),17),""),"")</f>
        <v/>
      </c>
      <c r="D36" s="1117"/>
      <c r="E36" s="1117" t="str">
        <f>IF($K$3&lt;&gt;"",IFERROR(INDEX(BDEGENER[],MATCH(CONCATENATE($K$3,"MANT",A39),BDEGENER[GA6],0),18),""),"")</f>
        <v/>
      </c>
      <c r="F36" s="1117"/>
      <c r="G36" s="1117" t="str">
        <f>IF($K$3&lt;&gt;"",IFERROR(INDEX(BDEGENER[],MATCH(CONCATENATE($K$3,"MANT",A39),BDEGENER[GA6],0),19),""),"")</f>
        <v/>
      </c>
      <c r="H36" s="1117"/>
      <c r="I36" s="623" t="str">
        <f>IF($K$3&lt;&gt;"",IFERROR(INDEX(BDEGENER[],MATCH(CONCATENATE($K$3,"MANT",A39),BDEGENER[GA6],0),46),""),"")</f>
        <v/>
      </c>
    </row>
    <row r="37" spans="1:9" x14ac:dyDescent="0.3">
      <c r="A37" s="621">
        <v>23</v>
      </c>
      <c r="B37" s="622" t="str">
        <f>IF($K$3&lt;&gt;"",IFERROR(INDEX(BDEGENER[],MATCH(CONCATENATE($K$3,"MANT",A40),BDEGENER[GA6],0),10),""),"")</f>
        <v/>
      </c>
      <c r="C37" s="1117" t="str">
        <f>IF($K$3&lt;&gt;"",IFERROR(INDEX(BDEGENER[],MATCH(CONCATENATE($K$3,"MANT",A40),BDEGENER[GA6],0),17),""),"")</f>
        <v/>
      </c>
      <c r="D37" s="1117"/>
      <c r="E37" s="1117" t="str">
        <f>IF($K$3&lt;&gt;"",IFERROR(INDEX(BDEGENER[],MATCH(CONCATENATE($K$3,"MANT",A40),BDEGENER[GA6],0),18),""),"")</f>
        <v/>
      </c>
      <c r="F37" s="1117"/>
      <c r="G37" s="1117" t="str">
        <f>IF($K$3&lt;&gt;"",IFERROR(INDEX(BDEGENER[],MATCH(CONCATENATE($K$3,"MANT",A40),BDEGENER[GA6],0),19),""),"")</f>
        <v/>
      </c>
      <c r="H37" s="1117"/>
      <c r="I37" s="623" t="str">
        <f>IF($K$3&lt;&gt;"",IFERROR(INDEX(BDEGENER[],MATCH(CONCATENATE($K$3,"MANT",A40),BDEGENER[GA6],0),46),""),"")</f>
        <v/>
      </c>
    </row>
    <row r="38" spans="1:9" x14ac:dyDescent="0.3">
      <c r="A38" s="621">
        <v>24</v>
      </c>
      <c r="B38" s="622" t="str">
        <f>IF($K$3&lt;&gt;"",IFERROR(INDEX(BDEGENER[],MATCH(CONCATENATE($K$3,"MANT",A41),BDEGENER[GA6],0),10),""),"")</f>
        <v/>
      </c>
      <c r="C38" s="1117" t="str">
        <f>IF($K$3&lt;&gt;"",IFERROR(INDEX(BDEGENER[],MATCH(CONCATENATE($K$3,"MANT",A41),BDEGENER[GA6],0),17),""),"")</f>
        <v/>
      </c>
      <c r="D38" s="1117"/>
      <c r="E38" s="1117" t="str">
        <f>IF($K$3&lt;&gt;"",IFERROR(INDEX(BDEGENER[],MATCH(CONCATENATE($K$3,"MANT",A41),BDEGENER[GA6],0),18),""),"")</f>
        <v/>
      </c>
      <c r="F38" s="1117"/>
      <c r="G38" s="1117" t="str">
        <f>IF($K$3&lt;&gt;"",IFERROR(INDEX(BDEGENER[],MATCH(CONCATENATE($K$3,"MANT",A41),BDEGENER[GA6],0),19),""),"")</f>
        <v/>
      </c>
      <c r="H38" s="1117"/>
      <c r="I38" s="623" t="str">
        <f>IF($K$3&lt;&gt;"",IFERROR(INDEX(BDEGENER[],MATCH(CONCATENATE($K$3,"MANT",A41),BDEGENER[GA6],0),46),""),"")</f>
        <v/>
      </c>
    </row>
    <row r="39" spans="1:9" x14ac:dyDescent="0.3">
      <c r="A39" s="621">
        <v>25</v>
      </c>
      <c r="B39" s="622" t="str">
        <f>IF($K$3&lt;&gt;"",IFERROR(INDEX(BDEGENER[],MATCH(CONCATENATE($K$3,"MANT",A42),BDEGENER[GA6],0),10),""),"")</f>
        <v/>
      </c>
      <c r="C39" s="1117" t="str">
        <f>IF($K$3&lt;&gt;"",IFERROR(INDEX(BDEGENER[],MATCH(CONCATENATE($K$3,"MANT",A42),BDEGENER[GA6],0),17),""),"")</f>
        <v/>
      </c>
      <c r="D39" s="1117"/>
      <c r="E39" s="1117" t="str">
        <f>IF($K$3&lt;&gt;"",IFERROR(INDEX(BDEGENER[],MATCH(CONCATENATE($K$3,"MANT",A42),BDEGENER[GA6],0),18),""),"")</f>
        <v/>
      </c>
      <c r="F39" s="1117"/>
      <c r="G39" s="1117" t="str">
        <f>IF($K$3&lt;&gt;"",IFERROR(INDEX(BDEGENER[],MATCH(CONCATENATE($K$3,"MANT",A42),BDEGENER[GA6],0),19),""),"")</f>
        <v/>
      </c>
      <c r="H39" s="1117"/>
      <c r="I39" s="623" t="str">
        <f>IF($K$3&lt;&gt;"",IFERROR(INDEX(BDEGENER[],MATCH(CONCATENATE($K$3,"MANT",A42),BDEGENER[GA6],0),46),""),"")</f>
        <v/>
      </c>
    </row>
    <row r="40" spans="1:9" x14ac:dyDescent="0.3">
      <c r="A40" s="621">
        <v>26</v>
      </c>
      <c r="B40" s="622" t="str">
        <f>IF($K$3&lt;&gt;"",IFERROR(INDEX(BDEGENER[],MATCH(CONCATENATE($K$3,"MANT",A43),BDEGENER[GA6],0),10),""),"")</f>
        <v/>
      </c>
      <c r="C40" s="1117" t="str">
        <f>IF($K$3&lt;&gt;"",IFERROR(INDEX(BDEGENER[],MATCH(CONCATENATE($K$3,"MANT",A43),BDEGENER[GA6],0),17),""),"")</f>
        <v/>
      </c>
      <c r="D40" s="1117"/>
      <c r="E40" s="1117" t="str">
        <f>IF($K$3&lt;&gt;"",IFERROR(INDEX(BDEGENER[],MATCH(CONCATENATE($K$3,"MANT",A43),BDEGENER[GA6],0),18),""),"")</f>
        <v/>
      </c>
      <c r="F40" s="1117"/>
      <c r="G40" s="1117" t="str">
        <f>IF($K$3&lt;&gt;"",IFERROR(INDEX(BDEGENER[],MATCH(CONCATENATE($K$3,"MANT",A43),BDEGENER[GA6],0),19),""),"")</f>
        <v/>
      </c>
      <c r="H40" s="1117"/>
      <c r="I40" s="623" t="str">
        <f>IF($K$3&lt;&gt;"",IFERROR(INDEX(BDEGENER[],MATCH(CONCATENATE($K$3,"MANT",A43),BDEGENER[GA6],0),46),""),"")</f>
        <v/>
      </c>
    </row>
    <row r="41" spans="1:9" x14ac:dyDescent="0.3">
      <c r="A41" s="621">
        <v>27</v>
      </c>
      <c r="B41" s="622" t="str">
        <f>IF($K$3&lt;&gt;"",IFERROR(INDEX(BDEGENER[],MATCH(CONCATENATE($K$3,"MANT",A44),BDEGENER[GA6],0),10),""),"")</f>
        <v/>
      </c>
      <c r="C41" s="1117" t="str">
        <f>IF($K$3&lt;&gt;"",IFERROR(INDEX(BDEGENER[],MATCH(CONCATENATE($K$3,"MANT",A44),BDEGENER[GA6],0),17),""),"")</f>
        <v/>
      </c>
      <c r="D41" s="1117"/>
      <c r="E41" s="1117" t="str">
        <f>IF($K$3&lt;&gt;"",IFERROR(INDEX(BDEGENER[],MATCH(CONCATENATE($K$3,"MANT",A44),BDEGENER[GA6],0),18),""),"")</f>
        <v/>
      </c>
      <c r="F41" s="1117"/>
      <c r="G41" s="1117" t="str">
        <f>IF($K$3&lt;&gt;"",IFERROR(INDEX(BDEGENER[],MATCH(CONCATENATE($K$3,"MANT",A44),BDEGENER[GA6],0),19),""),"")</f>
        <v/>
      </c>
      <c r="H41" s="1117"/>
      <c r="I41" s="623" t="str">
        <f>IF($K$3&lt;&gt;"",IFERROR(INDEX(BDEGENER[],MATCH(CONCATENATE($K$3,"MANT",A44),BDEGENER[GA6],0),46),""),"")</f>
        <v/>
      </c>
    </row>
    <row r="42" spans="1:9" x14ac:dyDescent="0.3">
      <c r="A42" s="621">
        <v>28</v>
      </c>
    </row>
    <row r="43" spans="1:9" x14ac:dyDescent="0.3">
      <c r="A43" s="621">
        <v>29</v>
      </c>
    </row>
    <row r="44" spans="1:9" x14ac:dyDescent="0.3">
      <c r="A44" s="621">
        <v>30</v>
      </c>
    </row>
  </sheetData>
  <sheetProtection algorithmName="SHA-512" hashValue="m70wHBQtufrT9LCi9eTBaqo4uSWwLyH1swcGj+GvAsvFRtQSnmh4pXZx8UQ7wvErPZRNU1+NTvBbNJPliQeYvQ==" saltValue="IF9fhLqPIvHxs4SG5VdN3A==" spinCount="100000" sheet="1" objects="1" scenarios="1" formatRows="0"/>
  <mergeCells count="103">
    <mergeCell ref="C13:D13"/>
    <mergeCell ref="E13:F13"/>
    <mergeCell ref="G13:H13"/>
    <mergeCell ref="C14:D14"/>
    <mergeCell ref="E14:F14"/>
    <mergeCell ref="G14:H14"/>
    <mergeCell ref="D1:G3"/>
    <mergeCell ref="B5:B7"/>
    <mergeCell ref="G8:H8"/>
    <mergeCell ref="G9:H9"/>
    <mergeCell ref="C12:D12"/>
    <mergeCell ref="E12:F12"/>
    <mergeCell ref="G12:H12"/>
    <mergeCell ref="B4:C4"/>
    <mergeCell ref="D4:H4"/>
    <mergeCell ref="G10:H10"/>
    <mergeCell ref="B8:B10"/>
    <mergeCell ref="C11:D11"/>
    <mergeCell ref="E11:F11"/>
    <mergeCell ref="G11:H11"/>
    <mergeCell ref="C17:D17"/>
    <mergeCell ref="E17:F17"/>
    <mergeCell ref="G17:H17"/>
    <mergeCell ref="C18:D18"/>
    <mergeCell ref="E18:F18"/>
    <mergeCell ref="G18:H18"/>
    <mergeCell ref="C15:D15"/>
    <mergeCell ref="E15:F15"/>
    <mergeCell ref="G15:H15"/>
    <mergeCell ref="C16:D16"/>
    <mergeCell ref="E16:F16"/>
    <mergeCell ref="G16:H16"/>
    <mergeCell ref="C21:D21"/>
    <mergeCell ref="E21:F21"/>
    <mergeCell ref="G21:H21"/>
    <mergeCell ref="C22:D22"/>
    <mergeCell ref="E22:F22"/>
    <mergeCell ref="G22:H22"/>
    <mergeCell ref="C19:D19"/>
    <mergeCell ref="E19:F19"/>
    <mergeCell ref="G19:H19"/>
    <mergeCell ref="C20:D20"/>
    <mergeCell ref="E20:F20"/>
    <mergeCell ref="G20:H20"/>
    <mergeCell ref="C25:D25"/>
    <mergeCell ref="E25:F25"/>
    <mergeCell ref="G25:H25"/>
    <mergeCell ref="C26:D26"/>
    <mergeCell ref="E26:F26"/>
    <mergeCell ref="G26:H26"/>
    <mergeCell ref="C23:D23"/>
    <mergeCell ref="E23:F23"/>
    <mergeCell ref="G23:H23"/>
    <mergeCell ref="C24:D24"/>
    <mergeCell ref="E24:F24"/>
    <mergeCell ref="G24:H24"/>
    <mergeCell ref="C29:D29"/>
    <mergeCell ref="E29:F29"/>
    <mergeCell ref="G29:H29"/>
    <mergeCell ref="C30:D30"/>
    <mergeCell ref="E30:F30"/>
    <mergeCell ref="G30:H30"/>
    <mergeCell ref="C27:D27"/>
    <mergeCell ref="E27:F27"/>
    <mergeCell ref="G27:H27"/>
    <mergeCell ref="C28:D28"/>
    <mergeCell ref="E28:F28"/>
    <mergeCell ref="G28:H28"/>
    <mergeCell ref="E33:F33"/>
    <mergeCell ref="G33:H33"/>
    <mergeCell ref="C34:D34"/>
    <mergeCell ref="E34:F34"/>
    <mergeCell ref="G34:H34"/>
    <mergeCell ref="C31:D31"/>
    <mergeCell ref="E31:F31"/>
    <mergeCell ref="G31:H31"/>
    <mergeCell ref="C32:D32"/>
    <mergeCell ref="E32:F32"/>
    <mergeCell ref="G32:H32"/>
    <mergeCell ref="M4:M6"/>
    <mergeCell ref="A1:A5"/>
    <mergeCell ref="C41:D41"/>
    <mergeCell ref="E41:F41"/>
    <mergeCell ref="G41:H41"/>
    <mergeCell ref="C39:D39"/>
    <mergeCell ref="E39:F39"/>
    <mergeCell ref="G39:H39"/>
    <mergeCell ref="C40:D40"/>
    <mergeCell ref="E40:F40"/>
    <mergeCell ref="G40:H40"/>
    <mergeCell ref="C37:D37"/>
    <mergeCell ref="E37:F37"/>
    <mergeCell ref="G37:H37"/>
    <mergeCell ref="C38:D38"/>
    <mergeCell ref="E38:F38"/>
    <mergeCell ref="G38:H38"/>
    <mergeCell ref="C35:D35"/>
    <mergeCell ref="E35:F35"/>
    <mergeCell ref="G35:H35"/>
    <mergeCell ref="C36:D36"/>
    <mergeCell ref="E36:F36"/>
    <mergeCell ref="G36:H36"/>
    <mergeCell ref="C33:D33"/>
  </mergeCells>
  <pageMargins left="0.70866141732283472" right="3.937007874015748E-2" top="0.74803149606299213" bottom="0.74803149606299213" header="0.31496062992125984" footer="0.31496062992125984"/>
  <pageSetup scale="9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IrMenuPrincipal">
                <anchor>
                  <from>
                    <xdr:col>10</xdr:col>
                    <xdr:colOff>144780</xdr:colOff>
                    <xdr:row>3</xdr:row>
                    <xdr:rowOff>152400</xdr:rowOff>
                  </from>
                  <to>
                    <xdr:col>10</xdr:col>
                    <xdr:colOff>1554480</xdr:colOff>
                    <xdr:row>5</xdr:row>
                    <xdr:rowOff>76200</xdr:rowOff>
                  </to>
                </anchor>
              </controlPr>
            </control>
          </mc:Choice>
        </mc:AlternateContent>
        <mc:AlternateContent xmlns:mc="http://schemas.openxmlformats.org/markup-compatibility/2006">
          <mc:Choice Requires="x14">
            <control shapeId="31746" r:id="rId5" name="Button 2">
              <controlPr defaultSize="0" print="0" autoFill="0" autoPict="0" macro="[0]!AjustarFilas">
                <anchor moveWithCells="1" sizeWithCells="1">
                  <from>
                    <xdr:col>10</xdr:col>
                    <xdr:colOff>106680</xdr:colOff>
                    <xdr:row>5</xdr:row>
                    <xdr:rowOff>144780</xdr:rowOff>
                  </from>
                  <to>
                    <xdr:col>10</xdr:col>
                    <xdr:colOff>1524000</xdr:colOff>
                    <xdr:row>7</xdr:row>
                    <xdr:rowOff>76200</xdr:rowOff>
                  </to>
                </anchor>
              </controlPr>
            </control>
          </mc:Choice>
        </mc:AlternateContent>
        <mc:AlternateContent xmlns:mc="http://schemas.openxmlformats.org/markup-compatibility/2006">
          <mc:Choice Requires="x14">
            <control shapeId="31747" r:id="rId6" name="Button 3">
              <controlPr defaultSize="0" print="0" autoFill="0" autoPict="0" macro="[0]!ResetHistorial">
                <anchor moveWithCells="1" sizeWithCells="1">
                  <from>
                    <xdr:col>10</xdr:col>
                    <xdr:colOff>106680</xdr:colOff>
                    <xdr:row>7</xdr:row>
                    <xdr:rowOff>152400</xdr:rowOff>
                  </from>
                  <to>
                    <xdr:col>10</xdr:col>
                    <xdr:colOff>1531620</xdr:colOff>
                    <xdr:row>9</xdr:row>
                    <xdr:rowOff>83820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0"/>
  <dimension ref="A1:W40"/>
  <sheetViews>
    <sheetView workbookViewId="0">
      <selection activeCell="D1" sqref="D1"/>
    </sheetView>
  </sheetViews>
  <sheetFormatPr baseColWidth="10" defaultRowHeight="14.4" x14ac:dyDescent="0.3"/>
  <cols>
    <col min="2" max="2" width="17.88671875" customWidth="1"/>
    <col min="3" max="3" width="18.33203125" customWidth="1"/>
    <col min="4" max="4" width="19.6640625" customWidth="1"/>
    <col min="5" max="5" width="22.33203125" customWidth="1"/>
    <col min="6" max="6" width="26.33203125" customWidth="1"/>
    <col min="7" max="7" width="26.44140625" customWidth="1"/>
    <col min="9" max="9" width="21.5546875" customWidth="1"/>
    <col min="10" max="10" width="26" customWidth="1"/>
    <col min="11" max="11" width="18.33203125" customWidth="1"/>
    <col min="12" max="12" width="16.33203125" customWidth="1"/>
    <col min="13" max="13" width="18" customWidth="1"/>
    <col min="14" max="14" width="20.33203125" customWidth="1"/>
    <col min="15" max="15" width="13.44140625" customWidth="1"/>
  </cols>
  <sheetData>
    <row r="1" spans="1:23" x14ac:dyDescent="0.3">
      <c r="A1" s="75"/>
      <c r="B1" s="75"/>
      <c r="C1" s="75"/>
      <c r="D1" s="75"/>
      <c r="E1" s="75"/>
      <c r="F1" s="75"/>
      <c r="G1" s="75"/>
      <c r="H1" s="75"/>
      <c r="I1" s="75"/>
      <c r="J1" s="75"/>
      <c r="K1" s="75"/>
      <c r="L1" s="75"/>
      <c r="M1" s="75"/>
      <c r="N1" s="75"/>
      <c r="O1" s="75"/>
      <c r="P1" s="75"/>
      <c r="Q1" s="75"/>
      <c r="R1" s="75"/>
      <c r="S1" s="75"/>
      <c r="T1" s="75"/>
      <c r="U1" s="75"/>
      <c r="V1" s="75"/>
      <c r="W1" s="75"/>
    </row>
    <row r="2" spans="1:23" x14ac:dyDescent="0.3">
      <c r="A2" s="75"/>
      <c r="B2" s="75">
        <v>1</v>
      </c>
      <c r="C2" s="75">
        <v>2</v>
      </c>
      <c r="D2" s="75">
        <v>3</v>
      </c>
      <c r="E2" s="75">
        <v>4</v>
      </c>
      <c r="F2" s="75">
        <v>5</v>
      </c>
      <c r="G2" s="75">
        <v>6</v>
      </c>
      <c r="H2" s="75">
        <v>7</v>
      </c>
      <c r="I2" s="75">
        <v>8</v>
      </c>
      <c r="J2" s="75">
        <v>9</v>
      </c>
      <c r="K2" s="75">
        <v>10</v>
      </c>
      <c r="L2" s="75">
        <v>11</v>
      </c>
      <c r="M2" s="75">
        <v>12</v>
      </c>
      <c r="N2" s="75">
        <v>13</v>
      </c>
      <c r="O2" s="75">
        <v>14</v>
      </c>
      <c r="P2" s="75">
        <v>15</v>
      </c>
      <c r="Q2" s="75"/>
      <c r="R2" s="75"/>
      <c r="S2" s="75"/>
      <c r="T2" s="75"/>
      <c r="U2" s="75"/>
      <c r="V2" s="75"/>
      <c r="W2" s="75"/>
    </row>
    <row r="3" spans="1:23" x14ac:dyDescent="0.3">
      <c r="A3" s="75"/>
      <c r="B3" s="218" t="s">
        <v>1712</v>
      </c>
      <c r="C3" s="217" t="s">
        <v>1713</v>
      </c>
      <c r="D3" s="217" t="s">
        <v>1714</v>
      </c>
      <c r="E3" s="217" t="s">
        <v>17</v>
      </c>
      <c r="F3" s="217" t="s">
        <v>1718</v>
      </c>
      <c r="G3" s="217" t="s">
        <v>1733</v>
      </c>
      <c r="H3" s="217" t="s">
        <v>1719</v>
      </c>
      <c r="I3" s="217" t="s">
        <v>1715</v>
      </c>
      <c r="J3" s="217" t="s">
        <v>1725</v>
      </c>
      <c r="K3" s="217" t="s">
        <v>1700</v>
      </c>
      <c r="L3" s="217" t="s">
        <v>1701</v>
      </c>
      <c r="M3" s="217" t="s">
        <v>1716</v>
      </c>
      <c r="N3" s="552" t="s">
        <v>1717</v>
      </c>
      <c r="O3" s="217" t="s">
        <v>1702</v>
      </c>
      <c r="P3" s="217" t="s">
        <v>1783</v>
      </c>
      <c r="Q3" s="75"/>
      <c r="R3" s="75"/>
      <c r="S3" s="75"/>
      <c r="T3" s="75"/>
      <c r="U3" s="75"/>
      <c r="V3" s="75"/>
      <c r="W3" s="75"/>
    </row>
    <row r="4" spans="1:23" x14ac:dyDescent="0.3">
      <c r="A4" s="75"/>
      <c r="B4" s="72" t="s">
        <v>1967</v>
      </c>
      <c r="C4" s="72" t="s">
        <v>1966</v>
      </c>
      <c r="D4" s="72" t="s">
        <v>1972</v>
      </c>
      <c r="E4" s="72" t="s">
        <v>1966</v>
      </c>
      <c r="F4" s="72" t="s">
        <v>1448</v>
      </c>
      <c r="G4" s="72" t="s">
        <v>1973</v>
      </c>
      <c r="H4" s="72" t="s">
        <v>1722</v>
      </c>
      <c r="I4" s="72" t="s">
        <v>1724</v>
      </c>
      <c r="J4" s="72" t="s">
        <v>1974</v>
      </c>
      <c r="K4" s="72" t="s">
        <v>1975</v>
      </c>
      <c r="L4" s="72" t="s">
        <v>1782</v>
      </c>
      <c r="M4" s="72" t="s">
        <v>1977</v>
      </c>
      <c r="N4" s="72" t="s">
        <v>1976</v>
      </c>
      <c r="O4" s="72" t="s">
        <v>917</v>
      </c>
      <c r="P4" s="72" t="s">
        <v>1782</v>
      </c>
      <c r="Q4" s="75"/>
      <c r="R4" s="75"/>
      <c r="S4" s="75"/>
      <c r="T4" s="75"/>
      <c r="U4" s="75"/>
      <c r="V4" s="75"/>
      <c r="W4" s="75"/>
    </row>
    <row r="5" spans="1:23" x14ac:dyDescent="0.3">
      <c r="A5" s="75"/>
      <c r="B5" s="72" t="s">
        <v>1727</v>
      </c>
      <c r="C5" s="72" t="s">
        <v>33</v>
      </c>
      <c r="D5" s="72" t="s">
        <v>1720</v>
      </c>
      <c r="E5" s="72" t="s">
        <v>844</v>
      </c>
      <c r="F5" s="72" t="s">
        <v>1448</v>
      </c>
      <c r="G5" s="72" t="s">
        <v>1721</v>
      </c>
      <c r="H5" s="72" t="s">
        <v>1722</v>
      </c>
      <c r="I5" s="72" t="s">
        <v>1723</v>
      </c>
      <c r="J5" s="72" t="s">
        <v>1724</v>
      </c>
      <c r="K5" s="72">
        <v>140517050</v>
      </c>
      <c r="L5" s="72" t="s">
        <v>1726</v>
      </c>
      <c r="M5" s="72">
        <v>26561117</v>
      </c>
      <c r="N5" s="72" t="s">
        <v>177</v>
      </c>
      <c r="O5" s="72" t="s">
        <v>917</v>
      </c>
      <c r="P5" s="72" t="s">
        <v>1782</v>
      </c>
      <c r="Q5" s="75"/>
      <c r="R5" s="75"/>
      <c r="S5" s="75"/>
      <c r="T5" s="75"/>
      <c r="U5" s="75"/>
      <c r="V5" s="75"/>
      <c r="W5" s="75"/>
    </row>
    <row r="6" spans="1:23" x14ac:dyDescent="0.3">
      <c r="A6" s="75"/>
      <c r="B6" s="72" t="s">
        <v>1555</v>
      </c>
      <c r="C6" s="72" t="s">
        <v>33</v>
      </c>
      <c r="D6" s="72" t="s">
        <v>1738</v>
      </c>
      <c r="E6" s="72" t="s">
        <v>844</v>
      </c>
      <c r="F6" s="72" t="s">
        <v>1448</v>
      </c>
      <c r="G6" s="72" t="s">
        <v>1735</v>
      </c>
      <c r="H6" s="72" t="s">
        <v>1722</v>
      </c>
      <c r="I6" s="72" t="s">
        <v>1729</v>
      </c>
      <c r="J6" s="72" t="s">
        <v>1736</v>
      </c>
      <c r="K6" s="72">
        <v>2654407</v>
      </c>
      <c r="L6" s="72">
        <v>26510380</v>
      </c>
      <c r="M6" s="72">
        <v>4816636</v>
      </c>
      <c r="N6" s="72" t="s">
        <v>177</v>
      </c>
      <c r="O6" s="72" t="s">
        <v>917</v>
      </c>
      <c r="P6" s="72" t="s">
        <v>1782</v>
      </c>
      <c r="Q6" s="75"/>
      <c r="R6" s="75"/>
      <c r="S6" s="75"/>
      <c r="T6" s="75"/>
      <c r="U6" s="75"/>
      <c r="V6" s="75"/>
      <c r="W6" s="75"/>
    </row>
    <row r="7" spans="1:23" x14ac:dyDescent="0.3">
      <c r="A7" s="75"/>
      <c r="B7" s="72" t="s">
        <v>1446</v>
      </c>
      <c r="C7" s="72" t="s">
        <v>33</v>
      </c>
      <c r="D7" s="72" t="s">
        <v>1734</v>
      </c>
      <c r="E7" s="72" t="s">
        <v>844</v>
      </c>
      <c r="F7" s="72" t="s">
        <v>1448</v>
      </c>
      <c r="G7" s="72" t="s">
        <v>1737</v>
      </c>
      <c r="H7" s="72" t="s">
        <v>1722</v>
      </c>
      <c r="I7" s="72" t="s">
        <v>1730</v>
      </c>
      <c r="J7" s="72" t="s">
        <v>1731</v>
      </c>
      <c r="K7" s="72">
        <v>4627133</v>
      </c>
      <c r="L7" s="72" t="s">
        <v>1732</v>
      </c>
      <c r="M7" s="72">
        <v>26560608</v>
      </c>
      <c r="N7" s="72">
        <v>4415122</v>
      </c>
      <c r="O7" s="72" t="s">
        <v>917</v>
      </c>
      <c r="P7" s="72" t="s">
        <v>1782</v>
      </c>
      <c r="Q7" s="75"/>
      <c r="R7" s="75"/>
      <c r="S7" s="75"/>
      <c r="T7" s="75"/>
      <c r="U7" s="75"/>
      <c r="V7" s="75"/>
      <c r="W7" s="75"/>
    </row>
    <row r="8" spans="1:23" x14ac:dyDescent="0.3">
      <c r="A8" s="75"/>
      <c r="B8" s="72" t="s">
        <v>217</v>
      </c>
      <c r="C8" s="72" t="s">
        <v>33</v>
      </c>
      <c r="D8" s="72" t="s">
        <v>1742</v>
      </c>
      <c r="E8" s="72" t="s">
        <v>33</v>
      </c>
      <c r="F8" s="72" t="s">
        <v>33</v>
      </c>
      <c r="G8" s="72" t="s">
        <v>1743</v>
      </c>
      <c r="H8" s="72" t="s">
        <v>1740</v>
      </c>
      <c r="I8" s="72" t="s">
        <v>1741</v>
      </c>
      <c r="J8" s="72" t="s">
        <v>1724</v>
      </c>
      <c r="K8" s="72" t="s">
        <v>1744</v>
      </c>
      <c r="L8" s="72" t="s">
        <v>1745</v>
      </c>
      <c r="M8" s="72" t="s">
        <v>177</v>
      </c>
      <c r="N8" s="72" t="s">
        <v>177</v>
      </c>
      <c r="O8" s="72" t="s">
        <v>918</v>
      </c>
      <c r="P8" s="72" t="s">
        <v>1782</v>
      </c>
      <c r="Q8" s="75"/>
      <c r="R8" s="75"/>
      <c r="S8" s="75"/>
      <c r="T8" s="75"/>
      <c r="U8" s="75"/>
      <c r="V8" s="75"/>
      <c r="W8" s="75"/>
    </row>
    <row r="9" spans="1:23" x14ac:dyDescent="0.3">
      <c r="A9" s="75"/>
      <c r="B9" s="72" t="s">
        <v>215</v>
      </c>
      <c r="C9" s="72" t="s">
        <v>33</v>
      </c>
      <c r="D9" s="72" t="s">
        <v>1767</v>
      </c>
      <c r="E9" s="72" t="s">
        <v>33</v>
      </c>
      <c r="F9" s="72" t="s">
        <v>33</v>
      </c>
      <c r="G9" s="72" t="s">
        <v>1761</v>
      </c>
      <c r="H9" s="72" t="s">
        <v>1740</v>
      </c>
      <c r="I9" s="72" t="s">
        <v>1771</v>
      </c>
      <c r="J9" s="72" t="s">
        <v>1782</v>
      </c>
      <c r="K9" s="72" t="s">
        <v>1765</v>
      </c>
      <c r="L9" s="72" t="s">
        <v>1766</v>
      </c>
      <c r="M9" s="72" t="s">
        <v>177</v>
      </c>
      <c r="N9" s="72" t="s">
        <v>177</v>
      </c>
      <c r="O9" s="72" t="s">
        <v>918</v>
      </c>
      <c r="P9" s="72" t="s">
        <v>1782</v>
      </c>
      <c r="Q9" s="75"/>
      <c r="R9" s="75"/>
      <c r="S9" s="75"/>
      <c r="T9" s="75"/>
      <c r="U9" s="75"/>
      <c r="V9" s="75"/>
      <c r="W9" s="75"/>
    </row>
    <row r="10" spans="1:23" x14ac:dyDescent="0.3">
      <c r="A10" s="75"/>
      <c r="B10" s="72" t="s">
        <v>1768</v>
      </c>
      <c r="C10" s="72" t="s">
        <v>33</v>
      </c>
      <c r="D10" s="72" t="s">
        <v>1767</v>
      </c>
      <c r="E10" s="72" t="s">
        <v>33</v>
      </c>
      <c r="F10" s="72" t="s">
        <v>33</v>
      </c>
      <c r="G10" s="72" t="s">
        <v>1761</v>
      </c>
      <c r="H10" s="72" t="s">
        <v>1740</v>
      </c>
      <c r="I10" s="72" t="s">
        <v>1771</v>
      </c>
      <c r="J10" s="72" t="s">
        <v>1782</v>
      </c>
      <c r="K10" s="72" t="s">
        <v>1765</v>
      </c>
      <c r="L10" s="72" t="s">
        <v>1766</v>
      </c>
      <c r="M10" s="72" t="s">
        <v>177</v>
      </c>
      <c r="N10" s="72" t="s">
        <v>177</v>
      </c>
      <c r="O10" s="72" t="s">
        <v>918</v>
      </c>
      <c r="P10" s="72" t="s">
        <v>1782</v>
      </c>
      <c r="Q10" s="75"/>
      <c r="R10" s="75"/>
      <c r="S10" s="75"/>
      <c r="T10" s="75"/>
      <c r="U10" s="75"/>
      <c r="V10" s="75"/>
      <c r="W10" s="75"/>
    </row>
    <row r="11" spans="1:23" x14ac:dyDescent="0.3">
      <c r="A11" s="75"/>
      <c r="B11" s="72" t="s">
        <v>1739</v>
      </c>
      <c r="C11" s="72" t="s">
        <v>33</v>
      </c>
      <c r="D11" s="72" t="s">
        <v>1764</v>
      </c>
      <c r="E11" s="72" t="s">
        <v>33</v>
      </c>
      <c r="F11" s="72" t="s">
        <v>33</v>
      </c>
      <c r="G11" s="72" t="s">
        <v>1770</v>
      </c>
      <c r="H11" s="72" t="s">
        <v>1740</v>
      </c>
      <c r="I11" s="72" t="s">
        <v>1771</v>
      </c>
      <c r="J11" s="72" t="s">
        <v>1782</v>
      </c>
      <c r="K11" s="72" t="s">
        <v>1765</v>
      </c>
      <c r="L11" s="72" t="s">
        <v>1772</v>
      </c>
      <c r="M11" s="72" t="s">
        <v>177</v>
      </c>
      <c r="N11" s="72" t="s">
        <v>177</v>
      </c>
      <c r="O11" s="72" t="s">
        <v>918</v>
      </c>
      <c r="P11" s="72" t="s">
        <v>1782</v>
      </c>
      <c r="Q11" s="75"/>
      <c r="R11" s="75"/>
      <c r="S11" s="75"/>
      <c r="T11" s="75"/>
      <c r="U11" s="75"/>
      <c r="V11" s="75"/>
      <c r="W11" s="75"/>
    </row>
    <row r="12" spans="1:23" x14ac:dyDescent="0.3">
      <c r="A12" s="75"/>
      <c r="B12" s="72" t="s">
        <v>1728</v>
      </c>
      <c r="C12" s="72" t="s">
        <v>33</v>
      </c>
      <c r="D12" s="72" t="s">
        <v>1764</v>
      </c>
      <c r="E12" s="72" t="s">
        <v>33</v>
      </c>
      <c r="F12" s="72" t="s">
        <v>33</v>
      </c>
      <c r="G12" s="72" t="s">
        <v>1770</v>
      </c>
      <c r="H12" s="72" t="s">
        <v>1740</v>
      </c>
      <c r="I12" s="72" t="s">
        <v>1771</v>
      </c>
      <c r="J12" s="72" t="s">
        <v>1782</v>
      </c>
      <c r="K12" s="72" t="s">
        <v>1765</v>
      </c>
      <c r="L12" s="72" t="s">
        <v>1772</v>
      </c>
      <c r="M12" s="72" t="s">
        <v>177</v>
      </c>
      <c r="N12" s="72" t="s">
        <v>177</v>
      </c>
      <c r="O12" s="72" t="s">
        <v>918</v>
      </c>
      <c r="P12" s="72" t="s">
        <v>1782</v>
      </c>
      <c r="Q12" s="75"/>
      <c r="R12" s="75"/>
      <c r="S12" s="75"/>
      <c r="T12" s="75"/>
      <c r="U12" s="75"/>
      <c r="V12" s="75"/>
      <c r="W12" s="75"/>
    </row>
    <row r="13" spans="1:23" x14ac:dyDescent="0.3">
      <c r="A13" s="75"/>
      <c r="B13" s="72" t="s">
        <v>34</v>
      </c>
      <c r="C13" s="72" t="s">
        <v>33</v>
      </c>
      <c r="D13" s="72" t="s">
        <v>1773</v>
      </c>
      <c r="E13" s="72" t="s">
        <v>33</v>
      </c>
      <c r="F13" s="72" t="s">
        <v>33</v>
      </c>
      <c r="G13" s="72" t="s">
        <v>1763</v>
      </c>
      <c r="H13" s="72" t="s">
        <v>1740</v>
      </c>
      <c r="I13" s="72" t="s">
        <v>1724</v>
      </c>
      <c r="J13" s="72" t="s">
        <v>1762</v>
      </c>
      <c r="K13" s="72" t="s">
        <v>1774</v>
      </c>
      <c r="L13" s="72" t="s">
        <v>1772</v>
      </c>
      <c r="M13" s="72" t="s">
        <v>177</v>
      </c>
      <c r="N13" s="72" t="s">
        <v>177</v>
      </c>
      <c r="O13" s="72" t="s">
        <v>918</v>
      </c>
      <c r="P13" s="72" t="s">
        <v>1782</v>
      </c>
      <c r="Q13" s="75"/>
      <c r="R13" s="75"/>
      <c r="S13" s="75"/>
      <c r="T13" s="75"/>
      <c r="U13" s="75"/>
      <c r="V13" s="75"/>
      <c r="W13" s="75"/>
    </row>
    <row r="14" spans="1:23" x14ac:dyDescent="0.3">
      <c r="A14" s="75"/>
      <c r="B14" s="72" t="s">
        <v>1447</v>
      </c>
      <c r="C14" s="72" t="s">
        <v>33</v>
      </c>
      <c r="D14" s="72" t="s">
        <v>1773</v>
      </c>
      <c r="E14" s="72" t="s">
        <v>33</v>
      </c>
      <c r="F14" s="72" t="s">
        <v>33</v>
      </c>
      <c r="G14" s="72" t="s">
        <v>1769</v>
      </c>
      <c r="H14" s="72" t="s">
        <v>1740</v>
      </c>
      <c r="I14" s="72" t="s">
        <v>1724</v>
      </c>
      <c r="J14" s="72" t="s">
        <v>1762</v>
      </c>
      <c r="K14" s="72" t="s">
        <v>1774</v>
      </c>
      <c r="L14" s="72" t="s">
        <v>1772</v>
      </c>
      <c r="M14" s="72" t="s">
        <v>177</v>
      </c>
      <c r="N14" s="72" t="s">
        <v>177</v>
      </c>
      <c r="O14" s="72" t="s">
        <v>918</v>
      </c>
      <c r="P14" s="72" t="s">
        <v>1782</v>
      </c>
      <c r="Q14" s="75"/>
      <c r="R14" s="75"/>
      <c r="S14" s="75"/>
      <c r="T14" s="75"/>
      <c r="U14" s="75"/>
      <c r="V14" s="75"/>
      <c r="W14" s="75"/>
    </row>
    <row r="15" spans="1:23" x14ac:dyDescent="0.3">
      <c r="A15" s="75"/>
      <c r="B15" s="72" t="s">
        <v>1120</v>
      </c>
      <c r="C15" s="72" t="s">
        <v>33</v>
      </c>
      <c r="D15" s="72" t="s">
        <v>1776</v>
      </c>
      <c r="E15" s="72" t="s">
        <v>868</v>
      </c>
      <c r="F15" s="72" t="s">
        <v>1572</v>
      </c>
      <c r="G15" s="72" t="s">
        <v>1775</v>
      </c>
      <c r="H15" s="72" t="s">
        <v>1722</v>
      </c>
      <c r="I15" s="72" t="s">
        <v>1741</v>
      </c>
      <c r="J15" s="72" t="s">
        <v>1729</v>
      </c>
      <c r="K15" s="72" t="s">
        <v>1778</v>
      </c>
      <c r="L15" s="72" t="s">
        <v>1777</v>
      </c>
      <c r="M15" s="72" t="s">
        <v>1779</v>
      </c>
      <c r="N15" s="72" t="s">
        <v>177</v>
      </c>
      <c r="O15" s="72" t="s">
        <v>917</v>
      </c>
      <c r="P15" s="72" t="s">
        <v>1782</v>
      </c>
      <c r="Q15" s="75"/>
      <c r="R15" s="75"/>
      <c r="S15" s="75"/>
      <c r="T15" s="75"/>
      <c r="U15" s="75"/>
      <c r="V15" s="75"/>
      <c r="W15" s="75"/>
    </row>
    <row r="16" spans="1:23" x14ac:dyDescent="0.3">
      <c r="A16" s="75"/>
      <c r="B16" s="534" t="s">
        <v>1190</v>
      </c>
      <c r="C16" s="534" t="s">
        <v>845</v>
      </c>
      <c r="D16" s="534" t="s">
        <v>2144</v>
      </c>
      <c r="E16" s="534" t="s">
        <v>867</v>
      </c>
      <c r="F16" s="534" t="s">
        <v>845</v>
      </c>
      <c r="G16" s="534" t="s">
        <v>2145</v>
      </c>
      <c r="H16" s="534" t="s">
        <v>1740</v>
      </c>
      <c r="I16" s="534" t="s">
        <v>1741</v>
      </c>
      <c r="J16" s="534" t="s">
        <v>1782</v>
      </c>
      <c r="K16" s="534" t="s">
        <v>2142</v>
      </c>
      <c r="L16" s="534" t="s">
        <v>2143</v>
      </c>
      <c r="M16" s="534" t="s">
        <v>177</v>
      </c>
      <c r="N16" s="534" t="s">
        <v>177</v>
      </c>
      <c r="O16" s="534" t="s">
        <v>918</v>
      </c>
      <c r="P16" s="534" t="s">
        <v>1782</v>
      </c>
      <c r="Q16" s="75"/>
      <c r="R16" s="75"/>
      <c r="S16" s="75"/>
      <c r="T16" s="75"/>
      <c r="U16" s="75"/>
      <c r="V16" s="75"/>
      <c r="W16" s="75"/>
    </row>
    <row r="17" spans="1:23" x14ac:dyDescent="0.3">
      <c r="A17" s="75"/>
      <c r="B17" s="534" t="s">
        <v>847</v>
      </c>
      <c r="C17" s="534" t="s">
        <v>845</v>
      </c>
      <c r="D17" s="534" t="s">
        <v>2146</v>
      </c>
      <c r="E17" s="534" t="s">
        <v>2147</v>
      </c>
      <c r="F17" s="534" t="s">
        <v>845</v>
      </c>
      <c r="G17" s="534" t="s">
        <v>1782</v>
      </c>
      <c r="H17" s="534" t="s">
        <v>1740</v>
      </c>
      <c r="I17" s="534" t="s">
        <v>1771</v>
      </c>
      <c r="J17" s="534" t="s">
        <v>1782</v>
      </c>
      <c r="K17" s="534" t="s">
        <v>2148</v>
      </c>
      <c r="L17" s="534" t="s">
        <v>2149</v>
      </c>
      <c r="M17" s="534" t="s">
        <v>177</v>
      </c>
      <c r="N17" s="534" t="s">
        <v>177</v>
      </c>
      <c r="O17" s="534" t="s">
        <v>918</v>
      </c>
      <c r="P17" s="534" t="s">
        <v>1782</v>
      </c>
      <c r="Q17" s="75"/>
      <c r="R17" s="75"/>
      <c r="S17" s="75"/>
      <c r="T17" s="75"/>
      <c r="U17" s="75"/>
      <c r="V17" s="75"/>
      <c r="W17" s="75"/>
    </row>
    <row r="18" spans="1:23" x14ac:dyDescent="0.3">
      <c r="A18" s="75"/>
      <c r="B18" s="534" t="s">
        <v>2386</v>
      </c>
      <c r="C18" s="534" t="s">
        <v>1966</v>
      </c>
      <c r="D18" s="534" t="s">
        <v>2387</v>
      </c>
      <c r="E18" s="534" t="s">
        <v>1966</v>
      </c>
      <c r="F18" s="534" t="s">
        <v>2422</v>
      </c>
      <c r="G18" s="534"/>
      <c r="H18" s="534" t="s">
        <v>1722</v>
      </c>
      <c r="I18" s="534" t="s">
        <v>2389</v>
      </c>
      <c r="J18" s="534" t="s">
        <v>2388</v>
      </c>
      <c r="K18" s="534" t="s">
        <v>2390</v>
      </c>
      <c r="L18" s="534">
        <v>3017002</v>
      </c>
      <c r="M18" s="534" t="s">
        <v>2391</v>
      </c>
      <c r="N18" s="534" t="s">
        <v>177</v>
      </c>
      <c r="O18" s="534" t="s">
        <v>917</v>
      </c>
      <c r="P18" s="534" t="s">
        <v>1782</v>
      </c>
      <c r="Q18" s="75"/>
      <c r="R18" s="75"/>
      <c r="S18" s="75"/>
      <c r="T18" s="75"/>
      <c r="U18" s="75"/>
      <c r="V18" s="75"/>
      <c r="W18" s="75"/>
    </row>
    <row r="19" spans="1:23" x14ac:dyDescent="0.3">
      <c r="A19" s="75"/>
      <c r="B19" s="534" t="s">
        <v>2417</v>
      </c>
      <c r="C19" s="534" t="s">
        <v>221</v>
      </c>
      <c r="D19" s="534" t="s">
        <v>2421</v>
      </c>
      <c r="E19" s="534" t="s">
        <v>844</v>
      </c>
      <c r="F19" s="534" t="s">
        <v>2422</v>
      </c>
      <c r="G19" s="534" t="s">
        <v>2423</v>
      </c>
      <c r="H19" s="534" t="s">
        <v>1722</v>
      </c>
      <c r="I19" s="534" t="s">
        <v>2424</v>
      </c>
      <c r="J19" s="534" t="s">
        <v>1974</v>
      </c>
      <c r="K19" s="534" t="s">
        <v>2427</v>
      </c>
      <c r="L19" s="534" t="s">
        <v>1782</v>
      </c>
      <c r="M19" s="534" t="s">
        <v>2425</v>
      </c>
      <c r="N19" s="534" t="s">
        <v>2426</v>
      </c>
      <c r="O19" s="534" t="s">
        <v>917</v>
      </c>
      <c r="P19" s="534" t="s">
        <v>1782</v>
      </c>
      <c r="Q19" s="75"/>
      <c r="R19" s="75"/>
      <c r="S19" s="75"/>
      <c r="T19" s="75"/>
      <c r="U19" s="75"/>
      <c r="V19" s="75"/>
      <c r="W19" s="75"/>
    </row>
    <row r="20" spans="1:23" x14ac:dyDescent="0.3">
      <c r="A20" s="75"/>
      <c r="B20" s="534" t="s">
        <v>2717</v>
      </c>
      <c r="C20" s="534" t="s">
        <v>1387</v>
      </c>
      <c r="D20" s="534" t="s">
        <v>2723</v>
      </c>
      <c r="E20" s="534" t="s">
        <v>1966</v>
      </c>
      <c r="F20" s="534" t="s">
        <v>1448</v>
      </c>
      <c r="G20" s="534" t="s">
        <v>2724</v>
      </c>
      <c r="H20" s="534" t="s">
        <v>1722</v>
      </c>
      <c r="I20" s="534" t="s">
        <v>2726</v>
      </c>
      <c r="J20" s="534" t="s">
        <v>2725</v>
      </c>
      <c r="K20" s="534" t="s">
        <v>2727</v>
      </c>
      <c r="L20" s="534" t="s">
        <v>1782</v>
      </c>
      <c r="M20" s="534" t="s">
        <v>2728</v>
      </c>
      <c r="N20" s="534" t="s">
        <v>1976</v>
      </c>
      <c r="O20" s="534" t="s">
        <v>917</v>
      </c>
      <c r="P20" s="534" t="s">
        <v>1782</v>
      </c>
      <c r="Q20" s="75"/>
      <c r="R20" s="75"/>
      <c r="S20" s="75"/>
      <c r="T20" s="75"/>
      <c r="U20" s="75"/>
      <c r="V20" s="75"/>
      <c r="W20" s="75"/>
    </row>
    <row r="21" spans="1:23" x14ac:dyDescent="0.3">
      <c r="A21" s="75"/>
      <c r="B21" s="534" t="s">
        <v>782</v>
      </c>
      <c r="C21" s="534" t="s">
        <v>2637</v>
      </c>
      <c r="D21" s="534" t="s">
        <v>1782</v>
      </c>
      <c r="E21" s="534" t="s">
        <v>1966</v>
      </c>
      <c r="F21" s="534" t="s">
        <v>2637</v>
      </c>
      <c r="G21" s="534" t="s">
        <v>1782</v>
      </c>
      <c r="H21" s="534" t="s">
        <v>1722</v>
      </c>
      <c r="I21" s="534" t="s">
        <v>1782</v>
      </c>
      <c r="J21" s="534" t="s">
        <v>1782</v>
      </c>
      <c r="K21" s="534" t="s">
        <v>1782</v>
      </c>
      <c r="L21" s="534" t="s">
        <v>1782</v>
      </c>
      <c r="M21" s="534" t="s">
        <v>2729</v>
      </c>
      <c r="N21" s="534" t="s">
        <v>1782</v>
      </c>
      <c r="O21" s="534" t="s">
        <v>917</v>
      </c>
      <c r="P21" s="534" t="s">
        <v>1782</v>
      </c>
      <c r="Q21" s="75"/>
      <c r="R21" s="75"/>
      <c r="S21" s="75"/>
      <c r="T21" s="75"/>
      <c r="U21" s="75"/>
      <c r="V21" s="75"/>
      <c r="W21" s="75"/>
    </row>
    <row r="22" spans="1:23" x14ac:dyDescent="0.3">
      <c r="A22" s="75"/>
      <c r="B22" s="75"/>
      <c r="C22" s="75"/>
      <c r="D22" s="75"/>
      <c r="E22" s="75"/>
      <c r="F22" s="75"/>
      <c r="G22" s="75"/>
      <c r="H22" s="75"/>
      <c r="I22" s="75"/>
      <c r="J22" s="75"/>
      <c r="K22" s="75"/>
      <c r="L22" s="75"/>
      <c r="M22" s="75"/>
      <c r="N22" s="75"/>
      <c r="O22" s="75"/>
      <c r="P22" s="75"/>
      <c r="Q22" s="75"/>
      <c r="R22" s="75"/>
      <c r="S22" s="75"/>
      <c r="T22" s="75"/>
      <c r="U22" s="75"/>
      <c r="V22" s="75"/>
      <c r="W22" s="75"/>
    </row>
    <row r="23" spans="1:23" x14ac:dyDescent="0.3">
      <c r="A23" s="75"/>
      <c r="B23" s="75"/>
      <c r="C23" s="75"/>
      <c r="D23" s="75"/>
      <c r="E23" s="75"/>
      <c r="F23" s="75"/>
      <c r="G23" s="75"/>
      <c r="H23" s="75"/>
      <c r="I23" s="75"/>
      <c r="J23" s="75"/>
      <c r="K23" s="75"/>
      <c r="L23" s="75"/>
      <c r="M23" s="75"/>
      <c r="N23" s="75"/>
      <c r="O23" s="75"/>
      <c r="P23" s="75"/>
      <c r="Q23" s="75"/>
      <c r="R23" s="75"/>
      <c r="S23" s="75"/>
      <c r="T23" s="75"/>
      <c r="U23" s="75"/>
      <c r="V23" s="75"/>
      <c r="W23" s="75"/>
    </row>
    <row r="24" spans="1:23" x14ac:dyDescent="0.3">
      <c r="A24" s="75"/>
      <c r="B24" s="75"/>
      <c r="C24" s="75"/>
      <c r="D24" s="75"/>
      <c r="E24" s="75"/>
      <c r="F24" s="75"/>
      <c r="G24" s="75"/>
      <c r="H24" s="75"/>
      <c r="I24" s="75"/>
      <c r="J24" s="75"/>
      <c r="K24" s="75"/>
      <c r="L24" s="75"/>
      <c r="M24" s="75"/>
      <c r="N24" s="75"/>
      <c r="O24" s="75"/>
      <c r="P24" s="75"/>
      <c r="Q24" s="75"/>
      <c r="R24" s="75"/>
      <c r="S24" s="75"/>
      <c r="T24" s="75"/>
      <c r="U24" s="75"/>
      <c r="V24" s="75"/>
      <c r="W24" s="75"/>
    </row>
    <row r="25" spans="1:23" x14ac:dyDescent="0.3">
      <c r="A25" s="75"/>
      <c r="B25" s="75"/>
      <c r="C25" s="75"/>
      <c r="D25" s="75"/>
      <c r="E25" s="75"/>
      <c r="F25" s="75"/>
      <c r="G25" s="75"/>
      <c r="H25" s="75"/>
      <c r="I25" s="75"/>
      <c r="J25" s="75"/>
      <c r="K25" s="75"/>
      <c r="L25" s="75"/>
      <c r="M25" s="75"/>
      <c r="N25" s="75"/>
      <c r="O25" s="75"/>
      <c r="P25" s="75"/>
      <c r="Q25" s="75"/>
      <c r="R25" s="75"/>
      <c r="S25" s="75"/>
      <c r="T25" s="75"/>
      <c r="U25" s="75"/>
      <c r="V25" s="75"/>
      <c r="W25" s="75"/>
    </row>
    <row r="26" spans="1:23" x14ac:dyDescent="0.3">
      <c r="A26" s="75"/>
      <c r="B26" s="75"/>
      <c r="C26" s="75"/>
      <c r="D26" s="75"/>
      <c r="E26" s="75"/>
      <c r="F26" s="75"/>
      <c r="G26" s="75"/>
      <c r="H26" s="75"/>
      <c r="I26" s="75"/>
      <c r="J26" s="75"/>
      <c r="K26" s="75"/>
      <c r="L26" s="75"/>
      <c r="M26" s="75"/>
      <c r="N26" s="75"/>
      <c r="O26" s="75"/>
      <c r="P26" s="75"/>
      <c r="Q26" s="75"/>
      <c r="R26" s="75"/>
      <c r="S26" s="75"/>
      <c r="T26" s="75"/>
      <c r="U26" s="75"/>
      <c r="V26" s="75"/>
      <c r="W26" s="75"/>
    </row>
    <row r="27" spans="1:23" x14ac:dyDescent="0.3">
      <c r="A27" s="75"/>
      <c r="B27" s="75"/>
      <c r="C27" s="75"/>
      <c r="D27" s="75"/>
      <c r="E27" s="75"/>
      <c r="F27" s="75"/>
      <c r="G27" s="75"/>
      <c r="H27" s="75"/>
      <c r="I27" s="75"/>
      <c r="J27" s="75"/>
      <c r="K27" s="75"/>
      <c r="L27" s="75"/>
      <c r="M27" s="75"/>
      <c r="N27" s="75"/>
      <c r="O27" s="75"/>
      <c r="P27" s="75"/>
      <c r="Q27" s="75"/>
      <c r="R27" s="75"/>
      <c r="S27" s="75"/>
      <c r="T27" s="75"/>
      <c r="U27" s="75"/>
      <c r="V27" s="75"/>
      <c r="W27" s="75"/>
    </row>
    <row r="28" spans="1:23" x14ac:dyDescent="0.3">
      <c r="A28" s="75"/>
      <c r="B28" s="75"/>
      <c r="C28" s="75"/>
      <c r="D28" s="75"/>
      <c r="E28" s="75"/>
      <c r="F28" s="75"/>
      <c r="G28" s="75"/>
      <c r="H28" s="75"/>
      <c r="I28" s="75"/>
      <c r="J28" s="75"/>
      <c r="K28" s="75"/>
      <c r="L28" s="75"/>
      <c r="M28" s="75"/>
      <c r="N28" s="75"/>
      <c r="O28" s="75"/>
      <c r="P28" s="75"/>
      <c r="Q28" s="75"/>
      <c r="R28" s="75"/>
      <c r="S28" s="75"/>
      <c r="T28" s="75"/>
      <c r="U28" s="75"/>
      <c r="V28" s="75"/>
      <c r="W28" s="75"/>
    </row>
    <row r="29" spans="1:23" x14ac:dyDescent="0.3">
      <c r="A29" s="75"/>
      <c r="B29" s="75"/>
      <c r="C29" s="75"/>
      <c r="D29" s="75"/>
      <c r="E29" s="75"/>
      <c r="F29" s="75"/>
      <c r="G29" s="75"/>
      <c r="H29" s="75"/>
      <c r="I29" s="75"/>
      <c r="J29" s="75"/>
      <c r="K29" s="75"/>
      <c r="L29" s="75"/>
      <c r="M29" s="75"/>
      <c r="N29" s="75"/>
      <c r="O29" s="75"/>
      <c r="P29" s="75"/>
      <c r="Q29" s="75"/>
      <c r="R29" s="75"/>
      <c r="S29" s="75"/>
      <c r="T29" s="75"/>
      <c r="U29" s="75"/>
      <c r="V29" s="75"/>
      <c r="W29" s="75"/>
    </row>
    <row r="30" spans="1:23" x14ac:dyDescent="0.3">
      <c r="A30" s="75"/>
      <c r="B30" s="75"/>
      <c r="C30" s="75"/>
      <c r="D30" s="75"/>
      <c r="E30" s="75"/>
      <c r="F30" s="75"/>
      <c r="G30" s="75"/>
      <c r="H30" s="75"/>
      <c r="I30" s="75"/>
      <c r="J30" s="75"/>
      <c r="K30" s="75"/>
      <c r="L30" s="75"/>
      <c r="M30" s="75"/>
      <c r="N30" s="75"/>
      <c r="O30" s="75"/>
      <c r="P30" s="75"/>
      <c r="Q30" s="75"/>
      <c r="R30" s="75"/>
      <c r="S30" s="75"/>
      <c r="T30" s="75"/>
      <c r="U30" s="75"/>
      <c r="V30" s="75"/>
      <c r="W30" s="75"/>
    </row>
    <row r="31" spans="1:23" x14ac:dyDescent="0.3">
      <c r="A31" s="75"/>
      <c r="B31" s="75"/>
      <c r="C31" s="75"/>
      <c r="D31" s="75"/>
      <c r="E31" s="75"/>
      <c r="F31" s="75"/>
      <c r="G31" s="75"/>
      <c r="H31" s="75"/>
      <c r="I31" s="75"/>
      <c r="J31" s="75"/>
      <c r="K31" s="75"/>
      <c r="L31" s="75"/>
      <c r="M31" s="75"/>
      <c r="N31" s="75"/>
      <c r="O31" s="75"/>
      <c r="P31" s="75"/>
      <c r="Q31" s="75"/>
      <c r="R31" s="75"/>
    </row>
    <row r="32" spans="1:23" x14ac:dyDescent="0.3">
      <c r="A32" s="75"/>
      <c r="B32" s="75"/>
      <c r="C32" s="75"/>
      <c r="D32" s="75"/>
      <c r="E32" s="75"/>
      <c r="F32" s="75"/>
      <c r="G32" s="75"/>
      <c r="H32" s="75"/>
      <c r="I32" s="75"/>
      <c r="J32" s="75"/>
      <c r="K32" s="75"/>
      <c r="L32" s="75"/>
      <c r="M32" s="75"/>
      <c r="N32" s="75"/>
      <c r="O32" s="75"/>
      <c r="P32" s="75"/>
      <c r="Q32" s="75"/>
      <c r="R32" s="75"/>
    </row>
    <row r="33" spans="1:18" x14ac:dyDescent="0.3">
      <c r="A33" s="75"/>
      <c r="B33" s="75"/>
      <c r="C33" s="75"/>
      <c r="D33" s="75"/>
      <c r="E33" s="75"/>
      <c r="F33" s="75"/>
      <c r="G33" s="75"/>
      <c r="H33" s="75"/>
      <c r="I33" s="75"/>
      <c r="J33" s="75"/>
      <c r="K33" s="75"/>
      <c r="L33" s="75"/>
      <c r="M33" s="75"/>
      <c r="N33" s="75"/>
      <c r="O33" s="75"/>
      <c r="P33" s="75"/>
      <c r="Q33" s="75"/>
      <c r="R33" s="75"/>
    </row>
    <row r="34" spans="1:18" x14ac:dyDescent="0.3">
      <c r="A34" s="75"/>
      <c r="B34" s="75"/>
      <c r="C34" s="75"/>
      <c r="D34" s="75"/>
      <c r="E34" s="75"/>
      <c r="F34" s="75"/>
      <c r="G34" s="75"/>
      <c r="H34" s="75"/>
      <c r="I34" s="75"/>
      <c r="J34" s="75"/>
      <c r="K34" s="75"/>
      <c r="L34" s="75"/>
      <c r="M34" s="75"/>
      <c r="N34" s="75"/>
      <c r="O34" s="75"/>
      <c r="P34" s="75"/>
      <c r="Q34" s="75"/>
      <c r="R34" s="75"/>
    </row>
    <row r="35" spans="1:18" x14ac:dyDescent="0.3">
      <c r="A35" s="75"/>
      <c r="B35" s="75"/>
      <c r="C35" s="75"/>
      <c r="D35" s="75"/>
      <c r="E35" s="75"/>
      <c r="F35" s="75"/>
      <c r="G35" s="75"/>
      <c r="H35" s="75"/>
      <c r="I35" s="75"/>
      <c r="J35" s="75"/>
      <c r="K35" s="75"/>
      <c r="L35" s="75"/>
      <c r="M35" s="75"/>
      <c r="N35" s="75"/>
      <c r="O35" s="75"/>
      <c r="P35" s="75"/>
      <c r="Q35" s="75"/>
      <c r="R35" s="75"/>
    </row>
    <row r="36" spans="1:18" x14ac:dyDescent="0.3">
      <c r="A36" s="75"/>
      <c r="B36" s="75"/>
      <c r="C36" s="75"/>
      <c r="D36" s="75"/>
      <c r="E36" s="75"/>
      <c r="F36" s="75"/>
      <c r="G36" s="75"/>
      <c r="H36" s="75"/>
      <c r="I36" s="75"/>
      <c r="J36" s="75"/>
      <c r="K36" s="75"/>
      <c r="L36" s="75"/>
      <c r="M36" s="75"/>
      <c r="N36" s="75"/>
      <c r="O36" s="75"/>
      <c r="P36" s="75"/>
      <c r="Q36" s="75"/>
      <c r="R36" s="75"/>
    </row>
    <row r="37" spans="1:18" x14ac:dyDescent="0.3">
      <c r="A37" s="75"/>
      <c r="B37" s="75"/>
      <c r="C37" s="75"/>
      <c r="D37" s="75"/>
      <c r="E37" s="75"/>
      <c r="F37" s="75"/>
      <c r="G37" s="75"/>
      <c r="H37" s="75"/>
      <c r="I37" s="75"/>
      <c r="J37" s="75"/>
      <c r="K37" s="75"/>
      <c r="L37" s="75"/>
      <c r="M37" s="75"/>
      <c r="N37" s="75"/>
      <c r="O37" s="75"/>
      <c r="P37" s="75"/>
      <c r="Q37" s="75"/>
      <c r="R37" s="75"/>
    </row>
    <row r="38" spans="1:18" x14ac:dyDescent="0.3">
      <c r="A38" s="75"/>
      <c r="B38" s="75"/>
      <c r="C38" s="75"/>
      <c r="D38" s="75"/>
      <c r="E38" s="75"/>
      <c r="F38" s="75"/>
      <c r="G38" s="75"/>
      <c r="H38" s="75"/>
      <c r="I38" s="75"/>
      <c r="J38" s="75"/>
      <c r="K38" s="75"/>
      <c r="L38" s="75"/>
      <c r="M38" s="75"/>
      <c r="N38" s="75"/>
      <c r="O38" s="75"/>
      <c r="P38" s="75"/>
      <c r="Q38" s="75"/>
      <c r="R38" s="75"/>
    </row>
    <row r="39" spans="1:18" x14ac:dyDescent="0.3">
      <c r="A39" s="75"/>
      <c r="B39" s="75"/>
      <c r="C39" s="75"/>
      <c r="D39" s="75"/>
      <c r="E39" s="75"/>
      <c r="F39" s="75"/>
      <c r="G39" s="75"/>
      <c r="H39" s="75"/>
      <c r="I39" s="75"/>
      <c r="J39" s="75"/>
      <c r="K39" s="75"/>
      <c r="L39" s="75"/>
      <c r="M39" s="75"/>
      <c r="N39" s="75"/>
      <c r="O39" s="75"/>
      <c r="P39" s="75"/>
      <c r="Q39" s="75"/>
      <c r="R39" s="75"/>
    </row>
    <row r="40" spans="1:18" x14ac:dyDescent="0.3">
      <c r="A40" s="75"/>
      <c r="B40" s="75"/>
      <c r="C40" s="75"/>
      <c r="D40" s="75"/>
      <c r="E40" s="75"/>
      <c r="F40" s="75"/>
      <c r="G40" s="75"/>
      <c r="H40" s="75"/>
      <c r="I40" s="75"/>
      <c r="J40" s="75"/>
      <c r="K40" s="75"/>
      <c r="L40" s="75"/>
      <c r="M40" s="75"/>
      <c r="N40" s="75"/>
      <c r="O40" s="75"/>
      <c r="P40" s="75"/>
      <c r="Q40" s="75"/>
      <c r="R40" s="75"/>
    </row>
  </sheetData>
  <phoneticPr fontId="28" type="noConversion"/>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9</vt:i4>
      </vt:variant>
    </vt:vector>
  </HeadingPairs>
  <TitlesOfParts>
    <vt:vector size="30" baseType="lpstr">
      <vt:lpstr>MENU PRINCIPAL</vt:lpstr>
      <vt:lpstr>A.C. SAN FERNANDO</vt:lpstr>
      <vt:lpstr>A.C. REDONDOS</vt:lpstr>
      <vt:lpstr>A.C EGENER</vt:lpstr>
      <vt:lpstr>A.C. SCOTIABANK</vt:lpstr>
      <vt:lpstr>PROCEDIMIENTOS</vt:lpstr>
      <vt:lpstr>Protoc-Taller</vt:lpstr>
      <vt:lpstr>Protoc-Campo</vt:lpstr>
      <vt:lpstr>PERSONAL</vt:lpstr>
      <vt:lpstr>EQUIPOS EN SEGUIMIENTO</vt:lpstr>
      <vt:lpstr>INDICADORES DE EQUIPOS</vt:lpstr>
      <vt:lpstr>CONSULTA DE ACTAS</vt:lpstr>
      <vt:lpstr>EQUIPO PARA ALQUILER</vt:lpstr>
      <vt:lpstr>CONSULTA ACTAS POR FECHA</vt:lpstr>
      <vt:lpstr>REGISTRO</vt:lpstr>
      <vt:lpstr>BD_ACTAS</vt:lpstr>
      <vt:lpstr>Hoja5</vt:lpstr>
      <vt:lpstr>BD_EQUIPOS</vt:lpstr>
      <vt:lpstr>REGISTRO REPARACION DE FALLAS</vt:lpstr>
      <vt:lpstr>HISTORIAL DE GRUPOS ELECTROGENO</vt:lpstr>
      <vt:lpstr>Filtros de grupos</vt:lpstr>
      <vt:lpstr>'A.C EGENER'!Área_de_impresión</vt:lpstr>
      <vt:lpstr>'A.C. REDONDOS'!Área_de_impresión</vt:lpstr>
      <vt:lpstr>'A.C. SAN FERNANDO'!Área_de_impresión</vt:lpstr>
      <vt:lpstr>'Protoc-Campo'!Área_de_impresión</vt:lpstr>
      <vt:lpstr>'Protoc-Taller'!Área_de_impresión</vt:lpstr>
      <vt:lpstr>SERIEGRUPO</vt:lpstr>
      <vt:lpstr>SerieNuevo</vt:lpstr>
      <vt:lpstr>Tabla</vt:lpstr>
      <vt:lpstr>TECNICO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RAUL</cp:lastModifiedBy>
  <cp:lastPrinted>2021-01-21T14:14:41Z</cp:lastPrinted>
  <dcterms:created xsi:type="dcterms:W3CDTF">2020-01-23T18:12:13Z</dcterms:created>
  <dcterms:modified xsi:type="dcterms:W3CDTF">2021-01-31T02:33:41Z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PowerLiteLastOptimized">
    <vt:lpwstr>814857</vt:lpwstr>
  </property>
  <property fmtid="{D5CDD505-2E9C-101B-9397-08002B2CF9AE}" pid="3" name="NXPowerLiteSettings">
    <vt:lpwstr>C7000400038000</vt:lpwstr>
  </property>
  <property fmtid="{D5CDD505-2E9C-101B-9397-08002B2CF9AE}" pid="4" name="NXPowerLiteVersion">
    <vt:lpwstr>S8.2.3</vt:lpwstr>
  </property>
</Properties>
</file>